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VER" sheetId="1" r:id="rId4"/>
    <sheet state="visible" name="KAKAO" sheetId="2" r:id="rId5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IFERROR(__xludf.DUMMYFUNCTION("GOOGLEFINANCE(""035420"",""all"",DATE(2011,1,1),TODAY())"),"Date")</f>
        <v>Date</v>
      </c>
      <c r="B1" s="1" t="str">
        <f>IFERROR(__xludf.DUMMYFUNCTION("""COMPUTED_VALUE"""),"Open")</f>
        <v>Open</v>
      </c>
      <c r="C1" s="1" t="str">
        <f>IFERROR(__xludf.DUMMYFUNCTION("""COMPUTED_VALUE"""),"High")</f>
        <v>High</v>
      </c>
      <c r="D1" s="1" t="str">
        <f>IFERROR(__xludf.DUMMYFUNCTION("""COMPUTED_VALUE"""),"Low")</f>
        <v>Low</v>
      </c>
      <c r="E1" s="1" t="str">
        <f>IFERROR(__xludf.DUMMYFUNCTION("""COMPUTED_VALUE"""),"Close")</f>
        <v>Close</v>
      </c>
      <c r="F1" s="1" t="str">
        <f>IFERROR(__xludf.DUMMYFUNCTION("""COMPUTED_VALUE"""),"Volume")</f>
        <v>Volume</v>
      </c>
    </row>
    <row r="2">
      <c r="A2" s="2">
        <f>IFERROR(__xludf.DUMMYFUNCTION("""COMPUTED_VALUE"""),40546.645833333336)</f>
        <v>40546.64583</v>
      </c>
      <c r="B2" s="1">
        <f>IFERROR(__xludf.DUMMYFUNCTION("""COMPUTED_VALUE"""),56138.18)</f>
        <v>56138.18</v>
      </c>
      <c r="C2" s="1">
        <f>IFERROR(__xludf.DUMMYFUNCTION("""COMPUTED_VALUE"""),56260.76)</f>
        <v>56260.76</v>
      </c>
      <c r="D2" s="1">
        <f>IFERROR(__xludf.DUMMYFUNCTION("""COMPUTED_VALUE"""),53931.88)</f>
        <v>53931.88</v>
      </c>
      <c r="E2" s="1">
        <f>IFERROR(__xludf.DUMMYFUNCTION("""COMPUTED_VALUE"""),54299.6)</f>
        <v>54299.6</v>
      </c>
      <c r="F2" s="1">
        <f>IFERROR(__xludf.DUMMYFUNCTION("""COMPUTED_VALUE"""),152169.0)</f>
        <v>152169</v>
      </c>
    </row>
    <row r="3">
      <c r="A3" s="2">
        <f>IFERROR(__xludf.DUMMYFUNCTION("""COMPUTED_VALUE"""),40547.645833333336)</f>
        <v>40547.64583</v>
      </c>
      <c r="B3" s="1">
        <f>IFERROR(__xludf.DUMMYFUNCTION("""COMPUTED_VALUE"""),54789.89)</f>
        <v>54789.89</v>
      </c>
      <c r="C3" s="1">
        <f>IFERROR(__xludf.DUMMYFUNCTION("""COMPUTED_VALUE"""),55280.18)</f>
        <v>55280.18</v>
      </c>
      <c r="D3" s="1">
        <f>IFERROR(__xludf.DUMMYFUNCTION("""COMPUTED_VALUE"""),53196.44)</f>
        <v>53196.44</v>
      </c>
      <c r="E3" s="1">
        <f>IFERROR(__xludf.DUMMYFUNCTION("""COMPUTED_VALUE"""),54299.6)</f>
        <v>54299.6</v>
      </c>
      <c r="F3" s="1">
        <f>IFERROR(__xludf.DUMMYFUNCTION("""COMPUTED_VALUE"""),152673.0)</f>
        <v>152673</v>
      </c>
    </row>
    <row r="4">
      <c r="A4" s="2">
        <f>IFERROR(__xludf.DUMMYFUNCTION("""COMPUTED_VALUE"""),40548.645833333336)</f>
        <v>40548.64583</v>
      </c>
      <c r="B4" s="1">
        <f>IFERROR(__xludf.DUMMYFUNCTION("""COMPUTED_VALUE"""),53686.73)</f>
        <v>53686.73</v>
      </c>
      <c r="C4" s="1">
        <f>IFERROR(__xludf.DUMMYFUNCTION("""COMPUTED_VALUE"""),55770.47)</f>
        <v>55770.47</v>
      </c>
      <c r="D4" s="1">
        <f>IFERROR(__xludf.DUMMYFUNCTION("""COMPUTED_VALUE"""),53686.73)</f>
        <v>53686.73</v>
      </c>
      <c r="E4" s="1">
        <f>IFERROR(__xludf.DUMMYFUNCTION("""COMPUTED_VALUE"""),54544.74)</f>
        <v>54544.74</v>
      </c>
      <c r="F4" s="1">
        <f>IFERROR(__xludf.DUMMYFUNCTION("""COMPUTED_VALUE"""),187476.0)</f>
        <v>187476</v>
      </c>
    </row>
    <row r="5">
      <c r="A5" s="2">
        <f>IFERROR(__xludf.DUMMYFUNCTION("""COMPUTED_VALUE"""),40549.645833333336)</f>
        <v>40549.64583</v>
      </c>
      <c r="B5" s="1">
        <f>IFERROR(__xludf.DUMMYFUNCTION("""COMPUTED_VALUE"""),55035.03)</f>
        <v>55035.03</v>
      </c>
      <c r="C5" s="1">
        <f>IFERROR(__xludf.DUMMYFUNCTION("""COMPUTED_VALUE"""),55280.18)</f>
        <v>55280.18</v>
      </c>
      <c r="D5" s="1">
        <f>IFERROR(__xludf.DUMMYFUNCTION("""COMPUTED_VALUE"""),53809.31)</f>
        <v>53809.31</v>
      </c>
      <c r="E5" s="1">
        <f>IFERROR(__xludf.DUMMYFUNCTION("""COMPUTED_VALUE"""),54299.6)</f>
        <v>54299.6</v>
      </c>
      <c r="F5" s="1">
        <f>IFERROR(__xludf.DUMMYFUNCTION("""COMPUTED_VALUE"""),191032.0)</f>
        <v>191032</v>
      </c>
    </row>
    <row r="6">
      <c r="A6" s="2">
        <f>IFERROR(__xludf.DUMMYFUNCTION("""COMPUTED_VALUE"""),40550.645833333336)</f>
        <v>40550.64583</v>
      </c>
      <c r="B6" s="1">
        <f>IFERROR(__xludf.DUMMYFUNCTION("""COMPUTED_VALUE"""),54299.6)</f>
        <v>54299.6</v>
      </c>
      <c r="C6" s="1">
        <f>IFERROR(__xludf.DUMMYFUNCTION("""COMPUTED_VALUE"""),55770.47)</f>
        <v>55770.47</v>
      </c>
      <c r="D6" s="1">
        <f>IFERROR(__xludf.DUMMYFUNCTION("""COMPUTED_VALUE"""),54299.6)</f>
        <v>54299.6</v>
      </c>
      <c r="E6" s="1">
        <f>IFERROR(__xludf.DUMMYFUNCTION("""COMPUTED_VALUE"""),55157.6)</f>
        <v>55157.6</v>
      </c>
      <c r="F6" s="1">
        <f>IFERROR(__xludf.DUMMYFUNCTION("""COMPUTED_VALUE"""),202644.0)</f>
        <v>202644</v>
      </c>
    </row>
    <row r="7">
      <c r="A7" s="2">
        <f>IFERROR(__xludf.DUMMYFUNCTION("""COMPUTED_VALUE"""),40553.645833333336)</f>
        <v>40553.64583</v>
      </c>
      <c r="B7" s="1">
        <f>IFERROR(__xludf.DUMMYFUNCTION("""COMPUTED_VALUE"""),55157.6)</f>
        <v>55157.6</v>
      </c>
      <c r="C7" s="1">
        <f>IFERROR(__xludf.DUMMYFUNCTION("""COMPUTED_VALUE"""),55402.75)</f>
        <v>55402.75</v>
      </c>
      <c r="D7" s="1">
        <f>IFERROR(__xludf.DUMMYFUNCTION("""COMPUTED_VALUE"""),52461.01)</f>
        <v>52461.01</v>
      </c>
      <c r="E7" s="1">
        <f>IFERROR(__xludf.DUMMYFUNCTION("""COMPUTED_VALUE"""),52706.15)</f>
        <v>52706.15</v>
      </c>
      <c r="F7" s="1">
        <f>IFERROR(__xludf.DUMMYFUNCTION("""COMPUTED_VALUE"""),260952.0)</f>
        <v>260952</v>
      </c>
    </row>
    <row r="8">
      <c r="A8" s="2">
        <f>IFERROR(__xludf.DUMMYFUNCTION("""COMPUTED_VALUE"""),40554.645833333336)</f>
        <v>40554.64583</v>
      </c>
      <c r="B8" s="1">
        <f>IFERROR(__xludf.DUMMYFUNCTION("""COMPUTED_VALUE"""),53196.44)</f>
        <v>53196.44</v>
      </c>
      <c r="C8" s="1">
        <f>IFERROR(__xludf.DUMMYFUNCTION("""COMPUTED_VALUE"""),53196.44)</f>
        <v>53196.44</v>
      </c>
      <c r="D8" s="1">
        <f>IFERROR(__xludf.DUMMYFUNCTION("""COMPUTED_VALUE"""),51480.43)</f>
        <v>51480.43</v>
      </c>
      <c r="E8" s="1">
        <f>IFERROR(__xludf.DUMMYFUNCTION("""COMPUTED_VALUE"""),51848.15)</f>
        <v>51848.15</v>
      </c>
      <c r="F8" s="1">
        <f>IFERROR(__xludf.DUMMYFUNCTION("""COMPUTED_VALUE"""),320831.0)</f>
        <v>320831</v>
      </c>
    </row>
    <row r="9">
      <c r="A9" s="2">
        <f>IFERROR(__xludf.DUMMYFUNCTION("""COMPUTED_VALUE"""),40555.645833333336)</f>
        <v>40555.64583</v>
      </c>
      <c r="B9" s="1">
        <f>IFERROR(__xludf.DUMMYFUNCTION("""COMPUTED_VALUE"""),52338.44)</f>
        <v>52338.44</v>
      </c>
      <c r="C9" s="1">
        <f>IFERROR(__xludf.DUMMYFUNCTION("""COMPUTED_VALUE"""),52583.58)</f>
        <v>52583.58</v>
      </c>
      <c r="D9" s="1">
        <f>IFERROR(__xludf.DUMMYFUNCTION("""COMPUTED_VALUE"""),50377.28)</f>
        <v>50377.28</v>
      </c>
      <c r="E9" s="1">
        <f>IFERROR(__xludf.DUMMYFUNCTION("""COMPUTED_VALUE"""),51112.71)</f>
        <v>51112.71</v>
      </c>
      <c r="F9" s="1">
        <f>IFERROR(__xludf.DUMMYFUNCTION("""COMPUTED_VALUE"""),472632.0)</f>
        <v>472632</v>
      </c>
    </row>
    <row r="10">
      <c r="A10" s="2">
        <f>IFERROR(__xludf.DUMMYFUNCTION("""COMPUTED_VALUE"""),40556.645833333336)</f>
        <v>40556.64583</v>
      </c>
      <c r="B10" s="1">
        <f>IFERROR(__xludf.DUMMYFUNCTION("""COMPUTED_VALUE"""),51235.29)</f>
        <v>51235.29</v>
      </c>
      <c r="C10" s="1">
        <f>IFERROR(__xludf.DUMMYFUNCTION("""COMPUTED_VALUE"""),51357.86)</f>
        <v>51357.86</v>
      </c>
      <c r="D10" s="1">
        <f>IFERROR(__xludf.DUMMYFUNCTION("""COMPUTED_VALUE"""),48906.41)</f>
        <v>48906.41</v>
      </c>
      <c r="E10" s="1">
        <f>IFERROR(__xludf.DUMMYFUNCTION("""COMPUTED_VALUE"""),49641.84)</f>
        <v>49641.84</v>
      </c>
      <c r="F10" s="1">
        <f>IFERROR(__xludf.DUMMYFUNCTION("""COMPUTED_VALUE"""),798758.0)</f>
        <v>798758</v>
      </c>
    </row>
    <row r="11">
      <c r="A11" s="2">
        <f>IFERROR(__xludf.DUMMYFUNCTION("""COMPUTED_VALUE"""),40557.645833333336)</f>
        <v>40557.64583</v>
      </c>
      <c r="B11" s="1">
        <f>IFERROR(__xludf.DUMMYFUNCTION("""COMPUTED_VALUE"""),49886.99)</f>
        <v>49886.99</v>
      </c>
      <c r="C11" s="1">
        <f>IFERROR(__xludf.DUMMYFUNCTION("""COMPUTED_VALUE"""),50867.57)</f>
        <v>50867.57</v>
      </c>
      <c r="D11" s="1">
        <f>IFERROR(__xludf.DUMMYFUNCTION("""COMPUTED_VALUE"""),49641.84)</f>
        <v>49641.84</v>
      </c>
      <c r="E11" s="1">
        <f>IFERROR(__xludf.DUMMYFUNCTION("""COMPUTED_VALUE"""),50745.0)</f>
        <v>50745</v>
      </c>
      <c r="F11" s="1">
        <f>IFERROR(__xludf.DUMMYFUNCTION("""COMPUTED_VALUE"""),402356.0)</f>
        <v>402356</v>
      </c>
    </row>
    <row r="12">
      <c r="A12" s="2">
        <f>IFERROR(__xludf.DUMMYFUNCTION("""COMPUTED_VALUE"""),40560.645833333336)</f>
        <v>40560.64583</v>
      </c>
      <c r="B12" s="1">
        <f>IFERROR(__xludf.DUMMYFUNCTION("""COMPUTED_VALUE"""),51357.86)</f>
        <v>51357.86</v>
      </c>
      <c r="C12" s="1">
        <f>IFERROR(__xludf.DUMMYFUNCTION("""COMPUTED_VALUE"""),52583.58)</f>
        <v>52583.58</v>
      </c>
      <c r="D12" s="1">
        <f>IFERROR(__xludf.DUMMYFUNCTION("""COMPUTED_VALUE"""),51235.29)</f>
        <v>51235.29</v>
      </c>
      <c r="E12" s="1">
        <f>IFERROR(__xludf.DUMMYFUNCTION("""COMPUTED_VALUE"""),51725.57)</f>
        <v>51725.57</v>
      </c>
      <c r="F12" s="1">
        <f>IFERROR(__xludf.DUMMYFUNCTION("""COMPUTED_VALUE"""),516556.0)</f>
        <v>516556</v>
      </c>
    </row>
    <row r="13">
      <c r="A13" s="2">
        <f>IFERROR(__xludf.DUMMYFUNCTION("""COMPUTED_VALUE"""),40561.645833333336)</f>
        <v>40561.64583</v>
      </c>
      <c r="B13" s="1">
        <f>IFERROR(__xludf.DUMMYFUNCTION("""COMPUTED_VALUE"""),51970.72)</f>
        <v>51970.72</v>
      </c>
      <c r="C13" s="1">
        <f>IFERROR(__xludf.DUMMYFUNCTION("""COMPUTED_VALUE"""),52093.29)</f>
        <v>52093.29</v>
      </c>
      <c r="D13" s="1">
        <f>IFERROR(__xludf.DUMMYFUNCTION("""COMPUTED_VALUE"""),49886.99)</f>
        <v>49886.99</v>
      </c>
      <c r="E13" s="1">
        <f>IFERROR(__xludf.DUMMYFUNCTION("""COMPUTED_VALUE"""),50499.85)</f>
        <v>50499.85</v>
      </c>
      <c r="F13" s="1">
        <f>IFERROR(__xludf.DUMMYFUNCTION("""COMPUTED_VALUE"""),429660.0)</f>
        <v>429660</v>
      </c>
    </row>
    <row r="14">
      <c r="A14" s="2">
        <f>IFERROR(__xludf.DUMMYFUNCTION("""COMPUTED_VALUE"""),40562.645833333336)</f>
        <v>40562.64583</v>
      </c>
      <c r="B14" s="1">
        <f>IFERROR(__xludf.DUMMYFUNCTION("""COMPUTED_VALUE"""),49886.99)</f>
        <v>49886.99</v>
      </c>
      <c r="C14" s="1">
        <f>IFERROR(__xludf.DUMMYFUNCTION("""COMPUTED_VALUE"""),50254.71)</f>
        <v>50254.71</v>
      </c>
      <c r="D14" s="1">
        <f>IFERROR(__xludf.DUMMYFUNCTION("""COMPUTED_VALUE"""),48538.69)</f>
        <v>48538.69</v>
      </c>
      <c r="E14" s="1">
        <f>IFERROR(__xludf.DUMMYFUNCTION("""COMPUTED_VALUE"""),48906.41)</f>
        <v>48906.41</v>
      </c>
      <c r="F14" s="1">
        <f>IFERROR(__xludf.DUMMYFUNCTION("""COMPUTED_VALUE"""),478636.0)</f>
        <v>478636</v>
      </c>
    </row>
    <row r="15">
      <c r="A15" s="2">
        <f>IFERROR(__xludf.DUMMYFUNCTION("""COMPUTED_VALUE"""),40563.645833333336)</f>
        <v>40563.64583</v>
      </c>
      <c r="B15" s="1">
        <f>IFERROR(__xludf.DUMMYFUNCTION("""COMPUTED_VALUE"""),49274.13)</f>
        <v>49274.13</v>
      </c>
      <c r="C15" s="1">
        <f>IFERROR(__xludf.DUMMYFUNCTION("""COMPUTED_VALUE"""),50377.28)</f>
        <v>50377.28</v>
      </c>
      <c r="D15" s="1">
        <f>IFERROR(__xludf.DUMMYFUNCTION("""COMPUTED_VALUE"""),49274.13)</f>
        <v>49274.13</v>
      </c>
      <c r="E15" s="1">
        <f>IFERROR(__xludf.DUMMYFUNCTION("""COMPUTED_VALUE"""),50009.56)</f>
        <v>50009.56</v>
      </c>
      <c r="F15" s="1">
        <f>IFERROR(__xludf.DUMMYFUNCTION("""COMPUTED_VALUE"""),312282.0)</f>
        <v>312282</v>
      </c>
    </row>
    <row r="16">
      <c r="A16" s="2">
        <f>IFERROR(__xludf.DUMMYFUNCTION("""COMPUTED_VALUE"""),40564.645833333336)</f>
        <v>40564.64583</v>
      </c>
      <c r="B16" s="1">
        <f>IFERROR(__xludf.DUMMYFUNCTION("""COMPUTED_VALUE"""),50254.71)</f>
        <v>50254.71</v>
      </c>
      <c r="C16" s="1">
        <f>IFERROR(__xludf.DUMMYFUNCTION("""COMPUTED_VALUE"""),50622.42)</f>
        <v>50622.42</v>
      </c>
      <c r="D16" s="1">
        <f>IFERROR(__xludf.DUMMYFUNCTION("""COMPUTED_VALUE"""),49641.84)</f>
        <v>49641.84</v>
      </c>
      <c r="E16" s="1">
        <f>IFERROR(__xludf.DUMMYFUNCTION("""COMPUTED_VALUE"""),50254.71)</f>
        <v>50254.71</v>
      </c>
      <c r="F16" s="1">
        <f>IFERROR(__xludf.DUMMYFUNCTION("""COMPUTED_VALUE"""),225253.0)</f>
        <v>225253</v>
      </c>
    </row>
    <row r="17">
      <c r="A17" s="2">
        <f>IFERROR(__xludf.DUMMYFUNCTION("""COMPUTED_VALUE"""),40567.645833333336)</f>
        <v>40567.64583</v>
      </c>
      <c r="B17" s="1">
        <f>IFERROR(__xludf.DUMMYFUNCTION("""COMPUTED_VALUE"""),51357.86)</f>
        <v>51357.86</v>
      </c>
      <c r="C17" s="1">
        <f>IFERROR(__xludf.DUMMYFUNCTION("""COMPUTED_VALUE"""),52951.3)</f>
        <v>52951.3</v>
      </c>
      <c r="D17" s="1">
        <f>IFERROR(__xludf.DUMMYFUNCTION("""COMPUTED_VALUE"""),50867.57)</f>
        <v>50867.57</v>
      </c>
      <c r="E17" s="1">
        <f>IFERROR(__xludf.DUMMYFUNCTION("""COMPUTED_VALUE"""),51480.43)</f>
        <v>51480.43</v>
      </c>
      <c r="F17" s="1">
        <f>IFERROR(__xludf.DUMMYFUNCTION("""COMPUTED_VALUE"""),463706.0)</f>
        <v>463706</v>
      </c>
    </row>
    <row r="18">
      <c r="A18" s="2">
        <f>IFERROR(__xludf.DUMMYFUNCTION("""COMPUTED_VALUE"""),40568.645833333336)</f>
        <v>40568.64583</v>
      </c>
      <c r="B18" s="1">
        <f>IFERROR(__xludf.DUMMYFUNCTION("""COMPUTED_VALUE"""),50867.57)</f>
        <v>50867.57</v>
      </c>
      <c r="C18" s="1">
        <f>IFERROR(__xludf.DUMMYFUNCTION("""COMPUTED_VALUE"""),51357.86)</f>
        <v>51357.86</v>
      </c>
      <c r="D18" s="1">
        <f>IFERROR(__xludf.DUMMYFUNCTION("""COMPUTED_VALUE"""),50009.56)</f>
        <v>50009.56</v>
      </c>
      <c r="E18" s="1">
        <f>IFERROR(__xludf.DUMMYFUNCTION("""COMPUTED_VALUE"""),50499.85)</f>
        <v>50499.85</v>
      </c>
      <c r="F18" s="1">
        <f>IFERROR(__xludf.DUMMYFUNCTION("""COMPUTED_VALUE"""),271439.0)</f>
        <v>271439</v>
      </c>
    </row>
    <row r="19">
      <c r="A19" s="2">
        <f>IFERROR(__xludf.DUMMYFUNCTION("""COMPUTED_VALUE"""),40569.645833333336)</f>
        <v>40569.64583</v>
      </c>
      <c r="B19" s="1">
        <f>IFERROR(__xludf.DUMMYFUNCTION("""COMPUTED_VALUE"""),50990.14)</f>
        <v>50990.14</v>
      </c>
      <c r="C19" s="1">
        <f>IFERROR(__xludf.DUMMYFUNCTION("""COMPUTED_VALUE"""),51480.43)</f>
        <v>51480.43</v>
      </c>
      <c r="D19" s="1">
        <f>IFERROR(__xludf.DUMMYFUNCTION("""COMPUTED_VALUE"""),50132.13)</f>
        <v>50132.13</v>
      </c>
      <c r="E19" s="1">
        <f>IFERROR(__xludf.DUMMYFUNCTION("""COMPUTED_VALUE"""),50254.71)</f>
        <v>50254.71</v>
      </c>
      <c r="F19" s="1">
        <f>IFERROR(__xludf.DUMMYFUNCTION("""COMPUTED_VALUE"""),146283.0)</f>
        <v>146283</v>
      </c>
    </row>
    <row r="20">
      <c r="A20" s="2">
        <f>IFERROR(__xludf.DUMMYFUNCTION("""COMPUTED_VALUE"""),40570.645833333336)</f>
        <v>40570.64583</v>
      </c>
      <c r="B20" s="1">
        <f>IFERROR(__xludf.DUMMYFUNCTION("""COMPUTED_VALUE"""),49886.99)</f>
        <v>49886.99</v>
      </c>
      <c r="C20" s="1">
        <f>IFERROR(__xludf.DUMMYFUNCTION("""COMPUTED_VALUE"""),50990.14)</f>
        <v>50990.14</v>
      </c>
      <c r="D20" s="1">
        <f>IFERROR(__xludf.DUMMYFUNCTION("""COMPUTED_VALUE"""),49396.7)</f>
        <v>49396.7</v>
      </c>
      <c r="E20" s="1">
        <f>IFERROR(__xludf.DUMMYFUNCTION("""COMPUTED_VALUE"""),50009.56)</f>
        <v>50009.56</v>
      </c>
      <c r="F20" s="1">
        <f>IFERROR(__xludf.DUMMYFUNCTION("""COMPUTED_VALUE"""),278158.0)</f>
        <v>278158</v>
      </c>
    </row>
    <row r="21">
      <c r="A21" s="2">
        <f>IFERROR(__xludf.DUMMYFUNCTION("""COMPUTED_VALUE"""),40571.645833333336)</f>
        <v>40571.64583</v>
      </c>
      <c r="B21" s="1">
        <f>IFERROR(__xludf.DUMMYFUNCTION("""COMPUTED_VALUE"""),50377.28)</f>
        <v>50377.28</v>
      </c>
      <c r="C21" s="1">
        <f>IFERROR(__xludf.DUMMYFUNCTION("""COMPUTED_VALUE"""),50499.85)</f>
        <v>50499.85</v>
      </c>
      <c r="D21" s="1">
        <f>IFERROR(__xludf.DUMMYFUNCTION("""COMPUTED_VALUE"""),49641.84)</f>
        <v>49641.84</v>
      </c>
      <c r="E21" s="1">
        <f>IFERROR(__xludf.DUMMYFUNCTION("""COMPUTED_VALUE"""),49764.42)</f>
        <v>49764.42</v>
      </c>
      <c r="F21" s="1">
        <f>IFERROR(__xludf.DUMMYFUNCTION("""COMPUTED_VALUE"""),145641.0)</f>
        <v>145641</v>
      </c>
    </row>
    <row r="22">
      <c r="A22" s="2">
        <f>IFERROR(__xludf.DUMMYFUNCTION("""COMPUTED_VALUE"""),40574.645833333336)</f>
        <v>40574.64583</v>
      </c>
      <c r="B22" s="1">
        <f>IFERROR(__xludf.DUMMYFUNCTION("""COMPUTED_VALUE"""),49519.27)</f>
        <v>49519.27</v>
      </c>
      <c r="C22" s="1">
        <f>IFERROR(__xludf.DUMMYFUNCTION("""COMPUTED_VALUE"""),49519.27)</f>
        <v>49519.27</v>
      </c>
      <c r="D22" s="1">
        <f>IFERROR(__xludf.DUMMYFUNCTION("""COMPUTED_VALUE"""),47435.54)</f>
        <v>47435.54</v>
      </c>
      <c r="E22" s="1">
        <f>IFERROR(__xludf.DUMMYFUNCTION("""COMPUTED_VALUE"""),49028.98)</f>
        <v>49028.98</v>
      </c>
      <c r="F22" s="1">
        <f>IFERROR(__xludf.DUMMYFUNCTION("""COMPUTED_VALUE"""),226541.0)</f>
        <v>226541</v>
      </c>
    </row>
    <row r="23">
      <c r="A23" s="2">
        <f>IFERROR(__xludf.DUMMYFUNCTION("""COMPUTED_VALUE"""),40575.645833333336)</f>
        <v>40575.64583</v>
      </c>
      <c r="B23" s="1">
        <f>IFERROR(__xludf.DUMMYFUNCTION("""COMPUTED_VALUE"""),49274.13)</f>
        <v>49274.13</v>
      </c>
      <c r="C23" s="1">
        <f>IFERROR(__xludf.DUMMYFUNCTION("""COMPUTED_VALUE"""),50254.71)</f>
        <v>50254.71</v>
      </c>
      <c r="D23" s="1">
        <f>IFERROR(__xludf.DUMMYFUNCTION("""COMPUTED_VALUE"""),48170.97)</f>
        <v>48170.97</v>
      </c>
      <c r="E23" s="1">
        <f>IFERROR(__xludf.DUMMYFUNCTION("""COMPUTED_VALUE"""),48293.55)</f>
        <v>48293.55</v>
      </c>
      <c r="F23" s="1">
        <f>IFERROR(__xludf.DUMMYFUNCTION("""COMPUTED_VALUE"""),198279.0)</f>
        <v>198279</v>
      </c>
    </row>
    <row r="24">
      <c r="A24" s="2">
        <f>IFERROR(__xludf.DUMMYFUNCTION("""COMPUTED_VALUE"""),40581.645833333336)</f>
        <v>40581.64583</v>
      </c>
      <c r="B24" s="1">
        <f>IFERROR(__xludf.DUMMYFUNCTION("""COMPUTED_VALUE"""),49764.42)</f>
        <v>49764.42</v>
      </c>
      <c r="C24" s="1">
        <f>IFERROR(__xludf.DUMMYFUNCTION("""COMPUTED_VALUE"""),50254.71)</f>
        <v>50254.71</v>
      </c>
      <c r="D24" s="1">
        <f>IFERROR(__xludf.DUMMYFUNCTION("""COMPUTED_VALUE"""),49274.13)</f>
        <v>49274.13</v>
      </c>
      <c r="E24" s="1">
        <f>IFERROR(__xludf.DUMMYFUNCTION("""COMPUTED_VALUE"""),50009.56)</f>
        <v>50009.56</v>
      </c>
      <c r="F24" s="1">
        <f>IFERROR(__xludf.DUMMYFUNCTION("""COMPUTED_VALUE"""),247399.0)</f>
        <v>247399</v>
      </c>
    </row>
    <row r="25">
      <c r="A25" s="2">
        <f>IFERROR(__xludf.DUMMYFUNCTION("""COMPUTED_VALUE"""),40582.645833333336)</f>
        <v>40582.64583</v>
      </c>
      <c r="B25" s="1">
        <f>IFERROR(__xludf.DUMMYFUNCTION("""COMPUTED_VALUE"""),50377.28)</f>
        <v>50377.28</v>
      </c>
      <c r="C25" s="1">
        <f>IFERROR(__xludf.DUMMYFUNCTION("""COMPUTED_VALUE"""),50499.85)</f>
        <v>50499.85</v>
      </c>
      <c r="D25" s="1">
        <f>IFERROR(__xludf.DUMMYFUNCTION("""COMPUTED_VALUE"""),49764.42)</f>
        <v>49764.42</v>
      </c>
      <c r="E25" s="1">
        <f>IFERROR(__xludf.DUMMYFUNCTION("""COMPUTED_VALUE"""),49886.99)</f>
        <v>49886.99</v>
      </c>
      <c r="F25" s="1">
        <f>IFERROR(__xludf.DUMMYFUNCTION("""COMPUTED_VALUE"""),131574.0)</f>
        <v>131574</v>
      </c>
    </row>
    <row r="26">
      <c r="A26" s="2">
        <f>IFERROR(__xludf.DUMMYFUNCTION("""COMPUTED_VALUE"""),40583.645833333336)</f>
        <v>40583.64583</v>
      </c>
      <c r="B26" s="1">
        <f>IFERROR(__xludf.DUMMYFUNCTION("""COMPUTED_VALUE"""),49519.27)</f>
        <v>49519.27</v>
      </c>
      <c r="C26" s="1">
        <f>IFERROR(__xludf.DUMMYFUNCTION("""COMPUTED_VALUE"""),51235.29)</f>
        <v>51235.29</v>
      </c>
      <c r="D26" s="1">
        <f>IFERROR(__xludf.DUMMYFUNCTION("""COMPUTED_VALUE"""),49274.13)</f>
        <v>49274.13</v>
      </c>
      <c r="E26" s="1">
        <f>IFERROR(__xludf.DUMMYFUNCTION("""COMPUTED_VALUE"""),50622.42)</f>
        <v>50622.42</v>
      </c>
      <c r="F26" s="1">
        <f>IFERROR(__xludf.DUMMYFUNCTION("""COMPUTED_VALUE"""),342146.0)</f>
        <v>342146</v>
      </c>
    </row>
    <row r="27">
      <c r="A27" s="2">
        <f>IFERROR(__xludf.DUMMYFUNCTION("""COMPUTED_VALUE"""),40584.645833333336)</f>
        <v>40584.64583</v>
      </c>
      <c r="B27" s="1">
        <f>IFERROR(__xludf.DUMMYFUNCTION("""COMPUTED_VALUE"""),50009.56)</f>
        <v>50009.56</v>
      </c>
      <c r="C27" s="1">
        <f>IFERROR(__xludf.DUMMYFUNCTION("""COMPUTED_VALUE"""),50377.28)</f>
        <v>50377.28</v>
      </c>
      <c r="D27" s="1">
        <f>IFERROR(__xludf.DUMMYFUNCTION("""COMPUTED_VALUE"""),48906.41)</f>
        <v>48906.41</v>
      </c>
      <c r="E27" s="1">
        <f>IFERROR(__xludf.DUMMYFUNCTION("""COMPUTED_VALUE"""),49028.98)</f>
        <v>49028.98</v>
      </c>
      <c r="F27" s="1">
        <f>IFERROR(__xludf.DUMMYFUNCTION("""COMPUTED_VALUE"""),231753.0)</f>
        <v>231753</v>
      </c>
    </row>
    <row r="28">
      <c r="A28" s="2">
        <f>IFERROR(__xludf.DUMMYFUNCTION("""COMPUTED_VALUE"""),40585.645833333336)</f>
        <v>40585.64583</v>
      </c>
      <c r="B28" s="1">
        <f>IFERROR(__xludf.DUMMYFUNCTION("""COMPUTED_VALUE"""),49641.84)</f>
        <v>49641.84</v>
      </c>
      <c r="C28" s="1">
        <f>IFERROR(__xludf.DUMMYFUNCTION("""COMPUTED_VALUE"""),49641.84)</f>
        <v>49641.84</v>
      </c>
      <c r="D28" s="1">
        <f>IFERROR(__xludf.DUMMYFUNCTION("""COMPUTED_VALUE"""),45842.1)</f>
        <v>45842.1</v>
      </c>
      <c r="E28" s="1">
        <f>IFERROR(__xludf.DUMMYFUNCTION("""COMPUTED_VALUE"""),45842.1)</f>
        <v>45842.1</v>
      </c>
      <c r="F28" s="1">
        <f>IFERROR(__xludf.DUMMYFUNCTION("""COMPUTED_VALUE"""),468044.0)</f>
        <v>468044</v>
      </c>
    </row>
    <row r="29">
      <c r="A29" s="2">
        <f>IFERROR(__xludf.DUMMYFUNCTION("""COMPUTED_VALUE"""),40588.645833333336)</f>
        <v>40588.64583</v>
      </c>
      <c r="B29" s="1">
        <f>IFERROR(__xludf.DUMMYFUNCTION("""COMPUTED_VALUE"""),46209.81)</f>
        <v>46209.81</v>
      </c>
      <c r="C29" s="1">
        <f>IFERROR(__xludf.DUMMYFUNCTION("""COMPUTED_VALUE"""),47067.82)</f>
        <v>47067.82</v>
      </c>
      <c r="D29" s="1">
        <f>IFERROR(__xludf.DUMMYFUNCTION("""COMPUTED_VALUE"""),45964.67)</f>
        <v>45964.67</v>
      </c>
      <c r="E29" s="1">
        <f>IFERROR(__xludf.DUMMYFUNCTION("""COMPUTED_VALUE"""),46454.96)</f>
        <v>46454.96</v>
      </c>
      <c r="F29" s="1">
        <f>IFERROR(__xludf.DUMMYFUNCTION("""COMPUTED_VALUE"""),238578.0)</f>
        <v>238578</v>
      </c>
    </row>
    <row r="30">
      <c r="A30" s="2">
        <f>IFERROR(__xludf.DUMMYFUNCTION("""COMPUTED_VALUE"""),40589.645833333336)</f>
        <v>40589.64583</v>
      </c>
      <c r="B30" s="1">
        <f>IFERROR(__xludf.DUMMYFUNCTION("""COMPUTED_VALUE"""),46822.68)</f>
        <v>46822.68</v>
      </c>
      <c r="C30" s="1">
        <f>IFERROR(__xludf.DUMMYFUNCTION("""COMPUTED_VALUE"""),46822.68)</f>
        <v>46822.68</v>
      </c>
      <c r="D30" s="1">
        <f>IFERROR(__xludf.DUMMYFUNCTION("""COMPUTED_VALUE"""),45596.95)</f>
        <v>45596.95</v>
      </c>
      <c r="E30" s="1">
        <f>IFERROR(__xludf.DUMMYFUNCTION("""COMPUTED_VALUE"""),45842.1)</f>
        <v>45842.1</v>
      </c>
      <c r="F30" s="1">
        <f>IFERROR(__xludf.DUMMYFUNCTION("""COMPUTED_VALUE"""),297639.0)</f>
        <v>297639</v>
      </c>
    </row>
    <row r="31">
      <c r="A31" s="2">
        <f>IFERROR(__xludf.DUMMYFUNCTION("""COMPUTED_VALUE"""),40590.645833333336)</f>
        <v>40590.64583</v>
      </c>
      <c r="B31" s="1">
        <f>IFERROR(__xludf.DUMMYFUNCTION("""COMPUTED_VALUE"""),45351.81)</f>
        <v>45351.81</v>
      </c>
      <c r="C31" s="1">
        <f>IFERROR(__xludf.DUMMYFUNCTION("""COMPUTED_VALUE"""),46454.96)</f>
        <v>46454.96</v>
      </c>
      <c r="D31" s="1">
        <f>IFERROR(__xludf.DUMMYFUNCTION("""COMPUTED_VALUE"""),45351.81)</f>
        <v>45351.81</v>
      </c>
      <c r="E31" s="1">
        <f>IFERROR(__xludf.DUMMYFUNCTION("""COMPUTED_VALUE"""),45842.1)</f>
        <v>45842.1</v>
      </c>
      <c r="F31" s="1">
        <f>IFERROR(__xludf.DUMMYFUNCTION("""COMPUTED_VALUE"""),184853.0)</f>
        <v>184853</v>
      </c>
    </row>
    <row r="32">
      <c r="A32" s="2">
        <f>IFERROR(__xludf.DUMMYFUNCTION("""COMPUTED_VALUE"""),40591.645833333336)</f>
        <v>40591.64583</v>
      </c>
      <c r="B32" s="1">
        <f>IFERROR(__xludf.DUMMYFUNCTION("""COMPUTED_VALUE"""),46577.53)</f>
        <v>46577.53</v>
      </c>
      <c r="C32" s="1">
        <f>IFERROR(__xludf.DUMMYFUNCTION("""COMPUTED_VALUE"""),47435.54)</f>
        <v>47435.54</v>
      </c>
      <c r="D32" s="1">
        <f>IFERROR(__xludf.DUMMYFUNCTION("""COMPUTED_VALUE"""),46209.81)</f>
        <v>46209.81</v>
      </c>
      <c r="E32" s="1">
        <f>IFERROR(__xludf.DUMMYFUNCTION("""COMPUTED_VALUE"""),47067.82)</f>
        <v>47067.82</v>
      </c>
      <c r="F32" s="1">
        <f>IFERROR(__xludf.DUMMYFUNCTION("""COMPUTED_VALUE"""),167162.0)</f>
        <v>167162</v>
      </c>
    </row>
    <row r="33">
      <c r="A33" s="2">
        <f>IFERROR(__xludf.DUMMYFUNCTION("""COMPUTED_VALUE"""),40592.645833333336)</f>
        <v>40592.64583</v>
      </c>
      <c r="B33" s="1">
        <f>IFERROR(__xludf.DUMMYFUNCTION("""COMPUTED_VALUE"""),47435.54)</f>
        <v>47435.54</v>
      </c>
      <c r="C33" s="1">
        <f>IFERROR(__xludf.DUMMYFUNCTION("""COMPUTED_VALUE"""),47803.26)</f>
        <v>47803.26</v>
      </c>
      <c r="D33" s="1">
        <f>IFERROR(__xludf.DUMMYFUNCTION("""COMPUTED_VALUE"""),45596.95)</f>
        <v>45596.95</v>
      </c>
      <c r="E33" s="1">
        <f>IFERROR(__xludf.DUMMYFUNCTION("""COMPUTED_VALUE"""),47435.54)</f>
        <v>47435.54</v>
      </c>
      <c r="F33" s="1">
        <f>IFERROR(__xludf.DUMMYFUNCTION("""COMPUTED_VALUE"""),344534.0)</f>
        <v>344534</v>
      </c>
    </row>
    <row r="34">
      <c r="A34" s="2">
        <f>IFERROR(__xludf.DUMMYFUNCTION("""COMPUTED_VALUE"""),40595.645833333336)</f>
        <v>40595.64583</v>
      </c>
      <c r="B34" s="1">
        <f>IFERROR(__xludf.DUMMYFUNCTION("""COMPUTED_VALUE"""),47925.83)</f>
        <v>47925.83</v>
      </c>
      <c r="C34" s="1">
        <f>IFERROR(__xludf.DUMMYFUNCTION("""COMPUTED_VALUE"""),47925.83)</f>
        <v>47925.83</v>
      </c>
      <c r="D34" s="1">
        <f>IFERROR(__xludf.DUMMYFUNCTION("""COMPUTED_VALUE"""),44984.09)</f>
        <v>44984.09</v>
      </c>
      <c r="E34" s="1">
        <f>IFERROR(__xludf.DUMMYFUNCTION("""COMPUTED_VALUE"""),45474.38)</f>
        <v>45474.38</v>
      </c>
      <c r="F34" s="1">
        <f>IFERROR(__xludf.DUMMYFUNCTION("""COMPUTED_VALUE"""),421348.0)</f>
        <v>421348</v>
      </c>
    </row>
    <row r="35">
      <c r="A35" s="2">
        <f>IFERROR(__xludf.DUMMYFUNCTION("""COMPUTED_VALUE"""),40596.645833333336)</f>
        <v>40596.64583</v>
      </c>
      <c r="B35" s="1">
        <f>IFERROR(__xludf.DUMMYFUNCTION("""COMPUTED_VALUE"""),45229.24)</f>
        <v>45229.24</v>
      </c>
      <c r="C35" s="1">
        <f>IFERROR(__xludf.DUMMYFUNCTION("""COMPUTED_VALUE"""),45964.67)</f>
        <v>45964.67</v>
      </c>
      <c r="D35" s="1">
        <f>IFERROR(__xludf.DUMMYFUNCTION("""COMPUTED_VALUE"""),44371.23)</f>
        <v>44371.23</v>
      </c>
      <c r="E35" s="1">
        <f>IFERROR(__xludf.DUMMYFUNCTION("""COMPUTED_VALUE"""),44493.8)</f>
        <v>44493.8</v>
      </c>
      <c r="F35" s="1">
        <f>IFERROR(__xludf.DUMMYFUNCTION("""COMPUTED_VALUE"""),260063.0)</f>
        <v>260063</v>
      </c>
    </row>
    <row r="36">
      <c r="A36" s="2">
        <f>IFERROR(__xludf.DUMMYFUNCTION("""COMPUTED_VALUE"""),40597.645833333336)</f>
        <v>40597.64583</v>
      </c>
      <c r="B36" s="1">
        <f>IFERROR(__xludf.DUMMYFUNCTION("""COMPUTED_VALUE"""),44861.52)</f>
        <v>44861.52</v>
      </c>
      <c r="C36" s="1">
        <f>IFERROR(__xludf.DUMMYFUNCTION("""COMPUTED_VALUE"""),46700.1)</f>
        <v>46700.1</v>
      </c>
      <c r="D36" s="1">
        <f>IFERROR(__xludf.DUMMYFUNCTION("""COMPUTED_VALUE"""),44738.95)</f>
        <v>44738.95</v>
      </c>
      <c r="E36" s="1">
        <f>IFERROR(__xludf.DUMMYFUNCTION("""COMPUTED_VALUE"""),46454.96)</f>
        <v>46454.96</v>
      </c>
      <c r="F36" s="1">
        <f>IFERROR(__xludf.DUMMYFUNCTION("""COMPUTED_VALUE"""),210690.0)</f>
        <v>210690</v>
      </c>
    </row>
    <row r="37">
      <c r="A37" s="2">
        <f>IFERROR(__xludf.DUMMYFUNCTION("""COMPUTED_VALUE"""),40598.645833333336)</f>
        <v>40598.64583</v>
      </c>
      <c r="B37" s="1">
        <f>IFERROR(__xludf.DUMMYFUNCTION("""COMPUTED_VALUE"""),46454.96)</f>
        <v>46454.96</v>
      </c>
      <c r="C37" s="1">
        <f>IFERROR(__xludf.DUMMYFUNCTION("""COMPUTED_VALUE"""),46454.96)</f>
        <v>46454.96</v>
      </c>
      <c r="D37" s="1">
        <f>IFERROR(__xludf.DUMMYFUNCTION("""COMPUTED_VALUE"""),45351.81)</f>
        <v>45351.81</v>
      </c>
      <c r="E37" s="1">
        <f>IFERROR(__xludf.DUMMYFUNCTION("""COMPUTED_VALUE"""),45596.95)</f>
        <v>45596.95</v>
      </c>
      <c r="F37" s="1">
        <f>IFERROR(__xludf.DUMMYFUNCTION("""COMPUTED_VALUE"""),97821.0)</f>
        <v>97821</v>
      </c>
    </row>
    <row r="38">
      <c r="A38" s="2">
        <f>IFERROR(__xludf.DUMMYFUNCTION("""COMPUTED_VALUE"""),40599.645833333336)</f>
        <v>40599.64583</v>
      </c>
      <c r="B38" s="1">
        <f>IFERROR(__xludf.DUMMYFUNCTION("""COMPUTED_VALUE"""),45474.38)</f>
        <v>45474.38</v>
      </c>
      <c r="C38" s="1">
        <f>IFERROR(__xludf.DUMMYFUNCTION("""COMPUTED_VALUE"""),45842.1)</f>
        <v>45842.1</v>
      </c>
      <c r="D38" s="1">
        <f>IFERROR(__xludf.DUMMYFUNCTION("""COMPUTED_VALUE"""),45351.81)</f>
        <v>45351.81</v>
      </c>
      <c r="E38" s="1">
        <f>IFERROR(__xludf.DUMMYFUNCTION("""COMPUTED_VALUE"""),45596.95)</f>
        <v>45596.95</v>
      </c>
      <c r="F38" s="1">
        <f>IFERROR(__xludf.DUMMYFUNCTION("""COMPUTED_VALUE"""),79572.0)</f>
        <v>79572</v>
      </c>
    </row>
    <row r="39">
      <c r="A39" s="2">
        <f>IFERROR(__xludf.DUMMYFUNCTION("""COMPUTED_VALUE"""),40602.645833333336)</f>
        <v>40602.64583</v>
      </c>
      <c r="B39" s="1">
        <f>IFERROR(__xludf.DUMMYFUNCTION("""COMPUTED_VALUE"""),45964.67)</f>
        <v>45964.67</v>
      </c>
      <c r="C39" s="1">
        <f>IFERROR(__xludf.DUMMYFUNCTION("""COMPUTED_VALUE"""),46577.53)</f>
        <v>46577.53</v>
      </c>
      <c r="D39" s="1">
        <f>IFERROR(__xludf.DUMMYFUNCTION("""COMPUTED_VALUE"""),45719.52)</f>
        <v>45719.52</v>
      </c>
      <c r="E39" s="1">
        <f>IFERROR(__xludf.DUMMYFUNCTION("""COMPUTED_VALUE"""),46454.96)</f>
        <v>46454.96</v>
      </c>
      <c r="F39" s="1">
        <f>IFERROR(__xludf.DUMMYFUNCTION("""COMPUTED_VALUE"""),188749.0)</f>
        <v>188749</v>
      </c>
    </row>
    <row r="40">
      <c r="A40" s="2">
        <f>IFERROR(__xludf.DUMMYFUNCTION("""COMPUTED_VALUE"""),40604.645833333336)</f>
        <v>40604.64583</v>
      </c>
      <c r="B40" s="1">
        <f>IFERROR(__xludf.DUMMYFUNCTION("""COMPUTED_VALUE"""),46209.81)</f>
        <v>46209.81</v>
      </c>
      <c r="C40" s="1">
        <f>IFERROR(__xludf.DUMMYFUNCTION("""COMPUTED_VALUE"""),46454.96)</f>
        <v>46454.96</v>
      </c>
      <c r="D40" s="1">
        <f>IFERROR(__xludf.DUMMYFUNCTION("""COMPUTED_VALUE"""),45351.81)</f>
        <v>45351.81</v>
      </c>
      <c r="E40" s="1">
        <f>IFERROR(__xludf.DUMMYFUNCTION("""COMPUTED_VALUE"""),46332.39)</f>
        <v>46332.39</v>
      </c>
      <c r="F40" s="1">
        <f>IFERROR(__xludf.DUMMYFUNCTION("""COMPUTED_VALUE"""),123329.0)</f>
        <v>123329</v>
      </c>
    </row>
    <row r="41">
      <c r="A41" s="2">
        <f>IFERROR(__xludf.DUMMYFUNCTION("""COMPUTED_VALUE"""),40605.645833333336)</f>
        <v>40605.64583</v>
      </c>
      <c r="B41" s="1">
        <f>IFERROR(__xludf.DUMMYFUNCTION("""COMPUTED_VALUE"""),46700.1)</f>
        <v>46700.1</v>
      </c>
      <c r="C41" s="1">
        <f>IFERROR(__xludf.DUMMYFUNCTION("""COMPUTED_VALUE"""),46822.68)</f>
        <v>46822.68</v>
      </c>
      <c r="D41" s="1">
        <f>IFERROR(__xludf.DUMMYFUNCTION("""COMPUTED_VALUE"""),46209.81)</f>
        <v>46209.81</v>
      </c>
      <c r="E41" s="1">
        <f>IFERROR(__xludf.DUMMYFUNCTION("""COMPUTED_VALUE"""),46700.1)</f>
        <v>46700.1</v>
      </c>
      <c r="F41" s="1">
        <f>IFERROR(__xludf.DUMMYFUNCTION("""COMPUTED_VALUE"""),94433.0)</f>
        <v>94433</v>
      </c>
    </row>
    <row r="42">
      <c r="A42" s="2">
        <f>IFERROR(__xludf.DUMMYFUNCTION("""COMPUTED_VALUE"""),40606.645833333336)</f>
        <v>40606.64583</v>
      </c>
      <c r="B42" s="1">
        <f>IFERROR(__xludf.DUMMYFUNCTION("""COMPUTED_VALUE"""),46700.1)</f>
        <v>46700.1</v>
      </c>
      <c r="C42" s="1">
        <f>IFERROR(__xludf.DUMMYFUNCTION("""COMPUTED_VALUE"""),47190.39)</f>
        <v>47190.39</v>
      </c>
      <c r="D42" s="1">
        <f>IFERROR(__xludf.DUMMYFUNCTION("""COMPUTED_VALUE"""),46209.81)</f>
        <v>46209.81</v>
      </c>
      <c r="E42" s="1">
        <f>IFERROR(__xludf.DUMMYFUNCTION("""COMPUTED_VALUE"""),47190.39)</f>
        <v>47190.39</v>
      </c>
      <c r="F42" s="1">
        <f>IFERROR(__xludf.DUMMYFUNCTION("""COMPUTED_VALUE"""),132195.0)</f>
        <v>132195</v>
      </c>
    </row>
    <row r="43">
      <c r="A43" s="2">
        <f>IFERROR(__xludf.DUMMYFUNCTION("""COMPUTED_VALUE"""),40609.645833333336)</f>
        <v>40609.64583</v>
      </c>
      <c r="B43" s="1">
        <f>IFERROR(__xludf.DUMMYFUNCTION("""COMPUTED_VALUE"""),47190.39)</f>
        <v>47190.39</v>
      </c>
      <c r="C43" s="1">
        <f>IFERROR(__xludf.DUMMYFUNCTION("""COMPUTED_VALUE"""),47435.54)</f>
        <v>47435.54</v>
      </c>
      <c r="D43" s="1">
        <f>IFERROR(__xludf.DUMMYFUNCTION("""COMPUTED_VALUE"""),45351.81)</f>
        <v>45351.81</v>
      </c>
      <c r="E43" s="1">
        <f>IFERROR(__xludf.DUMMYFUNCTION("""COMPUTED_VALUE"""),45596.95)</f>
        <v>45596.95</v>
      </c>
      <c r="F43" s="1">
        <f>IFERROR(__xludf.DUMMYFUNCTION("""COMPUTED_VALUE"""),178287.0)</f>
        <v>178287</v>
      </c>
    </row>
    <row r="44">
      <c r="A44" s="2">
        <f>IFERROR(__xludf.DUMMYFUNCTION("""COMPUTED_VALUE"""),40610.645833333336)</f>
        <v>40610.64583</v>
      </c>
      <c r="B44" s="1">
        <f>IFERROR(__xludf.DUMMYFUNCTION("""COMPUTED_VALUE"""),45351.81)</f>
        <v>45351.81</v>
      </c>
      <c r="C44" s="1">
        <f>IFERROR(__xludf.DUMMYFUNCTION("""COMPUTED_VALUE"""),46454.96)</f>
        <v>46454.96</v>
      </c>
      <c r="D44" s="1">
        <f>IFERROR(__xludf.DUMMYFUNCTION("""COMPUTED_VALUE"""),45351.81)</f>
        <v>45351.81</v>
      </c>
      <c r="E44" s="1">
        <f>IFERROR(__xludf.DUMMYFUNCTION("""COMPUTED_VALUE"""),45964.67)</f>
        <v>45964.67</v>
      </c>
      <c r="F44" s="1">
        <f>IFERROR(__xludf.DUMMYFUNCTION("""COMPUTED_VALUE"""),86415.0)</f>
        <v>86415</v>
      </c>
    </row>
    <row r="45">
      <c r="A45" s="2">
        <f>IFERROR(__xludf.DUMMYFUNCTION("""COMPUTED_VALUE"""),40611.645833333336)</f>
        <v>40611.64583</v>
      </c>
      <c r="B45" s="1">
        <f>IFERROR(__xludf.DUMMYFUNCTION("""COMPUTED_VALUE"""),45964.67)</f>
        <v>45964.67</v>
      </c>
      <c r="C45" s="1">
        <f>IFERROR(__xludf.DUMMYFUNCTION("""COMPUTED_VALUE"""),46332.39)</f>
        <v>46332.39</v>
      </c>
      <c r="D45" s="1">
        <f>IFERROR(__xludf.DUMMYFUNCTION("""COMPUTED_VALUE"""),45596.95)</f>
        <v>45596.95</v>
      </c>
      <c r="E45" s="1">
        <f>IFERROR(__xludf.DUMMYFUNCTION("""COMPUTED_VALUE"""),46087.24)</f>
        <v>46087.24</v>
      </c>
      <c r="F45" s="1">
        <f>IFERROR(__xludf.DUMMYFUNCTION("""COMPUTED_VALUE"""),110496.0)</f>
        <v>110496</v>
      </c>
    </row>
    <row r="46">
      <c r="A46" s="2">
        <f>IFERROR(__xludf.DUMMYFUNCTION("""COMPUTED_VALUE"""),40612.645833333336)</f>
        <v>40612.64583</v>
      </c>
      <c r="B46" s="1">
        <f>IFERROR(__xludf.DUMMYFUNCTION("""COMPUTED_VALUE"""),45842.1)</f>
        <v>45842.1</v>
      </c>
      <c r="C46" s="1">
        <f>IFERROR(__xludf.DUMMYFUNCTION("""COMPUTED_VALUE"""),46454.96)</f>
        <v>46454.96</v>
      </c>
      <c r="D46" s="1">
        <f>IFERROR(__xludf.DUMMYFUNCTION("""COMPUTED_VALUE"""),45719.52)</f>
        <v>45719.52</v>
      </c>
      <c r="E46" s="1">
        <f>IFERROR(__xludf.DUMMYFUNCTION("""COMPUTED_VALUE"""),46332.39)</f>
        <v>46332.39</v>
      </c>
      <c r="F46" s="1">
        <f>IFERROR(__xludf.DUMMYFUNCTION("""COMPUTED_VALUE"""),184348.0)</f>
        <v>184348</v>
      </c>
    </row>
    <row r="47">
      <c r="A47" s="2">
        <f>IFERROR(__xludf.DUMMYFUNCTION("""COMPUTED_VALUE"""),40613.645833333336)</f>
        <v>40613.64583</v>
      </c>
      <c r="B47" s="1">
        <f>IFERROR(__xludf.DUMMYFUNCTION("""COMPUTED_VALUE"""),46332.39)</f>
        <v>46332.39</v>
      </c>
      <c r="C47" s="1">
        <f>IFERROR(__xludf.DUMMYFUNCTION("""COMPUTED_VALUE"""),46454.96)</f>
        <v>46454.96</v>
      </c>
      <c r="D47" s="1">
        <f>IFERROR(__xludf.DUMMYFUNCTION("""COMPUTED_VALUE"""),45351.81)</f>
        <v>45351.81</v>
      </c>
      <c r="E47" s="1">
        <f>IFERROR(__xludf.DUMMYFUNCTION("""COMPUTED_VALUE"""),45351.81)</f>
        <v>45351.81</v>
      </c>
      <c r="F47" s="1">
        <f>IFERROR(__xludf.DUMMYFUNCTION("""COMPUTED_VALUE"""),164299.0)</f>
        <v>164299</v>
      </c>
    </row>
    <row r="48">
      <c r="A48" s="2">
        <f>IFERROR(__xludf.DUMMYFUNCTION("""COMPUTED_VALUE"""),40616.645833333336)</f>
        <v>40616.64583</v>
      </c>
      <c r="B48" s="1">
        <f>IFERROR(__xludf.DUMMYFUNCTION("""COMPUTED_VALUE"""),45596.95)</f>
        <v>45596.95</v>
      </c>
      <c r="C48" s="1">
        <f>IFERROR(__xludf.DUMMYFUNCTION("""COMPUTED_VALUE"""),45596.95)</f>
        <v>45596.95</v>
      </c>
      <c r="D48" s="1">
        <f>IFERROR(__xludf.DUMMYFUNCTION("""COMPUTED_VALUE"""),43145.5)</f>
        <v>43145.5</v>
      </c>
      <c r="E48" s="1">
        <f>IFERROR(__xludf.DUMMYFUNCTION("""COMPUTED_VALUE"""),45351.81)</f>
        <v>45351.81</v>
      </c>
      <c r="F48" s="1">
        <f>IFERROR(__xludf.DUMMYFUNCTION("""COMPUTED_VALUE"""),210190.0)</f>
        <v>210190</v>
      </c>
    </row>
    <row r="49">
      <c r="A49" s="2">
        <f>IFERROR(__xludf.DUMMYFUNCTION("""COMPUTED_VALUE"""),40617.645833333336)</f>
        <v>40617.64583</v>
      </c>
      <c r="B49" s="1">
        <f>IFERROR(__xludf.DUMMYFUNCTION("""COMPUTED_VALUE"""),45474.38)</f>
        <v>45474.38</v>
      </c>
      <c r="C49" s="1">
        <f>IFERROR(__xludf.DUMMYFUNCTION("""COMPUTED_VALUE"""),45719.52)</f>
        <v>45719.52</v>
      </c>
      <c r="D49" s="1">
        <f>IFERROR(__xludf.DUMMYFUNCTION("""COMPUTED_VALUE"""),44003.51)</f>
        <v>44003.51</v>
      </c>
      <c r="E49" s="1">
        <f>IFERROR(__xludf.DUMMYFUNCTION("""COMPUTED_VALUE"""),44616.37)</f>
        <v>44616.37</v>
      </c>
      <c r="F49" s="1">
        <f>IFERROR(__xludf.DUMMYFUNCTION("""COMPUTED_VALUE"""),202241.0)</f>
        <v>202241</v>
      </c>
    </row>
    <row r="50">
      <c r="A50" s="2">
        <f>IFERROR(__xludf.DUMMYFUNCTION("""COMPUTED_VALUE"""),40618.645833333336)</f>
        <v>40618.64583</v>
      </c>
      <c r="B50" s="1">
        <f>IFERROR(__xludf.DUMMYFUNCTION("""COMPUTED_VALUE"""),45351.81)</f>
        <v>45351.81</v>
      </c>
      <c r="C50" s="1">
        <f>IFERROR(__xludf.DUMMYFUNCTION("""COMPUTED_VALUE"""),46332.39)</f>
        <v>46332.39</v>
      </c>
      <c r="D50" s="1">
        <f>IFERROR(__xludf.DUMMYFUNCTION("""COMPUTED_VALUE"""),45106.66)</f>
        <v>45106.66</v>
      </c>
      <c r="E50" s="1">
        <f>IFERROR(__xludf.DUMMYFUNCTION("""COMPUTED_VALUE"""),46087.24)</f>
        <v>46087.24</v>
      </c>
      <c r="F50" s="1">
        <f>IFERROR(__xludf.DUMMYFUNCTION("""COMPUTED_VALUE"""),157192.0)</f>
        <v>157192</v>
      </c>
    </row>
    <row r="51">
      <c r="A51" s="2">
        <f>IFERROR(__xludf.DUMMYFUNCTION("""COMPUTED_VALUE"""),40619.645833333336)</f>
        <v>40619.64583</v>
      </c>
      <c r="B51" s="1">
        <f>IFERROR(__xludf.DUMMYFUNCTION("""COMPUTED_VALUE"""),45964.67)</f>
        <v>45964.67</v>
      </c>
      <c r="C51" s="1">
        <f>IFERROR(__xludf.DUMMYFUNCTION("""COMPUTED_VALUE"""),45964.67)</f>
        <v>45964.67</v>
      </c>
      <c r="D51" s="1">
        <f>IFERROR(__xludf.DUMMYFUNCTION("""COMPUTED_VALUE"""),44371.23)</f>
        <v>44371.23</v>
      </c>
      <c r="E51" s="1">
        <f>IFERROR(__xludf.DUMMYFUNCTION("""COMPUTED_VALUE"""),45842.1)</f>
        <v>45842.1</v>
      </c>
      <c r="F51" s="1">
        <f>IFERROR(__xludf.DUMMYFUNCTION("""COMPUTED_VALUE"""),206751.0)</f>
        <v>206751</v>
      </c>
    </row>
    <row r="52">
      <c r="A52" s="2">
        <f>IFERROR(__xludf.DUMMYFUNCTION("""COMPUTED_VALUE"""),40620.645833333336)</f>
        <v>40620.64583</v>
      </c>
      <c r="B52" s="1">
        <f>IFERROR(__xludf.DUMMYFUNCTION("""COMPUTED_VALUE"""),45474.38)</f>
        <v>45474.38</v>
      </c>
      <c r="C52" s="1">
        <f>IFERROR(__xludf.DUMMYFUNCTION("""COMPUTED_VALUE"""),46209.81)</f>
        <v>46209.81</v>
      </c>
      <c r="D52" s="1">
        <f>IFERROR(__xludf.DUMMYFUNCTION("""COMPUTED_VALUE"""),44984.09)</f>
        <v>44984.09</v>
      </c>
      <c r="E52" s="1">
        <f>IFERROR(__xludf.DUMMYFUNCTION("""COMPUTED_VALUE"""),45964.67)</f>
        <v>45964.67</v>
      </c>
      <c r="F52" s="1">
        <f>IFERROR(__xludf.DUMMYFUNCTION("""COMPUTED_VALUE"""),174819.0)</f>
        <v>174819</v>
      </c>
    </row>
    <row r="53">
      <c r="A53" s="2">
        <f>IFERROR(__xludf.DUMMYFUNCTION("""COMPUTED_VALUE"""),40623.645833333336)</f>
        <v>40623.64583</v>
      </c>
      <c r="B53" s="1">
        <f>IFERROR(__xludf.DUMMYFUNCTION("""COMPUTED_VALUE"""),45842.1)</f>
        <v>45842.1</v>
      </c>
      <c r="C53" s="1">
        <f>IFERROR(__xludf.DUMMYFUNCTION("""COMPUTED_VALUE"""),46945.25)</f>
        <v>46945.25</v>
      </c>
      <c r="D53" s="1">
        <f>IFERROR(__xludf.DUMMYFUNCTION("""COMPUTED_VALUE"""),45596.95)</f>
        <v>45596.95</v>
      </c>
      <c r="E53" s="1">
        <f>IFERROR(__xludf.DUMMYFUNCTION("""COMPUTED_VALUE"""),46945.25)</f>
        <v>46945.25</v>
      </c>
      <c r="F53" s="1">
        <f>IFERROR(__xludf.DUMMYFUNCTION("""COMPUTED_VALUE"""),121851.0)</f>
        <v>121851</v>
      </c>
    </row>
    <row r="54">
      <c r="A54" s="2">
        <f>IFERROR(__xludf.DUMMYFUNCTION("""COMPUTED_VALUE"""),40624.645833333336)</f>
        <v>40624.64583</v>
      </c>
      <c r="B54" s="1">
        <f>IFERROR(__xludf.DUMMYFUNCTION("""COMPUTED_VALUE"""),46577.53)</f>
        <v>46577.53</v>
      </c>
      <c r="C54" s="1">
        <f>IFERROR(__xludf.DUMMYFUNCTION("""COMPUTED_VALUE"""),47067.82)</f>
        <v>47067.82</v>
      </c>
      <c r="D54" s="1">
        <f>IFERROR(__xludf.DUMMYFUNCTION("""COMPUTED_VALUE"""),46332.39)</f>
        <v>46332.39</v>
      </c>
      <c r="E54" s="1">
        <f>IFERROR(__xludf.DUMMYFUNCTION("""COMPUTED_VALUE"""),46700.1)</f>
        <v>46700.1</v>
      </c>
      <c r="F54" s="1">
        <f>IFERROR(__xludf.DUMMYFUNCTION("""COMPUTED_VALUE"""),96416.0)</f>
        <v>96416</v>
      </c>
    </row>
    <row r="55">
      <c r="A55" s="2">
        <f>IFERROR(__xludf.DUMMYFUNCTION("""COMPUTED_VALUE"""),40625.645833333336)</f>
        <v>40625.64583</v>
      </c>
      <c r="B55" s="1">
        <f>IFERROR(__xludf.DUMMYFUNCTION("""COMPUTED_VALUE"""),47067.82)</f>
        <v>47067.82</v>
      </c>
      <c r="C55" s="1">
        <f>IFERROR(__xludf.DUMMYFUNCTION("""COMPUTED_VALUE"""),47803.26)</f>
        <v>47803.26</v>
      </c>
      <c r="D55" s="1">
        <f>IFERROR(__xludf.DUMMYFUNCTION("""COMPUTED_VALUE"""),46700.1)</f>
        <v>46700.1</v>
      </c>
      <c r="E55" s="1">
        <f>IFERROR(__xludf.DUMMYFUNCTION("""COMPUTED_VALUE"""),47680.68)</f>
        <v>47680.68</v>
      </c>
      <c r="F55" s="1">
        <f>IFERROR(__xludf.DUMMYFUNCTION("""COMPUTED_VALUE"""),204334.0)</f>
        <v>204334</v>
      </c>
    </row>
    <row r="56">
      <c r="A56" s="2">
        <f>IFERROR(__xludf.DUMMYFUNCTION("""COMPUTED_VALUE"""),40626.645833333336)</f>
        <v>40626.64583</v>
      </c>
      <c r="B56" s="1">
        <f>IFERROR(__xludf.DUMMYFUNCTION("""COMPUTED_VALUE"""),47680.68)</f>
        <v>47680.68</v>
      </c>
      <c r="C56" s="1">
        <f>IFERROR(__xludf.DUMMYFUNCTION("""COMPUTED_VALUE"""),47803.26)</f>
        <v>47803.26</v>
      </c>
      <c r="D56" s="1">
        <f>IFERROR(__xludf.DUMMYFUNCTION("""COMPUTED_VALUE"""),47190.39)</f>
        <v>47190.39</v>
      </c>
      <c r="E56" s="1">
        <f>IFERROR(__xludf.DUMMYFUNCTION("""COMPUTED_VALUE"""),47435.54)</f>
        <v>47435.54</v>
      </c>
      <c r="F56" s="1">
        <f>IFERROR(__xludf.DUMMYFUNCTION("""COMPUTED_VALUE"""),114034.0)</f>
        <v>114034</v>
      </c>
    </row>
    <row r="57">
      <c r="A57" s="2">
        <f>IFERROR(__xludf.DUMMYFUNCTION("""COMPUTED_VALUE"""),40627.645833333336)</f>
        <v>40627.64583</v>
      </c>
      <c r="B57" s="1">
        <f>IFERROR(__xludf.DUMMYFUNCTION("""COMPUTED_VALUE"""),47435.54)</f>
        <v>47435.54</v>
      </c>
      <c r="C57" s="1">
        <f>IFERROR(__xludf.DUMMYFUNCTION("""COMPUTED_VALUE"""),47680.68)</f>
        <v>47680.68</v>
      </c>
      <c r="D57" s="1">
        <f>IFERROR(__xludf.DUMMYFUNCTION("""COMPUTED_VALUE"""),45842.1)</f>
        <v>45842.1</v>
      </c>
      <c r="E57" s="1">
        <f>IFERROR(__xludf.DUMMYFUNCTION("""COMPUTED_VALUE"""),46087.24)</f>
        <v>46087.24</v>
      </c>
      <c r="F57" s="1">
        <f>IFERROR(__xludf.DUMMYFUNCTION("""COMPUTED_VALUE"""),333436.0)</f>
        <v>333436</v>
      </c>
    </row>
    <row r="58">
      <c r="A58" s="2">
        <f>IFERROR(__xludf.DUMMYFUNCTION("""COMPUTED_VALUE"""),40630.645833333336)</f>
        <v>40630.64583</v>
      </c>
      <c r="B58" s="1">
        <f>IFERROR(__xludf.DUMMYFUNCTION("""COMPUTED_VALUE"""),46577.53)</f>
        <v>46577.53</v>
      </c>
      <c r="C58" s="1">
        <f>IFERROR(__xludf.DUMMYFUNCTION("""COMPUTED_VALUE"""),46577.53)</f>
        <v>46577.53</v>
      </c>
      <c r="D58" s="1">
        <f>IFERROR(__xludf.DUMMYFUNCTION("""COMPUTED_VALUE"""),45106.66)</f>
        <v>45106.66</v>
      </c>
      <c r="E58" s="1">
        <f>IFERROR(__xludf.DUMMYFUNCTION("""COMPUTED_VALUE"""),45474.38)</f>
        <v>45474.38</v>
      </c>
      <c r="F58" s="1">
        <f>IFERROR(__xludf.DUMMYFUNCTION("""COMPUTED_VALUE"""),199659.0)</f>
        <v>199659</v>
      </c>
    </row>
    <row r="59">
      <c r="A59" s="2">
        <f>IFERROR(__xludf.DUMMYFUNCTION("""COMPUTED_VALUE"""),40631.645833333336)</f>
        <v>40631.64583</v>
      </c>
      <c r="B59" s="1">
        <f>IFERROR(__xludf.DUMMYFUNCTION("""COMPUTED_VALUE"""),45474.38)</f>
        <v>45474.38</v>
      </c>
      <c r="C59" s="1">
        <f>IFERROR(__xludf.DUMMYFUNCTION("""COMPUTED_VALUE"""),45964.67)</f>
        <v>45964.67</v>
      </c>
      <c r="D59" s="1">
        <f>IFERROR(__xludf.DUMMYFUNCTION("""COMPUTED_VALUE"""),45229.24)</f>
        <v>45229.24</v>
      </c>
      <c r="E59" s="1">
        <f>IFERROR(__xludf.DUMMYFUNCTION("""COMPUTED_VALUE"""),45842.1)</f>
        <v>45842.1</v>
      </c>
      <c r="F59" s="1">
        <f>IFERROR(__xludf.DUMMYFUNCTION("""COMPUTED_VALUE"""),177400.0)</f>
        <v>177400</v>
      </c>
    </row>
    <row r="60">
      <c r="A60" s="2">
        <f>IFERROR(__xludf.DUMMYFUNCTION("""COMPUTED_VALUE"""),40632.645833333336)</f>
        <v>40632.64583</v>
      </c>
      <c r="B60" s="1">
        <f>IFERROR(__xludf.DUMMYFUNCTION("""COMPUTED_VALUE"""),45229.24)</f>
        <v>45229.24</v>
      </c>
      <c r="C60" s="1">
        <f>IFERROR(__xludf.DUMMYFUNCTION("""COMPUTED_VALUE"""),46700.1)</f>
        <v>46700.1</v>
      </c>
      <c r="D60" s="1">
        <f>IFERROR(__xludf.DUMMYFUNCTION("""COMPUTED_VALUE"""),45229.24)</f>
        <v>45229.24</v>
      </c>
      <c r="E60" s="1">
        <f>IFERROR(__xludf.DUMMYFUNCTION("""COMPUTED_VALUE"""),46700.1)</f>
        <v>46700.1</v>
      </c>
      <c r="F60" s="1">
        <f>IFERROR(__xludf.DUMMYFUNCTION("""COMPUTED_VALUE"""),242489.0)</f>
        <v>242489</v>
      </c>
    </row>
    <row r="61">
      <c r="A61" s="2">
        <f>IFERROR(__xludf.DUMMYFUNCTION("""COMPUTED_VALUE"""),40633.645833333336)</f>
        <v>40633.64583</v>
      </c>
      <c r="B61" s="1">
        <f>IFERROR(__xludf.DUMMYFUNCTION("""COMPUTED_VALUE"""),46454.96)</f>
        <v>46454.96</v>
      </c>
      <c r="C61" s="1">
        <f>IFERROR(__xludf.DUMMYFUNCTION("""COMPUTED_VALUE"""),47312.97)</f>
        <v>47312.97</v>
      </c>
      <c r="D61" s="1">
        <f>IFERROR(__xludf.DUMMYFUNCTION("""COMPUTED_VALUE"""),46332.39)</f>
        <v>46332.39</v>
      </c>
      <c r="E61" s="1">
        <f>IFERROR(__xludf.DUMMYFUNCTION("""COMPUTED_VALUE"""),46945.25)</f>
        <v>46945.25</v>
      </c>
      <c r="F61" s="1">
        <f>IFERROR(__xludf.DUMMYFUNCTION("""COMPUTED_VALUE"""),219042.0)</f>
        <v>219042</v>
      </c>
    </row>
    <row r="62">
      <c r="A62" s="2">
        <f>IFERROR(__xludf.DUMMYFUNCTION("""COMPUTED_VALUE"""),40634.645833333336)</f>
        <v>40634.64583</v>
      </c>
      <c r="B62" s="1">
        <f>IFERROR(__xludf.DUMMYFUNCTION("""COMPUTED_VALUE"""),47558.11)</f>
        <v>47558.11</v>
      </c>
      <c r="C62" s="1">
        <f>IFERROR(__xludf.DUMMYFUNCTION("""COMPUTED_VALUE"""),50254.71)</f>
        <v>50254.71</v>
      </c>
      <c r="D62" s="1">
        <f>IFERROR(__xludf.DUMMYFUNCTION("""COMPUTED_VALUE"""),47435.54)</f>
        <v>47435.54</v>
      </c>
      <c r="E62" s="1">
        <f>IFERROR(__xludf.DUMMYFUNCTION("""COMPUTED_VALUE"""),50132.13)</f>
        <v>50132.13</v>
      </c>
      <c r="F62" s="1">
        <f>IFERROR(__xludf.DUMMYFUNCTION("""COMPUTED_VALUE"""),450803.0)</f>
        <v>450803</v>
      </c>
    </row>
    <row r="63">
      <c r="A63" s="2">
        <f>IFERROR(__xludf.DUMMYFUNCTION("""COMPUTED_VALUE"""),40637.645833333336)</f>
        <v>40637.64583</v>
      </c>
      <c r="B63" s="1">
        <f>IFERROR(__xludf.DUMMYFUNCTION("""COMPUTED_VALUE"""),50132.13)</f>
        <v>50132.13</v>
      </c>
      <c r="C63" s="1">
        <f>IFERROR(__xludf.DUMMYFUNCTION("""COMPUTED_VALUE"""),51112.71)</f>
        <v>51112.71</v>
      </c>
      <c r="D63" s="1">
        <f>IFERROR(__xludf.DUMMYFUNCTION("""COMPUTED_VALUE"""),49641.84)</f>
        <v>49641.84</v>
      </c>
      <c r="E63" s="1">
        <f>IFERROR(__xludf.DUMMYFUNCTION("""COMPUTED_VALUE"""),50254.71)</f>
        <v>50254.71</v>
      </c>
      <c r="F63" s="1">
        <f>IFERROR(__xludf.DUMMYFUNCTION("""COMPUTED_VALUE"""),174594.0)</f>
        <v>174594</v>
      </c>
    </row>
    <row r="64">
      <c r="A64" s="2">
        <f>IFERROR(__xludf.DUMMYFUNCTION("""COMPUTED_VALUE"""),40638.645833333336)</f>
        <v>40638.64583</v>
      </c>
      <c r="B64" s="1">
        <f>IFERROR(__xludf.DUMMYFUNCTION("""COMPUTED_VALUE"""),49396.7)</f>
        <v>49396.7</v>
      </c>
      <c r="C64" s="1">
        <f>IFERROR(__xludf.DUMMYFUNCTION("""COMPUTED_VALUE"""),50499.85)</f>
        <v>50499.85</v>
      </c>
      <c r="D64" s="1">
        <f>IFERROR(__xludf.DUMMYFUNCTION("""COMPUTED_VALUE"""),48906.41)</f>
        <v>48906.41</v>
      </c>
      <c r="E64" s="1">
        <f>IFERROR(__xludf.DUMMYFUNCTION("""COMPUTED_VALUE"""),50377.28)</f>
        <v>50377.28</v>
      </c>
      <c r="F64" s="1">
        <f>IFERROR(__xludf.DUMMYFUNCTION("""COMPUTED_VALUE"""),136714.0)</f>
        <v>136714</v>
      </c>
    </row>
    <row r="65">
      <c r="A65" s="2">
        <f>IFERROR(__xludf.DUMMYFUNCTION("""COMPUTED_VALUE"""),40639.645833333336)</f>
        <v>40639.64583</v>
      </c>
      <c r="B65" s="1">
        <f>IFERROR(__xludf.DUMMYFUNCTION("""COMPUTED_VALUE"""),50254.71)</f>
        <v>50254.71</v>
      </c>
      <c r="C65" s="1">
        <f>IFERROR(__xludf.DUMMYFUNCTION("""COMPUTED_VALUE"""),50377.28)</f>
        <v>50377.28</v>
      </c>
      <c r="D65" s="1">
        <f>IFERROR(__xludf.DUMMYFUNCTION("""COMPUTED_VALUE"""),49396.7)</f>
        <v>49396.7</v>
      </c>
      <c r="E65" s="1">
        <f>IFERROR(__xludf.DUMMYFUNCTION("""COMPUTED_VALUE"""),50377.28)</f>
        <v>50377.28</v>
      </c>
      <c r="F65" s="1">
        <f>IFERROR(__xludf.DUMMYFUNCTION("""COMPUTED_VALUE"""),141345.0)</f>
        <v>141345</v>
      </c>
    </row>
    <row r="66">
      <c r="A66" s="2">
        <f>IFERROR(__xludf.DUMMYFUNCTION("""COMPUTED_VALUE"""),40640.645833333336)</f>
        <v>40640.64583</v>
      </c>
      <c r="B66" s="1">
        <f>IFERROR(__xludf.DUMMYFUNCTION("""COMPUTED_VALUE"""),49886.99)</f>
        <v>49886.99</v>
      </c>
      <c r="C66" s="1">
        <f>IFERROR(__xludf.DUMMYFUNCTION("""COMPUTED_VALUE"""),50132.13)</f>
        <v>50132.13</v>
      </c>
      <c r="D66" s="1">
        <f>IFERROR(__xludf.DUMMYFUNCTION("""COMPUTED_VALUE"""),49151.55)</f>
        <v>49151.55</v>
      </c>
      <c r="E66" s="1">
        <f>IFERROR(__xludf.DUMMYFUNCTION("""COMPUTED_VALUE"""),49396.7)</f>
        <v>49396.7</v>
      </c>
      <c r="F66" s="1">
        <f>IFERROR(__xludf.DUMMYFUNCTION("""COMPUTED_VALUE"""),104338.0)</f>
        <v>104338</v>
      </c>
    </row>
    <row r="67">
      <c r="A67" s="2">
        <f>IFERROR(__xludf.DUMMYFUNCTION("""COMPUTED_VALUE"""),40641.645833333336)</f>
        <v>40641.64583</v>
      </c>
      <c r="B67" s="1">
        <f>IFERROR(__xludf.DUMMYFUNCTION("""COMPUTED_VALUE"""),49151.55)</f>
        <v>49151.55</v>
      </c>
      <c r="C67" s="1">
        <f>IFERROR(__xludf.DUMMYFUNCTION("""COMPUTED_VALUE"""),49764.42)</f>
        <v>49764.42</v>
      </c>
      <c r="D67" s="1">
        <f>IFERROR(__xludf.DUMMYFUNCTION("""COMPUTED_VALUE"""),48416.12)</f>
        <v>48416.12</v>
      </c>
      <c r="E67" s="1">
        <f>IFERROR(__xludf.DUMMYFUNCTION("""COMPUTED_VALUE"""),48416.12)</f>
        <v>48416.12</v>
      </c>
      <c r="F67" s="1">
        <f>IFERROR(__xludf.DUMMYFUNCTION("""COMPUTED_VALUE"""),186190.0)</f>
        <v>186190</v>
      </c>
    </row>
    <row r="68">
      <c r="A68" s="2">
        <f>IFERROR(__xludf.DUMMYFUNCTION("""COMPUTED_VALUE"""),40644.645833333336)</f>
        <v>40644.64583</v>
      </c>
      <c r="B68" s="1">
        <f>IFERROR(__xludf.DUMMYFUNCTION("""COMPUTED_VALUE"""),49028.98)</f>
        <v>49028.98</v>
      </c>
      <c r="C68" s="1">
        <f>IFERROR(__xludf.DUMMYFUNCTION("""COMPUTED_VALUE"""),50132.13)</f>
        <v>50132.13</v>
      </c>
      <c r="D68" s="1">
        <f>IFERROR(__xludf.DUMMYFUNCTION("""COMPUTED_VALUE"""),48906.41)</f>
        <v>48906.41</v>
      </c>
      <c r="E68" s="1">
        <f>IFERROR(__xludf.DUMMYFUNCTION("""COMPUTED_VALUE"""),50009.56)</f>
        <v>50009.56</v>
      </c>
      <c r="F68" s="1">
        <f>IFERROR(__xludf.DUMMYFUNCTION("""COMPUTED_VALUE"""),304666.0)</f>
        <v>304666</v>
      </c>
    </row>
    <row r="69">
      <c r="A69" s="2">
        <f>IFERROR(__xludf.DUMMYFUNCTION("""COMPUTED_VALUE"""),40645.645833333336)</f>
        <v>40645.64583</v>
      </c>
      <c r="B69" s="1">
        <f>IFERROR(__xludf.DUMMYFUNCTION("""COMPUTED_VALUE"""),50009.56)</f>
        <v>50009.56</v>
      </c>
      <c r="C69" s="1">
        <f>IFERROR(__xludf.DUMMYFUNCTION("""COMPUTED_VALUE"""),50132.13)</f>
        <v>50132.13</v>
      </c>
      <c r="D69" s="1">
        <f>IFERROR(__xludf.DUMMYFUNCTION("""COMPUTED_VALUE"""),47803.26)</f>
        <v>47803.26</v>
      </c>
      <c r="E69" s="1">
        <f>IFERROR(__xludf.DUMMYFUNCTION("""COMPUTED_VALUE"""),47925.83)</f>
        <v>47925.83</v>
      </c>
      <c r="F69" s="1">
        <f>IFERROR(__xludf.DUMMYFUNCTION("""COMPUTED_VALUE"""),175103.0)</f>
        <v>175103</v>
      </c>
    </row>
    <row r="70">
      <c r="A70" s="2">
        <f>IFERROR(__xludf.DUMMYFUNCTION("""COMPUTED_VALUE"""),40646.645833333336)</f>
        <v>40646.64583</v>
      </c>
      <c r="B70" s="1">
        <f>IFERROR(__xludf.DUMMYFUNCTION("""COMPUTED_VALUE"""),47925.83)</f>
        <v>47925.83</v>
      </c>
      <c r="C70" s="1">
        <f>IFERROR(__xludf.DUMMYFUNCTION("""COMPUTED_VALUE"""),48661.26)</f>
        <v>48661.26</v>
      </c>
      <c r="D70" s="1">
        <f>IFERROR(__xludf.DUMMYFUNCTION("""COMPUTED_VALUE"""),47435.54)</f>
        <v>47435.54</v>
      </c>
      <c r="E70" s="1">
        <f>IFERROR(__xludf.DUMMYFUNCTION("""COMPUTED_VALUE"""),48048.4)</f>
        <v>48048.4</v>
      </c>
      <c r="F70" s="1">
        <f>IFERROR(__xludf.DUMMYFUNCTION("""COMPUTED_VALUE"""),174503.0)</f>
        <v>174503</v>
      </c>
    </row>
    <row r="71">
      <c r="A71" s="2">
        <f>IFERROR(__xludf.DUMMYFUNCTION("""COMPUTED_VALUE"""),40647.645833333336)</f>
        <v>40647.64583</v>
      </c>
      <c r="B71" s="1">
        <f>IFERROR(__xludf.DUMMYFUNCTION("""COMPUTED_VALUE"""),47925.83)</f>
        <v>47925.83</v>
      </c>
      <c r="C71" s="1">
        <f>IFERROR(__xludf.DUMMYFUNCTION("""COMPUTED_VALUE"""),48661.26)</f>
        <v>48661.26</v>
      </c>
      <c r="D71" s="1">
        <f>IFERROR(__xludf.DUMMYFUNCTION("""COMPUTED_VALUE"""),47312.97)</f>
        <v>47312.97</v>
      </c>
      <c r="E71" s="1">
        <f>IFERROR(__xludf.DUMMYFUNCTION("""COMPUTED_VALUE"""),48538.69)</f>
        <v>48538.69</v>
      </c>
      <c r="F71" s="1">
        <f>IFERROR(__xludf.DUMMYFUNCTION("""COMPUTED_VALUE"""),164084.0)</f>
        <v>164084</v>
      </c>
    </row>
    <row r="72">
      <c r="A72" s="2">
        <f>IFERROR(__xludf.DUMMYFUNCTION("""COMPUTED_VALUE"""),40648.645833333336)</f>
        <v>40648.64583</v>
      </c>
      <c r="B72" s="1">
        <f>IFERROR(__xludf.DUMMYFUNCTION("""COMPUTED_VALUE"""),48293.55)</f>
        <v>48293.55</v>
      </c>
      <c r="C72" s="1">
        <f>IFERROR(__xludf.DUMMYFUNCTION("""COMPUTED_VALUE"""),49028.98)</f>
        <v>49028.98</v>
      </c>
      <c r="D72" s="1">
        <f>IFERROR(__xludf.DUMMYFUNCTION("""COMPUTED_VALUE"""),48170.97)</f>
        <v>48170.97</v>
      </c>
      <c r="E72" s="1">
        <f>IFERROR(__xludf.DUMMYFUNCTION("""COMPUTED_VALUE"""),49028.98)</f>
        <v>49028.98</v>
      </c>
      <c r="F72" s="1">
        <f>IFERROR(__xludf.DUMMYFUNCTION("""COMPUTED_VALUE"""),183074.0)</f>
        <v>183074</v>
      </c>
    </row>
    <row r="73">
      <c r="A73" s="2">
        <f>IFERROR(__xludf.DUMMYFUNCTION("""COMPUTED_VALUE"""),40651.645833333336)</f>
        <v>40651.64583</v>
      </c>
      <c r="B73" s="1">
        <f>IFERROR(__xludf.DUMMYFUNCTION("""COMPUTED_VALUE"""),49274.13)</f>
        <v>49274.13</v>
      </c>
      <c r="C73" s="1">
        <f>IFERROR(__xludf.DUMMYFUNCTION("""COMPUTED_VALUE"""),49274.13)</f>
        <v>49274.13</v>
      </c>
      <c r="D73" s="1">
        <f>IFERROR(__xludf.DUMMYFUNCTION("""COMPUTED_VALUE"""),46577.53)</f>
        <v>46577.53</v>
      </c>
      <c r="E73" s="1">
        <f>IFERROR(__xludf.DUMMYFUNCTION("""COMPUTED_VALUE"""),47312.97)</f>
        <v>47312.97</v>
      </c>
      <c r="F73" s="1">
        <f>IFERROR(__xludf.DUMMYFUNCTION("""COMPUTED_VALUE"""),240971.0)</f>
        <v>240971</v>
      </c>
    </row>
    <row r="74">
      <c r="A74" s="2">
        <f>IFERROR(__xludf.DUMMYFUNCTION("""COMPUTED_VALUE"""),40652.645833333336)</f>
        <v>40652.64583</v>
      </c>
      <c r="B74" s="1">
        <f>IFERROR(__xludf.DUMMYFUNCTION("""COMPUTED_VALUE"""),47435.54)</f>
        <v>47435.54</v>
      </c>
      <c r="C74" s="1">
        <f>IFERROR(__xludf.DUMMYFUNCTION("""COMPUTED_VALUE"""),49028.98)</f>
        <v>49028.98</v>
      </c>
      <c r="D74" s="1">
        <f>IFERROR(__xludf.DUMMYFUNCTION("""COMPUTED_VALUE"""),47435.54)</f>
        <v>47435.54</v>
      </c>
      <c r="E74" s="1">
        <f>IFERROR(__xludf.DUMMYFUNCTION("""COMPUTED_VALUE"""),48661.26)</f>
        <v>48661.26</v>
      </c>
      <c r="F74" s="1">
        <f>IFERROR(__xludf.DUMMYFUNCTION("""COMPUTED_VALUE"""),204853.0)</f>
        <v>204853</v>
      </c>
    </row>
    <row r="75">
      <c r="A75" s="2">
        <f>IFERROR(__xludf.DUMMYFUNCTION("""COMPUTED_VALUE"""),40653.645833333336)</f>
        <v>40653.64583</v>
      </c>
      <c r="B75" s="1">
        <f>IFERROR(__xludf.DUMMYFUNCTION("""COMPUTED_VALUE"""),48906.41)</f>
        <v>48906.41</v>
      </c>
      <c r="C75" s="1">
        <f>IFERROR(__xludf.DUMMYFUNCTION("""COMPUTED_VALUE"""),50009.56)</f>
        <v>50009.56</v>
      </c>
      <c r="D75" s="1">
        <f>IFERROR(__xludf.DUMMYFUNCTION("""COMPUTED_VALUE"""),48661.26)</f>
        <v>48661.26</v>
      </c>
      <c r="E75" s="1">
        <f>IFERROR(__xludf.DUMMYFUNCTION("""COMPUTED_VALUE"""),50009.56)</f>
        <v>50009.56</v>
      </c>
      <c r="F75" s="1">
        <f>IFERROR(__xludf.DUMMYFUNCTION("""COMPUTED_VALUE"""),191218.0)</f>
        <v>191218</v>
      </c>
    </row>
    <row r="76">
      <c r="A76" s="2">
        <f>IFERROR(__xludf.DUMMYFUNCTION("""COMPUTED_VALUE"""),40654.645833333336)</f>
        <v>40654.64583</v>
      </c>
      <c r="B76" s="1">
        <f>IFERROR(__xludf.DUMMYFUNCTION("""COMPUTED_VALUE"""),50254.71)</f>
        <v>50254.71</v>
      </c>
      <c r="C76" s="1">
        <f>IFERROR(__xludf.DUMMYFUNCTION("""COMPUTED_VALUE"""),51112.71)</f>
        <v>51112.71</v>
      </c>
      <c r="D76" s="1">
        <f>IFERROR(__xludf.DUMMYFUNCTION("""COMPUTED_VALUE"""),50254.71)</f>
        <v>50254.71</v>
      </c>
      <c r="E76" s="1">
        <f>IFERROR(__xludf.DUMMYFUNCTION("""COMPUTED_VALUE"""),50867.57)</f>
        <v>50867.57</v>
      </c>
      <c r="F76" s="1">
        <f>IFERROR(__xludf.DUMMYFUNCTION("""COMPUTED_VALUE"""),174509.0)</f>
        <v>174509</v>
      </c>
    </row>
    <row r="77">
      <c r="A77" s="2">
        <f>IFERROR(__xludf.DUMMYFUNCTION("""COMPUTED_VALUE"""),40655.645833333336)</f>
        <v>40655.64583</v>
      </c>
      <c r="B77" s="1">
        <f>IFERROR(__xludf.DUMMYFUNCTION("""COMPUTED_VALUE"""),50377.28)</f>
        <v>50377.28</v>
      </c>
      <c r="C77" s="1">
        <f>IFERROR(__xludf.DUMMYFUNCTION("""COMPUTED_VALUE"""),50867.57)</f>
        <v>50867.57</v>
      </c>
      <c r="D77" s="1">
        <f>IFERROR(__xludf.DUMMYFUNCTION("""COMPUTED_VALUE"""),49641.84)</f>
        <v>49641.84</v>
      </c>
      <c r="E77" s="1">
        <f>IFERROR(__xludf.DUMMYFUNCTION("""COMPUTED_VALUE"""),50745.0)</f>
        <v>50745</v>
      </c>
      <c r="F77" s="1">
        <f>IFERROR(__xludf.DUMMYFUNCTION("""COMPUTED_VALUE"""),89314.0)</f>
        <v>89314</v>
      </c>
    </row>
    <row r="78">
      <c r="A78" s="2">
        <f>IFERROR(__xludf.DUMMYFUNCTION("""COMPUTED_VALUE"""),40658.645833333336)</f>
        <v>40658.64583</v>
      </c>
      <c r="B78" s="1">
        <f>IFERROR(__xludf.DUMMYFUNCTION("""COMPUTED_VALUE"""),50377.28)</f>
        <v>50377.28</v>
      </c>
      <c r="C78" s="1">
        <f>IFERROR(__xludf.DUMMYFUNCTION("""COMPUTED_VALUE"""),50622.42)</f>
        <v>50622.42</v>
      </c>
      <c r="D78" s="1">
        <f>IFERROR(__xludf.DUMMYFUNCTION("""COMPUTED_VALUE"""),49641.84)</f>
        <v>49641.84</v>
      </c>
      <c r="E78" s="1">
        <f>IFERROR(__xludf.DUMMYFUNCTION("""COMPUTED_VALUE"""),49764.42)</f>
        <v>49764.42</v>
      </c>
      <c r="F78" s="1">
        <f>IFERROR(__xludf.DUMMYFUNCTION("""COMPUTED_VALUE"""),86061.0)</f>
        <v>86061</v>
      </c>
    </row>
    <row r="79">
      <c r="A79" s="2">
        <f>IFERROR(__xludf.DUMMYFUNCTION("""COMPUTED_VALUE"""),40659.645833333336)</f>
        <v>40659.64583</v>
      </c>
      <c r="B79" s="1">
        <f>IFERROR(__xludf.DUMMYFUNCTION("""COMPUTED_VALUE"""),50622.42)</f>
        <v>50622.42</v>
      </c>
      <c r="C79" s="1">
        <f>IFERROR(__xludf.DUMMYFUNCTION("""COMPUTED_VALUE"""),51112.71)</f>
        <v>51112.71</v>
      </c>
      <c r="D79" s="1">
        <f>IFERROR(__xludf.DUMMYFUNCTION("""COMPUTED_VALUE"""),50254.71)</f>
        <v>50254.71</v>
      </c>
      <c r="E79" s="1">
        <f>IFERROR(__xludf.DUMMYFUNCTION("""COMPUTED_VALUE"""),51112.71)</f>
        <v>51112.71</v>
      </c>
      <c r="F79" s="1">
        <f>IFERROR(__xludf.DUMMYFUNCTION("""COMPUTED_VALUE"""),156317.0)</f>
        <v>156317</v>
      </c>
    </row>
    <row r="80">
      <c r="A80" s="2">
        <f>IFERROR(__xludf.DUMMYFUNCTION("""COMPUTED_VALUE"""),40660.645833333336)</f>
        <v>40660.64583</v>
      </c>
      <c r="B80" s="1">
        <f>IFERROR(__xludf.DUMMYFUNCTION("""COMPUTED_VALUE"""),51235.29)</f>
        <v>51235.29</v>
      </c>
      <c r="C80" s="1">
        <f>IFERROR(__xludf.DUMMYFUNCTION("""COMPUTED_VALUE"""),52461.01)</f>
        <v>52461.01</v>
      </c>
      <c r="D80" s="1">
        <f>IFERROR(__xludf.DUMMYFUNCTION("""COMPUTED_VALUE"""),51235.29)</f>
        <v>51235.29</v>
      </c>
      <c r="E80" s="1">
        <f>IFERROR(__xludf.DUMMYFUNCTION("""COMPUTED_VALUE"""),52461.01)</f>
        <v>52461.01</v>
      </c>
      <c r="F80" s="1">
        <f>IFERROR(__xludf.DUMMYFUNCTION("""COMPUTED_VALUE"""),259363.0)</f>
        <v>259363</v>
      </c>
    </row>
    <row r="81">
      <c r="A81" s="2">
        <f>IFERROR(__xludf.DUMMYFUNCTION("""COMPUTED_VALUE"""),40661.645833333336)</f>
        <v>40661.64583</v>
      </c>
      <c r="B81" s="1">
        <f>IFERROR(__xludf.DUMMYFUNCTION("""COMPUTED_VALUE"""),52706.15)</f>
        <v>52706.15</v>
      </c>
      <c r="C81" s="1">
        <f>IFERROR(__xludf.DUMMYFUNCTION("""COMPUTED_VALUE"""),52951.3)</f>
        <v>52951.3</v>
      </c>
      <c r="D81" s="1">
        <f>IFERROR(__xludf.DUMMYFUNCTION("""COMPUTED_VALUE"""),51480.43)</f>
        <v>51480.43</v>
      </c>
      <c r="E81" s="1">
        <f>IFERROR(__xludf.DUMMYFUNCTION("""COMPUTED_VALUE"""),51480.43)</f>
        <v>51480.43</v>
      </c>
      <c r="F81" s="1">
        <f>IFERROR(__xludf.DUMMYFUNCTION("""COMPUTED_VALUE"""),204118.0)</f>
        <v>204118</v>
      </c>
    </row>
    <row r="82">
      <c r="A82" s="2">
        <f>IFERROR(__xludf.DUMMYFUNCTION("""COMPUTED_VALUE"""),40662.645833333336)</f>
        <v>40662.64583</v>
      </c>
      <c r="B82" s="1">
        <f>IFERROR(__xludf.DUMMYFUNCTION("""COMPUTED_VALUE"""),51480.43)</f>
        <v>51480.43</v>
      </c>
      <c r="C82" s="1">
        <f>IFERROR(__xludf.DUMMYFUNCTION("""COMPUTED_VALUE"""),52093.29)</f>
        <v>52093.29</v>
      </c>
      <c r="D82" s="1">
        <f>IFERROR(__xludf.DUMMYFUNCTION("""COMPUTED_VALUE"""),50745.0)</f>
        <v>50745</v>
      </c>
      <c r="E82" s="1">
        <f>IFERROR(__xludf.DUMMYFUNCTION("""COMPUTED_VALUE"""),52093.29)</f>
        <v>52093.29</v>
      </c>
      <c r="F82" s="1">
        <f>IFERROR(__xludf.DUMMYFUNCTION("""COMPUTED_VALUE"""),181630.0)</f>
        <v>181630</v>
      </c>
    </row>
    <row r="83">
      <c r="A83" s="2">
        <f>IFERROR(__xludf.DUMMYFUNCTION("""COMPUTED_VALUE"""),40665.645833333336)</f>
        <v>40665.64583</v>
      </c>
      <c r="B83" s="1">
        <f>IFERROR(__xludf.DUMMYFUNCTION("""COMPUTED_VALUE"""),52093.29)</f>
        <v>52093.29</v>
      </c>
      <c r="C83" s="1">
        <f>IFERROR(__xludf.DUMMYFUNCTION("""COMPUTED_VALUE"""),53564.16)</f>
        <v>53564.16</v>
      </c>
      <c r="D83" s="1">
        <f>IFERROR(__xludf.DUMMYFUNCTION("""COMPUTED_VALUE"""),52093.29)</f>
        <v>52093.29</v>
      </c>
      <c r="E83" s="1">
        <f>IFERROR(__xludf.DUMMYFUNCTION("""COMPUTED_VALUE"""),53564.16)</f>
        <v>53564.16</v>
      </c>
      <c r="F83" s="1">
        <f>IFERROR(__xludf.DUMMYFUNCTION("""COMPUTED_VALUE"""),193051.0)</f>
        <v>193051</v>
      </c>
    </row>
    <row r="84">
      <c r="A84" s="2">
        <f>IFERROR(__xludf.DUMMYFUNCTION("""COMPUTED_VALUE"""),40666.645833333336)</f>
        <v>40666.64583</v>
      </c>
      <c r="B84" s="1">
        <f>IFERROR(__xludf.DUMMYFUNCTION("""COMPUTED_VALUE"""),52828.73)</f>
        <v>52828.73</v>
      </c>
      <c r="C84" s="1">
        <f>IFERROR(__xludf.DUMMYFUNCTION("""COMPUTED_VALUE"""),53686.73)</f>
        <v>53686.73</v>
      </c>
      <c r="D84" s="1">
        <f>IFERROR(__xludf.DUMMYFUNCTION("""COMPUTED_VALUE"""),52706.15)</f>
        <v>52706.15</v>
      </c>
      <c r="E84" s="1">
        <f>IFERROR(__xludf.DUMMYFUNCTION("""COMPUTED_VALUE"""),53196.44)</f>
        <v>53196.44</v>
      </c>
      <c r="F84" s="1">
        <f>IFERROR(__xludf.DUMMYFUNCTION("""COMPUTED_VALUE"""),104508.0)</f>
        <v>104508</v>
      </c>
    </row>
    <row r="85">
      <c r="A85" s="2">
        <f>IFERROR(__xludf.DUMMYFUNCTION("""COMPUTED_VALUE"""),40667.645833333336)</f>
        <v>40667.64583</v>
      </c>
      <c r="B85" s="1">
        <f>IFERROR(__xludf.DUMMYFUNCTION("""COMPUTED_VALUE"""),53564.16)</f>
        <v>53564.16</v>
      </c>
      <c r="C85" s="1">
        <f>IFERROR(__xludf.DUMMYFUNCTION("""COMPUTED_VALUE"""),53564.16)</f>
        <v>53564.16</v>
      </c>
      <c r="D85" s="1">
        <f>IFERROR(__xludf.DUMMYFUNCTION("""COMPUTED_VALUE"""),51357.86)</f>
        <v>51357.86</v>
      </c>
      <c r="E85" s="1">
        <f>IFERROR(__xludf.DUMMYFUNCTION("""COMPUTED_VALUE"""),52093.29)</f>
        <v>52093.29</v>
      </c>
      <c r="F85" s="1">
        <f>IFERROR(__xludf.DUMMYFUNCTION("""COMPUTED_VALUE"""),251870.0)</f>
        <v>251870</v>
      </c>
    </row>
    <row r="86">
      <c r="A86" s="2">
        <f>IFERROR(__xludf.DUMMYFUNCTION("""COMPUTED_VALUE"""),40669.645833333336)</f>
        <v>40669.64583</v>
      </c>
      <c r="B86" s="1">
        <f>IFERROR(__xludf.DUMMYFUNCTION("""COMPUTED_VALUE"""),51357.86)</f>
        <v>51357.86</v>
      </c>
      <c r="C86" s="1">
        <f>IFERROR(__xludf.DUMMYFUNCTION("""COMPUTED_VALUE"""),52093.29)</f>
        <v>52093.29</v>
      </c>
      <c r="D86" s="1">
        <f>IFERROR(__xludf.DUMMYFUNCTION("""COMPUTED_VALUE"""),51112.71)</f>
        <v>51112.71</v>
      </c>
      <c r="E86" s="1">
        <f>IFERROR(__xludf.DUMMYFUNCTION("""COMPUTED_VALUE"""),51603.0)</f>
        <v>51603</v>
      </c>
      <c r="F86" s="1">
        <f>IFERROR(__xludf.DUMMYFUNCTION("""COMPUTED_VALUE"""),124593.0)</f>
        <v>124593</v>
      </c>
    </row>
    <row r="87">
      <c r="A87" s="2">
        <f>IFERROR(__xludf.DUMMYFUNCTION("""COMPUTED_VALUE"""),40672.645833333336)</f>
        <v>40672.64583</v>
      </c>
      <c r="B87" s="1">
        <f>IFERROR(__xludf.DUMMYFUNCTION("""COMPUTED_VALUE"""),51480.43)</f>
        <v>51480.43</v>
      </c>
      <c r="C87" s="1">
        <f>IFERROR(__xludf.DUMMYFUNCTION("""COMPUTED_VALUE"""),51970.72)</f>
        <v>51970.72</v>
      </c>
      <c r="D87" s="1">
        <f>IFERROR(__xludf.DUMMYFUNCTION("""COMPUTED_VALUE"""),50867.57)</f>
        <v>50867.57</v>
      </c>
      <c r="E87" s="1">
        <f>IFERROR(__xludf.DUMMYFUNCTION("""COMPUTED_VALUE"""),50990.14)</f>
        <v>50990.14</v>
      </c>
      <c r="F87" s="1">
        <f>IFERROR(__xludf.DUMMYFUNCTION("""COMPUTED_VALUE"""),143270.0)</f>
        <v>143270</v>
      </c>
    </row>
    <row r="88">
      <c r="A88" s="2">
        <f>IFERROR(__xludf.DUMMYFUNCTION("""COMPUTED_VALUE"""),40674.645833333336)</f>
        <v>40674.64583</v>
      </c>
      <c r="B88" s="1">
        <f>IFERROR(__xludf.DUMMYFUNCTION("""COMPUTED_VALUE"""),52215.86)</f>
        <v>52215.86</v>
      </c>
      <c r="C88" s="1">
        <f>IFERROR(__xludf.DUMMYFUNCTION("""COMPUTED_VALUE"""),52215.86)</f>
        <v>52215.86</v>
      </c>
      <c r="D88" s="1">
        <f>IFERROR(__xludf.DUMMYFUNCTION("""COMPUTED_VALUE"""),51112.71)</f>
        <v>51112.71</v>
      </c>
      <c r="E88" s="1">
        <f>IFERROR(__xludf.DUMMYFUNCTION("""COMPUTED_VALUE"""),51357.86)</f>
        <v>51357.86</v>
      </c>
      <c r="F88" s="1">
        <f>IFERROR(__xludf.DUMMYFUNCTION("""COMPUTED_VALUE"""),138031.0)</f>
        <v>138031</v>
      </c>
    </row>
    <row r="89">
      <c r="A89" s="2">
        <f>IFERROR(__xludf.DUMMYFUNCTION("""COMPUTED_VALUE"""),40675.645833333336)</f>
        <v>40675.64583</v>
      </c>
      <c r="B89" s="1">
        <f>IFERROR(__xludf.DUMMYFUNCTION("""COMPUTED_VALUE"""),50745.0)</f>
        <v>50745</v>
      </c>
      <c r="C89" s="1">
        <f>IFERROR(__xludf.DUMMYFUNCTION("""COMPUTED_VALUE"""),50745.0)</f>
        <v>50745</v>
      </c>
      <c r="D89" s="1">
        <f>IFERROR(__xludf.DUMMYFUNCTION("""COMPUTED_VALUE"""),49028.98)</f>
        <v>49028.98</v>
      </c>
      <c r="E89" s="1">
        <f>IFERROR(__xludf.DUMMYFUNCTION("""COMPUTED_VALUE"""),49028.98)</f>
        <v>49028.98</v>
      </c>
      <c r="F89" s="1">
        <f>IFERROR(__xludf.DUMMYFUNCTION("""COMPUTED_VALUE"""),282686.0)</f>
        <v>282686</v>
      </c>
    </row>
    <row r="90">
      <c r="A90" s="2">
        <f>IFERROR(__xludf.DUMMYFUNCTION("""COMPUTED_VALUE"""),40676.645833333336)</f>
        <v>40676.64583</v>
      </c>
      <c r="B90" s="1">
        <f>IFERROR(__xludf.DUMMYFUNCTION("""COMPUTED_VALUE"""),49151.55)</f>
        <v>49151.55</v>
      </c>
      <c r="C90" s="1">
        <f>IFERROR(__xludf.DUMMYFUNCTION("""COMPUTED_VALUE"""),49641.84)</f>
        <v>49641.84</v>
      </c>
      <c r="D90" s="1">
        <f>IFERROR(__xludf.DUMMYFUNCTION("""COMPUTED_VALUE"""),49028.98)</f>
        <v>49028.98</v>
      </c>
      <c r="E90" s="1">
        <f>IFERROR(__xludf.DUMMYFUNCTION("""COMPUTED_VALUE"""),49028.98)</f>
        <v>49028.98</v>
      </c>
      <c r="F90" s="1">
        <f>IFERROR(__xludf.DUMMYFUNCTION("""COMPUTED_VALUE"""),71917.0)</f>
        <v>71917</v>
      </c>
    </row>
    <row r="91">
      <c r="A91" s="2">
        <f>IFERROR(__xludf.DUMMYFUNCTION("""COMPUTED_VALUE"""),40679.645833333336)</f>
        <v>40679.64583</v>
      </c>
      <c r="B91" s="1">
        <f>IFERROR(__xludf.DUMMYFUNCTION("""COMPUTED_VALUE"""),49028.98)</f>
        <v>49028.98</v>
      </c>
      <c r="C91" s="1">
        <f>IFERROR(__xludf.DUMMYFUNCTION("""COMPUTED_VALUE"""),49764.42)</f>
        <v>49764.42</v>
      </c>
      <c r="D91" s="1">
        <f>IFERROR(__xludf.DUMMYFUNCTION("""COMPUTED_VALUE"""),49028.98)</f>
        <v>49028.98</v>
      </c>
      <c r="E91" s="1">
        <f>IFERROR(__xludf.DUMMYFUNCTION("""COMPUTED_VALUE"""),49151.55)</f>
        <v>49151.55</v>
      </c>
      <c r="F91" s="1">
        <f>IFERROR(__xludf.DUMMYFUNCTION("""COMPUTED_VALUE"""),118899.0)</f>
        <v>118899</v>
      </c>
    </row>
    <row r="92">
      <c r="A92" s="2">
        <f>IFERROR(__xludf.DUMMYFUNCTION("""COMPUTED_VALUE"""),40680.645833333336)</f>
        <v>40680.64583</v>
      </c>
      <c r="B92" s="1">
        <f>IFERROR(__xludf.DUMMYFUNCTION("""COMPUTED_VALUE"""),49519.27)</f>
        <v>49519.27</v>
      </c>
      <c r="C92" s="1">
        <f>IFERROR(__xludf.DUMMYFUNCTION("""COMPUTED_VALUE"""),50254.71)</f>
        <v>50254.71</v>
      </c>
      <c r="D92" s="1">
        <f>IFERROR(__xludf.DUMMYFUNCTION("""COMPUTED_VALUE"""),49274.13)</f>
        <v>49274.13</v>
      </c>
      <c r="E92" s="1">
        <f>IFERROR(__xludf.DUMMYFUNCTION("""COMPUTED_VALUE"""),49396.7)</f>
        <v>49396.7</v>
      </c>
      <c r="F92" s="1">
        <f>IFERROR(__xludf.DUMMYFUNCTION("""COMPUTED_VALUE"""),156225.0)</f>
        <v>156225</v>
      </c>
    </row>
    <row r="93">
      <c r="A93" s="2">
        <f>IFERROR(__xludf.DUMMYFUNCTION("""COMPUTED_VALUE"""),40681.645833333336)</f>
        <v>40681.64583</v>
      </c>
      <c r="B93" s="1">
        <f>IFERROR(__xludf.DUMMYFUNCTION("""COMPUTED_VALUE"""),49396.7)</f>
        <v>49396.7</v>
      </c>
      <c r="C93" s="1">
        <f>IFERROR(__xludf.DUMMYFUNCTION("""COMPUTED_VALUE"""),49519.27)</f>
        <v>49519.27</v>
      </c>
      <c r="D93" s="1">
        <f>IFERROR(__xludf.DUMMYFUNCTION("""COMPUTED_VALUE"""),46945.25)</f>
        <v>46945.25</v>
      </c>
      <c r="E93" s="1">
        <f>IFERROR(__xludf.DUMMYFUNCTION("""COMPUTED_VALUE"""),47190.39)</f>
        <v>47190.39</v>
      </c>
      <c r="F93" s="1">
        <f>IFERROR(__xludf.DUMMYFUNCTION("""COMPUTED_VALUE"""),450658.0)</f>
        <v>450658</v>
      </c>
    </row>
    <row r="94">
      <c r="A94" s="2">
        <f>IFERROR(__xludf.DUMMYFUNCTION("""COMPUTED_VALUE"""),40682.645833333336)</f>
        <v>40682.64583</v>
      </c>
      <c r="B94" s="1">
        <f>IFERROR(__xludf.DUMMYFUNCTION("""COMPUTED_VALUE"""),47803.26)</f>
        <v>47803.26</v>
      </c>
      <c r="C94" s="1">
        <f>IFERROR(__xludf.DUMMYFUNCTION("""COMPUTED_VALUE"""),47925.83)</f>
        <v>47925.83</v>
      </c>
      <c r="D94" s="1">
        <f>IFERROR(__xludf.DUMMYFUNCTION("""COMPUTED_VALUE"""),47067.82)</f>
        <v>47067.82</v>
      </c>
      <c r="E94" s="1">
        <f>IFERROR(__xludf.DUMMYFUNCTION("""COMPUTED_VALUE"""),47803.26)</f>
        <v>47803.26</v>
      </c>
      <c r="F94" s="1">
        <f>IFERROR(__xludf.DUMMYFUNCTION("""COMPUTED_VALUE"""),274006.0)</f>
        <v>274006</v>
      </c>
    </row>
    <row r="95">
      <c r="A95" s="2">
        <f>IFERROR(__xludf.DUMMYFUNCTION("""COMPUTED_VALUE"""),40683.645833333336)</f>
        <v>40683.64583</v>
      </c>
      <c r="B95" s="1">
        <f>IFERROR(__xludf.DUMMYFUNCTION("""COMPUTED_VALUE"""),47312.97)</f>
        <v>47312.97</v>
      </c>
      <c r="C95" s="1">
        <f>IFERROR(__xludf.DUMMYFUNCTION("""COMPUTED_VALUE"""),47925.83)</f>
        <v>47925.83</v>
      </c>
      <c r="D95" s="1">
        <f>IFERROR(__xludf.DUMMYFUNCTION("""COMPUTED_VALUE"""),47312.97)</f>
        <v>47312.97</v>
      </c>
      <c r="E95" s="1">
        <f>IFERROR(__xludf.DUMMYFUNCTION("""COMPUTED_VALUE"""),47558.11)</f>
        <v>47558.11</v>
      </c>
      <c r="F95" s="1">
        <f>IFERROR(__xludf.DUMMYFUNCTION("""COMPUTED_VALUE"""),123438.0)</f>
        <v>123438</v>
      </c>
    </row>
    <row r="96">
      <c r="A96" s="2">
        <f>IFERROR(__xludf.DUMMYFUNCTION("""COMPUTED_VALUE"""),40686.645833333336)</f>
        <v>40686.64583</v>
      </c>
      <c r="B96" s="1">
        <f>IFERROR(__xludf.DUMMYFUNCTION("""COMPUTED_VALUE"""),47067.82)</f>
        <v>47067.82</v>
      </c>
      <c r="C96" s="1">
        <f>IFERROR(__xludf.DUMMYFUNCTION("""COMPUTED_VALUE"""),47312.97)</f>
        <v>47312.97</v>
      </c>
      <c r="D96" s="1">
        <f>IFERROR(__xludf.DUMMYFUNCTION("""COMPUTED_VALUE"""),46087.24)</f>
        <v>46087.24</v>
      </c>
      <c r="E96" s="1">
        <f>IFERROR(__xludf.DUMMYFUNCTION("""COMPUTED_VALUE"""),46332.39)</f>
        <v>46332.39</v>
      </c>
      <c r="F96" s="1">
        <f>IFERROR(__xludf.DUMMYFUNCTION("""COMPUTED_VALUE"""),100685.0)</f>
        <v>100685</v>
      </c>
    </row>
    <row r="97">
      <c r="A97" s="2">
        <f>IFERROR(__xludf.DUMMYFUNCTION("""COMPUTED_VALUE"""),40687.645833333336)</f>
        <v>40687.64583</v>
      </c>
      <c r="B97" s="1">
        <f>IFERROR(__xludf.DUMMYFUNCTION("""COMPUTED_VALUE"""),46945.25)</f>
        <v>46945.25</v>
      </c>
      <c r="C97" s="1">
        <f>IFERROR(__xludf.DUMMYFUNCTION("""COMPUTED_VALUE"""),47067.82)</f>
        <v>47067.82</v>
      </c>
      <c r="D97" s="1">
        <f>IFERROR(__xludf.DUMMYFUNCTION("""COMPUTED_VALUE"""),46209.81)</f>
        <v>46209.81</v>
      </c>
      <c r="E97" s="1">
        <f>IFERROR(__xludf.DUMMYFUNCTION("""COMPUTED_VALUE"""),46209.81)</f>
        <v>46209.81</v>
      </c>
      <c r="F97" s="1">
        <f>IFERROR(__xludf.DUMMYFUNCTION("""COMPUTED_VALUE"""),92053.0)</f>
        <v>92053</v>
      </c>
    </row>
    <row r="98">
      <c r="A98" s="2">
        <f>IFERROR(__xludf.DUMMYFUNCTION("""COMPUTED_VALUE"""),40688.645833333336)</f>
        <v>40688.64583</v>
      </c>
      <c r="B98" s="1">
        <f>IFERROR(__xludf.DUMMYFUNCTION("""COMPUTED_VALUE"""),46209.81)</f>
        <v>46209.81</v>
      </c>
      <c r="C98" s="1">
        <f>IFERROR(__xludf.DUMMYFUNCTION("""COMPUTED_VALUE"""),47190.39)</f>
        <v>47190.39</v>
      </c>
      <c r="D98" s="1">
        <f>IFERROR(__xludf.DUMMYFUNCTION("""COMPUTED_VALUE"""),45719.52)</f>
        <v>45719.52</v>
      </c>
      <c r="E98" s="1">
        <f>IFERROR(__xludf.DUMMYFUNCTION("""COMPUTED_VALUE"""),47067.82)</f>
        <v>47067.82</v>
      </c>
      <c r="F98" s="1">
        <f>IFERROR(__xludf.DUMMYFUNCTION("""COMPUTED_VALUE"""),172241.0)</f>
        <v>172241</v>
      </c>
    </row>
    <row r="99">
      <c r="A99" s="2">
        <f>IFERROR(__xludf.DUMMYFUNCTION("""COMPUTED_VALUE"""),40689.645833333336)</f>
        <v>40689.64583</v>
      </c>
      <c r="B99" s="1">
        <f>IFERROR(__xludf.DUMMYFUNCTION("""COMPUTED_VALUE"""),47558.11)</f>
        <v>47558.11</v>
      </c>
      <c r="C99" s="1">
        <f>IFERROR(__xludf.DUMMYFUNCTION("""COMPUTED_VALUE"""),47680.68)</f>
        <v>47680.68</v>
      </c>
      <c r="D99" s="1">
        <f>IFERROR(__xludf.DUMMYFUNCTION("""COMPUTED_VALUE"""),46209.81)</f>
        <v>46209.81</v>
      </c>
      <c r="E99" s="1">
        <f>IFERROR(__xludf.DUMMYFUNCTION("""COMPUTED_VALUE"""),46332.39)</f>
        <v>46332.39</v>
      </c>
      <c r="F99" s="1">
        <f>IFERROR(__xludf.DUMMYFUNCTION("""COMPUTED_VALUE"""),116052.0)</f>
        <v>116052</v>
      </c>
    </row>
    <row r="100">
      <c r="A100" s="2">
        <f>IFERROR(__xludf.DUMMYFUNCTION("""COMPUTED_VALUE"""),40690.645833333336)</f>
        <v>40690.64583</v>
      </c>
      <c r="B100" s="1">
        <f>IFERROR(__xludf.DUMMYFUNCTION("""COMPUTED_VALUE"""),46087.24)</f>
        <v>46087.24</v>
      </c>
      <c r="C100" s="1">
        <f>IFERROR(__xludf.DUMMYFUNCTION("""COMPUTED_VALUE"""),46945.25)</f>
        <v>46945.25</v>
      </c>
      <c r="D100" s="1">
        <f>IFERROR(__xludf.DUMMYFUNCTION("""COMPUTED_VALUE"""),46087.24)</f>
        <v>46087.24</v>
      </c>
      <c r="E100" s="1">
        <f>IFERROR(__xludf.DUMMYFUNCTION("""COMPUTED_VALUE"""),46332.39)</f>
        <v>46332.39</v>
      </c>
      <c r="F100" s="1">
        <f>IFERROR(__xludf.DUMMYFUNCTION("""COMPUTED_VALUE"""),70212.0)</f>
        <v>70212</v>
      </c>
    </row>
    <row r="101">
      <c r="A101" s="2">
        <f>IFERROR(__xludf.DUMMYFUNCTION("""COMPUTED_VALUE"""),40693.645833333336)</f>
        <v>40693.64583</v>
      </c>
      <c r="B101" s="1">
        <f>IFERROR(__xludf.DUMMYFUNCTION("""COMPUTED_VALUE"""),46454.96)</f>
        <v>46454.96</v>
      </c>
      <c r="C101" s="1">
        <f>IFERROR(__xludf.DUMMYFUNCTION("""COMPUTED_VALUE"""),46822.68)</f>
        <v>46822.68</v>
      </c>
      <c r="D101" s="1">
        <f>IFERROR(__xludf.DUMMYFUNCTION("""COMPUTED_VALUE"""),45964.67)</f>
        <v>45964.67</v>
      </c>
      <c r="E101" s="1">
        <f>IFERROR(__xludf.DUMMYFUNCTION("""COMPUTED_VALUE"""),46209.81)</f>
        <v>46209.81</v>
      </c>
      <c r="F101" s="1">
        <f>IFERROR(__xludf.DUMMYFUNCTION("""COMPUTED_VALUE"""),111043.0)</f>
        <v>111043</v>
      </c>
    </row>
    <row r="102">
      <c r="A102" s="2">
        <f>IFERROR(__xludf.DUMMYFUNCTION("""COMPUTED_VALUE"""),40694.645833333336)</f>
        <v>40694.64583</v>
      </c>
      <c r="B102" s="1">
        <f>IFERROR(__xludf.DUMMYFUNCTION("""COMPUTED_VALUE"""),46209.81)</f>
        <v>46209.81</v>
      </c>
      <c r="C102" s="1">
        <f>IFERROR(__xludf.DUMMYFUNCTION("""COMPUTED_VALUE"""),47680.68)</f>
        <v>47680.68</v>
      </c>
      <c r="D102" s="1">
        <f>IFERROR(__xludf.DUMMYFUNCTION("""COMPUTED_VALUE"""),46209.81)</f>
        <v>46209.81</v>
      </c>
      <c r="E102" s="1">
        <f>IFERROR(__xludf.DUMMYFUNCTION("""COMPUTED_VALUE"""),47067.82)</f>
        <v>47067.82</v>
      </c>
      <c r="F102" s="1">
        <f>IFERROR(__xludf.DUMMYFUNCTION("""COMPUTED_VALUE"""),206441.0)</f>
        <v>206441</v>
      </c>
    </row>
    <row r="103">
      <c r="A103" s="2">
        <f>IFERROR(__xludf.DUMMYFUNCTION("""COMPUTED_VALUE"""),40695.645833333336)</f>
        <v>40695.64583</v>
      </c>
      <c r="B103" s="1">
        <f>IFERROR(__xludf.DUMMYFUNCTION("""COMPUTED_VALUE"""),47435.54)</f>
        <v>47435.54</v>
      </c>
      <c r="C103" s="1">
        <f>IFERROR(__xludf.DUMMYFUNCTION("""COMPUTED_VALUE"""),47435.54)</f>
        <v>47435.54</v>
      </c>
      <c r="D103" s="1">
        <f>IFERROR(__xludf.DUMMYFUNCTION("""COMPUTED_VALUE"""),46332.39)</f>
        <v>46332.39</v>
      </c>
      <c r="E103" s="1">
        <f>IFERROR(__xludf.DUMMYFUNCTION("""COMPUTED_VALUE"""),47435.54)</f>
        <v>47435.54</v>
      </c>
      <c r="F103" s="1">
        <f>IFERROR(__xludf.DUMMYFUNCTION("""COMPUTED_VALUE"""),120219.0)</f>
        <v>120219</v>
      </c>
    </row>
    <row r="104">
      <c r="A104" s="2">
        <f>IFERROR(__xludf.DUMMYFUNCTION("""COMPUTED_VALUE"""),40696.645833333336)</f>
        <v>40696.64583</v>
      </c>
      <c r="B104" s="1">
        <f>IFERROR(__xludf.DUMMYFUNCTION("""COMPUTED_VALUE"""),47067.82)</f>
        <v>47067.82</v>
      </c>
      <c r="C104" s="1">
        <f>IFERROR(__xludf.DUMMYFUNCTION("""COMPUTED_VALUE"""),47190.39)</f>
        <v>47190.39</v>
      </c>
      <c r="D104" s="1">
        <f>IFERROR(__xludf.DUMMYFUNCTION("""COMPUTED_VALUE"""),46332.39)</f>
        <v>46332.39</v>
      </c>
      <c r="E104" s="1">
        <f>IFERROR(__xludf.DUMMYFUNCTION("""COMPUTED_VALUE"""),46577.53)</f>
        <v>46577.53</v>
      </c>
      <c r="F104" s="1">
        <f>IFERROR(__xludf.DUMMYFUNCTION("""COMPUTED_VALUE"""),130175.0)</f>
        <v>130175</v>
      </c>
    </row>
    <row r="105">
      <c r="A105" s="2">
        <f>IFERROR(__xludf.DUMMYFUNCTION("""COMPUTED_VALUE"""),40697.645833333336)</f>
        <v>40697.64583</v>
      </c>
      <c r="B105" s="1">
        <f>IFERROR(__xludf.DUMMYFUNCTION("""COMPUTED_VALUE"""),46700.1)</f>
        <v>46700.1</v>
      </c>
      <c r="C105" s="1">
        <f>IFERROR(__xludf.DUMMYFUNCTION("""COMPUTED_VALUE"""),47312.97)</f>
        <v>47312.97</v>
      </c>
      <c r="D105" s="1">
        <f>IFERROR(__xludf.DUMMYFUNCTION("""COMPUTED_VALUE"""),46332.39)</f>
        <v>46332.39</v>
      </c>
      <c r="E105" s="1">
        <f>IFERROR(__xludf.DUMMYFUNCTION("""COMPUTED_VALUE"""),46945.25)</f>
        <v>46945.25</v>
      </c>
      <c r="F105" s="1">
        <f>IFERROR(__xludf.DUMMYFUNCTION("""COMPUTED_VALUE"""),145229.0)</f>
        <v>145229</v>
      </c>
    </row>
    <row r="106">
      <c r="A106" s="2">
        <f>IFERROR(__xludf.DUMMYFUNCTION("""COMPUTED_VALUE"""),40701.645833333336)</f>
        <v>40701.64583</v>
      </c>
      <c r="B106" s="1">
        <f>IFERROR(__xludf.DUMMYFUNCTION("""COMPUTED_VALUE"""),46577.53)</f>
        <v>46577.53</v>
      </c>
      <c r="C106" s="1">
        <f>IFERROR(__xludf.DUMMYFUNCTION("""COMPUTED_VALUE"""),47435.54)</f>
        <v>47435.54</v>
      </c>
      <c r="D106" s="1">
        <f>IFERROR(__xludf.DUMMYFUNCTION("""COMPUTED_VALUE"""),45596.95)</f>
        <v>45596.95</v>
      </c>
      <c r="E106" s="1">
        <f>IFERROR(__xludf.DUMMYFUNCTION("""COMPUTED_VALUE"""),47190.39)</f>
        <v>47190.39</v>
      </c>
      <c r="F106" s="1">
        <f>IFERROR(__xludf.DUMMYFUNCTION("""COMPUTED_VALUE"""),253825.0)</f>
        <v>253825</v>
      </c>
    </row>
    <row r="107">
      <c r="A107" s="2">
        <f>IFERROR(__xludf.DUMMYFUNCTION("""COMPUTED_VALUE"""),40702.645833333336)</f>
        <v>40702.64583</v>
      </c>
      <c r="B107" s="1">
        <f>IFERROR(__xludf.DUMMYFUNCTION("""COMPUTED_VALUE"""),47680.68)</f>
        <v>47680.68</v>
      </c>
      <c r="C107" s="1">
        <f>IFERROR(__xludf.DUMMYFUNCTION("""COMPUTED_VALUE"""),48048.4)</f>
        <v>48048.4</v>
      </c>
      <c r="D107" s="1">
        <f>IFERROR(__xludf.DUMMYFUNCTION("""COMPUTED_VALUE"""),47190.39)</f>
        <v>47190.39</v>
      </c>
      <c r="E107" s="1">
        <f>IFERROR(__xludf.DUMMYFUNCTION("""COMPUTED_VALUE"""),47803.26)</f>
        <v>47803.26</v>
      </c>
      <c r="F107" s="1">
        <f>IFERROR(__xludf.DUMMYFUNCTION("""COMPUTED_VALUE"""),179858.0)</f>
        <v>179858</v>
      </c>
    </row>
    <row r="108">
      <c r="A108" s="2">
        <f>IFERROR(__xludf.DUMMYFUNCTION("""COMPUTED_VALUE"""),40703.645833333336)</f>
        <v>40703.64583</v>
      </c>
      <c r="B108" s="1">
        <f>IFERROR(__xludf.DUMMYFUNCTION("""COMPUTED_VALUE"""),48293.55)</f>
        <v>48293.55</v>
      </c>
      <c r="C108" s="1">
        <f>IFERROR(__xludf.DUMMYFUNCTION("""COMPUTED_VALUE"""),48293.55)</f>
        <v>48293.55</v>
      </c>
      <c r="D108" s="1">
        <f>IFERROR(__xludf.DUMMYFUNCTION("""COMPUTED_VALUE"""),46332.39)</f>
        <v>46332.39</v>
      </c>
      <c r="E108" s="1">
        <f>IFERROR(__xludf.DUMMYFUNCTION("""COMPUTED_VALUE"""),46454.96)</f>
        <v>46454.96</v>
      </c>
      <c r="F108" s="1">
        <f>IFERROR(__xludf.DUMMYFUNCTION("""COMPUTED_VALUE"""),214472.0)</f>
        <v>214472</v>
      </c>
    </row>
    <row r="109">
      <c r="A109" s="2">
        <f>IFERROR(__xludf.DUMMYFUNCTION("""COMPUTED_VALUE"""),40704.645833333336)</f>
        <v>40704.64583</v>
      </c>
      <c r="B109" s="1">
        <f>IFERROR(__xludf.DUMMYFUNCTION("""COMPUTED_VALUE"""),46700.1)</f>
        <v>46700.1</v>
      </c>
      <c r="C109" s="1">
        <f>IFERROR(__xludf.DUMMYFUNCTION("""COMPUTED_VALUE"""),46945.25)</f>
        <v>46945.25</v>
      </c>
      <c r="D109" s="1">
        <f>IFERROR(__xludf.DUMMYFUNCTION("""COMPUTED_VALUE"""),45842.1)</f>
        <v>45842.1</v>
      </c>
      <c r="E109" s="1">
        <f>IFERROR(__xludf.DUMMYFUNCTION("""COMPUTED_VALUE"""),46087.24)</f>
        <v>46087.24</v>
      </c>
      <c r="F109" s="1">
        <f>IFERROR(__xludf.DUMMYFUNCTION("""COMPUTED_VALUE"""),122321.0)</f>
        <v>122321</v>
      </c>
    </row>
    <row r="110">
      <c r="A110" s="2">
        <f>IFERROR(__xludf.DUMMYFUNCTION("""COMPUTED_VALUE"""),40707.645833333336)</f>
        <v>40707.64583</v>
      </c>
      <c r="B110" s="1">
        <f>IFERROR(__xludf.DUMMYFUNCTION("""COMPUTED_VALUE"""),46332.39)</f>
        <v>46332.39</v>
      </c>
      <c r="C110" s="1">
        <f>IFERROR(__xludf.DUMMYFUNCTION("""COMPUTED_VALUE"""),49028.98)</f>
        <v>49028.98</v>
      </c>
      <c r="D110" s="1">
        <f>IFERROR(__xludf.DUMMYFUNCTION("""COMPUTED_VALUE"""),45964.67)</f>
        <v>45964.67</v>
      </c>
      <c r="E110" s="1">
        <f>IFERROR(__xludf.DUMMYFUNCTION("""COMPUTED_VALUE"""),49028.98)</f>
        <v>49028.98</v>
      </c>
      <c r="F110" s="1">
        <f>IFERROR(__xludf.DUMMYFUNCTION("""COMPUTED_VALUE"""),364160.0)</f>
        <v>364160</v>
      </c>
    </row>
    <row r="111">
      <c r="A111" s="2">
        <f>IFERROR(__xludf.DUMMYFUNCTION("""COMPUTED_VALUE"""),40708.645833333336)</f>
        <v>40708.64583</v>
      </c>
      <c r="B111" s="1">
        <f>IFERROR(__xludf.DUMMYFUNCTION("""COMPUTED_VALUE"""),49028.98)</f>
        <v>49028.98</v>
      </c>
      <c r="C111" s="1">
        <f>IFERROR(__xludf.DUMMYFUNCTION("""COMPUTED_VALUE"""),49396.7)</f>
        <v>49396.7</v>
      </c>
      <c r="D111" s="1">
        <f>IFERROR(__xludf.DUMMYFUNCTION("""COMPUTED_VALUE"""),48293.55)</f>
        <v>48293.55</v>
      </c>
      <c r="E111" s="1">
        <f>IFERROR(__xludf.DUMMYFUNCTION("""COMPUTED_VALUE"""),49028.98)</f>
        <v>49028.98</v>
      </c>
      <c r="F111" s="1">
        <f>IFERROR(__xludf.DUMMYFUNCTION("""COMPUTED_VALUE"""),195502.0)</f>
        <v>195502</v>
      </c>
    </row>
    <row r="112">
      <c r="A112" s="2">
        <f>IFERROR(__xludf.DUMMYFUNCTION("""COMPUTED_VALUE"""),40709.645833333336)</f>
        <v>40709.64583</v>
      </c>
      <c r="B112" s="1">
        <f>IFERROR(__xludf.DUMMYFUNCTION("""COMPUTED_VALUE"""),49151.55)</f>
        <v>49151.55</v>
      </c>
      <c r="C112" s="1">
        <f>IFERROR(__xludf.DUMMYFUNCTION("""COMPUTED_VALUE"""),49151.55)</f>
        <v>49151.55</v>
      </c>
      <c r="D112" s="1">
        <f>IFERROR(__xludf.DUMMYFUNCTION("""COMPUTED_VALUE"""),47067.82)</f>
        <v>47067.82</v>
      </c>
      <c r="E112" s="1">
        <f>IFERROR(__xludf.DUMMYFUNCTION("""COMPUTED_VALUE"""),48048.4)</f>
        <v>48048.4</v>
      </c>
      <c r="F112" s="1">
        <f>IFERROR(__xludf.DUMMYFUNCTION("""COMPUTED_VALUE"""),187219.0)</f>
        <v>187219</v>
      </c>
    </row>
    <row r="113">
      <c r="A113" s="2">
        <f>IFERROR(__xludf.DUMMYFUNCTION("""COMPUTED_VALUE"""),40710.645833333336)</f>
        <v>40710.64583</v>
      </c>
      <c r="B113" s="1">
        <f>IFERROR(__xludf.DUMMYFUNCTION("""COMPUTED_VALUE"""),47803.26)</f>
        <v>47803.26</v>
      </c>
      <c r="C113" s="1">
        <f>IFERROR(__xludf.DUMMYFUNCTION("""COMPUTED_VALUE"""),47803.26)</f>
        <v>47803.26</v>
      </c>
      <c r="D113" s="1">
        <f>IFERROR(__xludf.DUMMYFUNCTION("""COMPUTED_VALUE"""),46945.25)</f>
        <v>46945.25</v>
      </c>
      <c r="E113" s="1">
        <f>IFERROR(__xludf.DUMMYFUNCTION("""COMPUTED_VALUE"""),47312.97)</f>
        <v>47312.97</v>
      </c>
      <c r="F113" s="1">
        <f>IFERROR(__xludf.DUMMYFUNCTION("""COMPUTED_VALUE"""),91457.0)</f>
        <v>91457</v>
      </c>
    </row>
    <row r="114">
      <c r="A114" s="2">
        <f>IFERROR(__xludf.DUMMYFUNCTION("""COMPUTED_VALUE"""),40711.645833333336)</f>
        <v>40711.64583</v>
      </c>
      <c r="B114" s="1">
        <f>IFERROR(__xludf.DUMMYFUNCTION("""COMPUTED_VALUE"""),47312.97)</f>
        <v>47312.97</v>
      </c>
      <c r="C114" s="1">
        <f>IFERROR(__xludf.DUMMYFUNCTION("""COMPUTED_VALUE"""),47925.83)</f>
        <v>47925.83</v>
      </c>
      <c r="D114" s="1">
        <f>IFERROR(__xludf.DUMMYFUNCTION("""COMPUTED_VALUE"""),47067.82)</f>
        <v>47067.82</v>
      </c>
      <c r="E114" s="1">
        <f>IFERROR(__xludf.DUMMYFUNCTION("""COMPUTED_VALUE"""),47312.97)</f>
        <v>47312.97</v>
      </c>
      <c r="F114" s="1">
        <f>IFERROR(__xludf.DUMMYFUNCTION("""COMPUTED_VALUE"""),104401.0)</f>
        <v>104401</v>
      </c>
    </row>
    <row r="115">
      <c r="A115" s="2">
        <f>IFERROR(__xludf.DUMMYFUNCTION("""COMPUTED_VALUE"""),40714.645833333336)</f>
        <v>40714.64583</v>
      </c>
      <c r="B115" s="1">
        <f>IFERROR(__xludf.DUMMYFUNCTION("""COMPUTED_VALUE"""),47190.39)</f>
        <v>47190.39</v>
      </c>
      <c r="C115" s="1">
        <f>IFERROR(__xludf.DUMMYFUNCTION("""COMPUTED_VALUE"""),48783.84)</f>
        <v>48783.84</v>
      </c>
      <c r="D115" s="1">
        <f>IFERROR(__xludf.DUMMYFUNCTION("""COMPUTED_VALUE"""),46945.25)</f>
        <v>46945.25</v>
      </c>
      <c r="E115" s="1">
        <f>IFERROR(__xludf.DUMMYFUNCTION("""COMPUTED_VALUE"""),48416.12)</f>
        <v>48416.12</v>
      </c>
      <c r="F115" s="1">
        <f>IFERROR(__xludf.DUMMYFUNCTION("""COMPUTED_VALUE"""),116299.0)</f>
        <v>116299</v>
      </c>
    </row>
    <row r="116">
      <c r="A116" s="2">
        <f>IFERROR(__xludf.DUMMYFUNCTION("""COMPUTED_VALUE"""),40715.645833333336)</f>
        <v>40715.64583</v>
      </c>
      <c r="B116" s="1">
        <f>IFERROR(__xludf.DUMMYFUNCTION("""COMPUTED_VALUE"""),48538.69)</f>
        <v>48538.69</v>
      </c>
      <c r="C116" s="1">
        <f>IFERROR(__xludf.DUMMYFUNCTION("""COMPUTED_VALUE"""),49028.98)</f>
        <v>49028.98</v>
      </c>
      <c r="D116" s="1">
        <f>IFERROR(__xludf.DUMMYFUNCTION("""COMPUTED_VALUE"""),47925.83)</f>
        <v>47925.83</v>
      </c>
      <c r="E116" s="1">
        <f>IFERROR(__xludf.DUMMYFUNCTION("""COMPUTED_VALUE"""),48416.12)</f>
        <v>48416.12</v>
      </c>
      <c r="F116" s="1">
        <f>IFERROR(__xludf.DUMMYFUNCTION("""COMPUTED_VALUE"""),75440.0)</f>
        <v>75440</v>
      </c>
    </row>
    <row r="117">
      <c r="A117" s="2">
        <f>IFERROR(__xludf.DUMMYFUNCTION("""COMPUTED_VALUE"""),40716.645833333336)</f>
        <v>40716.64583</v>
      </c>
      <c r="B117" s="1">
        <f>IFERROR(__xludf.DUMMYFUNCTION("""COMPUTED_VALUE"""),48906.41)</f>
        <v>48906.41</v>
      </c>
      <c r="C117" s="1">
        <f>IFERROR(__xludf.DUMMYFUNCTION("""COMPUTED_VALUE"""),48906.41)</f>
        <v>48906.41</v>
      </c>
      <c r="D117" s="1">
        <f>IFERROR(__xludf.DUMMYFUNCTION("""COMPUTED_VALUE"""),48293.55)</f>
        <v>48293.55</v>
      </c>
      <c r="E117" s="1">
        <f>IFERROR(__xludf.DUMMYFUNCTION("""COMPUTED_VALUE"""),48906.41)</f>
        <v>48906.41</v>
      </c>
      <c r="F117" s="1">
        <f>IFERROR(__xludf.DUMMYFUNCTION("""COMPUTED_VALUE"""),106796.0)</f>
        <v>106796</v>
      </c>
    </row>
    <row r="118">
      <c r="A118" s="2">
        <f>IFERROR(__xludf.DUMMYFUNCTION("""COMPUTED_VALUE"""),40717.645833333336)</f>
        <v>40717.64583</v>
      </c>
      <c r="B118" s="1">
        <f>IFERROR(__xludf.DUMMYFUNCTION("""COMPUTED_VALUE"""),48170.97)</f>
        <v>48170.97</v>
      </c>
      <c r="C118" s="1">
        <f>IFERROR(__xludf.DUMMYFUNCTION("""COMPUTED_VALUE"""),48783.84)</f>
        <v>48783.84</v>
      </c>
      <c r="D118" s="1">
        <f>IFERROR(__xludf.DUMMYFUNCTION("""COMPUTED_VALUE"""),46945.25)</f>
        <v>46945.25</v>
      </c>
      <c r="E118" s="1">
        <f>IFERROR(__xludf.DUMMYFUNCTION("""COMPUTED_VALUE"""),46945.25)</f>
        <v>46945.25</v>
      </c>
      <c r="F118" s="1">
        <f>IFERROR(__xludf.DUMMYFUNCTION("""COMPUTED_VALUE"""),193424.0)</f>
        <v>193424</v>
      </c>
    </row>
    <row r="119">
      <c r="A119" s="2">
        <f>IFERROR(__xludf.DUMMYFUNCTION("""COMPUTED_VALUE"""),40718.645833333336)</f>
        <v>40718.64583</v>
      </c>
      <c r="B119" s="1">
        <f>IFERROR(__xludf.DUMMYFUNCTION("""COMPUTED_VALUE"""),46822.68)</f>
        <v>46822.68</v>
      </c>
      <c r="C119" s="1">
        <f>IFERROR(__xludf.DUMMYFUNCTION("""COMPUTED_VALUE"""),47435.54)</f>
        <v>47435.54</v>
      </c>
      <c r="D119" s="1">
        <f>IFERROR(__xludf.DUMMYFUNCTION("""COMPUTED_VALUE"""),46577.53)</f>
        <v>46577.53</v>
      </c>
      <c r="E119" s="1">
        <f>IFERROR(__xludf.DUMMYFUNCTION("""COMPUTED_VALUE"""),47312.97)</f>
        <v>47312.97</v>
      </c>
      <c r="F119" s="1">
        <f>IFERROR(__xludf.DUMMYFUNCTION("""COMPUTED_VALUE"""),166438.0)</f>
        <v>166438</v>
      </c>
    </row>
    <row r="120">
      <c r="A120" s="2">
        <f>IFERROR(__xludf.DUMMYFUNCTION("""COMPUTED_VALUE"""),40721.645833333336)</f>
        <v>40721.64583</v>
      </c>
      <c r="B120" s="1">
        <f>IFERROR(__xludf.DUMMYFUNCTION("""COMPUTED_VALUE"""),47190.39)</f>
        <v>47190.39</v>
      </c>
      <c r="C120" s="1">
        <f>IFERROR(__xludf.DUMMYFUNCTION("""COMPUTED_VALUE"""),47190.39)</f>
        <v>47190.39</v>
      </c>
      <c r="D120" s="1">
        <f>IFERROR(__xludf.DUMMYFUNCTION("""COMPUTED_VALUE"""),46209.81)</f>
        <v>46209.81</v>
      </c>
      <c r="E120" s="1">
        <f>IFERROR(__xludf.DUMMYFUNCTION("""COMPUTED_VALUE"""),46577.53)</f>
        <v>46577.53</v>
      </c>
      <c r="F120" s="1">
        <f>IFERROR(__xludf.DUMMYFUNCTION("""COMPUTED_VALUE"""),111239.0)</f>
        <v>111239</v>
      </c>
    </row>
    <row r="121">
      <c r="A121" s="2">
        <f>IFERROR(__xludf.DUMMYFUNCTION("""COMPUTED_VALUE"""),40722.645833333336)</f>
        <v>40722.64583</v>
      </c>
      <c r="B121" s="1">
        <f>IFERROR(__xludf.DUMMYFUNCTION("""COMPUTED_VALUE"""),46822.68)</f>
        <v>46822.68</v>
      </c>
      <c r="C121" s="1">
        <f>IFERROR(__xludf.DUMMYFUNCTION("""COMPUTED_VALUE"""),47190.39)</f>
        <v>47190.39</v>
      </c>
      <c r="D121" s="1">
        <f>IFERROR(__xludf.DUMMYFUNCTION("""COMPUTED_VALUE"""),46577.53)</f>
        <v>46577.53</v>
      </c>
      <c r="E121" s="1">
        <f>IFERROR(__xludf.DUMMYFUNCTION("""COMPUTED_VALUE"""),46945.25)</f>
        <v>46945.25</v>
      </c>
      <c r="F121" s="1">
        <f>IFERROR(__xludf.DUMMYFUNCTION("""COMPUTED_VALUE"""),75567.0)</f>
        <v>75567</v>
      </c>
    </row>
    <row r="122">
      <c r="A122" s="2">
        <f>IFERROR(__xludf.DUMMYFUNCTION("""COMPUTED_VALUE"""),40723.645833333336)</f>
        <v>40723.64583</v>
      </c>
      <c r="B122" s="1">
        <f>IFERROR(__xludf.DUMMYFUNCTION("""COMPUTED_VALUE"""),47190.39)</f>
        <v>47190.39</v>
      </c>
      <c r="C122" s="1">
        <f>IFERROR(__xludf.DUMMYFUNCTION("""COMPUTED_VALUE"""),47312.97)</f>
        <v>47312.97</v>
      </c>
      <c r="D122" s="1">
        <f>IFERROR(__xludf.DUMMYFUNCTION("""COMPUTED_VALUE"""),46209.81)</f>
        <v>46209.81</v>
      </c>
      <c r="E122" s="1">
        <f>IFERROR(__xludf.DUMMYFUNCTION("""COMPUTED_VALUE"""),47067.82)</f>
        <v>47067.82</v>
      </c>
      <c r="F122" s="1">
        <f>IFERROR(__xludf.DUMMYFUNCTION("""COMPUTED_VALUE"""),133882.0)</f>
        <v>133882</v>
      </c>
    </row>
    <row r="123">
      <c r="A123" s="2">
        <f>IFERROR(__xludf.DUMMYFUNCTION("""COMPUTED_VALUE"""),40724.645833333336)</f>
        <v>40724.64583</v>
      </c>
      <c r="B123" s="1">
        <f>IFERROR(__xludf.DUMMYFUNCTION("""COMPUTED_VALUE"""),46822.68)</f>
        <v>46822.68</v>
      </c>
      <c r="C123" s="1">
        <f>IFERROR(__xludf.DUMMYFUNCTION("""COMPUTED_VALUE"""),47190.39)</f>
        <v>47190.39</v>
      </c>
      <c r="D123" s="1">
        <f>IFERROR(__xludf.DUMMYFUNCTION("""COMPUTED_VALUE"""),46332.39)</f>
        <v>46332.39</v>
      </c>
      <c r="E123" s="1">
        <f>IFERROR(__xludf.DUMMYFUNCTION("""COMPUTED_VALUE"""),46332.39)</f>
        <v>46332.39</v>
      </c>
      <c r="F123" s="1">
        <f>IFERROR(__xludf.DUMMYFUNCTION("""COMPUTED_VALUE"""),112192.0)</f>
        <v>112192</v>
      </c>
    </row>
    <row r="124">
      <c r="A124" s="2">
        <f>IFERROR(__xludf.DUMMYFUNCTION("""COMPUTED_VALUE"""),40725.645833333336)</f>
        <v>40725.64583</v>
      </c>
      <c r="B124" s="1">
        <f>IFERROR(__xludf.DUMMYFUNCTION("""COMPUTED_VALUE"""),47067.82)</f>
        <v>47067.82</v>
      </c>
      <c r="C124" s="1">
        <f>IFERROR(__xludf.DUMMYFUNCTION("""COMPUTED_VALUE"""),47190.39)</f>
        <v>47190.39</v>
      </c>
      <c r="D124" s="1">
        <f>IFERROR(__xludf.DUMMYFUNCTION("""COMPUTED_VALUE"""),46332.39)</f>
        <v>46332.39</v>
      </c>
      <c r="E124" s="1">
        <f>IFERROR(__xludf.DUMMYFUNCTION("""COMPUTED_VALUE"""),46332.39)</f>
        <v>46332.39</v>
      </c>
      <c r="F124" s="1">
        <f>IFERROR(__xludf.DUMMYFUNCTION("""COMPUTED_VALUE"""),132726.0)</f>
        <v>132726</v>
      </c>
    </row>
    <row r="125">
      <c r="A125" s="2">
        <f>IFERROR(__xludf.DUMMYFUNCTION("""COMPUTED_VALUE"""),40728.645833333336)</f>
        <v>40728.64583</v>
      </c>
      <c r="B125" s="1">
        <f>IFERROR(__xludf.DUMMYFUNCTION("""COMPUTED_VALUE"""),46700.1)</f>
        <v>46700.1</v>
      </c>
      <c r="C125" s="1">
        <f>IFERROR(__xludf.DUMMYFUNCTION("""COMPUTED_VALUE"""),46822.68)</f>
        <v>46822.68</v>
      </c>
      <c r="D125" s="1">
        <f>IFERROR(__xludf.DUMMYFUNCTION("""COMPUTED_VALUE"""),45474.38)</f>
        <v>45474.38</v>
      </c>
      <c r="E125" s="1">
        <f>IFERROR(__xludf.DUMMYFUNCTION("""COMPUTED_VALUE"""),45964.67)</f>
        <v>45964.67</v>
      </c>
      <c r="F125" s="1">
        <f>IFERROR(__xludf.DUMMYFUNCTION("""COMPUTED_VALUE"""),313704.0)</f>
        <v>313704</v>
      </c>
    </row>
    <row r="126">
      <c r="A126" s="2">
        <f>IFERROR(__xludf.DUMMYFUNCTION("""COMPUTED_VALUE"""),40729.645833333336)</f>
        <v>40729.64583</v>
      </c>
      <c r="B126" s="1">
        <f>IFERROR(__xludf.DUMMYFUNCTION("""COMPUTED_VALUE"""),46087.24)</f>
        <v>46087.24</v>
      </c>
      <c r="C126" s="1">
        <f>IFERROR(__xludf.DUMMYFUNCTION("""COMPUTED_VALUE"""),46577.53)</f>
        <v>46577.53</v>
      </c>
      <c r="D126" s="1">
        <f>IFERROR(__xludf.DUMMYFUNCTION("""COMPUTED_VALUE"""),45842.1)</f>
        <v>45842.1</v>
      </c>
      <c r="E126" s="1">
        <f>IFERROR(__xludf.DUMMYFUNCTION("""COMPUTED_VALUE"""),46454.96)</f>
        <v>46454.96</v>
      </c>
      <c r="F126" s="1">
        <f>IFERROR(__xludf.DUMMYFUNCTION("""COMPUTED_VALUE"""),178076.0)</f>
        <v>178076</v>
      </c>
    </row>
    <row r="127">
      <c r="A127" s="2">
        <f>IFERROR(__xludf.DUMMYFUNCTION("""COMPUTED_VALUE"""),40730.645833333336)</f>
        <v>40730.64583</v>
      </c>
      <c r="B127" s="1">
        <f>IFERROR(__xludf.DUMMYFUNCTION("""COMPUTED_VALUE"""),46577.53)</f>
        <v>46577.53</v>
      </c>
      <c r="C127" s="1">
        <f>IFERROR(__xludf.DUMMYFUNCTION("""COMPUTED_VALUE"""),46945.25)</f>
        <v>46945.25</v>
      </c>
      <c r="D127" s="1">
        <f>IFERROR(__xludf.DUMMYFUNCTION("""COMPUTED_VALUE"""),46087.24)</f>
        <v>46087.24</v>
      </c>
      <c r="E127" s="1">
        <f>IFERROR(__xludf.DUMMYFUNCTION("""COMPUTED_VALUE"""),46332.39)</f>
        <v>46332.39</v>
      </c>
      <c r="F127" s="1">
        <f>IFERROR(__xludf.DUMMYFUNCTION("""COMPUTED_VALUE"""),162909.0)</f>
        <v>162909</v>
      </c>
    </row>
    <row r="128">
      <c r="A128" s="2">
        <f>IFERROR(__xludf.DUMMYFUNCTION("""COMPUTED_VALUE"""),40731.645833333336)</f>
        <v>40731.64583</v>
      </c>
      <c r="B128" s="1">
        <f>IFERROR(__xludf.DUMMYFUNCTION("""COMPUTED_VALUE"""),46454.96)</f>
        <v>46454.96</v>
      </c>
      <c r="C128" s="1">
        <f>IFERROR(__xludf.DUMMYFUNCTION("""COMPUTED_VALUE"""),46822.68)</f>
        <v>46822.68</v>
      </c>
      <c r="D128" s="1">
        <f>IFERROR(__xludf.DUMMYFUNCTION("""COMPUTED_VALUE"""),46087.24)</f>
        <v>46087.24</v>
      </c>
      <c r="E128" s="1">
        <f>IFERROR(__xludf.DUMMYFUNCTION("""COMPUTED_VALUE"""),46822.68)</f>
        <v>46822.68</v>
      </c>
      <c r="F128" s="1">
        <f>IFERROR(__xludf.DUMMYFUNCTION("""COMPUTED_VALUE"""),222990.0)</f>
        <v>222990</v>
      </c>
    </row>
    <row r="129">
      <c r="A129" s="2">
        <f>IFERROR(__xludf.DUMMYFUNCTION("""COMPUTED_VALUE"""),40732.645833333336)</f>
        <v>40732.64583</v>
      </c>
      <c r="B129" s="1">
        <f>IFERROR(__xludf.DUMMYFUNCTION("""COMPUTED_VALUE"""),47190.39)</f>
        <v>47190.39</v>
      </c>
      <c r="C129" s="1">
        <f>IFERROR(__xludf.DUMMYFUNCTION("""COMPUTED_VALUE"""),47312.97)</f>
        <v>47312.97</v>
      </c>
      <c r="D129" s="1">
        <f>IFERROR(__xludf.DUMMYFUNCTION("""COMPUTED_VALUE"""),46822.68)</f>
        <v>46822.68</v>
      </c>
      <c r="E129" s="1">
        <f>IFERROR(__xludf.DUMMYFUNCTION("""COMPUTED_VALUE"""),47067.82)</f>
        <v>47067.82</v>
      </c>
      <c r="F129" s="1">
        <f>IFERROR(__xludf.DUMMYFUNCTION("""COMPUTED_VALUE"""),145315.0)</f>
        <v>145315</v>
      </c>
    </row>
    <row r="130">
      <c r="A130" s="2">
        <f>IFERROR(__xludf.DUMMYFUNCTION("""COMPUTED_VALUE"""),40735.645833333336)</f>
        <v>40735.64583</v>
      </c>
      <c r="B130" s="1">
        <f>IFERROR(__xludf.DUMMYFUNCTION("""COMPUTED_VALUE"""),47190.39)</f>
        <v>47190.39</v>
      </c>
      <c r="C130" s="1">
        <f>IFERROR(__xludf.DUMMYFUNCTION("""COMPUTED_VALUE"""),47190.39)</f>
        <v>47190.39</v>
      </c>
      <c r="D130" s="1">
        <f>IFERROR(__xludf.DUMMYFUNCTION("""COMPUTED_VALUE"""),46209.81)</f>
        <v>46209.81</v>
      </c>
      <c r="E130" s="1">
        <f>IFERROR(__xludf.DUMMYFUNCTION("""COMPUTED_VALUE"""),46700.1)</f>
        <v>46700.1</v>
      </c>
      <c r="F130" s="1">
        <f>IFERROR(__xludf.DUMMYFUNCTION("""COMPUTED_VALUE"""),102817.0)</f>
        <v>102817</v>
      </c>
    </row>
    <row r="131">
      <c r="A131" s="2">
        <f>IFERROR(__xludf.DUMMYFUNCTION("""COMPUTED_VALUE"""),40736.645833333336)</f>
        <v>40736.64583</v>
      </c>
      <c r="B131" s="1">
        <f>IFERROR(__xludf.DUMMYFUNCTION("""COMPUTED_VALUE"""),46332.39)</f>
        <v>46332.39</v>
      </c>
      <c r="C131" s="1">
        <f>IFERROR(__xludf.DUMMYFUNCTION("""COMPUTED_VALUE"""),46822.68)</f>
        <v>46822.68</v>
      </c>
      <c r="D131" s="1">
        <f>IFERROR(__xludf.DUMMYFUNCTION("""COMPUTED_VALUE"""),45474.38)</f>
        <v>45474.38</v>
      </c>
      <c r="E131" s="1">
        <f>IFERROR(__xludf.DUMMYFUNCTION("""COMPUTED_VALUE"""),45474.38)</f>
        <v>45474.38</v>
      </c>
      <c r="F131" s="1">
        <f>IFERROR(__xludf.DUMMYFUNCTION("""COMPUTED_VALUE"""),118436.0)</f>
        <v>118436</v>
      </c>
    </row>
    <row r="132">
      <c r="A132" s="2">
        <f>IFERROR(__xludf.DUMMYFUNCTION("""COMPUTED_VALUE"""),40737.645833333336)</f>
        <v>40737.64583</v>
      </c>
      <c r="B132" s="1">
        <f>IFERROR(__xludf.DUMMYFUNCTION("""COMPUTED_VALUE"""),45719.52)</f>
        <v>45719.52</v>
      </c>
      <c r="C132" s="1">
        <f>IFERROR(__xludf.DUMMYFUNCTION("""COMPUTED_VALUE"""),46700.1)</f>
        <v>46700.1</v>
      </c>
      <c r="D132" s="1">
        <f>IFERROR(__xludf.DUMMYFUNCTION("""COMPUTED_VALUE"""),45474.38)</f>
        <v>45474.38</v>
      </c>
      <c r="E132" s="1">
        <f>IFERROR(__xludf.DUMMYFUNCTION("""COMPUTED_VALUE"""),46087.24)</f>
        <v>46087.24</v>
      </c>
      <c r="F132" s="1">
        <f>IFERROR(__xludf.DUMMYFUNCTION("""COMPUTED_VALUE"""),177027.0)</f>
        <v>177027</v>
      </c>
    </row>
    <row r="133">
      <c r="A133" s="2">
        <f>IFERROR(__xludf.DUMMYFUNCTION("""COMPUTED_VALUE"""),40738.645833333336)</f>
        <v>40738.64583</v>
      </c>
      <c r="B133" s="1">
        <f>IFERROR(__xludf.DUMMYFUNCTION("""COMPUTED_VALUE"""),46087.24)</f>
        <v>46087.24</v>
      </c>
      <c r="C133" s="1">
        <f>IFERROR(__xludf.DUMMYFUNCTION("""COMPUTED_VALUE"""),46332.39)</f>
        <v>46332.39</v>
      </c>
      <c r="D133" s="1">
        <f>IFERROR(__xludf.DUMMYFUNCTION("""COMPUTED_VALUE"""),44616.37)</f>
        <v>44616.37</v>
      </c>
      <c r="E133" s="1">
        <f>IFERROR(__xludf.DUMMYFUNCTION("""COMPUTED_VALUE"""),45229.24)</f>
        <v>45229.24</v>
      </c>
      <c r="F133" s="1">
        <f>IFERROR(__xludf.DUMMYFUNCTION("""COMPUTED_VALUE"""),254434.0)</f>
        <v>254434</v>
      </c>
    </row>
    <row r="134">
      <c r="A134" s="2">
        <f>IFERROR(__xludf.DUMMYFUNCTION("""COMPUTED_VALUE"""),40739.645833333336)</f>
        <v>40739.64583</v>
      </c>
      <c r="B134" s="1">
        <f>IFERROR(__xludf.DUMMYFUNCTION("""COMPUTED_VALUE"""),45229.24)</f>
        <v>45229.24</v>
      </c>
      <c r="C134" s="1">
        <f>IFERROR(__xludf.DUMMYFUNCTION("""COMPUTED_VALUE"""),46332.39)</f>
        <v>46332.39</v>
      </c>
      <c r="D134" s="1">
        <f>IFERROR(__xludf.DUMMYFUNCTION("""COMPUTED_VALUE"""),45229.24)</f>
        <v>45229.24</v>
      </c>
      <c r="E134" s="1">
        <f>IFERROR(__xludf.DUMMYFUNCTION("""COMPUTED_VALUE"""),45964.67)</f>
        <v>45964.67</v>
      </c>
      <c r="F134" s="1">
        <f>IFERROR(__xludf.DUMMYFUNCTION("""COMPUTED_VALUE"""),243022.0)</f>
        <v>243022</v>
      </c>
    </row>
    <row r="135">
      <c r="A135" s="2">
        <f>IFERROR(__xludf.DUMMYFUNCTION("""COMPUTED_VALUE"""),40742.645833333336)</f>
        <v>40742.64583</v>
      </c>
      <c r="B135" s="1">
        <f>IFERROR(__xludf.DUMMYFUNCTION("""COMPUTED_VALUE"""),46454.96)</f>
        <v>46454.96</v>
      </c>
      <c r="C135" s="1">
        <f>IFERROR(__xludf.DUMMYFUNCTION("""COMPUTED_VALUE"""),48048.4)</f>
        <v>48048.4</v>
      </c>
      <c r="D135" s="1">
        <f>IFERROR(__xludf.DUMMYFUNCTION("""COMPUTED_VALUE"""),46209.81)</f>
        <v>46209.81</v>
      </c>
      <c r="E135" s="1">
        <f>IFERROR(__xludf.DUMMYFUNCTION("""COMPUTED_VALUE"""),47925.83)</f>
        <v>47925.83</v>
      </c>
      <c r="F135" s="1">
        <f>IFERROR(__xludf.DUMMYFUNCTION("""COMPUTED_VALUE"""),417987.0)</f>
        <v>417987</v>
      </c>
    </row>
    <row r="136">
      <c r="A136" s="2">
        <f>IFERROR(__xludf.DUMMYFUNCTION("""COMPUTED_VALUE"""),40743.645833333336)</f>
        <v>40743.64583</v>
      </c>
      <c r="B136" s="1">
        <f>IFERROR(__xludf.DUMMYFUNCTION("""COMPUTED_VALUE"""),48048.4)</f>
        <v>48048.4</v>
      </c>
      <c r="C136" s="1">
        <f>IFERROR(__xludf.DUMMYFUNCTION("""COMPUTED_VALUE"""),50622.42)</f>
        <v>50622.42</v>
      </c>
      <c r="D136" s="1">
        <f>IFERROR(__xludf.DUMMYFUNCTION("""COMPUTED_VALUE"""),47925.83)</f>
        <v>47925.83</v>
      </c>
      <c r="E136" s="1">
        <f>IFERROR(__xludf.DUMMYFUNCTION("""COMPUTED_VALUE"""),49519.27)</f>
        <v>49519.27</v>
      </c>
      <c r="F136" s="1">
        <f>IFERROR(__xludf.DUMMYFUNCTION("""COMPUTED_VALUE"""),662832.0)</f>
        <v>662832</v>
      </c>
    </row>
    <row r="137">
      <c r="A137" s="2">
        <f>IFERROR(__xludf.DUMMYFUNCTION("""COMPUTED_VALUE"""),40744.645833333336)</f>
        <v>40744.64583</v>
      </c>
      <c r="B137" s="1">
        <f>IFERROR(__xludf.DUMMYFUNCTION("""COMPUTED_VALUE"""),49519.27)</f>
        <v>49519.27</v>
      </c>
      <c r="C137" s="1">
        <f>IFERROR(__xludf.DUMMYFUNCTION("""COMPUTED_VALUE"""),51112.71)</f>
        <v>51112.71</v>
      </c>
      <c r="D137" s="1">
        <f>IFERROR(__xludf.DUMMYFUNCTION("""COMPUTED_VALUE"""),49028.98)</f>
        <v>49028.98</v>
      </c>
      <c r="E137" s="1">
        <f>IFERROR(__xludf.DUMMYFUNCTION("""COMPUTED_VALUE"""),49274.13)</f>
        <v>49274.13</v>
      </c>
      <c r="F137" s="1">
        <f>IFERROR(__xludf.DUMMYFUNCTION("""COMPUTED_VALUE"""),394939.0)</f>
        <v>394939</v>
      </c>
    </row>
    <row r="138">
      <c r="A138" s="2">
        <f>IFERROR(__xludf.DUMMYFUNCTION("""COMPUTED_VALUE"""),40745.645833333336)</f>
        <v>40745.64583</v>
      </c>
      <c r="B138" s="1">
        <f>IFERROR(__xludf.DUMMYFUNCTION("""COMPUTED_VALUE"""),50132.13)</f>
        <v>50132.13</v>
      </c>
      <c r="C138" s="1">
        <f>IFERROR(__xludf.DUMMYFUNCTION("""COMPUTED_VALUE"""),51603.0)</f>
        <v>51603</v>
      </c>
      <c r="D138" s="1">
        <f>IFERROR(__xludf.DUMMYFUNCTION("""COMPUTED_VALUE"""),49764.42)</f>
        <v>49764.42</v>
      </c>
      <c r="E138" s="1">
        <f>IFERROR(__xludf.DUMMYFUNCTION("""COMPUTED_VALUE"""),51480.43)</f>
        <v>51480.43</v>
      </c>
      <c r="F138" s="1">
        <f>IFERROR(__xludf.DUMMYFUNCTION("""COMPUTED_VALUE"""),386253.0)</f>
        <v>386253</v>
      </c>
    </row>
    <row r="139">
      <c r="A139" s="2">
        <f>IFERROR(__xludf.DUMMYFUNCTION("""COMPUTED_VALUE"""),40746.645833333336)</f>
        <v>40746.64583</v>
      </c>
      <c r="B139" s="1">
        <f>IFERROR(__xludf.DUMMYFUNCTION("""COMPUTED_VALUE"""),51357.86)</f>
        <v>51357.86</v>
      </c>
      <c r="C139" s="1">
        <f>IFERROR(__xludf.DUMMYFUNCTION("""COMPUTED_VALUE"""),52215.86)</f>
        <v>52215.86</v>
      </c>
      <c r="D139" s="1">
        <f>IFERROR(__xludf.DUMMYFUNCTION("""COMPUTED_VALUE"""),50499.85)</f>
        <v>50499.85</v>
      </c>
      <c r="E139" s="1">
        <f>IFERROR(__xludf.DUMMYFUNCTION("""COMPUTED_VALUE"""),51357.86)</f>
        <v>51357.86</v>
      </c>
      <c r="F139" s="1">
        <f>IFERROR(__xludf.DUMMYFUNCTION("""COMPUTED_VALUE"""),229588.0)</f>
        <v>229588</v>
      </c>
    </row>
    <row r="140">
      <c r="A140" s="2">
        <f>IFERROR(__xludf.DUMMYFUNCTION("""COMPUTED_VALUE"""),40749.645833333336)</f>
        <v>40749.64583</v>
      </c>
      <c r="B140" s="1">
        <f>IFERROR(__xludf.DUMMYFUNCTION("""COMPUTED_VALUE"""),50745.0)</f>
        <v>50745</v>
      </c>
      <c r="C140" s="1">
        <f>IFERROR(__xludf.DUMMYFUNCTION("""COMPUTED_VALUE"""),50990.14)</f>
        <v>50990.14</v>
      </c>
      <c r="D140" s="1">
        <f>IFERROR(__xludf.DUMMYFUNCTION("""COMPUTED_VALUE"""),49764.42)</f>
        <v>49764.42</v>
      </c>
      <c r="E140" s="1">
        <f>IFERROR(__xludf.DUMMYFUNCTION("""COMPUTED_VALUE"""),50622.42)</f>
        <v>50622.42</v>
      </c>
      <c r="F140" s="1">
        <f>IFERROR(__xludf.DUMMYFUNCTION("""COMPUTED_VALUE"""),115171.0)</f>
        <v>115171</v>
      </c>
    </row>
    <row r="141">
      <c r="A141" s="2">
        <f>IFERROR(__xludf.DUMMYFUNCTION("""COMPUTED_VALUE"""),40750.645833333336)</f>
        <v>40750.64583</v>
      </c>
      <c r="B141" s="1">
        <f>IFERROR(__xludf.DUMMYFUNCTION("""COMPUTED_VALUE"""),50499.85)</f>
        <v>50499.85</v>
      </c>
      <c r="C141" s="1">
        <f>IFERROR(__xludf.DUMMYFUNCTION("""COMPUTED_VALUE"""),52706.15)</f>
        <v>52706.15</v>
      </c>
      <c r="D141" s="1">
        <f>IFERROR(__xludf.DUMMYFUNCTION("""COMPUTED_VALUE"""),49764.42)</f>
        <v>49764.42</v>
      </c>
      <c r="E141" s="1">
        <f>IFERROR(__xludf.DUMMYFUNCTION("""COMPUTED_VALUE"""),52093.29)</f>
        <v>52093.29</v>
      </c>
      <c r="F141" s="1">
        <f>IFERROR(__xludf.DUMMYFUNCTION("""COMPUTED_VALUE"""),289522.0)</f>
        <v>289522</v>
      </c>
    </row>
    <row r="142">
      <c r="A142" s="2">
        <f>IFERROR(__xludf.DUMMYFUNCTION("""COMPUTED_VALUE"""),40751.645833333336)</f>
        <v>40751.64583</v>
      </c>
      <c r="B142" s="1">
        <f>IFERROR(__xludf.DUMMYFUNCTION("""COMPUTED_VALUE"""),52215.86)</f>
        <v>52215.86</v>
      </c>
      <c r="C142" s="1">
        <f>IFERROR(__xludf.DUMMYFUNCTION("""COMPUTED_VALUE"""),53809.31)</f>
        <v>53809.31</v>
      </c>
      <c r="D142" s="1">
        <f>IFERROR(__xludf.DUMMYFUNCTION("""COMPUTED_VALUE"""),50745.0)</f>
        <v>50745</v>
      </c>
      <c r="E142" s="1">
        <f>IFERROR(__xludf.DUMMYFUNCTION("""COMPUTED_VALUE"""),53441.59)</f>
        <v>53441.59</v>
      </c>
      <c r="F142" s="1">
        <f>IFERROR(__xludf.DUMMYFUNCTION("""COMPUTED_VALUE"""),207434.0)</f>
        <v>207434</v>
      </c>
    </row>
    <row r="143">
      <c r="A143" s="2">
        <f>IFERROR(__xludf.DUMMYFUNCTION("""COMPUTED_VALUE"""),40752.645833333336)</f>
        <v>40752.64583</v>
      </c>
      <c r="B143" s="1">
        <f>IFERROR(__xludf.DUMMYFUNCTION("""COMPUTED_VALUE"""),52583.58)</f>
        <v>52583.58</v>
      </c>
      <c r="C143" s="1">
        <f>IFERROR(__xludf.DUMMYFUNCTION("""COMPUTED_VALUE"""),54054.45)</f>
        <v>54054.45</v>
      </c>
      <c r="D143" s="1">
        <f>IFERROR(__xludf.DUMMYFUNCTION("""COMPUTED_VALUE"""),52338.44)</f>
        <v>52338.44</v>
      </c>
      <c r="E143" s="1">
        <f>IFERROR(__xludf.DUMMYFUNCTION("""COMPUTED_VALUE"""),52461.01)</f>
        <v>52461.01</v>
      </c>
      <c r="F143" s="1">
        <f>IFERROR(__xludf.DUMMYFUNCTION("""COMPUTED_VALUE"""),393290.0)</f>
        <v>393290</v>
      </c>
    </row>
    <row r="144">
      <c r="A144" s="2">
        <f>IFERROR(__xludf.DUMMYFUNCTION("""COMPUTED_VALUE"""),40753.645833333336)</f>
        <v>40753.64583</v>
      </c>
      <c r="B144" s="1">
        <f>IFERROR(__xludf.DUMMYFUNCTION("""COMPUTED_VALUE"""),52461.01)</f>
        <v>52461.01</v>
      </c>
      <c r="C144" s="1">
        <f>IFERROR(__xludf.DUMMYFUNCTION("""COMPUTED_VALUE"""),52828.73)</f>
        <v>52828.73</v>
      </c>
      <c r="D144" s="1">
        <f>IFERROR(__xludf.DUMMYFUNCTION("""COMPUTED_VALUE"""),51480.43)</f>
        <v>51480.43</v>
      </c>
      <c r="E144" s="1">
        <f>IFERROR(__xludf.DUMMYFUNCTION("""COMPUTED_VALUE"""),51480.43)</f>
        <v>51480.43</v>
      </c>
      <c r="F144" s="1">
        <f>IFERROR(__xludf.DUMMYFUNCTION("""COMPUTED_VALUE"""),197937.0)</f>
        <v>197937</v>
      </c>
    </row>
    <row r="145">
      <c r="A145" s="2">
        <f>IFERROR(__xludf.DUMMYFUNCTION("""COMPUTED_VALUE"""),40756.645833333336)</f>
        <v>40756.64583</v>
      </c>
      <c r="B145" s="1">
        <f>IFERROR(__xludf.DUMMYFUNCTION("""COMPUTED_VALUE"""),51603.0)</f>
        <v>51603</v>
      </c>
      <c r="C145" s="1">
        <f>IFERROR(__xludf.DUMMYFUNCTION("""COMPUTED_VALUE"""),53441.59)</f>
        <v>53441.59</v>
      </c>
      <c r="D145" s="1">
        <f>IFERROR(__xludf.DUMMYFUNCTION("""COMPUTED_VALUE"""),51603.0)</f>
        <v>51603</v>
      </c>
      <c r="E145" s="1">
        <f>IFERROR(__xludf.DUMMYFUNCTION("""COMPUTED_VALUE"""),52215.86)</f>
        <v>52215.86</v>
      </c>
      <c r="F145" s="1">
        <f>IFERROR(__xludf.DUMMYFUNCTION("""COMPUTED_VALUE"""),300774.0)</f>
        <v>300774</v>
      </c>
    </row>
    <row r="146">
      <c r="A146" s="2">
        <f>IFERROR(__xludf.DUMMYFUNCTION("""COMPUTED_VALUE"""),40757.645833333336)</f>
        <v>40757.64583</v>
      </c>
      <c r="B146" s="1">
        <f>IFERROR(__xludf.DUMMYFUNCTION("""COMPUTED_VALUE"""),52215.86)</f>
        <v>52215.86</v>
      </c>
      <c r="C146" s="1">
        <f>IFERROR(__xludf.DUMMYFUNCTION("""COMPUTED_VALUE"""),53319.02)</f>
        <v>53319.02</v>
      </c>
      <c r="D146" s="1">
        <f>IFERROR(__xludf.DUMMYFUNCTION("""COMPUTED_VALUE"""),51480.43)</f>
        <v>51480.43</v>
      </c>
      <c r="E146" s="1">
        <f>IFERROR(__xludf.DUMMYFUNCTION("""COMPUTED_VALUE"""),52338.44)</f>
        <v>52338.44</v>
      </c>
      <c r="F146" s="1">
        <f>IFERROR(__xludf.DUMMYFUNCTION("""COMPUTED_VALUE"""),157102.0)</f>
        <v>157102</v>
      </c>
    </row>
    <row r="147">
      <c r="A147" s="2">
        <f>IFERROR(__xludf.DUMMYFUNCTION("""COMPUTED_VALUE"""),40758.645833333336)</f>
        <v>40758.64583</v>
      </c>
      <c r="B147" s="1">
        <f>IFERROR(__xludf.DUMMYFUNCTION("""COMPUTED_VALUE"""),51725.57)</f>
        <v>51725.57</v>
      </c>
      <c r="C147" s="1">
        <f>IFERROR(__xludf.DUMMYFUNCTION("""COMPUTED_VALUE"""),53319.02)</f>
        <v>53319.02</v>
      </c>
      <c r="D147" s="1">
        <f>IFERROR(__xludf.DUMMYFUNCTION("""COMPUTED_VALUE"""),50867.57)</f>
        <v>50867.57</v>
      </c>
      <c r="E147" s="1">
        <f>IFERROR(__xludf.DUMMYFUNCTION("""COMPUTED_VALUE"""),51848.15)</f>
        <v>51848.15</v>
      </c>
      <c r="F147" s="1">
        <f>IFERROR(__xludf.DUMMYFUNCTION("""COMPUTED_VALUE"""),257109.0)</f>
        <v>257109</v>
      </c>
    </row>
    <row r="148">
      <c r="A148" s="2">
        <f>IFERROR(__xludf.DUMMYFUNCTION("""COMPUTED_VALUE"""),40759.645833333336)</f>
        <v>40759.64583</v>
      </c>
      <c r="B148" s="1">
        <f>IFERROR(__xludf.DUMMYFUNCTION("""COMPUTED_VALUE"""),51603.0)</f>
        <v>51603</v>
      </c>
      <c r="C148" s="1">
        <f>IFERROR(__xludf.DUMMYFUNCTION("""COMPUTED_VALUE"""),53196.44)</f>
        <v>53196.44</v>
      </c>
      <c r="D148" s="1">
        <f>IFERROR(__xludf.DUMMYFUNCTION("""COMPUTED_VALUE"""),50254.71)</f>
        <v>50254.71</v>
      </c>
      <c r="E148" s="1">
        <f>IFERROR(__xludf.DUMMYFUNCTION("""COMPUTED_VALUE"""),50867.57)</f>
        <v>50867.57</v>
      </c>
      <c r="F148" s="1">
        <f>IFERROR(__xludf.DUMMYFUNCTION("""COMPUTED_VALUE"""),290898.0)</f>
        <v>290898</v>
      </c>
    </row>
    <row r="149">
      <c r="A149" s="2">
        <f>IFERROR(__xludf.DUMMYFUNCTION("""COMPUTED_VALUE"""),40760.645833333336)</f>
        <v>40760.64583</v>
      </c>
      <c r="B149" s="1">
        <f>IFERROR(__xludf.DUMMYFUNCTION("""COMPUTED_VALUE"""),50499.85)</f>
        <v>50499.85</v>
      </c>
      <c r="C149" s="1">
        <f>IFERROR(__xludf.DUMMYFUNCTION("""COMPUTED_VALUE"""),50499.85)</f>
        <v>50499.85</v>
      </c>
      <c r="D149" s="1">
        <f>IFERROR(__xludf.DUMMYFUNCTION("""COMPUTED_VALUE"""),46577.53)</f>
        <v>46577.53</v>
      </c>
      <c r="E149" s="1">
        <f>IFERROR(__xludf.DUMMYFUNCTION("""COMPUTED_VALUE"""),48906.41)</f>
        <v>48906.41</v>
      </c>
      <c r="F149" s="1">
        <f>IFERROR(__xludf.DUMMYFUNCTION("""COMPUTED_VALUE"""),340281.0)</f>
        <v>340281</v>
      </c>
    </row>
    <row r="150">
      <c r="A150" s="2">
        <f>IFERROR(__xludf.DUMMYFUNCTION("""COMPUTED_VALUE"""),40763.645833333336)</f>
        <v>40763.64583</v>
      </c>
      <c r="B150" s="1">
        <f>IFERROR(__xludf.DUMMYFUNCTION("""COMPUTED_VALUE"""),47558.11)</f>
        <v>47558.11</v>
      </c>
      <c r="C150" s="1">
        <f>IFERROR(__xludf.DUMMYFUNCTION("""COMPUTED_VALUE"""),49764.42)</f>
        <v>49764.42</v>
      </c>
      <c r="D150" s="1">
        <f>IFERROR(__xludf.DUMMYFUNCTION("""COMPUTED_VALUE"""),46332.39)</f>
        <v>46332.39</v>
      </c>
      <c r="E150" s="1">
        <f>IFERROR(__xludf.DUMMYFUNCTION("""COMPUTED_VALUE"""),46577.53)</f>
        <v>46577.53</v>
      </c>
      <c r="F150" s="1">
        <f>IFERROR(__xludf.DUMMYFUNCTION("""COMPUTED_VALUE"""),302846.0)</f>
        <v>302846</v>
      </c>
    </row>
    <row r="151">
      <c r="A151" s="2">
        <f>IFERROR(__xludf.DUMMYFUNCTION("""COMPUTED_VALUE"""),40764.645833333336)</f>
        <v>40764.64583</v>
      </c>
      <c r="B151" s="1">
        <f>IFERROR(__xludf.DUMMYFUNCTION("""COMPUTED_VALUE"""),46087.24)</f>
        <v>46087.24</v>
      </c>
      <c r="C151" s="1">
        <f>IFERROR(__xludf.DUMMYFUNCTION("""COMPUTED_VALUE"""),46332.39)</f>
        <v>46332.39</v>
      </c>
      <c r="D151" s="1">
        <f>IFERROR(__xludf.DUMMYFUNCTION("""COMPUTED_VALUE"""),41306.92)</f>
        <v>41306.92</v>
      </c>
      <c r="E151" s="1">
        <f>IFERROR(__xludf.DUMMYFUNCTION("""COMPUTED_VALUE"""),42900.36)</f>
        <v>42900.36</v>
      </c>
      <c r="F151" s="1">
        <f>IFERROR(__xludf.DUMMYFUNCTION("""COMPUTED_VALUE"""),494155.0)</f>
        <v>494155</v>
      </c>
    </row>
    <row r="152">
      <c r="A152" s="2">
        <f>IFERROR(__xludf.DUMMYFUNCTION("""COMPUTED_VALUE"""),40765.645833333336)</f>
        <v>40765.64583</v>
      </c>
      <c r="B152" s="1">
        <f>IFERROR(__xludf.DUMMYFUNCTION("""COMPUTED_VALUE"""),44616.37)</f>
        <v>44616.37</v>
      </c>
      <c r="C152" s="1">
        <f>IFERROR(__xludf.DUMMYFUNCTION("""COMPUTED_VALUE"""),47435.54)</f>
        <v>47435.54</v>
      </c>
      <c r="D152" s="1">
        <f>IFERROR(__xludf.DUMMYFUNCTION("""COMPUTED_VALUE"""),44126.08)</f>
        <v>44126.08</v>
      </c>
      <c r="E152" s="1">
        <f>IFERROR(__xludf.DUMMYFUNCTION("""COMPUTED_VALUE"""),46945.25)</f>
        <v>46945.25</v>
      </c>
      <c r="F152" s="1">
        <f>IFERROR(__xludf.DUMMYFUNCTION("""COMPUTED_VALUE"""),496017.0)</f>
        <v>496017</v>
      </c>
    </row>
    <row r="153">
      <c r="A153" s="2">
        <f>IFERROR(__xludf.DUMMYFUNCTION("""COMPUTED_VALUE"""),40766.645833333336)</f>
        <v>40766.64583</v>
      </c>
      <c r="B153" s="1">
        <f>IFERROR(__xludf.DUMMYFUNCTION("""COMPUTED_VALUE"""),43635.79)</f>
        <v>43635.79</v>
      </c>
      <c r="C153" s="1">
        <f>IFERROR(__xludf.DUMMYFUNCTION("""COMPUTED_VALUE"""),49519.27)</f>
        <v>49519.27</v>
      </c>
      <c r="D153" s="1">
        <f>IFERROR(__xludf.DUMMYFUNCTION("""COMPUTED_VALUE"""),43635.79)</f>
        <v>43635.79</v>
      </c>
      <c r="E153" s="1">
        <f>IFERROR(__xludf.DUMMYFUNCTION("""COMPUTED_VALUE"""),46454.96)</f>
        <v>46454.96</v>
      </c>
      <c r="F153" s="1">
        <f>IFERROR(__xludf.DUMMYFUNCTION("""COMPUTED_VALUE"""),596942.0)</f>
        <v>596942</v>
      </c>
    </row>
    <row r="154">
      <c r="A154" s="2">
        <f>IFERROR(__xludf.DUMMYFUNCTION("""COMPUTED_VALUE"""),40767.645833333336)</f>
        <v>40767.64583</v>
      </c>
      <c r="B154" s="1">
        <f>IFERROR(__xludf.DUMMYFUNCTION("""COMPUTED_VALUE"""),46577.53)</f>
        <v>46577.53</v>
      </c>
      <c r="C154" s="1">
        <f>IFERROR(__xludf.DUMMYFUNCTION("""COMPUTED_VALUE"""),46945.25)</f>
        <v>46945.25</v>
      </c>
      <c r="D154" s="1">
        <f>IFERROR(__xludf.DUMMYFUNCTION("""COMPUTED_VALUE"""),43390.65)</f>
        <v>43390.65</v>
      </c>
      <c r="E154" s="1">
        <f>IFERROR(__xludf.DUMMYFUNCTION("""COMPUTED_VALUE"""),43513.22)</f>
        <v>43513.22</v>
      </c>
      <c r="F154" s="1">
        <f>IFERROR(__xludf.DUMMYFUNCTION("""COMPUTED_VALUE"""),671813.0)</f>
        <v>671813</v>
      </c>
    </row>
    <row r="155">
      <c r="A155" s="2">
        <f>IFERROR(__xludf.DUMMYFUNCTION("""COMPUTED_VALUE"""),40771.645833333336)</f>
        <v>40771.64583</v>
      </c>
      <c r="B155" s="1">
        <f>IFERROR(__xludf.DUMMYFUNCTION("""COMPUTED_VALUE"""),44616.37)</f>
        <v>44616.37</v>
      </c>
      <c r="C155" s="1">
        <f>IFERROR(__xludf.DUMMYFUNCTION("""COMPUTED_VALUE"""),44738.95)</f>
        <v>44738.95</v>
      </c>
      <c r="D155" s="1">
        <f>IFERROR(__xludf.DUMMYFUNCTION("""COMPUTED_VALUE"""),43268.08)</f>
        <v>43268.08</v>
      </c>
      <c r="E155" s="1">
        <f>IFERROR(__xludf.DUMMYFUNCTION("""COMPUTED_VALUE"""),43513.22)</f>
        <v>43513.22</v>
      </c>
      <c r="F155" s="1">
        <f>IFERROR(__xludf.DUMMYFUNCTION("""COMPUTED_VALUE"""),434916.0)</f>
        <v>434916</v>
      </c>
    </row>
    <row r="156">
      <c r="A156" s="2">
        <f>IFERROR(__xludf.DUMMYFUNCTION("""COMPUTED_VALUE"""),40772.645833333336)</f>
        <v>40772.64583</v>
      </c>
      <c r="B156" s="1">
        <f>IFERROR(__xludf.DUMMYFUNCTION("""COMPUTED_VALUE"""),43513.22)</f>
        <v>43513.22</v>
      </c>
      <c r="C156" s="1">
        <f>IFERROR(__xludf.DUMMYFUNCTION("""COMPUTED_VALUE"""),44861.52)</f>
        <v>44861.52</v>
      </c>
      <c r="D156" s="1">
        <f>IFERROR(__xludf.DUMMYFUNCTION("""COMPUTED_VALUE"""),42410.07)</f>
        <v>42410.07</v>
      </c>
      <c r="E156" s="1">
        <f>IFERROR(__xludf.DUMMYFUNCTION("""COMPUTED_VALUE"""),43635.79)</f>
        <v>43635.79</v>
      </c>
      <c r="F156" s="1">
        <f>IFERROR(__xludf.DUMMYFUNCTION("""COMPUTED_VALUE"""),435569.0)</f>
        <v>435569</v>
      </c>
    </row>
    <row r="157">
      <c r="A157" s="2">
        <f>IFERROR(__xludf.DUMMYFUNCTION("""COMPUTED_VALUE"""),40773.645833333336)</f>
        <v>40773.64583</v>
      </c>
      <c r="B157" s="1">
        <f>IFERROR(__xludf.DUMMYFUNCTION("""COMPUTED_VALUE"""),44248.66)</f>
        <v>44248.66</v>
      </c>
      <c r="C157" s="1">
        <f>IFERROR(__xludf.DUMMYFUNCTION("""COMPUTED_VALUE"""),47067.82)</f>
        <v>47067.82</v>
      </c>
      <c r="D157" s="1">
        <f>IFERROR(__xludf.DUMMYFUNCTION("""COMPUTED_VALUE"""),44003.51)</f>
        <v>44003.51</v>
      </c>
      <c r="E157" s="1">
        <f>IFERROR(__xludf.DUMMYFUNCTION("""COMPUTED_VALUE"""),46700.1)</f>
        <v>46700.1</v>
      </c>
      <c r="F157" s="1">
        <f>IFERROR(__xludf.DUMMYFUNCTION("""COMPUTED_VALUE"""),566249.0)</f>
        <v>566249</v>
      </c>
    </row>
    <row r="158">
      <c r="A158" s="2">
        <f>IFERROR(__xludf.DUMMYFUNCTION("""COMPUTED_VALUE"""),40774.645833333336)</f>
        <v>40774.64583</v>
      </c>
      <c r="B158" s="1">
        <f>IFERROR(__xludf.DUMMYFUNCTION("""COMPUTED_VALUE"""),46209.81)</f>
        <v>46209.81</v>
      </c>
      <c r="C158" s="1">
        <f>IFERROR(__xludf.DUMMYFUNCTION("""COMPUTED_VALUE"""),48906.41)</f>
        <v>48906.41</v>
      </c>
      <c r="D158" s="1">
        <f>IFERROR(__xludf.DUMMYFUNCTION("""COMPUTED_VALUE"""),45474.38)</f>
        <v>45474.38</v>
      </c>
      <c r="E158" s="1">
        <f>IFERROR(__xludf.DUMMYFUNCTION("""COMPUTED_VALUE"""),45719.52)</f>
        <v>45719.52</v>
      </c>
      <c r="F158" s="1">
        <f>IFERROR(__xludf.DUMMYFUNCTION("""COMPUTED_VALUE"""),462637.0)</f>
        <v>462637</v>
      </c>
    </row>
    <row r="159">
      <c r="A159" s="2">
        <f>IFERROR(__xludf.DUMMYFUNCTION("""COMPUTED_VALUE"""),40777.645833333336)</f>
        <v>40777.64583</v>
      </c>
      <c r="B159" s="1">
        <f>IFERROR(__xludf.DUMMYFUNCTION("""COMPUTED_VALUE"""),46087.24)</f>
        <v>46087.24</v>
      </c>
      <c r="C159" s="1">
        <f>IFERROR(__xludf.DUMMYFUNCTION("""COMPUTED_VALUE"""),48170.97)</f>
        <v>48170.97</v>
      </c>
      <c r="D159" s="1">
        <f>IFERROR(__xludf.DUMMYFUNCTION("""COMPUTED_VALUE"""),43880.94)</f>
        <v>43880.94</v>
      </c>
      <c r="E159" s="1">
        <f>IFERROR(__xludf.DUMMYFUNCTION("""COMPUTED_VALUE"""),46822.68)</f>
        <v>46822.68</v>
      </c>
      <c r="F159" s="1">
        <f>IFERROR(__xludf.DUMMYFUNCTION("""COMPUTED_VALUE"""),233851.0)</f>
        <v>233851</v>
      </c>
    </row>
    <row r="160">
      <c r="A160" s="2">
        <f>IFERROR(__xludf.DUMMYFUNCTION("""COMPUTED_VALUE"""),40778.645833333336)</f>
        <v>40778.64583</v>
      </c>
      <c r="B160" s="1">
        <f>IFERROR(__xludf.DUMMYFUNCTION("""COMPUTED_VALUE"""),47803.26)</f>
        <v>47803.26</v>
      </c>
      <c r="C160" s="1">
        <f>IFERROR(__xludf.DUMMYFUNCTION("""COMPUTED_VALUE"""),48416.12)</f>
        <v>48416.12</v>
      </c>
      <c r="D160" s="1">
        <f>IFERROR(__xludf.DUMMYFUNCTION("""COMPUTED_VALUE"""),46332.39)</f>
        <v>46332.39</v>
      </c>
      <c r="E160" s="1">
        <f>IFERROR(__xludf.DUMMYFUNCTION("""COMPUTED_VALUE"""),47558.11)</f>
        <v>47558.11</v>
      </c>
      <c r="F160" s="1">
        <f>IFERROR(__xludf.DUMMYFUNCTION("""COMPUTED_VALUE"""),266176.0)</f>
        <v>266176</v>
      </c>
    </row>
    <row r="161">
      <c r="A161" s="2">
        <f>IFERROR(__xludf.DUMMYFUNCTION("""COMPUTED_VALUE"""),40779.645833333336)</f>
        <v>40779.64583</v>
      </c>
      <c r="B161" s="1">
        <f>IFERROR(__xludf.DUMMYFUNCTION("""COMPUTED_VALUE"""),47558.11)</f>
        <v>47558.11</v>
      </c>
      <c r="C161" s="1">
        <f>IFERROR(__xludf.DUMMYFUNCTION("""COMPUTED_VALUE"""),50132.13)</f>
        <v>50132.13</v>
      </c>
      <c r="D161" s="1">
        <f>IFERROR(__xludf.DUMMYFUNCTION("""COMPUTED_VALUE"""),46087.24)</f>
        <v>46087.24</v>
      </c>
      <c r="E161" s="1">
        <f>IFERROR(__xludf.DUMMYFUNCTION("""COMPUTED_VALUE"""),49028.98)</f>
        <v>49028.98</v>
      </c>
      <c r="F161" s="1">
        <f>IFERROR(__xludf.DUMMYFUNCTION("""COMPUTED_VALUE"""),266739.0)</f>
        <v>266739</v>
      </c>
    </row>
    <row r="162">
      <c r="A162" s="2">
        <f>IFERROR(__xludf.DUMMYFUNCTION("""COMPUTED_VALUE"""),40780.645833333336)</f>
        <v>40780.64583</v>
      </c>
      <c r="B162" s="1">
        <f>IFERROR(__xludf.DUMMYFUNCTION("""COMPUTED_VALUE"""),48538.69)</f>
        <v>48538.69</v>
      </c>
      <c r="C162" s="1">
        <f>IFERROR(__xludf.DUMMYFUNCTION("""COMPUTED_VALUE"""),50254.71)</f>
        <v>50254.71</v>
      </c>
      <c r="D162" s="1">
        <f>IFERROR(__xludf.DUMMYFUNCTION("""COMPUTED_VALUE"""),48293.55)</f>
        <v>48293.55</v>
      </c>
      <c r="E162" s="1">
        <f>IFERROR(__xludf.DUMMYFUNCTION("""COMPUTED_VALUE"""),48538.69)</f>
        <v>48538.69</v>
      </c>
      <c r="F162" s="1">
        <f>IFERROR(__xludf.DUMMYFUNCTION("""COMPUTED_VALUE"""),197079.0)</f>
        <v>197079</v>
      </c>
    </row>
    <row r="163">
      <c r="A163" s="2">
        <f>IFERROR(__xludf.DUMMYFUNCTION("""COMPUTED_VALUE"""),40781.645833333336)</f>
        <v>40781.64583</v>
      </c>
      <c r="B163" s="1">
        <f>IFERROR(__xludf.DUMMYFUNCTION("""COMPUTED_VALUE"""),47680.68)</f>
        <v>47680.68</v>
      </c>
      <c r="C163" s="1">
        <f>IFERROR(__xludf.DUMMYFUNCTION("""COMPUTED_VALUE"""),48293.55)</f>
        <v>48293.55</v>
      </c>
      <c r="D163" s="1">
        <f>IFERROR(__xludf.DUMMYFUNCTION("""COMPUTED_VALUE"""),46454.96)</f>
        <v>46454.96</v>
      </c>
      <c r="E163" s="1">
        <f>IFERROR(__xludf.DUMMYFUNCTION("""COMPUTED_VALUE"""),47312.97)</f>
        <v>47312.97</v>
      </c>
      <c r="F163" s="1">
        <f>IFERROR(__xludf.DUMMYFUNCTION("""COMPUTED_VALUE"""),200542.0)</f>
        <v>200542</v>
      </c>
    </row>
    <row r="164">
      <c r="A164" s="2">
        <f>IFERROR(__xludf.DUMMYFUNCTION("""COMPUTED_VALUE"""),40784.645833333336)</f>
        <v>40784.64583</v>
      </c>
      <c r="B164" s="1">
        <f>IFERROR(__xludf.DUMMYFUNCTION("""COMPUTED_VALUE"""),47558.11)</f>
        <v>47558.11</v>
      </c>
      <c r="C164" s="1">
        <f>IFERROR(__xludf.DUMMYFUNCTION("""COMPUTED_VALUE"""),47803.26)</f>
        <v>47803.26</v>
      </c>
      <c r="D164" s="1">
        <f>IFERROR(__xludf.DUMMYFUNCTION("""COMPUTED_VALUE"""),46454.96)</f>
        <v>46454.96</v>
      </c>
      <c r="E164" s="1">
        <f>IFERROR(__xludf.DUMMYFUNCTION("""COMPUTED_VALUE"""),46577.53)</f>
        <v>46577.53</v>
      </c>
      <c r="F164" s="1">
        <f>IFERROR(__xludf.DUMMYFUNCTION("""COMPUTED_VALUE"""),190724.0)</f>
        <v>190724</v>
      </c>
    </row>
    <row r="165">
      <c r="A165" s="2">
        <f>IFERROR(__xludf.DUMMYFUNCTION("""COMPUTED_VALUE"""),40785.645833333336)</f>
        <v>40785.64583</v>
      </c>
      <c r="B165" s="1">
        <f>IFERROR(__xludf.DUMMYFUNCTION("""COMPUTED_VALUE"""),46822.68)</f>
        <v>46822.68</v>
      </c>
      <c r="C165" s="1">
        <f>IFERROR(__xludf.DUMMYFUNCTION("""COMPUTED_VALUE"""),48783.84)</f>
        <v>48783.84</v>
      </c>
      <c r="D165" s="1">
        <f>IFERROR(__xludf.DUMMYFUNCTION("""COMPUTED_VALUE"""),46577.53)</f>
        <v>46577.53</v>
      </c>
      <c r="E165" s="1">
        <f>IFERROR(__xludf.DUMMYFUNCTION("""COMPUTED_VALUE"""),47803.26)</f>
        <v>47803.26</v>
      </c>
      <c r="F165" s="1">
        <f>IFERROR(__xludf.DUMMYFUNCTION("""COMPUTED_VALUE"""),186461.0)</f>
        <v>186461</v>
      </c>
    </row>
    <row r="166">
      <c r="A166" s="2">
        <f>IFERROR(__xludf.DUMMYFUNCTION("""COMPUTED_VALUE"""),40786.645833333336)</f>
        <v>40786.64583</v>
      </c>
      <c r="B166" s="1">
        <f>IFERROR(__xludf.DUMMYFUNCTION("""COMPUTED_VALUE"""),48293.55)</f>
        <v>48293.55</v>
      </c>
      <c r="C166" s="1">
        <f>IFERROR(__xludf.DUMMYFUNCTION("""COMPUTED_VALUE"""),51480.43)</f>
        <v>51480.43</v>
      </c>
      <c r="D166" s="1">
        <f>IFERROR(__xludf.DUMMYFUNCTION("""COMPUTED_VALUE"""),47803.26)</f>
        <v>47803.26</v>
      </c>
      <c r="E166" s="1">
        <f>IFERROR(__xludf.DUMMYFUNCTION("""COMPUTED_VALUE"""),50990.14)</f>
        <v>50990.14</v>
      </c>
      <c r="F166" s="1">
        <f>IFERROR(__xludf.DUMMYFUNCTION("""COMPUTED_VALUE"""),273271.0)</f>
        <v>273271</v>
      </c>
    </row>
    <row r="167">
      <c r="A167" s="2">
        <f>IFERROR(__xludf.DUMMYFUNCTION("""COMPUTED_VALUE"""),40787.645833333336)</f>
        <v>40787.64583</v>
      </c>
      <c r="B167" s="1">
        <f>IFERROR(__xludf.DUMMYFUNCTION("""COMPUTED_VALUE"""),51112.71)</f>
        <v>51112.71</v>
      </c>
      <c r="C167" s="1">
        <f>IFERROR(__xludf.DUMMYFUNCTION("""COMPUTED_VALUE"""),53319.02)</f>
        <v>53319.02</v>
      </c>
      <c r="D167" s="1">
        <f>IFERROR(__xludf.DUMMYFUNCTION("""COMPUTED_VALUE"""),50499.85)</f>
        <v>50499.85</v>
      </c>
      <c r="E167" s="1">
        <f>IFERROR(__xludf.DUMMYFUNCTION("""COMPUTED_VALUE"""),50867.57)</f>
        <v>50867.57</v>
      </c>
      <c r="F167" s="1">
        <f>IFERROR(__xludf.DUMMYFUNCTION("""COMPUTED_VALUE"""),314683.0)</f>
        <v>314683</v>
      </c>
    </row>
    <row r="168">
      <c r="A168" s="2">
        <f>IFERROR(__xludf.DUMMYFUNCTION("""COMPUTED_VALUE"""),40788.645833333336)</f>
        <v>40788.64583</v>
      </c>
      <c r="B168" s="1">
        <f>IFERROR(__xludf.DUMMYFUNCTION("""COMPUTED_VALUE"""),50499.85)</f>
        <v>50499.85</v>
      </c>
      <c r="C168" s="1">
        <f>IFERROR(__xludf.DUMMYFUNCTION("""COMPUTED_VALUE"""),53441.59)</f>
        <v>53441.59</v>
      </c>
      <c r="D168" s="1">
        <f>IFERROR(__xludf.DUMMYFUNCTION("""COMPUTED_VALUE"""),50254.71)</f>
        <v>50254.71</v>
      </c>
      <c r="E168" s="1">
        <f>IFERROR(__xludf.DUMMYFUNCTION("""COMPUTED_VALUE"""),51603.0)</f>
        <v>51603</v>
      </c>
      <c r="F168" s="1">
        <f>IFERROR(__xludf.DUMMYFUNCTION("""COMPUTED_VALUE"""),267580.0)</f>
        <v>267580</v>
      </c>
    </row>
    <row r="169">
      <c r="A169" s="2">
        <f>IFERROR(__xludf.DUMMYFUNCTION("""COMPUTED_VALUE"""),40791.645833333336)</f>
        <v>40791.64583</v>
      </c>
      <c r="B169" s="1">
        <f>IFERROR(__xludf.DUMMYFUNCTION("""COMPUTED_VALUE"""),51480.43)</f>
        <v>51480.43</v>
      </c>
      <c r="C169" s="1">
        <f>IFERROR(__xludf.DUMMYFUNCTION("""COMPUTED_VALUE"""),53196.44)</f>
        <v>53196.44</v>
      </c>
      <c r="D169" s="1">
        <f>IFERROR(__xludf.DUMMYFUNCTION("""COMPUTED_VALUE"""),50622.42)</f>
        <v>50622.42</v>
      </c>
      <c r="E169" s="1">
        <f>IFERROR(__xludf.DUMMYFUNCTION("""COMPUTED_VALUE"""),52093.29)</f>
        <v>52093.29</v>
      </c>
      <c r="F169" s="1">
        <f>IFERROR(__xludf.DUMMYFUNCTION("""COMPUTED_VALUE"""),240771.0)</f>
        <v>240771</v>
      </c>
    </row>
    <row r="170">
      <c r="A170" s="2">
        <f>IFERROR(__xludf.DUMMYFUNCTION("""COMPUTED_VALUE"""),40792.645833333336)</f>
        <v>40792.64583</v>
      </c>
      <c r="B170" s="1">
        <f>IFERROR(__xludf.DUMMYFUNCTION("""COMPUTED_VALUE"""),51603.0)</f>
        <v>51603</v>
      </c>
      <c r="C170" s="1">
        <f>IFERROR(__xludf.DUMMYFUNCTION("""COMPUTED_VALUE"""),54544.74)</f>
        <v>54544.74</v>
      </c>
      <c r="D170" s="1">
        <f>IFERROR(__xludf.DUMMYFUNCTION("""COMPUTED_VALUE"""),51480.43)</f>
        <v>51480.43</v>
      </c>
      <c r="E170" s="1">
        <f>IFERROR(__xludf.DUMMYFUNCTION("""COMPUTED_VALUE"""),52951.3)</f>
        <v>52951.3</v>
      </c>
      <c r="F170" s="1">
        <f>IFERROR(__xludf.DUMMYFUNCTION("""COMPUTED_VALUE"""),490675.0)</f>
        <v>490675</v>
      </c>
    </row>
    <row r="171">
      <c r="A171" s="2">
        <f>IFERROR(__xludf.DUMMYFUNCTION("""COMPUTED_VALUE"""),40793.645833333336)</f>
        <v>40793.64583</v>
      </c>
      <c r="B171" s="1">
        <f>IFERROR(__xludf.DUMMYFUNCTION("""COMPUTED_VALUE"""),53686.73)</f>
        <v>53686.73</v>
      </c>
      <c r="C171" s="1">
        <f>IFERROR(__xludf.DUMMYFUNCTION("""COMPUTED_VALUE"""),53931.88)</f>
        <v>53931.88</v>
      </c>
      <c r="D171" s="1">
        <f>IFERROR(__xludf.DUMMYFUNCTION("""COMPUTED_VALUE"""),52338.44)</f>
        <v>52338.44</v>
      </c>
      <c r="E171" s="1">
        <f>IFERROR(__xludf.DUMMYFUNCTION("""COMPUTED_VALUE"""),53809.31)</f>
        <v>53809.31</v>
      </c>
      <c r="F171" s="1">
        <f>IFERROR(__xludf.DUMMYFUNCTION("""COMPUTED_VALUE"""),281616.0)</f>
        <v>281616</v>
      </c>
    </row>
    <row r="172">
      <c r="A172" s="2">
        <f>IFERROR(__xludf.DUMMYFUNCTION("""COMPUTED_VALUE"""),40794.645833333336)</f>
        <v>40794.64583</v>
      </c>
      <c r="B172" s="1">
        <f>IFERROR(__xludf.DUMMYFUNCTION("""COMPUTED_VALUE"""),53319.02)</f>
        <v>53319.02</v>
      </c>
      <c r="C172" s="1">
        <f>IFERROR(__xludf.DUMMYFUNCTION("""COMPUTED_VALUE"""),53686.73)</f>
        <v>53686.73</v>
      </c>
      <c r="D172" s="1">
        <f>IFERROR(__xludf.DUMMYFUNCTION("""COMPUTED_VALUE"""),50990.14)</f>
        <v>50990.14</v>
      </c>
      <c r="E172" s="1">
        <f>IFERROR(__xludf.DUMMYFUNCTION("""COMPUTED_VALUE"""),51970.72)</f>
        <v>51970.72</v>
      </c>
      <c r="F172" s="1">
        <f>IFERROR(__xludf.DUMMYFUNCTION("""COMPUTED_VALUE"""),310539.0)</f>
        <v>310539</v>
      </c>
    </row>
    <row r="173">
      <c r="A173" s="2">
        <f>IFERROR(__xludf.DUMMYFUNCTION("""COMPUTED_VALUE"""),40795.645833333336)</f>
        <v>40795.64583</v>
      </c>
      <c r="B173" s="1">
        <f>IFERROR(__xludf.DUMMYFUNCTION("""COMPUTED_VALUE"""),51235.29)</f>
        <v>51235.29</v>
      </c>
      <c r="C173" s="1">
        <f>IFERROR(__xludf.DUMMYFUNCTION("""COMPUTED_VALUE"""),51848.15)</f>
        <v>51848.15</v>
      </c>
      <c r="D173" s="1">
        <f>IFERROR(__xludf.DUMMYFUNCTION("""COMPUTED_VALUE"""),50132.13)</f>
        <v>50132.13</v>
      </c>
      <c r="E173" s="1">
        <f>IFERROR(__xludf.DUMMYFUNCTION("""COMPUTED_VALUE"""),50867.57)</f>
        <v>50867.57</v>
      </c>
      <c r="F173" s="1">
        <f>IFERROR(__xludf.DUMMYFUNCTION("""COMPUTED_VALUE"""),175984.0)</f>
        <v>175984</v>
      </c>
    </row>
    <row r="174">
      <c r="A174" s="2">
        <f>IFERROR(__xludf.DUMMYFUNCTION("""COMPUTED_VALUE"""),40800.645833333336)</f>
        <v>40800.64583</v>
      </c>
      <c r="B174" s="1">
        <f>IFERROR(__xludf.DUMMYFUNCTION("""COMPUTED_VALUE"""),50990.14)</f>
        <v>50990.14</v>
      </c>
      <c r="C174" s="1">
        <f>IFERROR(__xludf.DUMMYFUNCTION("""COMPUTED_VALUE"""),50990.14)</f>
        <v>50990.14</v>
      </c>
      <c r="D174" s="1">
        <f>IFERROR(__xludf.DUMMYFUNCTION("""COMPUTED_VALUE"""),48783.84)</f>
        <v>48783.84</v>
      </c>
      <c r="E174" s="1">
        <f>IFERROR(__xludf.DUMMYFUNCTION("""COMPUTED_VALUE"""),49886.99)</f>
        <v>49886.99</v>
      </c>
      <c r="F174" s="1">
        <f>IFERROR(__xludf.DUMMYFUNCTION("""COMPUTED_VALUE"""),218404.0)</f>
        <v>218404</v>
      </c>
    </row>
    <row r="175">
      <c r="A175" s="2">
        <f>IFERROR(__xludf.DUMMYFUNCTION("""COMPUTED_VALUE"""),40801.645833333336)</f>
        <v>40801.64583</v>
      </c>
      <c r="B175" s="1">
        <f>IFERROR(__xludf.DUMMYFUNCTION("""COMPUTED_VALUE"""),50867.57)</f>
        <v>50867.57</v>
      </c>
      <c r="C175" s="1">
        <f>IFERROR(__xludf.DUMMYFUNCTION("""COMPUTED_VALUE"""),51725.57)</f>
        <v>51725.57</v>
      </c>
      <c r="D175" s="1">
        <f>IFERROR(__xludf.DUMMYFUNCTION("""COMPUTED_VALUE"""),49641.84)</f>
        <v>49641.84</v>
      </c>
      <c r="E175" s="1">
        <f>IFERROR(__xludf.DUMMYFUNCTION("""COMPUTED_VALUE"""),50254.71)</f>
        <v>50254.71</v>
      </c>
      <c r="F175" s="1">
        <f>IFERROR(__xludf.DUMMYFUNCTION("""COMPUTED_VALUE"""),151857.0)</f>
        <v>151857</v>
      </c>
    </row>
    <row r="176">
      <c r="A176" s="2">
        <f>IFERROR(__xludf.DUMMYFUNCTION("""COMPUTED_VALUE"""),40802.645833333336)</f>
        <v>40802.64583</v>
      </c>
      <c r="B176" s="1">
        <f>IFERROR(__xludf.DUMMYFUNCTION("""COMPUTED_VALUE"""),50990.14)</f>
        <v>50990.14</v>
      </c>
      <c r="C176" s="1">
        <f>IFERROR(__xludf.DUMMYFUNCTION("""COMPUTED_VALUE"""),52215.86)</f>
        <v>52215.86</v>
      </c>
      <c r="D176" s="1">
        <f>IFERROR(__xludf.DUMMYFUNCTION("""COMPUTED_VALUE"""),50377.28)</f>
        <v>50377.28</v>
      </c>
      <c r="E176" s="1">
        <f>IFERROR(__xludf.DUMMYFUNCTION("""COMPUTED_VALUE"""),50499.85)</f>
        <v>50499.85</v>
      </c>
      <c r="F176" s="1">
        <f>IFERROR(__xludf.DUMMYFUNCTION("""COMPUTED_VALUE"""),194592.0)</f>
        <v>194592</v>
      </c>
    </row>
    <row r="177">
      <c r="A177" s="2">
        <f>IFERROR(__xludf.DUMMYFUNCTION("""COMPUTED_VALUE"""),40805.645833333336)</f>
        <v>40805.64583</v>
      </c>
      <c r="B177" s="1">
        <f>IFERROR(__xludf.DUMMYFUNCTION("""COMPUTED_VALUE"""),51112.71)</f>
        <v>51112.71</v>
      </c>
      <c r="C177" s="1">
        <f>IFERROR(__xludf.DUMMYFUNCTION("""COMPUTED_VALUE"""),52215.86)</f>
        <v>52215.86</v>
      </c>
      <c r="D177" s="1">
        <f>IFERROR(__xludf.DUMMYFUNCTION("""COMPUTED_VALUE"""),50499.85)</f>
        <v>50499.85</v>
      </c>
      <c r="E177" s="1">
        <f>IFERROR(__xludf.DUMMYFUNCTION("""COMPUTED_VALUE"""),51603.0)</f>
        <v>51603</v>
      </c>
      <c r="F177" s="1">
        <f>IFERROR(__xludf.DUMMYFUNCTION("""COMPUTED_VALUE"""),164759.0)</f>
        <v>164759</v>
      </c>
    </row>
    <row r="178">
      <c r="A178" s="2">
        <f>IFERROR(__xludf.DUMMYFUNCTION("""COMPUTED_VALUE"""),40806.645833333336)</f>
        <v>40806.64583</v>
      </c>
      <c r="B178" s="1">
        <f>IFERROR(__xludf.DUMMYFUNCTION("""COMPUTED_VALUE"""),51603.0)</f>
        <v>51603</v>
      </c>
      <c r="C178" s="1">
        <f>IFERROR(__xludf.DUMMYFUNCTION("""COMPUTED_VALUE"""),53809.31)</f>
        <v>53809.31</v>
      </c>
      <c r="D178" s="1">
        <f>IFERROR(__xludf.DUMMYFUNCTION("""COMPUTED_VALUE"""),51112.71)</f>
        <v>51112.71</v>
      </c>
      <c r="E178" s="1">
        <f>IFERROR(__xludf.DUMMYFUNCTION("""COMPUTED_VALUE"""),53319.02)</f>
        <v>53319.02</v>
      </c>
      <c r="F178" s="1">
        <f>IFERROR(__xludf.DUMMYFUNCTION("""COMPUTED_VALUE"""),174747.0)</f>
        <v>174747</v>
      </c>
    </row>
    <row r="179">
      <c r="A179" s="2">
        <f>IFERROR(__xludf.DUMMYFUNCTION("""COMPUTED_VALUE"""),40807.645833333336)</f>
        <v>40807.64583</v>
      </c>
      <c r="B179" s="1">
        <f>IFERROR(__xludf.DUMMYFUNCTION("""COMPUTED_VALUE"""),52828.73)</f>
        <v>52828.73</v>
      </c>
      <c r="C179" s="1">
        <f>IFERROR(__xludf.DUMMYFUNCTION("""COMPUTED_VALUE"""),55893.04)</f>
        <v>55893.04</v>
      </c>
      <c r="D179" s="1">
        <f>IFERROR(__xludf.DUMMYFUNCTION("""COMPUTED_VALUE"""),52338.44)</f>
        <v>52338.44</v>
      </c>
      <c r="E179" s="1">
        <f>IFERROR(__xludf.DUMMYFUNCTION("""COMPUTED_VALUE"""),55157.6)</f>
        <v>55157.6</v>
      </c>
      <c r="F179" s="1">
        <f>IFERROR(__xludf.DUMMYFUNCTION("""COMPUTED_VALUE"""),292251.0)</f>
        <v>292251</v>
      </c>
    </row>
    <row r="180">
      <c r="A180" s="2">
        <f>IFERROR(__xludf.DUMMYFUNCTION("""COMPUTED_VALUE"""),40808.645833333336)</f>
        <v>40808.64583</v>
      </c>
      <c r="B180" s="1">
        <f>IFERROR(__xludf.DUMMYFUNCTION("""COMPUTED_VALUE"""),54544.74)</f>
        <v>54544.74</v>
      </c>
      <c r="C180" s="1">
        <f>IFERROR(__xludf.DUMMYFUNCTION("""COMPUTED_VALUE"""),56260.76)</f>
        <v>56260.76</v>
      </c>
      <c r="D180" s="1">
        <f>IFERROR(__xludf.DUMMYFUNCTION("""COMPUTED_VALUE"""),54054.45)</f>
        <v>54054.45</v>
      </c>
      <c r="E180" s="1">
        <f>IFERROR(__xludf.DUMMYFUNCTION("""COMPUTED_VALUE"""),55157.6)</f>
        <v>55157.6</v>
      </c>
      <c r="F180" s="1">
        <f>IFERROR(__xludf.DUMMYFUNCTION("""COMPUTED_VALUE"""),190155.0)</f>
        <v>190155</v>
      </c>
    </row>
    <row r="181">
      <c r="A181" s="2">
        <f>IFERROR(__xludf.DUMMYFUNCTION("""COMPUTED_VALUE"""),40809.645833333336)</f>
        <v>40809.64583</v>
      </c>
      <c r="B181" s="1">
        <f>IFERROR(__xludf.DUMMYFUNCTION("""COMPUTED_VALUE"""),54177.02)</f>
        <v>54177.02</v>
      </c>
      <c r="C181" s="1">
        <f>IFERROR(__xludf.DUMMYFUNCTION("""COMPUTED_VALUE"""),55525.32)</f>
        <v>55525.32</v>
      </c>
      <c r="D181" s="1">
        <f>IFERROR(__xludf.DUMMYFUNCTION("""COMPUTED_VALUE"""),52338.44)</f>
        <v>52338.44</v>
      </c>
      <c r="E181" s="1">
        <f>IFERROR(__xludf.DUMMYFUNCTION("""COMPUTED_VALUE"""),52828.73)</f>
        <v>52828.73</v>
      </c>
      <c r="F181" s="1">
        <f>IFERROR(__xludf.DUMMYFUNCTION("""COMPUTED_VALUE"""),272707.0)</f>
        <v>272707</v>
      </c>
    </row>
    <row r="182">
      <c r="A182" s="2">
        <f>IFERROR(__xludf.DUMMYFUNCTION("""COMPUTED_VALUE"""),40812.645833333336)</f>
        <v>40812.64583</v>
      </c>
      <c r="B182" s="1">
        <f>IFERROR(__xludf.DUMMYFUNCTION("""COMPUTED_VALUE"""),53196.44)</f>
        <v>53196.44</v>
      </c>
      <c r="C182" s="1">
        <f>IFERROR(__xludf.DUMMYFUNCTION("""COMPUTED_VALUE"""),54299.6)</f>
        <v>54299.6</v>
      </c>
      <c r="D182" s="1">
        <f>IFERROR(__xludf.DUMMYFUNCTION("""COMPUTED_VALUE"""),49886.99)</f>
        <v>49886.99</v>
      </c>
      <c r="E182" s="1">
        <f>IFERROR(__xludf.DUMMYFUNCTION("""COMPUTED_VALUE"""),52093.29)</f>
        <v>52093.29</v>
      </c>
      <c r="F182" s="1">
        <f>IFERROR(__xludf.DUMMYFUNCTION("""COMPUTED_VALUE"""),315487.0)</f>
        <v>315487</v>
      </c>
    </row>
    <row r="183">
      <c r="A183" s="2">
        <f>IFERROR(__xludf.DUMMYFUNCTION("""COMPUTED_VALUE"""),40813.645833333336)</f>
        <v>40813.64583</v>
      </c>
      <c r="B183" s="1">
        <f>IFERROR(__xludf.DUMMYFUNCTION("""COMPUTED_VALUE"""),52583.58)</f>
        <v>52583.58</v>
      </c>
      <c r="C183" s="1">
        <f>IFERROR(__xludf.DUMMYFUNCTION("""COMPUTED_VALUE"""),53809.31)</f>
        <v>53809.31</v>
      </c>
      <c r="D183" s="1">
        <f>IFERROR(__xludf.DUMMYFUNCTION("""COMPUTED_VALUE"""),50622.42)</f>
        <v>50622.42</v>
      </c>
      <c r="E183" s="1">
        <f>IFERROR(__xludf.DUMMYFUNCTION("""COMPUTED_VALUE"""),52951.3)</f>
        <v>52951.3</v>
      </c>
      <c r="F183" s="1">
        <f>IFERROR(__xludf.DUMMYFUNCTION("""COMPUTED_VALUE"""),268651.0)</f>
        <v>268651</v>
      </c>
    </row>
    <row r="184">
      <c r="A184" s="2">
        <f>IFERROR(__xludf.DUMMYFUNCTION("""COMPUTED_VALUE"""),40814.645833333336)</f>
        <v>40814.64583</v>
      </c>
      <c r="B184" s="1">
        <f>IFERROR(__xludf.DUMMYFUNCTION("""COMPUTED_VALUE"""),52706.15)</f>
        <v>52706.15</v>
      </c>
      <c r="C184" s="1">
        <f>IFERROR(__xludf.DUMMYFUNCTION("""COMPUTED_VALUE"""),54177.02)</f>
        <v>54177.02</v>
      </c>
      <c r="D184" s="1">
        <f>IFERROR(__xludf.DUMMYFUNCTION("""COMPUTED_VALUE"""),51848.15)</f>
        <v>51848.15</v>
      </c>
      <c r="E184" s="1">
        <f>IFERROR(__xludf.DUMMYFUNCTION("""COMPUTED_VALUE"""),53319.02)</f>
        <v>53319.02</v>
      </c>
      <c r="F184" s="1">
        <f>IFERROR(__xludf.DUMMYFUNCTION("""COMPUTED_VALUE"""),149697.0)</f>
        <v>149697</v>
      </c>
    </row>
    <row r="185">
      <c r="A185" s="2">
        <f>IFERROR(__xludf.DUMMYFUNCTION("""COMPUTED_VALUE"""),40815.645833333336)</f>
        <v>40815.64583</v>
      </c>
      <c r="B185" s="1">
        <f>IFERROR(__xludf.DUMMYFUNCTION("""COMPUTED_VALUE"""),53319.02)</f>
        <v>53319.02</v>
      </c>
      <c r="C185" s="1">
        <f>IFERROR(__xludf.DUMMYFUNCTION("""COMPUTED_VALUE"""),55525.32)</f>
        <v>55525.32</v>
      </c>
      <c r="D185" s="1">
        <f>IFERROR(__xludf.DUMMYFUNCTION("""COMPUTED_VALUE"""),52583.58)</f>
        <v>52583.58</v>
      </c>
      <c r="E185" s="1">
        <f>IFERROR(__xludf.DUMMYFUNCTION("""COMPUTED_VALUE"""),54177.02)</f>
        <v>54177.02</v>
      </c>
      <c r="F185" s="1">
        <f>IFERROR(__xludf.DUMMYFUNCTION("""COMPUTED_VALUE"""),161992.0)</f>
        <v>161992</v>
      </c>
    </row>
    <row r="186">
      <c r="A186" s="2">
        <f>IFERROR(__xludf.DUMMYFUNCTION("""COMPUTED_VALUE"""),40816.645833333336)</f>
        <v>40816.64583</v>
      </c>
      <c r="B186" s="1">
        <f>IFERROR(__xludf.DUMMYFUNCTION("""COMPUTED_VALUE"""),54177.02)</f>
        <v>54177.02</v>
      </c>
      <c r="C186" s="1">
        <f>IFERROR(__xludf.DUMMYFUNCTION("""COMPUTED_VALUE"""),58957.35)</f>
        <v>58957.35</v>
      </c>
      <c r="D186" s="1">
        <f>IFERROR(__xludf.DUMMYFUNCTION("""COMPUTED_VALUE"""),53441.59)</f>
        <v>53441.59</v>
      </c>
      <c r="E186" s="1">
        <f>IFERROR(__xludf.DUMMYFUNCTION("""COMPUTED_VALUE"""),55647.89)</f>
        <v>55647.89</v>
      </c>
      <c r="F186" s="1">
        <f>IFERROR(__xludf.DUMMYFUNCTION("""COMPUTED_VALUE"""),280108.0)</f>
        <v>280108</v>
      </c>
    </row>
    <row r="187">
      <c r="A187" s="2">
        <f>IFERROR(__xludf.DUMMYFUNCTION("""COMPUTED_VALUE"""),40820.645833333336)</f>
        <v>40820.64583</v>
      </c>
      <c r="B187" s="1">
        <f>IFERROR(__xludf.DUMMYFUNCTION("""COMPUTED_VALUE"""),54789.89)</f>
        <v>54789.89</v>
      </c>
      <c r="C187" s="1">
        <f>IFERROR(__xludf.DUMMYFUNCTION("""COMPUTED_VALUE"""),57363.91)</f>
        <v>57363.91</v>
      </c>
      <c r="D187" s="1">
        <f>IFERROR(__xludf.DUMMYFUNCTION("""COMPUTED_VALUE"""),54667.31)</f>
        <v>54667.31</v>
      </c>
      <c r="E187" s="1">
        <f>IFERROR(__xludf.DUMMYFUNCTION("""COMPUTED_VALUE"""),55647.89)</f>
        <v>55647.89</v>
      </c>
      <c r="F187" s="1">
        <f>IFERROR(__xludf.DUMMYFUNCTION("""COMPUTED_VALUE"""),343807.0)</f>
        <v>343807</v>
      </c>
    </row>
    <row r="188">
      <c r="A188" s="2">
        <f>IFERROR(__xludf.DUMMYFUNCTION("""COMPUTED_VALUE"""),40821.645833333336)</f>
        <v>40821.64583</v>
      </c>
      <c r="B188" s="1">
        <f>IFERROR(__xludf.DUMMYFUNCTION("""COMPUTED_VALUE"""),56751.05)</f>
        <v>56751.05</v>
      </c>
      <c r="C188" s="1">
        <f>IFERROR(__xludf.DUMMYFUNCTION("""COMPUTED_VALUE"""),59325.07)</f>
        <v>59325.07</v>
      </c>
      <c r="D188" s="1">
        <f>IFERROR(__xludf.DUMMYFUNCTION("""COMPUTED_VALUE"""),55280.18)</f>
        <v>55280.18</v>
      </c>
      <c r="E188" s="1">
        <f>IFERROR(__xludf.DUMMYFUNCTION("""COMPUTED_VALUE"""),56873.62)</f>
        <v>56873.62</v>
      </c>
      <c r="F188" s="1">
        <f>IFERROR(__xludf.DUMMYFUNCTION("""COMPUTED_VALUE"""),384273.0)</f>
        <v>384273</v>
      </c>
    </row>
    <row r="189">
      <c r="A189" s="2">
        <f>IFERROR(__xludf.DUMMYFUNCTION("""COMPUTED_VALUE"""),40822.645833333336)</f>
        <v>40822.64583</v>
      </c>
      <c r="B189" s="1">
        <f>IFERROR(__xludf.DUMMYFUNCTION("""COMPUTED_VALUE"""),58589.63)</f>
        <v>58589.63</v>
      </c>
      <c r="C189" s="1">
        <f>IFERROR(__xludf.DUMMYFUNCTION("""COMPUTED_VALUE"""),58589.63)</f>
        <v>58589.63</v>
      </c>
      <c r="D189" s="1">
        <f>IFERROR(__xludf.DUMMYFUNCTION("""COMPUTED_VALUE"""),56751.05)</f>
        <v>56751.05</v>
      </c>
      <c r="E189" s="1">
        <f>IFERROR(__xludf.DUMMYFUNCTION("""COMPUTED_VALUE"""),57976.77)</f>
        <v>57976.77</v>
      </c>
      <c r="F189" s="1">
        <f>IFERROR(__xludf.DUMMYFUNCTION("""COMPUTED_VALUE"""),256727.0)</f>
        <v>256727</v>
      </c>
    </row>
    <row r="190">
      <c r="A190" s="2">
        <f>IFERROR(__xludf.DUMMYFUNCTION("""COMPUTED_VALUE"""),40823.645833333336)</f>
        <v>40823.64583</v>
      </c>
      <c r="B190" s="1">
        <f>IFERROR(__xludf.DUMMYFUNCTION("""COMPUTED_VALUE"""),57363.91)</f>
        <v>57363.91</v>
      </c>
      <c r="C190" s="1">
        <f>IFERROR(__xludf.DUMMYFUNCTION("""COMPUTED_VALUE"""),58834.78)</f>
        <v>58834.78</v>
      </c>
      <c r="D190" s="1">
        <f>IFERROR(__xludf.DUMMYFUNCTION("""COMPUTED_VALUE"""),53931.88)</f>
        <v>53931.88</v>
      </c>
      <c r="E190" s="1">
        <f>IFERROR(__xludf.DUMMYFUNCTION("""COMPUTED_VALUE"""),54299.6)</f>
        <v>54299.6</v>
      </c>
      <c r="F190" s="1">
        <f>IFERROR(__xludf.DUMMYFUNCTION("""COMPUTED_VALUE"""),479808.0)</f>
        <v>479808</v>
      </c>
    </row>
    <row r="191">
      <c r="A191" s="2">
        <f>IFERROR(__xludf.DUMMYFUNCTION("""COMPUTED_VALUE"""),40826.645833333336)</f>
        <v>40826.64583</v>
      </c>
      <c r="B191" s="1">
        <f>IFERROR(__xludf.DUMMYFUNCTION("""COMPUTED_VALUE"""),53564.16)</f>
        <v>53564.16</v>
      </c>
      <c r="C191" s="1">
        <f>IFERROR(__xludf.DUMMYFUNCTION("""COMPUTED_VALUE"""),55647.89)</f>
        <v>55647.89</v>
      </c>
      <c r="D191" s="1">
        <f>IFERROR(__xludf.DUMMYFUNCTION("""COMPUTED_VALUE"""),53564.16)</f>
        <v>53564.16</v>
      </c>
      <c r="E191" s="1">
        <f>IFERROR(__xludf.DUMMYFUNCTION("""COMPUTED_VALUE"""),55157.6)</f>
        <v>55157.6</v>
      </c>
      <c r="F191" s="1">
        <f>IFERROR(__xludf.DUMMYFUNCTION("""COMPUTED_VALUE"""),150045.0)</f>
        <v>150045</v>
      </c>
    </row>
    <row r="192">
      <c r="A192" s="2">
        <f>IFERROR(__xludf.DUMMYFUNCTION("""COMPUTED_VALUE"""),40827.645833333336)</f>
        <v>40827.64583</v>
      </c>
      <c r="B192" s="1">
        <f>IFERROR(__xludf.DUMMYFUNCTION("""COMPUTED_VALUE"""),55280.18)</f>
        <v>55280.18</v>
      </c>
      <c r="C192" s="1">
        <f>IFERROR(__xludf.DUMMYFUNCTION("""COMPUTED_VALUE"""),56383.33)</f>
        <v>56383.33</v>
      </c>
      <c r="D192" s="1">
        <f>IFERROR(__xludf.DUMMYFUNCTION("""COMPUTED_VALUE"""),53809.31)</f>
        <v>53809.31</v>
      </c>
      <c r="E192" s="1">
        <f>IFERROR(__xludf.DUMMYFUNCTION("""COMPUTED_VALUE"""),55157.6)</f>
        <v>55157.6</v>
      </c>
      <c r="F192" s="1">
        <f>IFERROR(__xludf.DUMMYFUNCTION("""COMPUTED_VALUE"""),295897.0)</f>
        <v>295897</v>
      </c>
    </row>
    <row r="193">
      <c r="A193" s="2">
        <f>IFERROR(__xludf.DUMMYFUNCTION("""COMPUTED_VALUE"""),40828.645833333336)</f>
        <v>40828.64583</v>
      </c>
      <c r="B193" s="1">
        <f>IFERROR(__xludf.DUMMYFUNCTION("""COMPUTED_VALUE"""),55035.03)</f>
        <v>55035.03</v>
      </c>
      <c r="C193" s="1">
        <f>IFERROR(__xludf.DUMMYFUNCTION("""COMPUTED_VALUE"""),57241.34)</f>
        <v>57241.34</v>
      </c>
      <c r="D193" s="1">
        <f>IFERROR(__xludf.DUMMYFUNCTION("""COMPUTED_VALUE"""),54912.46)</f>
        <v>54912.46</v>
      </c>
      <c r="E193" s="1">
        <f>IFERROR(__xludf.DUMMYFUNCTION("""COMPUTED_VALUE"""),56751.05)</f>
        <v>56751.05</v>
      </c>
      <c r="F193" s="1">
        <f>IFERROR(__xludf.DUMMYFUNCTION("""COMPUTED_VALUE"""),164869.0)</f>
        <v>164869</v>
      </c>
    </row>
    <row r="194">
      <c r="A194" s="2">
        <f>IFERROR(__xludf.DUMMYFUNCTION("""COMPUTED_VALUE"""),40829.645833333336)</f>
        <v>40829.64583</v>
      </c>
      <c r="B194" s="1">
        <f>IFERROR(__xludf.DUMMYFUNCTION("""COMPUTED_VALUE"""),56628.47)</f>
        <v>56628.47</v>
      </c>
      <c r="C194" s="1">
        <f>IFERROR(__xludf.DUMMYFUNCTION("""COMPUTED_VALUE"""),59202.49)</f>
        <v>59202.49</v>
      </c>
      <c r="D194" s="1">
        <f>IFERROR(__xludf.DUMMYFUNCTION("""COMPUTED_VALUE"""),56383.33)</f>
        <v>56383.33</v>
      </c>
      <c r="E194" s="1">
        <f>IFERROR(__xludf.DUMMYFUNCTION("""COMPUTED_VALUE"""),56383.33)</f>
        <v>56383.33</v>
      </c>
      <c r="F194" s="1">
        <f>IFERROR(__xludf.DUMMYFUNCTION("""COMPUTED_VALUE"""),268818.0)</f>
        <v>268818</v>
      </c>
    </row>
    <row r="195">
      <c r="A195" s="2">
        <f>IFERROR(__xludf.DUMMYFUNCTION("""COMPUTED_VALUE"""),40830.645833333336)</f>
        <v>40830.64583</v>
      </c>
      <c r="B195" s="1">
        <f>IFERROR(__xludf.DUMMYFUNCTION("""COMPUTED_VALUE"""),57241.34)</f>
        <v>57241.34</v>
      </c>
      <c r="C195" s="1">
        <f>IFERROR(__xludf.DUMMYFUNCTION("""COMPUTED_VALUE"""),61286.23)</f>
        <v>61286.23</v>
      </c>
      <c r="D195" s="1">
        <f>IFERROR(__xludf.DUMMYFUNCTION("""COMPUTED_VALUE"""),56873.62)</f>
        <v>56873.62</v>
      </c>
      <c r="E195" s="1">
        <f>IFERROR(__xludf.DUMMYFUNCTION("""COMPUTED_VALUE"""),60060.5)</f>
        <v>60060.5</v>
      </c>
      <c r="F195" s="1">
        <f>IFERROR(__xludf.DUMMYFUNCTION("""COMPUTED_VALUE"""),392577.0)</f>
        <v>392577</v>
      </c>
    </row>
    <row r="196">
      <c r="A196" s="2">
        <f>IFERROR(__xludf.DUMMYFUNCTION("""COMPUTED_VALUE"""),40833.645833333336)</f>
        <v>40833.64583</v>
      </c>
      <c r="B196" s="1">
        <f>IFERROR(__xludf.DUMMYFUNCTION("""COMPUTED_VALUE"""),60550.79)</f>
        <v>60550.79</v>
      </c>
      <c r="C196" s="1">
        <f>IFERROR(__xludf.DUMMYFUNCTION("""COMPUTED_VALUE"""),63124.81)</f>
        <v>63124.81</v>
      </c>
      <c r="D196" s="1">
        <f>IFERROR(__xludf.DUMMYFUNCTION("""COMPUTED_VALUE"""),59937.93)</f>
        <v>59937.93</v>
      </c>
      <c r="E196" s="1">
        <f>IFERROR(__xludf.DUMMYFUNCTION("""COMPUTED_VALUE"""),61163.65)</f>
        <v>61163.65</v>
      </c>
      <c r="F196" s="1">
        <f>IFERROR(__xludf.DUMMYFUNCTION("""COMPUTED_VALUE"""),311121.0)</f>
        <v>311121</v>
      </c>
    </row>
    <row r="197">
      <c r="A197" s="2">
        <f>IFERROR(__xludf.DUMMYFUNCTION("""COMPUTED_VALUE"""),40834.645833333336)</f>
        <v>40834.64583</v>
      </c>
      <c r="B197" s="1">
        <f>IFERROR(__xludf.DUMMYFUNCTION("""COMPUTED_VALUE"""),60550.79)</f>
        <v>60550.79</v>
      </c>
      <c r="C197" s="1">
        <f>IFERROR(__xludf.DUMMYFUNCTION("""COMPUTED_VALUE"""),62757.1)</f>
        <v>62757.1</v>
      </c>
      <c r="D197" s="1">
        <f>IFERROR(__xludf.DUMMYFUNCTION("""COMPUTED_VALUE"""),59937.93)</f>
        <v>59937.93</v>
      </c>
      <c r="E197" s="1">
        <f>IFERROR(__xludf.DUMMYFUNCTION("""COMPUTED_VALUE"""),60305.65)</f>
        <v>60305.65</v>
      </c>
      <c r="F197" s="1">
        <f>IFERROR(__xludf.DUMMYFUNCTION("""COMPUTED_VALUE"""),238167.0)</f>
        <v>238167</v>
      </c>
    </row>
    <row r="198">
      <c r="A198" s="2">
        <f>IFERROR(__xludf.DUMMYFUNCTION("""COMPUTED_VALUE"""),40835.645833333336)</f>
        <v>40835.64583</v>
      </c>
      <c r="B198" s="1">
        <f>IFERROR(__xludf.DUMMYFUNCTION("""COMPUTED_VALUE"""),60550.79)</f>
        <v>60550.79</v>
      </c>
      <c r="C198" s="1">
        <f>IFERROR(__xludf.DUMMYFUNCTION("""COMPUTED_VALUE"""),63860.25)</f>
        <v>63860.25</v>
      </c>
      <c r="D198" s="1">
        <f>IFERROR(__xludf.DUMMYFUNCTION("""COMPUTED_VALUE"""),59325.07)</f>
        <v>59325.07</v>
      </c>
      <c r="E198" s="1">
        <f>IFERROR(__xludf.DUMMYFUNCTION("""COMPUTED_VALUE"""),62511.95)</f>
        <v>62511.95</v>
      </c>
      <c r="F198" s="1">
        <f>IFERROR(__xludf.DUMMYFUNCTION("""COMPUTED_VALUE"""),282362.0)</f>
        <v>282362</v>
      </c>
    </row>
    <row r="199">
      <c r="A199" s="2">
        <f>IFERROR(__xludf.DUMMYFUNCTION("""COMPUTED_VALUE"""),40836.645833333336)</f>
        <v>40836.64583</v>
      </c>
      <c r="B199" s="1">
        <f>IFERROR(__xludf.DUMMYFUNCTION("""COMPUTED_VALUE"""),62266.81)</f>
        <v>62266.81</v>
      </c>
      <c r="C199" s="1">
        <f>IFERROR(__xludf.DUMMYFUNCTION("""COMPUTED_VALUE"""),62634.52)</f>
        <v>62634.52</v>
      </c>
      <c r="D199" s="1">
        <f>IFERROR(__xludf.DUMMYFUNCTION("""COMPUTED_VALUE"""),57854.2)</f>
        <v>57854.2</v>
      </c>
      <c r="E199" s="1">
        <f>IFERROR(__xludf.DUMMYFUNCTION("""COMPUTED_VALUE"""),58221.91)</f>
        <v>58221.91</v>
      </c>
      <c r="F199" s="1">
        <f>IFERROR(__xludf.DUMMYFUNCTION("""COMPUTED_VALUE"""),369506.0)</f>
        <v>369506</v>
      </c>
    </row>
    <row r="200">
      <c r="A200" s="2">
        <f>IFERROR(__xludf.DUMMYFUNCTION("""COMPUTED_VALUE"""),40837.645833333336)</f>
        <v>40837.64583</v>
      </c>
      <c r="B200" s="1">
        <f>IFERROR(__xludf.DUMMYFUNCTION("""COMPUTED_VALUE"""),58221.91)</f>
        <v>58221.91</v>
      </c>
      <c r="C200" s="1">
        <f>IFERROR(__xludf.DUMMYFUNCTION("""COMPUTED_VALUE"""),59325.07)</f>
        <v>59325.07</v>
      </c>
      <c r="D200" s="1">
        <f>IFERROR(__xludf.DUMMYFUNCTION("""COMPUTED_VALUE"""),56751.05)</f>
        <v>56751.05</v>
      </c>
      <c r="E200" s="1">
        <f>IFERROR(__xludf.DUMMYFUNCTION("""COMPUTED_VALUE"""),57363.91)</f>
        <v>57363.91</v>
      </c>
      <c r="F200" s="1">
        <f>IFERROR(__xludf.DUMMYFUNCTION("""COMPUTED_VALUE"""),385734.0)</f>
        <v>385734</v>
      </c>
    </row>
    <row r="201">
      <c r="A201" s="2">
        <f>IFERROR(__xludf.DUMMYFUNCTION("""COMPUTED_VALUE"""),40840.645833333336)</f>
        <v>40840.64583</v>
      </c>
      <c r="B201" s="1">
        <f>IFERROR(__xludf.DUMMYFUNCTION("""COMPUTED_VALUE"""),58099.34)</f>
        <v>58099.34</v>
      </c>
      <c r="C201" s="1">
        <f>IFERROR(__xludf.DUMMYFUNCTION("""COMPUTED_VALUE"""),59079.92)</f>
        <v>59079.92</v>
      </c>
      <c r="D201" s="1">
        <f>IFERROR(__xludf.DUMMYFUNCTION("""COMPUTED_VALUE"""),57118.76)</f>
        <v>57118.76</v>
      </c>
      <c r="E201" s="1">
        <f>IFERROR(__xludf.DUMMYFUNCTION("""COMPUTED_VALUE"""),59079.92)</f>
        <v>59079.92</v>
      </c>
      <c r="F201" s="1">
        <f>IFERROR(__xludf.DUMMYFUNCTION("""COMPUTED_VALUE"""),251489.0)</f>
        <v>251489</v>
      </c>
    </row>
    <row r="202">
      <c r="A202" s="2">
        <f>IFERROR(__xludf.DUMMYFUNCTION("""COMPUTED_VALUE"""),40841.645833333336)</f>
        <v>40841.64583</v>
      </c>
      <c r="B202" s="1">
        <f>IFERROR(__xludf.DUMMYFUNCTION("""COMPUTED_VALUE"""),58834.78)</f>
        <v>58834.78</v>
      </c>
      <c r="C202" s="1">
        <f>IFERROR(__xludf.DUMMYFUNCTION("""COMPUTED_VALUE"""),60060.5)</f>
        <v>60060.5</v>
      </c>
      <c r="D202" s="1">
        <f>IFERROR(__xludf.DUMMYFUNCTION("""COMPUTED_VALUE"""),57731.63)</f>
        <v>57731.63</v>
      </c>
      <c r="E202" s="1">
        <f>IFERROR(__xludf.DUMMYFUNCTION("""COMPUTED_VALUE"""),58957.35)</f>
        <v>58957.35</v>
      </c>
      <c r="F202" s="1">
        <f>IFERROR(__xludf.DUMMYFUNCTION("""COMPUTED_VALUE"""),180833.0)</f>
        <v>180833</v>
      </c>
    </row>
    <row r="203">
      <c r="A203" s="2">
        <f>IFERROR(__xludf.DUMMYFUNCTION("""COMPUTED_VALUE"""),40842.645833333336)</f>
        <v>40842.64583</v>
      </c>
      <c r="B203" s="1">
        <f>IFERROR(__xludf.DUMMYFUNCTION("""COMPUTED_VALUE"""),58957.35)</f>
        <v>58957.35</v>
      </c>
      <c r="C203" s="1">
        <f>IFERROR(__xludf.DUMMYFUNCTION("""COMPUTED_VALUE"""),59447.64)</f>
        <v>59447.64</v>
      </c>
      <c r="D203" s="1">
        <f>IFERROR(__xludf.DUMMYFUNCTION("""COMPUTED_VALUE"""),57363.91)</f>
        <v>57363.91</v>
      </c>
      <c r="E203" s="1">
        <f>IFERROR(__xludf.DUMMYFUNCTION("""COMPUTED_VALUE"""),57976.77)</f>
        <v>57976.77</v>
      </c>
      <c r="F203" s="1">
        <f>IFERROR(__xludf.DUMMYFUNCTION("""COMPUTED_VALUE"""),179191.0)</f>
        <v>179191</v>
      </c>
    </row>
    <row r="204">
      <c r="A204" s="2">
        <f>IFERROR(__xludf.DUMMYFUNCTION("""COMPUTED_VALUE"""),40843.645833333336)</f>
        <v>40843.64583</v>
      </c>
      <c r="B204" s="1">
        <f>IFERROR(__xludf.DUMMYFUNCTION("""COMPUTED_VALUE"""),58467.06)</f>
        <v>58467.06</v>
      </c>
      <c r="C204" s="1">
        <f>IFERROR(__xludf.DUMMYFUNCTION("""COMPUTED_VALUE"""),60060.5)</f>
        <v>60060.5</v>
      </c>
      <c r="D204" s="1">
        <f>IFERROR(__xludf.DUMMYFUNCTION("""COMPUTED_VALUE"""),58221.91)</f>
        <v>58221.91</v>
      </c>
      <c r="E204" s="1">
        <f>IFERROR(__xludf.DUMMYFUNCTION("""COMPUTED_VALUE"""),58221.91)</f>
        <v>58221.91</v>
      </c>
      <c r="F204" s="1">
        <f>IFERROR(__xludf.DUMMYFUNCTION("""COMPUTED_VALUE"""),252492.0)</f>
        <v>252492</v>
      </c>
    </row>
    <row r="205">
      <c r="A205" s="2">
        <f>IFERROR(__xludf.DUMMYFUNCTION("""COMPUTED_VALUE"""),40844.645833333336)</f>
        <v>40844.64583</v>
      </c>
      <c r="B205" s="1">
        <f>IFERROR(__xludf.DUMMYFUNCTION("""COMPUTED_VALUE"""),58099.34)</f>
        <v>58099.34</v>
      </c>
      <c r="C205" s="1">
        <f>IFERROR(__xludf.DUMMYFUNCTION("""COMPUTED_VALUE"""),58589.63)</f>
        <v>58589.63</v>
      </c>
      <c r="D205" s="1">
        <f>IFERROR(__xludf.DUMMYFUNCTION("""COMPUTED_VALUE"""),54789.89)</f>
        <v>54789.89</v>
      </c>
      <c r="E205" s="1">
        <f>IFERROR(__xludf.DUMMYFUNCTION("""COMPUTED_VALUE"""),56751.05)</f>
        <v>56751.05</v>
      </c>
      <c r="F205" s="1">
        <f>IFERROR(__xludf.DUMMYFUNCTION("""COMPUTED_VALUE"""),433265.0)</f>
        <v>433265</v>
      </c>
    </row>
    <row r="206">
      <c r="A206" s="2">
        <f>IFERROR(__xludf.DUMMYFUNCTION("""COMPUTED_VALUE"""),40847.645833333336)</f>
        <v>40847.64583</v>
      </c>
      <c r="B206" s="1">
        <f>IFERROR(__xludf.DUMMYFUNCTION("""COMPUTED_VALUE"""),56015.61)</f>
        <v>56015.61</v>
      </c>
      <c r="C206" s="1">
        <f>IFERROR(__xludf.DUMMYFUNCTION("""COMPUTED_VALUE"""),57118.76)</f>
        <v>57118.76</v>
      </c>
      <c r="D206" s="1">
        <f>IFERROR(__xludf.DUMMYFUNCTION("""COMPUTED_VALUE"""),55402.75)</f>
        <v>55402.75</v>
      </c>
      <c r="E206" s="1">
        <f>IFERROR(__xludf.DUMMYFUNCTION("""COMPUTED_VALUE"""),57118.76)</f>
        <v>57118.76</v>
      </c>
      <c r="F206" s="1">
        <f>IFERROR(__xludf.DUMMYFUNCTION("""COMPUTED_VALUE"""),141548.0)</f>
        <v>141548</v>
      </c>
    </row>
    <row r="207">
      <c r="A207" s="2">
        <f>IFERROR(__xludf.DUMMYFUNCTION("""COMPUTED_VALUE"""),40848.645833333336)</f>
        <v>40848.64583</v>
      </c>
      <c r="B207" s="1">
        <f>IFERROR(__xludf.DUMMYFUNCTION("""COMPUTED_VALUE"""),57486.48)</f>
        <v>57486.48</v>
      </c>
      <c r="C207" s="1">
        <f>IFERROR(__xludf.DUMMYFUNCTION("""COMPUTED_VALUE"""),57609.05)</f>
        <v>57609.05</v>
      </c>
      <c r="D207" s="1">
        <f>IFERROR(__xludf.DUMMYFUNCTION("""COMPUTED_VALUE"""),56015.61)</f>
        <v>56015.61</v>
      </c>
      <c r="E207" s="1">
        <f>IFERROR(__xludf.DUMMYFUNCTION("""COMPUTED_VALUE"""),56383.33)</f>
        <v>56383.33</v>
      </c>
      <c r="F207" s="1">
        <f>IFERROR(__xludf.DUMMYFUNCTION("""COMPUTED_VALUE"""),123099.0)</f>
        <v>123099</v>
      </c>
    </row>
    <row r="208">
      <c r="A208" s="2">
        <f>IFERROR(__xludf.DUMMYFUNCTION("""COMPUTED_VALUE"""),40849.645833333336)</f>
        <v>40849.64583</v>
      </c>
      <c r="B208" s="1">
        <f>IFERROR(__xludf.DUMMYFUNCTION("""COMPUTED_VALUE"""),56138.18)</f>
        <v>56138.18</v>
      </c>
      <c r="C208" s="1">
        <f>IFERROR(__xludf.DUMMYFUNCTION("""COMPUTED_VALUE"""),57731.63)</f>
        <v>57731.63</v>
      </c>
      <c r="D208" s="1">
        <f>IFERROR(__xludf.DUMMYFUNCTION("""COMPUTED_VALUE"""),55893.04)</f>
        <v>55893.04</v>
      </c>
      <c r="E208" s="1">
        <f>IFERROR(__xludf.DUMMYFUNCTION("""COMPUTED_VALUE"""),57118.76)</f>
        <v>57118.76</v>
      </c>
      <c r="F208" s="1">
        <f>IFERROR(__xludf.DUMMYFUNCTION("""COMPUTED_VALUE"""),146296.0)</f>
        <v>146296</v>
      </c>
    </row>
    <row r="209">
      <c r="A209" s="2">
        <f>IFERROR(__xludf.DUMMYFUNCTION("""COMPUTED_VALUE"""),40850.645833333336)</f>
        <v>40850.64583</v>
      </c>
      <c r="B209" s="1">
        <f>IFERROR(__xludf.DUMMYFUNCTION("""COMPUTED_VALUE"""),56996.19)</f>
        <v>56996.19</v>
      </c>
      <c r="C209" s="1">
        <f>IFERROR(__xludf.DUMMYFUNCTION("""COMPUTED_VALUE"""),57241.34)</f>
        <v>57241.34</v>
      </c>
      <c r="D209" s="1">
        <f>IFERROR(__xludf.DUMMYFUNCTION("""COMPUTED_VALUE"""),55647.89)</f>
        <v>55647.89</v>
      </c>
      <c r="E209" s="1">
        <f>IFERROR(__xludf.DUMMYFUNCTION("""COMPUTED_VALUE"""),55893.04)</f>
        <v>55893.04</v>
      </c>
      <c r="F209" s="1">
        <f>IFERROR(__xludf.DUMMYFUNCTION("""COMPUTED_VALUE"""),133600.0)</f>
        <v>133600</v>
      </c>
    </row>
    <row r="210">
      <c r="A210" s="2">
        <f>IFERROR(__xludf.DUMMYFUNCTION("""COMPUTED_VALUE"""),40851.645833333336)</f>
        <v>40851.64583</v>
      </c>
      <c r="B210" s="1">
        <f>IFERROR(__xludf.DUMMYFUNCTION("""COMPUTED_VALUE"""),57363.91)</f>
        <v>57363.91</v>
      </c>
      <c r="C210" s="1">
        <f>IFERROR(__xludf.DUMMYFUNCTION("""COMPUTED_VALUE"""),57363.91)</f>
        <v>57363.91</v>
      </c>
      <c r="D210" s="1">
        <f>IFERROR(__xludf.DUMMYFUNCTION("""COMPUTED_VALUE"""),56260.76)</f>
        <v>56260.76</v>
      </c>
      <c r="E210" s="1">
        <f>IFERROR(__xludf.DUMMYFUNCTION("""COMPUTED_VALUE"""),57241.34)</f>
        <v>57241.34</v>
      </c>
      <c r="F210" s="1">
        <f>IFERROR(__xludf.DUMMYFUNCTION("""COMPUTED_VALUE"""),115242.0)</f>
        <v>115242</v>
      </c>
    </row>
    <row r="211">
      <c r="A211" s="2">
        <f>IFERROR(__xludf.DUMMYFUNCTION("""COMPUTED_VALUE"""),40854.645833333336)</f>
        <v>40854.64583</v>
      </c>
      <c r="B211" s="1">
        <f>IFERROR(__xludf.DUMMYFUNCTION("""COMPUTED_VALUE"""),57854.2)</f>
        <v>57854.2</v>
      </c>
      <c r="C211" s="1">
        <f>IFERROR(__xludf.DUMMYFUNCTION("""COMPUTED_VALUE"""),59079.92)</f>
        <v>59079.92</v>
      </c>
      <c r="D211" s="1">
        <f>IFERROR(__xludf.DUMMYFUNCTION("""COMPUTED_VALUE"""),55525.32)</f>
        <v>55525.32</v>
      </c>
      <c r="E211" s="1">
        <f>IFERROR(__xludf.DUMMYFUNCTION("""COMPUTED_VALUE"""),56138.18)</f>
        <v>56138.18</v>
      </c>
      <c r="F211" s="1">
        <f>IFERROR(__xludf.DUMMYFUNCTION("""COMPUTED_VALUE"""),161529.0)</f>
        <v>161529</v>
      </c>
    </row>
    <row r="212">
      <c r="A212" s="2">
        <f>IFERROR(__xludf.DUMMYFUNCTION("""COMPUTED_VALUE"""),40855.645833333336)</f>
        <v>40855.64583</v>
      </c>
      <c r="B212" s="1">
        <f>IFERROR(__xludf.DUMMYFUNCTION("""COMPUTED_VALUE"""),56260.76)</f>
        <v>56260.76</v>
      </c>
      <c r="C212" s="1">
        <f>IFERROR(__xludf.DUMMYFUNCTION("""COMPUTED_VALUE"""),57486.48)</f>
        <v>57486.48</v>
      </c>
      <c r="D212" s="1">
        <f>IFERROR(__xludf.DUMMYFUNCTION("""COMPUTED_VALUE"""),55770.47)</f>
        <v>55770.47</v>
      </c>
      <c r="E212" s="1">
        <f>IFERROR(__xludf.DUMMYFUNCTION("""COMPUTED_VALUE"""),56751.05)</f>
        <v>56751.05</v>
      </c>
      <c r="F212" s="1">
        <f>IFERROR(__xludf.DUMMYFUNCTION("""COMPUTED_VALUE"""),81331.0)</f>
        <v>81331</v>
      </c>
    </row>
    <row r="213">
      <c r="A213" s="2">
        <f>IFERROR(__xludf.DUMMYFUNCTION("""COMPUTED_VALUE"""),40856.645833333336)</f>
        <v>40856.64583</v>
      </c>
      <c r="B213" s="1">
        <f>IFERROR(__xludf.DUMMYFUNCTION("""COMPUTED_VALUE"""),56996.19)</f>
        <v>56996.19</v>
      </c>
      <c r="C213" s="1">
        <f>IFERROR(__xludf.DUMMYFUNCTION("""COMPUTED_VALUE"""),59570.21)</f>
        <v>59570.21</v>
      </c>
      <c r="D213" s="1">
        <f>IFERROR(__xludf.DUMMYFUNCTION("""COMPUTED_VALUE"""),56996.19)</f>
        <v>56996.19</v>
      </c>
      <c r="E213" s="1">
        <f>IFERROR(__xludf.DUMMYFUNCTION("""COMPUTED_VALUE"""),59570.21)</f>
        <v>59570.21</v>
      </c>
      <c r="F213" s="1">
        <f>IFERROR(__xludf.DUMMYFUNCTION("""COMPUTED_VALUE"""),185479.0)</f>
        <v>185479</v>
      </c>
    </row>
    <row r="214">
      <c r="A214" s="2">
        <f>IFERROR(__xludf.DUMMYFUNCTION("""COMPUTED_VALUE"""),40857.645833333336)</f>
        <v>40857.64583</v>
      </c>
      <c r="B214" s="1">
        <f>IFERROR(__xludf.DUMMYFUNCTION("""COMPUTED_VALUE"""),57731.63)</f>
        <v>57731.63</v>
      </c>
      <c r="C214" s="1">
        <f>IFERROR(__xludf.DUMMYFUNCTION("""COMPUTED_VALUE"""),59692.78)</f>
        <v>59692.78</v>
      </c>
      <c r="D214" s="1">
        <f>IFERROR(__xludf.DUMMYFUNCTION("""COMPUTED_VALUE"""),56628.47)</f>
        <v>56628.47</v>
      </c>
      <c r="E214" s="1">
        <f>IFERROR(__xludf.DUMMYFUNCTION("""COMPUTED_VALUE"""),56628.47)</f>
        <v>56628.47</v>
      </c>
      <c r="F214" s="1">
        <f>IFERROR(__xludf.DUMMYFUNCTION("""COMPUTED_VALUE"""),277903.0)</f>
        <v>277903</v>
      </c>
    </row>
    <row r="215">
      <c r="A215" s="2">
        <f>IFERROR(__xludf.DUMMYFUNCTION("""COMPUTED_VALUE"""),40858.645833333336)</f>
        <v>40858.64583</v>
      </c>
      <c r="B215" s="1">
        <f>IFERROR(__xludf.DUMMYFUNCTION("""COMPUTED_VALUE"""),57241.34)</f>
        <v>57241.34</v>
      </c>
      <c r="C215" s="1">
        <f>IFERROR(__xludf.DUMMYFUNCTION("""COMPUTED_VALUE"""),59079.92)</f>
        <v>59079.92</v>
      </c>
      <c r="D215" s="1">
        <f>IFERROR(__xludf.DUMMYFUNCTION("""COMPUTED_VALUE"""),56260.76)</f>
        <v>56260.76</v>
      </c>
      <c r="E215" s="1">
        <f>IFERROR(__xludf.DUMMYFUNCTION("""COMPUTED_VALUE"""),58099.34)</f>
        <v>58099.34</v>
      </c>
      <c r="F215" s="1">
        <f>IFERROR(__xludf.DUMMYFUNCTION("""COMPUTED_VALUE"""),147606.0)</f>
        <v>147606</v>
      </c>
    </row>
    <row r="216">
      <c r="A216" s="2">
        <f>IFERROR(__xludf.DUMMYFUNCTION("""COMPUTED_VALUE"""),40861.645833333336)</f>
        <v>40861.64583</v>
      </c>
      <c r="B216" s="1">
        <f>IFERROR(__xludf.DUMMYFUNCTION("""COMPUTED_VALUE"""),58834.78)</f>
        <v>58834.78</v>
      </c>
      <c r="C216" s="1">
        <f>IFERROR(__xludf.DUMMYFUNCTION("""COMPUTED_VALUE"""),59815.36)</f>
        <v>59815.36</v>
      </c>
      <c r="D216" s="1">
        <f>IFERROR(__xludf.DUMMYFUNCTION("""COMPUTED_VALUE"""),58712.2)</f>
        <v>58712.2</v>
      </c>
      <c r="E216" s="1">
        <f>IFERROR(__xludf.DUMMYFUNCTION("""COMPUTED_VALUE"""),59079.92)</f>
        <v>59079.92</v>
      </c>
      <c r="F216" s="1">
        <f>IFERROR(__xludf.DUMMYFUNCTION("""COMPUTED_VALUE"""),120589.0)</f>
        <v>120589</v>
      </c>
    </row>
    <row r="217">
      <c r="A217" s="2">
        <f>IFERROR(__xludf.DUMMYFUNCTION("""COMPUTED_VALUE"""),40862.645833333336)</f>
        <v>40862.64583</v>
      </c>
      <c r="B217" s="1">
        <f>IFERROR(__xludf.DUMMYFUNCTION("""COMPUTED_VALUE"""),59447.64)</f>
        <v>59447.64</v>
      </c>
      <c r="C217" s="1">
        <f>IFERROR(__xludf.DUMMYFUNCTION("""COMPUTED_VALUE"""),61531.37)</f>
        <v>61531.37</v>
      </c>
      <c r="D217" s="1">
        <f>IFERROR(__xludf.DUMMYFUNCTION("""COMPUTED_VALUE"""),59325.07)</f>
        <v>59325.07</v>
      </c>
      <c r="E217" s="1">
        <f>IFERROR(__xludf.DUMMYFUNCTION("""COMPUTED_VALUE"""),60673.36)</f>
        <v>60673.36</v>
      </c>
      <c r="F217" s="1">
        <f>IFERROR(__xludf.DUMMYFUNCTION("""COMPUTED_VALUE"""),194066.0)</f>
        <v>194066</v>
      </c>
    </row>
    <row r="218">
      <c r="A218" s="2">
        <f>IFERROR(__xludf.DUMMYFUNCTION("""COMPUTED_VALUE"""),40863.645833333336)</f>
        <v>40863.64583</v>
      </c>
      <c r="B218" s="1">
        <f>IFERROR(__xludf.DUMMYFUNCTION("""COMPUTED_VALUE"""),61653.94)</f>
        <v>61653.94</v>
      </c>
      <c r="C218" s="1">
        <f>IFERROR(__xludf.DUMMYFUNCTION("""COMPUTED_VALUE"""),62021.66)</f>
        <v>62021.66</v>
      </c>
      <c r="D218" s="1">
        <f>IFERROR(__xludf.DUMMYFUNCTION("""COMPUTED_VALUE"""),58834.78)</f>
        <v>58834.78</v>
      </c>
      <c r="E218" s="1">
        <f>IFERROR(__xludf.DUMMYFUNCTION("""COMPUTED_VALUE"""),59325.07)</f>
        <v>59325.07</v>
      </c>
      <c r="F218" s="1">
        <f>IFERROR(__xludf.DUMMYFUNCTION("""COMPUTED_VALUE"""),148009.0)</f>
        <v>148009</v>
      </c>
    </row>
    <row r="219">
      <c r="A219" s="2">
        <f>IFERROR(__xludf.DUMMYFUNCTION("""COMPUTED_VALUE"""),40864.645833333336)</f>
        <v>40864.64583</v>
      </c>
      <c r="B219" s="1">
        <f>IFERROR(__xludf.DUMMYFUNCTION("""COMPUTED_VALUE"""),60060.5)</f>
        <v>60060.5</v>
      </c>
      <c r="C219" s="1">
        <f>IFERROR(__xludf.DUMMYFUNCTION("""COMPUTED_VALUE"""),60550.79)</f>
        <v>60550.79</v>
      </c>
      <c r="D219" s="1">
        <f>IFERROR(__xludf.DUMMYFUNCTION("""COMPUTED_VALUE"""),58589.63)</f>
        <v>58589.63</v>
      </c>
      <c r="E219" s="1">
        <f>IFERROR(__xludf.DUMMYFUNCTION("""COMPUTED_VALUE"""),60550.79)</f>
        <v>60550.79</v>
      </c>
      <c r="F219" s="1">
        <f>IFERROR(__xludf.DUMMYFUNCTION("""COMPUTED_VALUE"""),88181.0)</f>
        <v>88181</v>
      </c>
    </row>
    <row r="220">
      <c r="A220" s="2">
        <f>IFERROR(__xludf.DUMMYFUNCTION("""COMPUTED_VALUE"""),40865.645833333336)</f>
        <v>40865.64583</v>
      </c>
      <c r="B220" s="1">
        <f>IFERROR(__xludf.DUMMYFUNCTION("""COMPUTED_VALUE"""),59079.92)</f>
        <v>59079.92</v>
      </c>
      <c r="C220" s="1">
        <f>IFERROR(__xludf.DUMMYFUNCTION("""COMPUTED_VALUE"""),59815.36)</f>
        <v>59815.36</v>
      </c>
      <c r="D220" s="1">
        <f>IFERROR(__xludf.DUMMYFUNCTION("""COMPUTED_VALUE"""),58221.91)</f>
        <v>58221.91</v>
      </c>
      <c r="E220" s="1">
        <f>IFERROR(__xludf.DUMMYFUNCTION("""COMPUTED_VALUE"""),58221.91)</f>
        <v>58221.91</v>
      </c>
      <c r="F220" s="1">
        <f>IFERROR(__xludf.DUMMYFUNCTION("""COMPUTED_VALUE"""),157293.0)</f>
        <v>157293</v>
      </c>
    </row>
    <row r="221">
      <c r="A221" s="2">
        <f>IFERROR(__xludf.DUMMYFUNCTION("""COMPUTED_VALUE"""),40868.645833333336)</f>
        <v>40868.64583</v>
      </c>
      <c r="B221" s="1">
        <f>IFERROR(__xludf.DUMMYFUNCTION("""COMPUTED_VALUE"""),58712.2)</f>
        <v>58712.2</v>
      </c>
      <c r="C221" s="1">
        <f>IFERROR(__xludf.DUMMYFUNCTION("""COMPUTED_VALUE"""),58712.2)</f>
        <v>58712.2</v>
      </c>
      <c r="D221" s="1">
        <f>IFERROR(__xludf.DUMMYFUNCTION("""COMPUTED_VALUE"""),56383.33)</f>
        <v>56383.33</v>
      </c>
      <c r="E221" s="1">
        <f>IFERROR(__xludf.DUMMYFUNCTION("""COMPUTED_VALUE"""),57118.76)</f>
        <v>57118.76</v>
      </c>
      <c r="F221" s="1">
        <f>IFERROR(__xludf.DUMMYFUNCTION("""COMPUTED_VALUE"""),108199.0)</f>
        <v>108199</v>
      </c>
    </row>
    <row r="222">
      <c r="A222" s="2">
        <f>IFERROR(__xludf.DUMMYFUNCTION("""COMPUTED_VALUE"""),40869.645833333336)</f>
        <v>40869.64583</v>
      </c>
      <c r="B222" s="1">
        <f>IFERROR(__xludf.DUMMYFUNCTION("""COMPUTED_VALUE"""),56138.18)</f>
        <v>56138.18</v>
      </c>
      <c r="C222" s="1">
        <f>IFERROR(__xludf.DUMMYFUNCTION("""COMPUTED_VALUE"""),60183.07)</f>
        <v>60183.07</v>
      </c>
      <c r="D222" s="1">
        <f>IFERROR(__xludf.DUMMYFUNCTION("""COMPUTED_VALUE"""),56138.18)</f>
        <v>56138.18</v>
      </c>
      <c r="E222" s="1">
        <f>IFERROR(__xludf.DUMMYFUNCTION("""COMPUTED_VALUE"""),59447.64)</f>
        <v>59447.64</v>
      </c>
      <c r="F222" s="1">
        <f>IFERROR(__xludf.DUMMYFUNCTION("""COMPUTED_VALUE"""),131683.0)</f>
        <v>131683</v>
      </c>
    </row>
    <row r="223">
      <c r="A223" s="2">
        <f>IFERROR(__xludf.DUMMYFUNCTION("""COMPUTED_VALUE"""),40870.645833333336)</f>
        <v>40870.64583</v>
      </c>
      <c r="B223" s="1">
        <f>IFERROR(__xludf.DUMMYFUNCTION("""COMPUTED_VALUE"""),60183.07)</f>
        <v>60183.07</v>
      </c>
      <c r="C223" s="1">
        <f>IFERROR(__xludf.DUMMYFUNCTION("""COMPUTED_VALUE"""),60183.07)</f>
        <v>60183.07</v>
      </c>
      <c r="D223" s="1">
        <f>IFERROR(__xludf.DUMMYFUNCTION("""COMPUTED_VALUE"""),57118.76)</f>
        <v>57118.76</v>
      </c>
      <c r="E223" s="1">
        <f>IFERROR(__xludf.DUMMYFUNCTION("""COMPUTED_VALUE"""),57486.48)</f>
        <v>57486.48</v>
      </c>
      <c r="F223" s="1">
        <f>IFERROR(__xludf.DUMMYFUNCTION("""COMPUTED_VALUE"""),122063.0)</f>
        <v>122063</v>
      </c>
    </row>
    <row r="224">
      <c r="A224" s="2">
        <f>IFERROR(__xludf.DUMMYFUNCTION("""COMPUTED_VALUE"""),40871.645833333336)</f>
        <v>40871.64583</v>
      </c>
      <c r="B224" s="1">
        <f>IFERROR(__xludf.DUMMYFUNCTION("""COMPUTED_VALUE"""),58099.34)</f>
        <v>58099.34</v>
      </c>
      <c r="C224" s="1">
        <f>IFERROR(__xludf.DUMMYFUNCTION("""COMPUTED_VALUE"""),59815.36)</f>
        <v>59815.36</v>
      </c>
      <c r="D224" s="1">
        <f>IFERROR(__xludf.DUMMYFUNCTION("""COMPUTED_VALUE"""),57486.48)</f>
        <v>57486.48</v>
      </c>
      <c r="E224" s="1">
        <f>IFERROR(__xludf.DUMMYFUNCTION("""COMPUTED_VALUE"""),58344.49)</f>
        <v>58344.49</v>
      </c>
      <c r="F224" s="1">
        <f>IFERROR(__xludf.DUMMYFUNCTION("""COMPUTED_VALUE"""),93165.0)</f>
        <v>93165</v>
      </c>
    </row>
    <row r="225">
      <c r="A225" s="2">
        <f>IFERROR(__xludf.DUMMYFUNCTION("""COMPUTED_VALUE"""),40872.645833333336)</f>
        <v>40872.64583</v>
      </c>
      <c r="B225" s="1">
        <f>IFERROR(__xludf.DUMMYFUNCTION("""COMPUTED_VALUE"""),58834.78)</f>
        <v>58834.78</v>
      </c>
      <c r="C225" s="1">
        <f>IFERROR(__xludf.DUMMYFUNCTION("""COMPUTED_VALUE"""),60550.79)</f>
        <v>60550.79</v>
      </c>
      <c r="D225" s="1">
        <f>IFERROR(__xludf.DUMMYFUNCTION("""COMPUTED_VALUE"""),57976.77)</f>
        <v>57976.77</v>
      </c>
      <c r="E225" s="1">
        <f>IFERROR(__xludf.DUMMYFUNCTION("""COMPUTED_VALUE"""),60183.07)</f>
        <v>60183.07</v>
      </c>
      <c r="F225" s="1">
        <f>IFERROR(__xludf.DUMMYFUNCTION("""COMPUTED_VALUE"""),134615.0)</f>
        <v>134615</v>
      </c>
    </row>
    <row r="226">
      <c r="A226" s="2">
        <f>IFERROR(__xludf.DUMMYFUNCTION("""COMPUTED_VALUE"""),40875.645833333336)</f>
        <v>40875.64583</v>
      </c>
      <c r="B226" s="1">
        <f>IFERROR(__xludf.DUMMYFUNCTION("""COMPUTED_VALUE"""),60918.51)</f>
        <v>60918.51</v>
      </c>
      <c r="C226" s="1">
        <f>IFERROR(__xludf.DUMMYFUNCTION("""COMPUTED_VALUE"""),61776.52)</f>
        <v>61776.52</v>
      </c>
      <c r="D226" s="1">
        <f>IFERROR(__xludf.DUMMYFUNCTION("""COMPUTED_VALUE"""),59325.07)</f>
        <v>59325.07</v>
      </c>
      <c r="E226" s="1">
        <f>IFERROR(__xludf.DUMMYFUNCTION("""COMPUTED_VALUE"""),60673.36)</f>
        <v>60673.36</v>
      </c>
      <c r="F226" s="1">
        <f>IFERROR(__xludf.DUMMYFUNCTION("""COMPUTED_VALUE"""),112165.0)</f>
        <v>112165</v>
      </c>
    </row>
    <row r="227">
      <c r="A227" s="2">
        <f>IFERROR(__xludf.DUMMYFUNCTION("""COMPUTED_VALUE"""),40876.645833333336)</f>
        <v>40876.64583</v>
      </c>
      <c r="B227" s="1">
        <f>IFERROR(__xludf.DUMMYFUNCTION("""COMPUTED_VALUE"""),60673.36)</f>
        <v>60673.36</v>
      </c>
      <c r="C227" s="1">
        <f>IFERROR(__xludf.DUMMYFUNCTION("""COMPUTED_VALUE"""),62511.95)</f>
        <v>62511.95</v>
      </c>
      <c r="D227" s="1">
        <f>IFERROR(__xludf.DUMMYFUNCTION("""COMPUTED_VALUE"""),60305.65)</f>
        <v>60305.65</v>
      </c>
      <c r="E227" s="1">
        <f>IFERROR(__xludf.DUMMYFUNCTION("""COMPUTED_VALUE"""),61653.94)</f>
        <v>61653.94</v>
      </c>
      <c r="F227" s="1">
        <f>IFERROR(__xludf.DUMMYFUNCTION("""COMPUTED_VALUE"""),227059.0)</f>
        <v>227059</v>
      </c>
    </row>
    <row r="228">
      <c r="A228" s="2">
        <f>IFERROR(__xludf.DUMMYFUNCTION("""COMPUTED_VALUE"""),40877.645833333336)</f>
        <v>40877.64583</v>
      </c>
      <c r="B228" s="1">
        <f>IFERROR(__xludf.DUMMYFUNCTION("""COMPUTED_VALUE"""),60795.94)</f>
        <v>60795.94</v>
      </c>
      <c r="C228" s="1">
        <f>IFERROR(__xludf.DUMMYFUNCTION("""COMPUTED_VALUE"""),61653.94)</f>
        <v>61653.94</v>
      </c>
      <c r="D228" s="1">
        <f>IFERROR(__xludf.DUMMYFUNCTION("""COMPUTED_VALUE"""),60428.22)</f>
        <v>60428.22</v>
      </c>
      <c r="E228" s="1">
        <f>IFERROR(__xludf.DUMMYFUNCTION("""COMPUTED_VALUE"""),60795.94)</f>
        <v>60795.94</v>
      </c>
      <c r="F228" s="1">
        <f>IFERROR(__xludf.DUMMYFUNCTION("""COMPUTED_VALUE"""),167630.0)</f>
        <v>167630</v>
      </c>
    </row>
    <row r="229">
      <c r="A229" s="2">
        <f>IFERROR(__xludf.DUMMYFUNCTION("""COMPUTED_VALUE"""),40878.645833333336)</f>
        <v>40878.64583</v>
      </c>
      <c r="B229" s="1">
        <f>IFERROR(__xludf.DUMMYFUNCTION("""COMPUTED_VALUE"""),62266.81)</f>
        <v>62266.81</v>
      </c>
      <c r="C229" s="1">
        <f>IFERROR(__xludf.DUMMYFUNCTION("""COMPUTED_VALUE"""),62266.81)</f>
        <v>62266.81</v>
      </c>
      <c r="D229" s="1">
        <f>IFERROR(__xludf.DUMMYFUNCTION("""COMPUTED_VALUE"""),53809.31)</f>
        <v>53809.31</v>
      </c>
      <c r="E229" s="1">
        <f>IFERROR(__xludf.DUMMYFUNCTION("""COMPUTED_VALUE"""),55647.89)</f>
        <v>55647.89</v>
      </c>
      <c r="F229" s="1">
        <f>IFERROR(__xludf.DUMMYFUNCTION("""COMPUTED_VALUE"""),975503.0)</f>
        <v>975503</v>
      </c>
    </row>
    <row r="230">
      <c r="A230" s="2">
        <f>IFERROR(__xludf.DUMMYFUNCTION("""COMPUTED_VALUE"""),40879.645833333336)</f>
        <v>40879.64583</v>
      </c>
      <c r="B230" s="1">
        <f>IFERROR(__xludf.DUMMYFUNCTION("""COMPUTED_VALUE"""),55647.89)</f>
        <v>55647.89</v>
      </c>
      <c r="C230" s="1">
        <f>IFERROR(__xludf.DUMMYFUNCTION("""COMPUTED_VALUE"""),56383.33)</f>
        <v>56383.33</v>
      </c>
      <c r="D230" s="1">
        <f>IFERROR(__xludf.DUMMYFUNCTION("""COMPUTED_VALUE"""),55157.6)</f>
        <v>55157.6</v>
      </c>
      <c r="E230" s="1">
        <f>IFERROR(__xludf.DUMMYFUNCTION("""COMPUTED_VALUE"""),56138.18)</f>
        <v>56138.18</v>
      </c>
      <c r="F230" s="1">
        <f>IFERROR(__xludf.DUMMYFUNCTION("""COMPUTED_VALUE"""),360793.0)</f>
        <v>360793</v>
      </c>
    </row>
    <row r="231">
      <c r="A231" s="2">
        <f>IFERROR(__xludf.DUMMYFUNCTION("""COMPUTED_VALUE"""),40882.645833333336)</f>
        <v>40882.64583</v>
      </c>
      <c r="B231" s="1">
        <f>IFERROR(__xludf.DUMMYFUNCTION("""COMPUTED_VALUE"""),56505.9)</f>
        <v>56505.9</v>
      </c>
      <c r="C231" s="1">
        <f>IFERROR(__xludf.DUMMYFUNCTION("""COMPUTED_VALUE"""),56873.62)</f>
        <v>56873.62</v>
      </c>
      <c r="D231" s="1">
        <f>IFERROR(__xludf.DUMMYFUNCTION("""COMPUTED_VALUE"""),55647.89)</f>
        <v>55647.89</v>
      </c>
      <c r="E231" s="1">
        <f>IFERROR(__xludf.DUMMYFUNCTION("""COMPUTED_VALUE"""),56751.05)</f>
        <v>56751.05</v>
      </c>
      <c r="F231" s="1">
        <f>IFERROR(__xludf.DUMMYFUNCTION("""COMPUTED_VALUE"""),167517.0)</f>
        <v>167517</v>
      </c>
    </row>
    <row r="232">
      <c r="A232" s="2">
        <f>IFERROR(__xludf.DUMMYFUNCTION("""COMPUTED_VALUE"""),40883.645833333336)</f>
        <v>40883.64583</v>
      </c>
      <c r="B232" s="1">
        <f>IFERROR(__xludf.DUMMYFUNCTION("""COMPUTED_VALUE"""),56383.33)</f>
        <v>56383.33</v>
      </c>
      <c r="C232" s="1">
        <f>IFERROR(__xludf.DUMMYFUNCTION("""COMPUTED_VALUE"""),57363.91)</f>
        <v>57363.91</v>
      </c>
      <c r="D232" s="1">
        <f>IFERROR(__xludf.DUMMYFUNCTION("""COMPUTED_VALUE"""),56260.76)</f>
        <v>56260.76</v>
      </c>
      <c r="E232" s="1">
        <f>IFERROR(__xludf.DUMMYFUNCTION("""COMPUTED_VALUE"""),56751.05)</f>
        <v>56751.05</v>
      </c>
      <c r="F232" s="1">
        <f>IFERROR(__xludf.DUMMYFUNCTION("""COMPUTED_VALUE"""),233860.0)</f>
        <v>233860</v>
      </c>
    </row>
    <row r="233">
      <c r="A233" s="2">
        <f>IFERROR(__xludf.DUMMYFUNCTION("""COMPUTED_VALUE"""),40884.645833333336)</f>
        <v>40884.64583</v>
      </c>
      <c r="B233" s="1">
        <f>IFERROR(__xludf.DUMMYFUNCTION("""COMPUTED_VALUE"""),56751.05)</f>
        <v>56751.05</v>
      </c>
      <c r="C233" s="1">
        <f>IFERROR(__xludf.DUMMYFUNCTION("""COMPUTED_VALUE"""),57118.76)</f>
        <v>57118.76</v>
      </c>
      <c r="D233" s="1">
        <f>IFERROR(__xludf.DUMMYFUNCTION("""COMPUTED_VALUE"""),54054.45)</f>
        <v>54054.45</v>
      </c>
      <c r="E233" s="1">
        <f>IFERROR(__xludf.DUMMYFUNCTION("""COMPUTED_VALUE"""),54422.17)</f>
        <v>54422.17</v>
      </c>
      <c r="F233" s="1">
        <f>IFERROR(__xludf.DUMMYFUNCTION("""COMPUTED_VALUE"""),349455.0)</f>
        <v>349455</v>
      </c>
    </row>
    <row r="234">
      <c r="A234" s="2">
        <f>IFERROR(__xludf.DUMMYFUNCTION("""COMPUTED_VALUE"""),40885.645833333336)</f>
        <v>40885.64583</v>
      </c>
      <c r="B234" s="1">
        <f>IFERROR(__xludf.DUMMYFUNCTION("""COMPUTED_VALUE"""),54177.02)</f>
        <v>54177.02</v>
      </c>
      <c r="C234" s="1">
        <f>IFERROR(__xludf.DUMMYFUNCTION("""COMPUTED_VALUE"""),55647.89)</f>
        <v>55647.89</v>
      </c>
      <c r="D234" s="1">
        <f>IFERROR(__xludf.DUMMYFUNCTION("""COMPUTED_VALUE"""),54177.02)</f>
        <v>54177.02</v>
      </c>
      <c r="E234" s="1">
        <f>IFERROR(__xludf.DUMMYFUNCTION("""COMPUTED_VALUE"""),55157.6)</f>
        <v>55157.6</v>
      </c>
      <c r="F234" s="1">
        <f>IFERROR(__xludf.DUMMYFUNCTION("""COMPUTED_VALUE"""),210071.0)</f>
        <v>210071</v>
      </c>
    </row>
    <row r="235">
      <c r="A235" s="2">
        <f>IFERROR(__xludf.DUMMYFUNCTION("""COMPUTED_VALUE"""),40886.645833333336)</f>
        <v>40886.64583</v>
      </c>
      <c r="B235" s="1">
        <f>IFERROR(__xludf.DUMMYFUNCTION("""COMPUTED_VALUE"""),54422.17)</f>
        <v>54422.17</v>
      </c>
      <c r="C235" s="1">
        <f>IFERROR(__xludf.DUMMYFUNCTION("""COMPUTED_VALUE"""),54667.31)</f>
        <v>54667.31</v>
      </c>
      <c r="D235" s="1">
        <f>IFERROR(__xludf.DUMMYFUNCTION("""COMPUTED_VALUE"""),52706.15)</f>
        <v>52706.15</v>
      </c>
      <c r="E235" s="1">
        <f>IFERROR(__xludf.DUMMYFUNCTION("""COMPUTED_VALUE"""),52951.3)</f>
        <v>52951.3</v>
      </c>
      <c r="F235" s="1">
        <f>IFERROR(__xludf.DUMMYFUNCTION("""COMPUTED_VALUE"""),234753.0)</f>
        <v>234753</v>
      </c>
    </row>
    <row r="236">
      <c r="A236" s="2">
        <f>IFERROR(__xludf.DUMMYFUNCTION("""COMPUTED_VALUE"""),40889.645833333336)</f>
        <v>40889.64583</v>
      </c>
      <c r="B236" s="1">
        <f>IFERROR(__xludf.DUMMYFUNCTION("""COMPUTED_VALUE"""),53686.73)</f>
        <v>53686.73</v>
      </c>
      <c r="C236" s="1">
        <f>IFERROR(__xludf.DUMMYFUNCTION("""COMPUTED_VALUE"""),55893.04)</f>
        <v>55893.04</v>
      </c>
      <c r="D236" s="1">
        <f>IFERROR(__xludf.DUMMYFUNCTION("""COMPUTED_VALUE"""),53319.02)</f>
        <v>53319.02</v>
      </c>
      <c r="E236" s="1">
        <f>IFERROR(__xludf.DUMMYFUNCTION("""COMPUTED_VALUE"""),55647.89)</f>
        <v>55647.89</v>
      </c>
      <c r="F236" s="1">
        <f>IFERROR(__xludf.DUMMYFUNCTION("""COMPUTED_VALUE"""),162117.0)</f>
        <v>162117</v>
      </c>
    </row>
    <row r="237">
      <c r="A237" s="2">
        <f>IFERROR(__xludf.DUMMYFUNCTION("""COMPUTED_VALUE"""),40890.645833333336)</f>
        <v>40890.64583</v>
      </c>
      <c r="B237" s="1">
        <f>IFERROR(__xludf.DUMMYFUNCTION("""COMPUTED_VALUE"""),55157.6)</f>
        <v>55157.6</v>
      </c>
      <c r="C237" s="1">
        <f>IFERROR(__xludf.DUMMYFUNCTION("""COMPUTED_VALUE"""),56138.18)</f>
        <v>56138.18</v>
      </c>
      <c r="D237" s="1">
        <f>IFERROR(__xludf.DUMMYFUNCTION("""COMPUTED_VALUE"""),54667.31)</f>
        <v>54667.31</v>
      </c>
      <c r="E237" s="1">
        <f>IFERROR(__xludf.DUMMYFUNCTION("""COMPUTED_VALUE"""),55770.47)</f>
        <v>55770.47</v>
      </c>
      <c r="F237" s="1">
        <f>IFERROR(__xludf.DUMMYFUNCTION("""COMPUTED_VALUE"""),108174.0)</f>
        <v>108174</v>
      </c>
    </row>
    <row r="238">
      <c r="A238" s="2">
        <f>IFERROR(__xludf.DUMMYFUNCTION("""COMPUTED_VALUE"""),40891.645833333336)</f>
        <v>40891.64583</v>
      </c>
      <c r="B238" s="1">
        <f>IFERROR(__xludf.DUMMYFUNCTION("""COMPUTED_VALUE"""),55770.47)</f>
        <v>55770.47</v>
      </c>
      <c r="C238" s="1">
        <f>IFERROR(__xludf.DUMMYFUNCTION("""COMPUTED_VALUE"""),55770.47)</f>
        <v>55770.47</v>
      </c>
      <c r="D238" s="1">
        <f>IFERROR(__xludf.DUMMYFUNCTION("""COMPUTED_VALUE"""),53319.02)</f>
        <v>53319.02</v>
      </c>
      <c r="E238" s="1">
        <f>IFERROR(__xludf.DUMMYFUNCTION("""COMPUTED_VALUE"""),53441.59)</f>
        <v>53441.59</v>
      </c>
      <c r="F238" s="1">
        <f>IFERROR(__xludf.DUMMYFUNCTION("""COMPUTED_VALUE"""),142610.0)</f>
        <v>142610</v>
      </c>
    </row>
    <row r="239">
      <c r="A239" s="2">
        <f>IFERROR(__xludf.DUMMYFUNCTION("""COMPUTED_VALUE"""),40892.645833333336)</f>
        <v>40892.64583</v>
      </c>
      <c r="B239" s="1">
        <f>IFERROR(__xludf.DUMMYFUNCTION("""COMPUTED_VALUE"""),53441.59)</f>
        <v>53441.59</v>
      </c>
      <c r="C239" s="1">
        <f>IFERROR(__xludf.DUMMYFUNCTION("""COMPUTED_VALUE"""),54667.31)</f>
        <v>54667.31</v>
      </c>
      <c r="D239" s="1">
        <f>IFERROR(__xludf.DUMMYFUNCTION("""COMPUTED_VALUE"""),52951.3)</f>
        <v>52951.3</v>
      </c>
      <c r="E239" s="1">
        <f>IFERROR(__xludf.DUMMYFUNCTION("""COMPUTED_VALUE"""),52951.3)</f>
        <v>52951.3</v>
      </c>
      <c r="F239" s="1">
        <f>IFERROR(__xludf.DUMMYFUNCTION("""COMPUTED_VALUE"""),122098.0)</f>
        <v>122098</v>
      </c>
    </row>
    <row r="240">
      <c r="A240" s="2">
        <f>IFERROR(__xludf.DUMMYFUNCTION("""COMPUTED_VALUE"""),40893.645833333336)</f>
        <v>40893.64583</v>
      </c>
      <c r="B240" s="1">
        <f>IFERROR(__xludf.DUMMYFUNCTION("""COMPUTED_VALUE"""),53196.44)</f>
        <v>53196.44</v>
      </c>
      <c r="C240" s="1">
        <f>IFERROR(__xludf.DUMMYFUNCTION("""COMPUTED_VALUE"""),54054.45)</f>
        <v>54054.45</v>
      </c>
      <c r="D240" s="1">
        <f>IFERROR(__xludf.DUMMYFUNCTION("""COMPUTED_VALUE"""),51725.57)</f>
        <v>51725.57</v>
      </c>
      <c r="E240" s="1">
        <f>IFERROR(__xludf.DUMMYFUNCTION("""COMPUTED_VALUE"""),53319.02)</f>
        <v>53319.02</v>
      </c>
      <c r="F240" s="1">
        <f>IFERROR(__xludf.DUMMYFUNCTION("""COMPUTED_VALUE"""),165669.0)</f>
        <v>165669</v>
      </c>
    </row>
    <row r="241">
      <c r="A241" s="2">
        <f>IFERROR(__xludf.DUMMYFUNCTION("""COMPUTED_VALUE"""),40896.645833333336)</f>
        <v>40896.64583</v>
      </c>
      <c r="B241" s="1">
        <f>IFERROR(__xludf.DUMMYFUNCTION("""COMPUTED_VALUE"""),53073.87)</f>
        <v>53073.87</v>
      </c>
      <c r="C241" s="1">
        <f>IFERROR(__xludf.DUMMYFUNCTION("""COMPUTED_VALUE"""),53564.16)</f>
        <v>53564.16</v>
      </c>
      <c r="D241" s="1">
        <f>IFERROR(__xludf.DUMMYFUNCTION("""COMPUTED_VALUE"""),48661.26)</f>
        <v>48661.26</v>
      </c>
      <c r="E241" s="1">
        <f>IFERROR(__xludf.DUMMYFUNCTION("""COMPUTED_VALUE"""),51357.86)</f>
        <v>51357.86</v>
      </c>
      <c r="F241" s="1">
        <f>IFERROR(__xludf.DUMMYFUNCTION("""COMPUTED_VALUE"""),283647.0)</f>
        <v>283647</v>
      </c>
    </row>
    <row r="242">
      <c r="A242" s="2">
        <f>IFERROR(__xludf.DUMMYFUNCTION("""COMPUTED_VALUE"""),40897.645833333336)</f>
        <v>40897.64583</v>
      </c>
      <c r="B242" s="1">
        <f>IFERROR(__xludf.DUMMYFUNCTION("""COMPUTED_VALUE"""),52461.01)</f>
        <v>52461.01</v>
      </c>
      <c r="C242" s="1">
        <f>IFERROR(__xludf.DUMMYFUNCTION("""COMPUTED_VALUE"""),52461.01)</f>
        <v>52461.01</v>
      </c>
      <c r="D242" s="1">
        <f>IFERROR(__xludf.DUMMYFUNCTION("""COMPUTED_VALUE"""),49396.7)</f>
        <v>49396.7</v>
      </c>
      <c r="E242" s="1">
        <f>IFERROR(__xludf.DUMMYFUNCTION("""COMPUTED_VALUE"""),49519.27)</f>
        <v>49519.27</v>
      </c>
      <c r="F242" s="1">
        <f>IFERROR(__xludf.DUMMYFUNCTION("""COMPUTED_VALUE"""),282410.0)</f>
        <v>282410</v>
      </c>
    </row>
    <row r="243">
      <c r="A243" s="2">
        <f>IFERROR(__xludf.DUMMYFUNCTION("""COMPUTED_VALUE"""),40898.645833333336)</f>
        <v>40898.64583</v>
      </c>
      <c r="B243" s="1">
        <f>IFERROR(__xludf.DUMMYFUNCTION("""COMPUTED_VALUE"""),50745.0)</f>
        <v>50745</v>
      </c>
      <c r="C243" s="1">
        <f>IFERROR(__xludf.DUMMYFUNCTION("""COMPUTED_VALUE"""),54422.17)</f>
        <v>54422.17</v>
      </c>
      <c r="D243" s="1">
        <f>IFERROR(__xludf.DUMMYFUNCTION("""COMPUTED_VALUE"""),50622.42)</f>
        <v>50622.42</v>
      </c>
      <c r="E243" s="1">
        <f>IFERROR(__xludf.DUMMYFUNCTION("""COMPUTED_VALUE"""),54422.17)</f>
        <v>54422.17</v>
      </c>
      <c r="F243" s="1">
        <f>IFERROR(__xludf.DUMMYFUNCTION("""COMPUTED_VALUE"""),248317.0)</f>
        <v>248317</v>
      </c>
    </row>
    <row r="244">
      <c r="A244" s="2">
        <f>IFERROR(__xludf.DUMMYFUNCTION("""COMPUTED_VALUE"""),40899.645833333336)</f>
        <v>40899.64583</v>
      </c>
      <c r="B244" s="1">
        <f>IFERROR(__xludf.DUMMYFUNCTION("""COMPUTED_VALUE"""),54422.17)</f>
        <v>54422.17</v>
      </c>
      <c r="C244" s="1">
        <f>IFERROR(__xludf.DUMMYFUNCTION("""COMPUTED_VALUE"""),54912.46)</f>
        <v>54912.46</v>
      </c>
      <c r="D244" s="1">
        <f>IFERROR(__xludf.DUMMYFUNCTION("""COMPUTED_VALUE"""),53073.87)</f>
        <v>53073.87</v>
      </c>
      <c r="E244" s="1">
        <f>IFERROR(__xludf.DUMMYFUNCTION("""COMPUTED_VALUE"""),54177.02)</f>
        <v>54177.02</v>
      </c>
      <c r="F244" s="1">
        <f>IFERROR(__xludf.DUMMYFUNCTION("""COMPUTED_VALUE"""),68193.0)</f>
        <v>68193</v>
      </c>
    </row>
    <row r="245">
      <c r="A245" s="2">
        <f>IFERROR(__xludf.DUMMYFUNCTION("""COMPUTED_VALUE"""),40900.645833333336)</f>
        <v>40900.64583</v>
      </c>
      <c r="B245" s="1">
        <f>IFERROR(__xludf.DUMMYFUNCTION("""COMPUTED_VALUE"""),54177.02)</f>
        <v>54177.02</v>
      </c>
      <c r="C245" s="1">
        <f>IFERROR(__xludf.DUMMYFUNCTION("""COMPUTED_VALUE"""),54789.89)</f>
        <v>54789.89</v>
      </c>
      <c r="D245" s="1">
        <f>IFERROR(__xludf.DUMMYFUNCTION("""COMPUTED_VALUE"""),53196.44)</f>
        <v>53196.44</v>
      </c>
      <c r="E245" s="1">
        <f>IFERROR(__xludf.DUMMYFUNCTION("""COMPUTED_VALUE"""),53809.31)</f>
        <v>53809.31</v>
      </c>
      <c r="F245" s="1">
        <f>IFERROR(__xludf.DUMMYFUNCTION("""COMPUTED_VALUE"""),146047.0)</f>
        <v>146047</v>
      </c>
    </row>
    <row r="246">
      <c r="A246" s="2">
        <f>IFERROR(__xludf.DUMMYFUNCTION("""COMPUTED_VALUE"""),40903.645833333336)</f>
        <v>40903.64583</v>
      </c>
      <c r="B246" s="1">
        <f>IFERROR(__xludf.DUMMYFUNCTION("""COMPUTED_VALUE"""),54422.17)</f>
        <v>54422.17</v>
      </c>
      <c r="C246" s="1">
        <f>IFERROR(__xludf.DUMMYFUNCTION("""COMPUTED_VALUE"""),54422.17)</f>
        <v>54422.17</v>
      </c>
      <c r="D246" s="1">
        <f>IFERROR(__xludf.DUMMYFUNCTION("""COMPUTED_VALUE"""),52706.15)</f>
        <v>52706.15</v>
      </c>
      <c r="E246" s="1">
        <f>IFERROR(__xludf.DUMMYFUNCTION("""COMPUTED_VALUE"""),52828.73)</f>
        <v>52828.73</v>
      </c>
      <c r="F246" s="1">
        <f>IFERROR(__xludf.DUMMYFUNCTION("""COMPUTED_VALUE"""),61048.0)</f>
        <v>61048</v>
      </c>
    </row>
    <row r="247">
      <c r="A247" s="2">
        <f>IFERROR(__xludf.DUMMYFUNCTION("""COMPUTED_VALUE"""),40904.645833333336)</f>
        <v>40904.64583</v>
      </c>
      <c r="B247" s="1">
        <f>IFERROR(__xludf.DUMMYFUNCTION("""COMPUTED_VALUE"""),52828.73)</f>
        <v>52828.73</v>
      </c>
      <c r="C247" s="1">
        <f>IFERROR(__xludf.DUMMYFUNCTION("""COMPUTED_VALUE"""),54299.6)</f>
        <v>54299.6</v>
      </c>
      <c r="D247" s="1">
        <f>IFERROR(__xludf.DUMMYFUNCTION("""COMPUTED_VALUE"""),51970.72)</f>
        <v>51970.72</v>
      </c>
      <c r="E247" s="1">
        <f>IFERROR(__xludf.DUMMYFUNCTION("""COMPUTED_VALUE"""),53196.44)</f>
        <v>53196.44</v>
      </c>
      <c r="F247" s="1">
        <f>IFERROR(__xludf.DUMMYFUNCTION("""COMPUTED_VALUE"""),100263.0)</f>
        <v>100263</v>
      </c>
    </row>
    <row r="248">
      <c r="A248" s="2">
        <f>IFERROR(__xludf.DUMMYFUNCTION("""COMPUTED_VALUE"""),40905.645833333336)</f>
        <v>40905.64583</v>
      </c>
      <c r="B248" s="1">
        <f>IFERROR(__xludf.DUMMYFUNCTION("""COMPUTED_VALUE"""),53931.88)</f>
        <v>53931.88</v>
      </c>
      <c r="C248" s="1">
        <f>IFERROR(__xludf.DUMMYFUNCTION("""COMPUTED_VALUE"""),53931.88)</f>
        <v>53931.88</v>
      </c>
      <c r="D248" s="1">
        <f>IFERROR(__xludf.DUMMYFUNCTION("""COMPUTED_VALUE"""),51235.29)</f>
        <v>51235.29</v>
      </c>
      <c r="E248" s="1">
        <f>IFERROR(__xludf.DUMMYFUNCTION("""COMPUTED_VALUE"""),51480.43)</f>
        <v>51480.43</v>
      </c>
      <c r="F248" s="1">
        <f>IFERROR(__xludf.DUMMYFUNCTION("""COMPUTED_VALUE"""),147086.0)</f>
        <v>147086</v>
      </c>
    </row>
    <row r="249">
      <c r="A249" s="2">
        <f>IFERROR(__xludf.DUMMYFUNCTION("""COMPUTED_VALUE"""),40906.645833333336)</f>
        <v>40906.64583</v>
      </c>
      <c r="B249" s="1">
        <f>IFERROR(__xludf.DUMMYFUNCTION("""COMPUTED_VALUE"""),51235.29)</f>
        <v>51235.29</v>
      </c>
      <c r="C249" s="1">
        <f>IFERROR(__xludf.DUMMYFUNCTION("""COMPUTED_VALUE"""),52338.44)</f>
        <v>52338.44</v>
      </c>
      <c r="D249" s="1">
        <f>IFERROR(__xludf.DUMMYFUNCTION("""COMPUTED_VALUE"""),50745.0)</f>
        <v>50745</v>
      </c>
      <c r="E249" s="1">
        <f>IFERROR(__xludf.DUMMYFUNCTION("""COMPUTED_VALUE"""),51725.57)</f>
        <v>51725.57</v>
      </c>
      <c r="F249" s="1">
        <f>IFERROR(__xludf.DUMMYFUNCTION("""COMPUTED_VALUE"""),123045.0)</f>
        <v>123045</v>
      </c>
    </row>
    <row r="250">
      <c r="A250" s="2">
        <f>IFERROR(__xludf.DUMMYFUNCTION("""COMPUTED_VALUE"""),40910.645833333336)</f>
        <v>40910.64583</v>
      </c>
      <c r="B250" s="1">
        <f>IFERROR(__xludf.DUMMYFUNCTION("""COMPUTED_VALUE"""),51235.29)</f>
        <v>51235.29</v>
      </c>
      <c r="C250" s="1">
        <f>IFERROR(__xludf.DUMMYFUNCTION("""COMPUTED_VALUE"""),52461.01)</f>
        <v>52461.01</v>
      </c>
      <c r="D250" s="1">
        <f>IFERROR(__xludf.DUMMYFUNCTION("""COMPUTED_VALUE"""),50867.57)</f>
        <v>50867.57</v>
      </c>
      <c r="E250" s="1">
        <f>IFERROR(__xludf.DUMMYFUNCTION("""COMPUTED_VALUE"""),51235.29)</f>
        <v>51235.29</v>
      </c>
      <c r="F250" s="1">
        <f>IFERROR(__xludf.DUMMYFUNCTION("""COMPUTED_VALUE"""),79579.0)</f>
        <v>79579</v>
      </c>
    </row>
    <row r="251">
      <c r="A251" s="2">
        <f>IFERROR(__xludf.DUMMYFUNCTION("""COMPUTED_VALUE"""),40911.645833333336)</f>
        <v>40911.64583</v>
      </c>
      <c r="B251" s="1">
        <f>IFERROR(__xludf.DUMMYFUNCTION("""COMPUTED_VALUE"""),51357.86)</f>
        <v>51357.86</v>
      </c>
      <c r="C251" s="1">
        <f>IFERROR(__xludf.DUMMYFUNCTION("""COMPUTED_VALUE"""),53809.31)</f>
        <v>53809.31</v>
      </c>
      <c r="D251" s="1">
        <f>IFERROR(__xludf.DUMMYFUNCTION("""COMPUTED_VALUE"""),51357.86)</f>
        <v>51357.86</v>
      </c>
      <c r="E251" s="1">
        <f>IFERROR(__xludf.DUMMYFUNCTION("""COMPUTED_VALUE"""),53809.31)</f>
        <v>53809.31</v>
      </c>
      <c r="F251" s="1">
        <f>IFERROR(__xludf.DUMMYFUNCTION("""COMPUTED_VALUE"""),129157.0)</f>
        <v>129157</v>
      </c>
    </row>
    <row r="252">
      <c r="A252" s="2">
        <f>IFERROR(__xludf.DUMMYFUNCTION("""COMPUTED_VALUE"""),40912.645833333336)</f>
        <v>40912.64583</v>
      </c>
      <c r="B252" s="1">
        <f>IFERROR(__xludf.DUMMYFUNCTION("""COMPUTED_VALUE"""),54789.89)</f>
        <v>54789.89</v>
      </c>
      <c r="C252" s="1">
        <f>IFERROR(__xludf.DUMMYFUNCTION("""COMPUTED_VALUE"""),54789.89)</f>
        <v>54789.89</v>
      </c>
      <c r="D252" s="1">
        <f>IFERROR(__xludf.DUMMYFUNCTION("""COMPUTED_VALUE"""),53196.44)</f>
        <v>53196.44</v>
      </c>
      <c r="E252" s="1">
        <f>IFERROR(__xludf.DUMMYFUNCTION("""COMPUTED_VALUE"""),53809.31)</f>
        <v>53809.31</v>
      </c>
      <c r="F252" s="1">
        <f>IFERROR(__xludf.DUMMYFUNCTION("""COMPUTED_VALUE"""),114863.0)</f>
        <v>114863</v>
      </c>
    </row>
    <row r="253">
      <c r="A253" s="2">
        <f>IFERROR(__xludf.DUMMYFUNCTION("""COMPUTED_VALUE"""),40913.645833333336)</f>
        <v>40913.64583</v>
      </c>
      <c r="B253" s="1">
        <f>IFERROR(__xludf.DUMMYFUNCTION("""COMPUTED_VALUE"""),53931.88)</f>
        <v>53931.88</v>
      </c>
      <c r="C253" s="1">
        <f>IFERROR(__xludf.DUMMYFUNCTION("""COMPUTED_VALUE"""),54299.6)</f>
        <v>54299.6</v>
      </c>
      <c r="D253" s="1">
        <f>IFERROR(__xludf.DUMMYFUNCTION("""COMPUTED_VALUE"""),53073.87)</f>
        <v>53073.87</v>
      </c>
      <c r="E253" s="1">
        <f>IFERROR(__xludf.DUMMYFUNCTION("""COMPUTED_VALUE"""),53073.87)</f>
        <v>53073.87</v>
      </c>
      <c r="F253" s="1">
        <f>IFERROR(__xludf.DUMMYFUNCTION("""COMPUTED_VALUE"""),122534.0)</f>
        <v>122534</v>
      </c>
    </row>
    <row r="254">
      <c r="A254" s="2">
        <f>IFERROR(__xludf.DUMMYFUNCTION("""COMPUTED_VALUE"""),40914.645833333336)</f>
        <v>40914.64583</v>
      </c>
      <c r="B254" s="1">
        <f>IFERROR(__xludf.DUMMYFUNCTION("""COMPUTED_VALUE"""),54054.45)</f>
        <v>54054.45</v>
      </c>
      <c r="C254" s="1">
        <f>IFERROR(__xludf.DUMMYFUNCTION("""COMPUTED_VALUE"""),54299.6)</f>
        <v>54299.6</v>
      </c>
      <c r="D254" s="1">
        <f>IFERROR(__xludf.DUMMYFUNCTION("""COMPUTED_VALUE"""),52215.86)</f>
        <v>52215.86</v>
      </c>
      <c r="E254" s="1">
        <f>IFERROR(__xludf.DUMMYFUNCTION("""COMPUTED_VALUE"""),53073.87)</f>
        <v>53073.87</v>
      </c>
      <c r="F254" s="1">
        <f>IFERROR(__xludf.DUMMYFUNCTION("""COMPUTED_VALUE"""),118035.0)</f>
        <v>118035</v>
      </c>
    </row>
    <row r="255">
      <c r="A255" s="2">
        <f>IFERROR(__xludf.DUMMYFUNCTION("""COMPUTED_VALUE"""),40917.645833333336)</f>
        <v>40917.64583</v>
      </c>
      <c r="B255" s="1">
        <f>IFERROR(__xludf.DUMMYFUNCTION("""COMPUTED_VALUE"""),52583.58)</f>
        <v>52583.58</v>
      </c>
      <c r="C255" s="1">
        <f>IFERROR(__xludf.DUMMYFUNCTION("""COMPUTED_VALUE"""),53931.88)</f>
        <v>53931.88</v>
      </c>
      <c r="D255" s="1">
        <f>IFERROR(__xludf.DUMMYFUNCTION("""COMPUTED_VALUE"""),51848.15)</f>
        <v>51848.15</v>
      </c>
      <c r="E255" s="1">
        <f>IFERROR(__xludf.DUMMYFUNCTION("""COMPUTED_VALUE"""),52951.3)</f>
        <v>52951.3</v>
      </c>
      <c r="F255" s="1">
        <f>IFERROR(__xludf.DUMMYFUNCTION("""COMPUTED_VALUE"""),99593.0)</f>
        <v>99593</v>
      </c>
    </row>
    <row r="256">
      <c r="A256" s="2">
        <f>IFERROR(__xludf.DUMMYFUNCTION("""COMPUTED_VALUE"""),40918.645833333336)</f>
        <v>40918.64583</v>
      </c>
      <c r="B256" s="1">
        <f>IFERROR(__xludf.DUMMYFUNCTION("""COMPUTED_VALUE"""),53564.16)</f>
        <v>53564.16</v>
      </c>
      <c r="C256" s="1">
        <f>IFERROR(__xludf.DUMMYFUNCTION("""COMPUTED_VALUE"""),54177.02)</f>
        <v>54177.02</v>
      </c>
      <c r="D256" s="1">
        <f>IFERROR(__xludf.DUMMYFUNCTION("""COMPUTED_VALUE"""),52951.3)</f>
        <v>52951.3</v>
      </c>
      <c r="E256" s="1">
        <f>IFERROR(__xludf.DUMMYFUNCTION("""COMPUTED_VALUE"""),52951.3)</f>
        <v>52951.3</v>
      </c>
      <c r="F256" s="1">
        <f>IFERROR(__xludf.DUMMYFUNCTION("""COMPUTED_VALUE"""),123485.0)</f>
        <v>123485</v>
      </c>
    </row>
    <row r="257">
      <c r="A257" s="2">
        <f>IFERROR(__xludf.DUMMYFUNCTION("""COMPUTED_VALUE"""),40919.645833333336)</f>
        <v>40919.64583</v>
      </c>
      <c r="B257" s="1">
        <f>IFERROR(__xludf.DUMMYFUNCTION("""COMPUTED_VALUE"""),53073.87)</f>
        <v>53073.87</v>
      </c>
      <c r="C257" s="1">
        <f>IFERROR(__xludf.DUMMYFUNCTION("""COMPUTED_VALUE"""),54177.02)</f>
        <v>54177.02</v>
      </c>
      <c r="D257" s="1">
        <f>IFERROR(__xludf.DUMMYFUNCTION("""COMPUTED_VALUE"""),52951.3)</f>
        <v>52951.3</v>
      </c>
      <c r="E257" s="1">
        <f>IFERROR(__xludf.DUMMYFUNCTION("""COMPUTED_VALUE"""),53931.88)</f>
        <v>53931.88</v>
      </c>
      <c r="F257" s="1">
        <f>IFERROR(__xludf.DUMMYFUNCTION("""COMPUTED_VALUE"""),119560.0)</f>
        <v>119560</v>
      </c>
    </row>
    <row r="258">
      <c r="A258" s="2">
        <f>IFERROR(__xludf.DUMMYFUNCTION("""COMPUTED_VALUE"""),40920.645833333336)</f>
        <v>40920.64583</v>
      </c>
      <c r="B258" s="1">
        <f>IFERROR(__xludf.DUMMYFUNCTION("""COMPUTED_VALUE"""),54299.6)</f>
        <v>54299.6</v>
      </c>
      <c r="C258" s="1">
        <f>IFERROR(__xludf.DUMMYFUNCTION("""COMPUTED_VALUE"""),54422.17)</f>
        <v>54422.17</v>
      </c>
      <c r="D258" s="1">
        <f>IFERROR(__xludf.DUMMYFUNCTION("""COMPUTED_VALUE"""),53564.16)</f>
        <v>53564.16</v>
      </c>
      <c r="E258" s="1">
        <f>IFERROR(__xludf.DUMMYFUNCTION("""COMPUTED_VALUE"""),54422.17)</f>
        <v>54422.17</v>
      </c>
      <c r="F258" s="1">
        <f>IFERROR(__xludf.DUMMYFUNCTION("""COMPUTED_VALUE"""),130697.0)</f>
        <v>130697</v>
      </c>
    </row>
    <row r="259">
      <c r="A259" s="2">
        <f>IFERROR(__xludf.DUMMYFUNCTION("""COMPUTED_VALUE"""),40921.645833333336)</f>
        <v>40921.64583</v>
      </c>
      <c r="B259" s="1">
        <f>IFERROR(__xludf.DUMMYFUNCTION("""COMPUTED_VALUE"""),54544.74)</f>
        <v>54544.74</v>
      </c>
      <c r="C259" s="1">
        <f>IFERROR(__xludf.DUMMYFUNCTION("""COMPUTED_VALUE"""),54912.46)</f>
        <v>54912.46</v>
      </c>
      <c r="D259" s="1">
        <f>IFERROR(__xludf.DUMMYFUNCTION("""COMPUTED_VALUE"""),53809.31)</f>
        <v>53809.31</v>
      </c>
      <c r="E259" s="1">
        <f>IFERROR(__xludf.DUMMYFUNCTION("""COMPUTED_VALUE"""),54422.17)</f>
        <v>54422.17</v>
      </c>
      <c r="F259" s="1">
        <f>IFERROR(__xludf.DUMMYFUNCTION("""COMPUTED_VALUE"""),115866.0)</f>
        <v>115866</v>
      </c>
    </row>
    <row r="260">
      <c r="A260" s="2">
        <f>IFERROR(__xludf.DUMMYFUNCTION("""COMPUTED_VALUE"""),40924.645833333336)</f>
        <v>40924.64583</v>
      </c>
      <c r="B260" s="1">
        <f>IFERROR(__xludf.DUMMYFUNCTION("""COMPUTED_VALUE"""),54789.89)</f>
        <v>54789.89</v>
      </c>
      <c r="C260" s="1">
        <f>IFERROR(__xludf.DUMMYFUNCTION("""COMPUTED_VALUE"""),54912.46)</f>
        <v>54912.46</v>
      </c>
      <c r="D260" s="1">
        <f>IFERROR(__xludf.DUMMYFUNCTION("""COMPUTED_VALUE"""),52461.01)</f>
        <v>52461.01</v>
      </c>
      <c r="E260" s="1">
        <f>IFERROR(__xludf.DUMMYFUNCTION("""COMPUTED_VALUE"""),53931.88)</f>
        <v>53931.88</v>
      </c>
      <c r="F260" s="1">
        <f>IFERROR(__xludf.DUMMYFUNCTION("""COMPUTED_VALUE"""),115303.0)</f>
        <v>115303</v>
      </c>
    </row>
    <row r="261">
      <c r="A261" s="2">
        <f>IFERROR(__xludf.DUMMYFUNCTION("""COMPUTED_VALUE"""),40925.645833333336)</f>
        <v>40925.64583</v>
      </c>
      <c r="B261" s="1">
        <f>IFERROR(__xludf.DUMMYFUNCTION("""COMPUTED_VALUE"""),54422.17)</f>
        <v>54422.17</v>
      </c>
      <c r="C261" s="1">
        <f>IFERROR(__xludf.DUMMYFUNCTION("""COMPUTED_VALUE"""),55035.03)</f>
        <v>55035.03</v>
      </c>
      <c r="D261" s="1">
        <f>IFERROR(__xludf.DUMMYFUNCTION("""COMPUTED_VALUE"""),54054.45)</f>
        <v>54054.45</v>
      </c>
      <c r="E261" s="1">
        <f>IFERROR(__xludf.DUMMYFUNCTION("""COMPUTED_VALUE"""),54912.46)</f>
        <v>54912.46</v>
      </c>
      <c r="F261" s="1">
        <f>IFERROR(__xludf.DUMMYFUNCTION("""COMPUTED_VALUE"""),122322.0)</f>
        <v>122322</v>
      </c>
    </row>
    <row r="262">
      <c r="A262" s="2">
        <f>IFERROR(__xludf.DUMMYFUNCTION("""COMPUTED_VALUE"""),40926.645833333336)</f>
        <v>40926.64583</v>
      </c>
      <c r="B262" s="1">
        <f>IFERROR(__xludf.DUMMYFUNCTION("""COMPUTED_VALUE"""),55280.18)</f>
        <v>55280.18</v>
      </c>
      <c r="C262" s="1">
        <f>IFERROR(__xludf.DUMMYFUNCTION("""COMPUTED_VALUE"""),55770.47)</f>
        <v>55770.47</v>
      </c>
      <c r="D262" s="1">
        <f>IFERROR(__xludf.DUMMYFUNCTION("""COMPUTED_VALUE"""),54912.46)</f>
        <v>54912.46</v>
      </c>
      <c r="E262" s="1">
        <f>IFERROR(__xludf.DUMMYFUNCTION("""COMPUTED_VALUE"""),55770.47)</f>
        <v>55770.47</v>
      </c>
      <c r="F262" s="1">
        <f>IFERROR(__xludf.DUMMYFUNCTION("""COMPUTED_VALUE"""),186938.0)</f>
        <v>186938</v>
      </c>
    </row>
    <row r="263">
      <c r="A263" s="2">
        <f>IFERROR(__xludf.DUMMYFUNCTION("""COMPUTED_VALUE"""),40927.645833333336)</f>
        <v>40927.64583</v>
      </c>
      <c r="B263" s="1">
        <f>IFERROR(__xludf.DUMMYFUNCTION("""COMPUTED_VALUE"""),56260.76)</f>
        <v>56260.76</v>
      </c>
      <c r="C263" s="1">
        <f>IFERROR(__xludf.DUMMYFUNCTION("""COMPUTED_VALUE"""),56505.9)</f>
        <v>56505.9</v>
      </c>
      <c r="D263" s="1">
        <f>IFERROR(__xludf.DUMMYFUNCTION("""COMPUTED_VALUE"""),55525.32)</f>
        <v>55525.32</v>
      </c>
      <c r="E263" s="1">
        <f>IFERROR(__xludf.DUMMYFUNCTION("""COMPUTED_VALUE"""),56260.76)</f>
        <v>56260.76</v>
      </c>
      <c r="F263" s="1">
        <f>IFERROR(__xludf.DUMMYFUNCTION("""COMPUTED_VALUE"""),149880.0)</f>
        <v>149880</v>
      </c>
    </row>
    <row r="264">
      <c r="A264" s="2">
        <f>IFERROR(__xludf.DUMMYFUNCTION("""COMPUTED_VALUE"""),40928.645833333336)</f>
        <v>40928.64583</v>
      </c>
      <c r="B264" s="1">
        <f>IFERROR(__xludf.DUMMYFUNCTION("""COMPUTED_VALUE"""),55893.04)</f>
        <v>55893.04</v>
      </c>
      <c r="C264" s="1">
        <f>IFERROR(__xludf.DUMMYFUNCTION("""COMPUTED_VALUE"""),56015.61)</f>
        <v>56015.61</v>
      </c>
      <c r="D264" s="1">
        <f>IFERROR(__xludf.DUMMYFUNCTION("""COMPUTED_VALUE"""),54177.02)</f>
        <v>54177.02</v>
      </c>
      <c r="E264" s="1">
        <f>IFERROR(__xludf.DUMMYFUNCTION("""COMPUTED_VALUE"""),54789.89)</f>
        <v>54789.89</v>
      </c>
      <c r="F264" s="1">
        <f>IFERROR(__xludf.DUMMYFUNCTION("""COMPUTED_VALUE"""),254405.0)</f>
        <v>254405</v>
      </c>
    </row>
    <row r="265">
      <c r="A265" s="2">
        <f>IFERROR(__xludf.DUMMYFUNCTION("""COMPUTED_VALUE"""),40933.645833333336)</f>
        <v>40933.64583</v>
      </c>
      <c r="B265" s="1">
        <f>IFERROR(__xludf.DUMMYFUNCTION("""COMPUTED_VALUE"""),55035.03)</f>
        <v>55035.03</v>
      </c>
      <c r="C265" s="1">
        <f>IFERROR(__xludf.DUMMYFUNCTION("""COMPUTED_VALUE"""),55157.6)</f>
        <v>55157.6</v>
      </c>
      <c r="D265" s="1">
        <f>IFERROR(__xludf.DUMMYFUNCTION("""COMPUTED_VALUE"""),53196.44)</f>
        <v>53196.44</v>
      </c>
      <c r="E265" s="1">
        <f>IFERROR(__xludf.DUMMYFUNCTION("""COMPUTED_VALUE"""),53196.44)</f>
        <v>53196.44</v>
      </c>
      <c r="F265" s="1">
        <f>IFERROR(__xludf.DUMMYFUNCTION("""COMPUTED_VALUE"""),251272.0)</f>
        <v>251272</v>
      </c>
    </row>
    <row r="266">
      <c r="A266" s="2">
        <f>IFERROR(__xludf.DUMMYFUNCTION("""COMPUTED_VALUE"""),40934.645833333336)</f>
        <v>40934.64583</v>
      </c>
      <c r="B266" s="1">
        <f>IFERROR(__xludf.DUMMYFUNCTION("""COMPUTED_VALUE"""),53441.59)</f>
        <v>53441.59</v>
      </c>
      <c r="C266" s="1">
        <f>IFERROR(__xludf.DUMMYFUNCTION("""COMPUTED_VALUE"""),54299.6)</f>
        <v>54299.6</v>
      </c>
      <c r="D266" s="1">
        <f>IFERROR(__xludf.DUMMYFUNCTION("""COMPUTED_VALUE"""),52706.15)</f>
        <v>52706.15</v>
      </c>
      <c r="E266" s="1">
        <f>IFERROR(__xludf.DUMMYFUNCTION("""COMPUTED_VALUE"""),53931.88)</f>
        <v>53931.88</v>
      </c>
      <c r="F266" s="1">
        <f>IFERROR(__xludf.DUMMYFUNCTION("""COMPUTED_VALUE"""),250073.0)</f>
        <v>250073</v>
      </c>
    </row>
    <row r="267">
      <c r="A267" s="2">
        <f>IFERROR(__xludf.DUMMYFUNCTION("""COMPUTED_VALUE"""),40935.645833333336)</f>
        <v>40935.64583</v>
      </c>
      <c r="B267" s="1">
        <f>IFERROR(__xludf.DUMMYFUNCTION("""COMPUTED_VALUE"""),54177.02)</f>
        <v>54177.02</v>
      </c>
      <c r="C267" s="1">
        <f>IFERROR(__xludf.DUMMYFUNCTION("""COMPUTED_VALUE"""),54177.02)</f>
        <v>54177.02</v>
      </c>
      <c r="D267" s="1">
        <f>IFERROR(__xludf.DUMMYFUNCTION("""COMPUTED_VALUE"""),52461.01)</f>
        <v>52461.01</v>
      </c>
      <c r="E267" s="1">
        <f>IFERROR(__xludf.DUMMYFUNCTION("""COMPUTED_VALUE"""),53073.87)</f>
        <v>53073.87</v>
      </c>
      <c r="F267" s="1">
        <f>IFERROR(__xludf.DUMMYFUNCTION("""COMPUTED_VALUE"""),182303.0)</f>
        <v>182303</v>
      </c>
    </row>
    <row r="268">
      <c r="A268" s="2">
        <f>IFERROR(__xludf.DUMMYFUNCTION("""COMPUTED_VALUE"""),40938.645833333336)</f>
        <v>40938.64583</v>
      </c>
      <c r="B268" s="1">
        <f>IFERROR(__xludf.DUMMYFUNCTION("""COMPUTED_VALUE"""),53196.44)</f>
        <v>53196.44</v>
      </c>
      <c r="C268" s="1">
        <f>IFERROR(__xludf.DUMMYFUNCTION("""COMPUTED_VALUE"""),53809.31)</f>
        <v>53809.31</v>
      </c>
      <c r="D268" s="1">
        <f>IFERROR(__xludf.DUMMYFUNCTION("""COMPUTED_VALUE"""),51603.0)</f>
        <v>51603</v>
      </c>
      <c r="E268" s="1">
        <f>IFERROR(__xludf.DUMMYFUNCTION("""COMPUTED_VALUE"""),51725.57)</f>
        <v>51725.57</v>
      </c>
      <c r="F268" s="1">
        <f>IFERROR(__xludf.DUMMYFUNCTION("""COMPUTED_VALUE"""),238659.0)</f>
        <v>238659</v>
      </c>
    </row>
    <row r="269">
      <c r="A269" s="2">
        <f>IFERROR(__xludf.DUMMYFUNCTION("""COMPUTED_VALUE"""),40939.645833333336)</f>
        <v>40939.64583</v>
      </c>
      <c r="B269" s="1">
        <f>IFERROR(__xludf.DUMMYFUNCTION("""COMPUTED_VALUE"""),52828.73)</f>
        <v>52828.73</v>
      </c>
      <c r="C269" s="1">
        <f>IFERROR(__xludf.DUMMYFUNCTION("""COMPUTED_VALUE"""),53073.87)</f>
        <v>53073.87</v>
      </c>
      <c r="D269" s="1">
        <f>IFERROR(__xludf.DUMMYFUNCTION("""COMPUTED_VALUE"""),50990.14)</f>
        <v>50990.14</v>
      </c>
      <c r="E269" s="1">
        <f>IFERROR(__xludf.DUMMYFUNCTION("""COMPUTED_VALUE"""),51970.72)</f>
        <v>51970.72</v>
      </c>
      <c r="F269" s="1">
        <f>IFERROR(__xludf.DUMMYFUNCTION("""COMPUTED_VALUE"""),227300.0)</f>
        <v>227300</v>
      </c>
    </row>
    <row r="270">
      <c r="A270" s="2">
        <f>IFERROR(__xludf.DUMMYFUNCTION("""COMPUTED_VALUE"""),40940.645833333336)</f>
        <v>40940.64583</v>
      </c>
      <c r="B270" s="1">
        <f>IFERROR(__xludf.DUMMYFUNCTION("""COMPUTED_VALUE"""),52093.29)</f>
        <v>52093.29</v>
      </c>
      <c r="C270" s="1">
        <f>IFERROR(__xludf.DUMMYFUNCTION("""COMPUTED_VALUE"""),52951.3)</f>
        <v>52951.3</v>
      </c>
      <c r="D270" s="1">
        <f>IFERROR(__xludf.DUMMYFUNCTION("""COMPUTED_VALUE"""),50990.14)</f>
        <v>50990.14</v>
      </c>
      <c r="E270" s="1">
        <f>IFERROR(__xludf.DUMMYFUNCTION("""COMPUTED_VALUE"""),51480.43)</f>
        <v>51480.43</v>
      </c>
      <c r="F270" s="1">
        <f>IFERROR(__xludf.DUMMYFUNCTION("""COMPUTED_VALUE"""),260189.0)</f>
        <v>260189</v>
      </c>
    </row>
    <row r="271">
      <c r="A271" s="2">
        <f>IFERROR(__xludf.DUMMYFUNCTION("""COMPUTED_VALUE"""),40941.645833333336)</f>
        <v>40941.64583</v>
      </c>
      <c r="B271" s="1">
        <f>IFERROR(__xludf.DUMMYFUNCTION("""COMPUTED_VALUE"""),51725.57)</f>
        <v>51725.57</v>
      </c>
      <c r="C271" s="1">
        <f>IFERROR(__xludf.DUMMYFUNCTION("""COMPUTED_VALUE"""),52583.58)</f>
        <v>52583.58</v>
      </c>
      <c r="D271" s="1">
        <f>IFERROR(__xludf.DUMMYFUNCTION("""COMPUTED_VALUE"""),51235.29)</f>
        <v>51235.29</v>
      </c>
      <c r="E271" s="1">
        <f>IFERROR(__xludf.DUMMYFUNCTION("""COMPUTED_VALUE"""),51603.0)</f>
        <v>51603</v>
      </c>
      <c r="F271" s="1">
        <f>IFERROR(__xludf.DUMMYFUNCTION("""COMPUTED_VALUE"""),231874.0)</f>
        <v>231874</v>
      </c>
    </row>
    <row r="272">
      <c r="A272" s="2">
        <f>IFERROR(__xludf.DUMMYFUNCTION("""COMPUTED_VALUE"""),40942.645833333336)</f>
        <v>40942.64583</v>
      </c>
      <c r="B272" s="1">
        <f>IFERROR(__xludf.DUMMYFUNCTION("""COMPUTED_VALUE"""),52338.44)</f>
        <v>52338.44</v>
      </c>
      <c r="C272" s="1">
        <f>IFERROR(__xludf.DUMMYFUNCTION("""COMPUTED_VALUE"""),53441.59)</f>
        <v>53441.59</v>
      </c>
      <c r="D272" s="1">
        <f>IFERROR(__xludf.DUMMYFUNCTION("""COMPUTED_VALUE"""),51970.72)</f>
        <v>51970.72</v>
      </c>
      <c r="E272" s="1">
        <f>IFERROR(__xludf.DUMMYFUNCTION("""COMPUTED_VALUE"""),53319.02)</f>
        <v>53319.02</v>
      </c>
      <c r="F272" s="1">
        <f>IFERROR(__xludf.DUMMYFUNCTION("""COMPUTED_VALUE"""),220068.0)</f>
        <v>220068</v>
      </c>
    </row>
    <row r="273">
      <c r="A273" s="2">
        <f>IFERROR(__xludf.DUMMYFUNCTION("""COMPUTED_VALUE"""),40945.645833333336)</f>
        <v>40945.64583</v>
      </c>
      <c r="B273" s="1">
        <f>IFERROR(__xludf.DUMMYFUNCTION("""COMPUTED_VALUE"""),53564.16)</f>
        <v>53564.16</v>
      </c>
      <c r="C273" s="1">
        <f>IFERROR(__xludf.DUMMYFUNCTION("""COMPUTED_VALUE"""),54177.02)</f>
        <v>54177.02</v>
      </c>
      <c r="D273" s="1">
        <f>IFERROR(__xludf.DUMMYFUNCTION("""COMPUTED_VALUE"""),53196.44)</f>
        <v>53196.44</v>
      </c>
      <c r="E273" s="1">
        <f>IFERROR(__xludf.DUMMYFUNCTION("""COMPUTED_VALUE"""),54054.45)</f>
        <v>54054.45</v>
      </c>
      <c r="F273" s="1">
        <f>IFERROR(__xludf.DUMMYFUNCTION("""COMPUTED_VALUE"""),194142.0)</f>
        <v>194142</v>
      </c>
    </row>
    <row r="274">
      <c r="A274" s="2">
        <f>IFERROR(__xludf.DUMMYFUNCTION("""COMPUTED_VALUE"""),40946.645833333336)</f>
        <v>40946.64583</v>
      </c>
      <c r="B274" s="1">
        <f>IFERROR(__xludf.DUMMYFUNCTION("""COMPUTED_VALUE"""),54054.45)</f>
        <v>54054.45</v>
      </c>
      <c r="C274" s="1">
        <f>IFERROR(__xludf.DUMMYFUNCTION("""COMPUTED_VALUE"""),54054.45)</f>
        <v>54054.45</v>
      </c>
      <c r="D274" s="1">
        <f>IFERROR(__xludf.DUMMYFUNCTION("""COMPUTED_VALUE"""),52461.01)</f>
        <v>52461.01</v>
      </c>
      <c r="E274" s="1">
        <f>IFERROR(__xludf.DUMMYFUNCTION("""COMPUTED_VALUE"""),53564.16)</f>
        <v>53564.16</v>
      </c>
      <c r="F274" s="1">
        <f>IFERROR(__xludf.DUMMYFUNCTION("""COMPUTED_VALUE"""),175783.0)</f>
        <v>175783</v>
      </c>
    </row>
    <row r="275">
      <c r="A275" s="2">
        <f>IFERROR(__xludf.DUMMYFUNCTION("""COMPUTED_VALUE"""),40947.645833333336)</f>
        <v>40947.64583</v>
      </c>
      <c r="B275" s="1">
        <f>IFERROR(__xludf.DUMMYFUNCTION("""COMPUTED_VALUE"""),53196.44)</f>
        <v>53196.44</v>
      </c>
      <c r="C275" s="1">
        <f>IFERROR(__xludf.DUMMYFUNCTION("""COMPUTED_VALUE"""),53686.73)</f>
        <v>53686.73</v>
      </c>
      <c r="D275" s="1">
        <f>IFERROR(__xludf.DUMMYFUNCTION("""COMPUTED_VALUE"""),51970.72)</f>
        <v>51970.72</v>
      </c>
      <c r="E275" s="1">
        <f>IFERROR(__xludf.DUMMYFUNCTION("""COMPUTED_VALUE"""),52215.86)</f>
        <v>52215.86</v>
      </c>
      <c r="F275" s="1">
        <f>IFERROR(__xludf.DUMMYFUNCTION("""COMPUTED_VALUE"""),218088.0)</f>
        <v>218088</v>
      </c>
    </row>
    <row r="276">
      <c r="A276" s="2">
        <f>IFERROR(__xludf.DUMMYFUNCTION("""COMPUTED_VALUE"""),40948.645833333336)</f>
        <v>40948.64583</v>
      </c>
      <c r="B276" s="1">
        <f>IFERROR(__xludf.DUMMYFUNCTION("""COMPUTED_VALUE"""),52706.15)</f>
        <v>52706.15</v>
      </c>
      <c r="C276" s="1">
        <f>IFERROR(__xludf.DUMMYFUNCTION("""COMPUTED_VALUE"""),53196.44)</f>
        <v>53196.44</v>
      </c>
      <c r="D276" s="1">
        <f>IFERROR(__xludf.DUMMYFUNCTION("""COMPUTED_VALUE"""),51235.29)</f>
        <v>51235.29</v>
      </c>
      <c r="E276" s="1">
        <f>IFERROR(__xludf.DUMMYFUNCTION("""COMPUTED_VALUE"""),52093.29)</f>
        <v>52093.29</v>
      </c>
      <c r="F276" s="1">
        <f>IFERROR(__xludf.DUMMYFUNCTION("""COMPUTED_VALUE"""),251111.0)</f>
        <v>251111</v>
      </c>
    </row>
    <row r="277">
      <c r="A277" s="2">
        <f>IFERROR(__xludf.DUMMYFUNCTION("""COMPUTED_VALUE"""),40949.645833333336)</f>
        <v>40949.64583</v>
      </c>
      <c r="B277" s="1">
        <f>IFERROR(__xludf.DUMMYFUNCTION("""COMPUTED_VALUE"""),51725.57)</f>
        <v>51725.57</v>
      </c>
      <c r="C277" s="1">
        <f>IFERROR(__xludf.DUMMYFUNCTION("""COMPUTED_VALUE"""),53809.31)</f>
        <v>53809.31</v>
      </c>
      <c r="D277" s="1">
        <f>IFERROR(__xludf.DUMMYFUNCTION("""COMPUTED_VALUE"""),50990.14)</f>
        <v>50990.14</v>
      </c>
      <c r="E277" s="1">
        <f>IFERROR(__xludf.DUMMYFUNCTION("""COMPUTED_VALUE"""),53319.02)</f>
        <v>53319.02</v>
      </c>
      <c r="F277" s="1">
        <f>IFERROR(__xludf.DUMMYFUNCTION("""COMPUTED_VALUE"""),298005.0)</f>
        <v>298005</v>
      </c>
    </row>
    <row r="278">
      <c r="A278" s="2">
        <f>IFERROR(__xludf.DUMMYFUNCTION("""COMPUTED_VALUE"""),40952.645833333336)</f>
        <v>40952.64583</v>
      </c>
      <c r="B278" s="1">
        <f>IFERROR(__xludf.DUMMYFUNCTION("""COMPUTED_VALUE"""),53319.02)</f>
        <v>53319.02</v>
      </c>
      <c r="C278" s="1">
        <f>IFERROR(__xludf.DUMMYFUNCTION("""COMPUTED_VALUE"""),54177.02)</f>
        <v>54177.02</v>
      </c>
      <c r="D278" s="1">
        <f>IFERROR(__xludf.DUMMYFUNCTION("""COMPUTED_VALUE"""),52706.15)</f>
        <v>52706.15</v>
      </c>
      <c r="E278" s="1">
        <f>IFERROR(__xludf.DUMMYFUNCTION("""COMPUTED_VALUE"""),53319.02)</f>
        <v>53319.02</v>
      </c>
      <c r="F278" s="1">
        <f>IFERROR(__xludf.DUMMYFUNCTION("""COMPUTED_VALUE"""),132022.0)</f>
        <v>132022</v>
      </c>
    </row>
    <row r="279">
      <c r="A279" s="2">
        <f>IFERROR(__xludf.DUMMYFUNCTION("""COMPUTED_VALUE"""),40953.645833333336)</f>
        <v>40953.64583</v>
      </c>
      <c r="B279" s="1">
        <f>IFERROR(__xludf.DUMMYFUNCTION("""COMPUTED_VALUE"""),53196.44)</f>
        <v>53196.44</v>
      </c>
      <c r="C279" s="1">
        <f>IFERROR(__xludf.DUMMYFUNCTION("""COMPUTED_VALUE"""),54054.45)</f>
        <v>54054.45</v>
      </c>
      <c r="D279" s="1">
        <f>IFERROR(__xludf.DUMMYFUNCTION("""COMPUTED_VALUE"""),52583.58)</f>
        <v>52583.58</v>
      </c>
      <c r="E279" s="1">
        <f>IFERROR(__xludf.DUMMYFUNCTION("""COMPUTED_VALUE"""),53686.73)</f>
        <v>53686.73</v>
      </c>
      <c r="F279" s="1">
        <f>IFERROR(__xludf.DUMMYFUNCTION("""COMPUTED_VALUE"""),139607.0)</f>
        <v>139607</v>
      </c>
    </row>
    <row r="280">
      <c r="A280" s="2">
        <f>IFERROR(__xludf.DUMMYFUNCTION("""COMPUTED_VALUE"""),40954.645833333336)</f>
        <v>40954.64583</v>
      </c>
      <c r="B280" s="1">
        <f>IFERROR(__xludf.DUMMYFUNCTION("""COMPUTED_VALUE"""),54422.17)</f>
        <v>54422.17</v>
      </c>
      <c r="C280" s="1">
        <f>IFERROR(__xludf.DUMMYFUNCTION("""COMPUTED_VALUE"""),55157.6)</f>
        <v>55157.6</v>
      </c>
      <c r="D280" s="1">
        <f>IFERROR(__xludf.DUMMYFUNCTION("""COMPUTED_VALUE"""),53686.73)</f>
        <v>53686.73</v>
      </c>
      <c r="E280" s="1">
        <f>IFERROR(__xludf.DUMMYFUNCTION("""COMPUTED_VALUE"""),55157.6)</f>
        <v>55157.6</v>
      </c>
      <c r="F280" s="1">
        <f>IFERROR(__xludf.DUMMYFUNCTION("""COMPUTED_VALUE"""),168663.0)</f>
        <v>168663</v>
      </c>
    </row>
    <row r="281">
      <c r="A281" s="2">
        <f>IFERROR(__xludf.DUMMYFUNCTION("""COMPUTED_VALUE"""),40955.645833333336)</f>
        <v>40955.64583</v>
      </c>
      <c r="B281" s="1">
        <f>IFERROR(__xludf.DUMMYFUNCTION("""COMPUTED_VALUE"""),54789.89)</f>
        <v>54789.89</v>
      </c>
      <c r="C281" s="1">
        <f>IFERROR(__xludf.DUMMYFUNCTION("""COMPUTED_VALUE"""),55647.89)</f>
        <v>55647.89</v>
      </c>
      <c r="D281" s="1">
        <f>IFERROR(__xludf.DUMMYFUNCTION("""COMPUTED_VALUE"""),54054.45)</f>
        <v>54054.45</v>
      </c>
      <c r="E281" s="1">
        <f>IFERROR(__xludf.DUMMYFUNCTION("""COMPUTED_VALUE"""),54177.02)</f>
        <v>54177.02</v>
      </c>
      <c r="F281" s="1">
        <f>IFERROR(__xludf.DUMMYFUNCTION("""COMPUTED_VALUE"""),131738.0)</f>
        <v>131738</v>
      </c>
    </row>
    <row r="282">
      <c r="A282" s="2">
        <f>IFERROR(__xludf.DUMMYFUNCTION("""COMPUTED_VALUE"""),40956.645833333336)</f>
        <v>40956.64583</v>
      </c>
      <c r="B282" s="1">
        <f>IFERROR(__xludf.DUMMYFUNCTION("""COMPUTED_VALUE"""),54789.89)</f>
        <v>54789.89</v>
      </c>
      <c r="C282" s="1">
        <f>IFERROR(__xludf.DUMMYFUNCTION("""COMPUTED_VALUE"""),55157.6)</f>
        <v>55157.6</v>
      </c>
      <c r="D282" s="1">
        <f>IFERROR(__xludf.DUMMYFUNCTION("""COMPUTED_VALUE"""),53809.31)</f>
        <v>53809.31</v>
      </c>
      <c r="E282" s="1">
        <f>IFERROR(__xludf.DUMMYFUNCTION("""COMPUTED_VALUE"""),53809.31)</f>
        <v>53809.31</v>
      </c>
      <c r="F282" s="1">
        <f>IFERROR(__xludf.DUMMYFUNCTION("""COMPUTED_VALUE"""),143647.0)</f>
        <v>143647</v>
      </c>
    </row>
    <row r="283">
      <c r="A283" s="2">
        <f>IFERROR(__xludf.DUMMYFUNCTION("""COMPUTED_VALUE"""),40959.645833333336)</f>
        <v>40959.64583</v>
      </c>
      <c r="B283" s="1">
        <f>IFERROR(__xludf.DUMMYFUNCTION("""COMPUTED_VALUE"""),53809.31)</f>
        <v>53809.31</v>
      </c>
      <c r="C283" s="1">
        <f>IFERROR(__xludf.DUMMYFUNCTION("""COMPUTED_VALUE"""),54299.6)</f>
        <v>54299.6</v>
      </c>
      <c r="D283" s="1">
        <f>IFERROR(__xludf.DUMMYFUNCTION("""COMPUTED_VALUE"""),52951.3)</f>
        <v>52951.3</v>
      </c>
      <c r="E283" s="1">
        <f>IFERROR(__xludf.DUMMYFUNCTION("""COMPUTED_VALUE"""),53073.87)</f>
        <v>53073.87</v>
      </c>
      <c r="F283" s="1">
        <f>IFERROR(__xludf.DUMMYFUNCTION("""COMPUTED_VALUE"""),126535.0)</f>
        <v>126535</v>
      </c>
    </row>
    <row r="284">
      <c r="A284" s="2">
        <f>IFERROR(__xludf.DUMMYFUNCTION("""COMPUTED_VALUE"""),40960.645833333336)</f>
        <v>40960.64583</v>
      </c>
      <c r="B284" s="1">
        <f>IFERROR(__xludf.DUMMYFUNCTION("""COMPUTED_VALUE"""),53073.87)</f>
        <v>53073.87</v>
      </c>
      <c r="C284" s="1">
        <f>IFERROR(__xludf.DUMMYFUNCTION("""COMPUTED_VALUE"""),54667.31)</f>
        <v>54667.31</v>
      </c>
      <c r="D284" s="1">
        <f>IFERROR(__xludf.DUMMYFUNCTION("""COMPUTED_VALUE"""),53073.87)</f>
        <v>53073.87</v>
      </c>
      <c r="E284" s="1">
        <f>IFERROR(__xludf.DUMMYFUNCTION("""COMPUTED_VALUE"""),54667.31)</f>
        <v>54667.31</v>
      </c>
      <c r="F284" s="1">
        <f>IFERROR(__xludf.DUMMYFUNCTION("""COMPUTED_VALUE"""),126378.0)</f>
        <v>126378</v>
      </c>
    </row>
    <row r="285">
      <c r="A285" s="2">
        <f>IFERROR(__xludf.DUMMYFUNCTION("""COMPUTED_VALUE"""),40961.645833333336)</f>
        <v>40961.64583</v>
      </c>
      <c r="B285" s="1">
        <f>IFERROR(__xludf.DUMMYFUNCTION("""COMPUTED_VALUE"""),54912.46)</f>
        <v>54912.46</v>
      </c>
      <c r="C285" s="1">
        <f>IFERROR(__xludf.DUMMYFUNCTION("""COMPUTED_VALUE"""),57976.77)</f>
        <v>57976.77</v>
      </c>
      <c r="D285" s="1">
        <f>IFERROR(__xludf.DUMMYFUNCTION("""COMPUTED_VALUE"""),54544.74)</f>
        <v>54544.74</v>
      </c>
      <c r="E285" s="1">
        <f>IFERROR(__xludf.DUMMYFUNCTION("""COMPUTED_VALUE"""),56628.47)</f>
        <v>56628.47</v>
      </c>
      <c r="F285" s="1">
        <f>IFERROR(__xludf.DUMMYFUNCTION("""COMPUTED_VALUE"""),346199.0)</f>
        <v>346199</v>
      </c>
    </row>
    <row r="286">
      <c r="A286" s="2">
        <f>IFERROR(__xludf.DUMMYFUNCTION("""COMPUTED_VALUE"""),40962.645833333336)</f>
        <v>40962.64583</v>
      </c>
      <c r="B286" s="1">
        <f>IFERROR(__xludf.DUMMYFUNCTION("""COMPUTED_VALUE"""),57241.34)</f>
        <v>57241.34</v>
      </c>
      <c r="C286" s="1">
        <f>IFERROR(__xludf.DUMMYFUNCTION("""COMPUTED_VALUE"""),58834.78)</f>
        <v>58834.78</v>
      </c>
      <c r="D286" s="1">
        <f>IFERROR(__xludf.DUMMYFUNCTION("""COMPUTED_VALUE"""),56751.05)</f>
        <v>56751.05</v>
      </c>
      <c r="E286" s="1">
        <f>IFERROR(__xludf.DUMMYFUNCTION("""COMPUTED_VALUE"""),58834.78)</f>
        <v>58834.78</v>
      </c>
      <c r="F286" s="1">
        <f>IFERROR(__xludf.DUMMYFUNCTION("""COMPUTED_VALUE"""),386273.0)</f>
        <v>386273</v>
      </c>
    </row>
    <row r="287">
      <c r="A287" s="2">
        <f>IFERROR(__xludf.DUMMYFUNCTION("""COMPUTED_VALUE"""),40963.645833333336)</f>
        <v>40963.64583</v>
      </c>
      <c r="B287" s="1">
        <f>IFERROR(__xludf.DUMMYFUNCTION("""COMPUTED_VALUE"""),57731.63)</f>
        <v>57731.63</v>
      </c>
      <c r="C287" s="1">
        <f>IFERROR(__xludf.DUMMYFUNCTION("""COMPUTED_VALUE"""),58834.78)</f>
        <v>58834.78</v>
      </c>
      <c r="D287" s="1">
        <f>IFERROR(__xludf.DUMMYFUNCTION("""COMPUTED_VALUE"""),56996.19)</f>
        <v>56996.19</v>
      </c>
      <c r="E287" s="1">
        <f>IFERROR(__xludf.DUMMYFUNCTION("""COMPUTED_VALUE"""),58221.91)</f>
        <v>58221.91</v>
      </c>
      <c r="F287" s="1">
        <f>IFERROR(__xludf.DUMMYFUNCTION("""COMPUTED_VALUE"""),232977.0)</f>
        <v>232977</v>
      </c>
    </row>
    <row r="288">
      <c r="A288" s="2">
        <f>IFERROR(__xludf.DUMMYFUNCTION("""COMPUTED_VALUE"""),40966.645833333336)</f>
        <v>40966.64583</v>
      </c>
      <c r="B288" s="1">
        <f>IFERROR(__xludf.DUMMYFUNCTION("""COMPUTED_VALUE"""),58834.78)</f>
        <v>58834.78</v>
      </c>
      <c r="C288" s="1">
        <f>IFERROR(__xludf.DUMMYFUNCTION("""COMPUTED_VALUE"""),58834.78)</f>
        <v>58834.78</v>
      </c>
      <c r="D288" s="1">
        <f>IFERROR(__xludf.DUMMYFUNCTION("""COMPUTED_VALUE"""),56505.9)</f>
        <v>56505.9</v>
      </c>
      <c r="E288" s="1">
        <f>IFERROR(__xludf.DUMMYFUNCTION("""COMPUTED_VALUE"""),58344.49)</f>
        <v>58344.49</v>
      </c>
      <c r="F288" s="1">
        <f>IFERROR(__xludf.DUMMYFUNCTION("""COMPUTED_VALUE"""),226249.0)</f>
        <v>226249</v>
      </c>
    </row>
    <row r="289">
      <c r="A289" s="2">
        <f>IFERROR(__xludf.DUMMYFUNCTION("""COMPUTED_VALUE"""),40967.645833333336)</f>
        <v>40967.64583</v>
      </c>
      <c r="B289" s="1">
        <f>IFERROR(__xludf.DUMMYFUNCTION("""COMPUTED_VALUE"""),57609.05)</f>
        <v>57609.05</v>
      </c>
      <c r="C289" s="1">
        <f>IFERROR(__xludf.DUMMYFUNCTION("""COMPUTED_VALUE"""),58344.49)</f>
        <v>58344.49</v>
      </c>
      <c r="D289" s="1">
        <f>IFERROR(__xludf.DUMMYFUNCTION("""COMPUTED_VALUE"""),56505.9)</f>
        <v>56505.9</v>
      </c>
      <c r="E289" s="1">
        <f>IFERROR(__xludf.DUMMYFUNCTION("""COMPUTED_VALUE"""),56996.19)</f>
        <v>56996.19</v>
      </c>
      <c r="F289" s="1">
        <f>IFERROR(__xludf.DUMMYFUNCTION("""COMPUTED_VALUE"""),177323.0)</f>
        <v>177323</v>
      </c>
    </row>
    <row r="290">
      <c r="A290" s="2">
        <f>IFERROR(__xludf.DUMMYFUNCTION("""COMPUTED_VALUE"""),40968.645833333336)</f>
        <v>40968.64583</v>
      </c>
      <c r="B290" s="1">
        <f>IFERROR(__xludf.DUMMYFUNCTION("""COMPUTED_VALUE"""),56628.47)</f>
        <v>56628.47</v>
      </c>
      <c r="C290" s="1">
        <f>IFERROR(__xludf.DUMMYFUNCTION("""COMPUTED_VALUE"""),57486.48)</f>
        <v>57486.48</v>
      </c>
      <c r="D290" s="1">
        <f>IFERROR(__xludf.DUMMYFUNCTION("""COMPUTED_VALUE"""),55893.04)</f>
        <v>55893.04</v>
      </c>
      <c r="E290" s="1">
        <f>IFERROR(__xludf.DUMMYFUNCTION("""COMPUTED_VALUE"""),57241.34)</f>
        <v>57241.34</v>
      </c>
      <c r="F290" s="1">
        <f>IFERROR(__xludf.DUMMYFUNCTION("""COMPUTED_VALUE"""),170271.0)</f>
        <v>170271</v>
      </c>
    </row>
    <row r="291">
      <c r="A291" s="2">
        <f>IFERROR(__xludf.DUMMYFUNCTION("""COMPUTED_VALUE"""),40970.645833333336)</f>
        <v>40970.64583</v>
      </c>
      <c r="B291" s="1">
        <f>IFERROR(__xludf.DUMMYFUNCTION("""COMPUTED_VALUE"""),57486.48)</f>
        <v>57486.48</v>
      </c>
      <c r="C291" s="1">
        <f>IFERROR(__xludf.DUMMYFUNCTION("""COMPUTED_VALUE"""),58344.49)</f>
        <v>58344.49</v>
      </c>
      <c r="D291" s="1">
        <f>IFERROR(__xludf.DUMMYFUNCTION("""COMPUTED_VALUE"""),55525.32)</f>
        <v>55525.32</v>
      </c>
      <c r="E291" s="1">
        <f>IFERROR(__xludf.DUMMYFUNCTION("""COMPUTED_VALUE"""),58221.91)</f>
        <v>58221.91</v>
      </c>
      <c r="F291" s="1">
        <f>IFERROR(__xludf.DUMMYFUNCTION("""COMPUTED_VALUE"""),268666.0)</f>
        <v>268666</v>
      </c>
    </row>
    <row r="292">
      <c r="A292" s="2">
        <f>IFERROR(__xludf.DUMMYFUNCTION("""COMPUTED_VALUE"""),40973.645833333336)</f>
        <v>40973.64583</v>
      </c>
      <c r="B292" s="1">
        <f>IFERROR(__xludf.DUMMYFUNCTION("""COMPUTED_VALUE"""),57241.34)</f>
        <v>57241.34</v>
      </c>
      <c r="C292" s="1">
        <f>IFERROR(__xludf.DUMMYFUNCTION("""COMPUTED_VALUE"""),57609.05)</f>
        <v>57609.05</v>
      </c>
      <c r="D292" s="1">
        <f>IFERROR(__xludf.DUMMYFUNCTION("""COMPUTED_VALUE"""),56505.9)</f>
        <v>56505.9</v>
      </c>
      <c r="E292" s="1">
        <f>IFERROR(__xludf.DUMMYFUNCTION("""COMPUTED_VALUE"""),56996.19)</f>
        <v>56996.19</v>
      </c>
      <c r="F292" s="1">
        <f>IFERROR(__xludf.DUMMYFUNCTION("""COMPUTED_VALUE"""),103131.0)</f>
        <v>103131</v>
      </c>
    </row>
    <row r="293">
      <c r="A293" s="2">
        <f>IFERROR(__xludf.DUMMYFUNCTION("""COMPUTED_VALUE"""),40974.645833333336)</f>
        <v>40974.64583</v>
      </c>
      <c r="B293" s="1">
        <f>IFERROR(__xludf.DUMMYFUNCTION("""COMPUTED_VALUE"""),57363.91)</f>
        <v>57363.91</v>
      </c>
      <c r="C293" s="1">
        <f>IFERROR(__xludf.DUMMYFUNCTION("""COMPUTED_VALUE"""),57854.2)</f>
        <v>57854.2</v>
      </c>
      <c r="D293" s="1">
        <f>IFERROR(__xludf.DUMMYFUNCTION("""COMPUTED_VALUE"""),55770.47)</f>
        <v>55770.47</v>
      </c>
      <c r="E293" s="1">
        <f>IFERROR(__xludf.DUMMYFUNCTION("""COMPUTED_VALUE"""),57118.76)</f>
        <v>57118.76</v>
      </c>
      <c r="F293" s="1">
        <f>IFERROR(__xludf.DUMMYFUNCTION("""COMPUTED_VALUE"""),149226.0)</f>
        <v>149226</v>
      </c>
    </row>
    <row r="294">
      <c r="A294" s="2">
        <f>IFERROR(__xludf.DUMMYFUNCTION("""COMPUTED_VALUE"""),40975.645833333336)</f>
        <v>40975.64583</v>
      </c>
      <c r="B294" s="1">
        <f>IFERROR(__xludf.DUMMYFUNCTION("""COMPUTED_VALUE"""),57363.91)</f>
        <v>57363.91</v>
      </c>
      <c r="C294" s="1">
        <f>IFERROR(__xludf.DUMMYFUNCTION("""COMPUTED_VALUE"""),57854.2)</f>
        <v>57854.2</v>
      </c>
      <c r="D294" s="1">
        <f>IFERROR(__xludf.DUMMYFUNCTION("""COMPUTED_VALUE"""),56628.47)</f>
        <v>56628.47</v>
      </c>
      <c r="E294" s="1">
        <f>IFERROR(__xludf.DUMMYFUNCTION("""COMPUTED_VALUE"""),57731.63)</f>
        <v>57731.63</v>
      </c>
      <c r="F294" s="1">
        <f>IFERROR(__xludf.DUMMYFUNCTION("""COMPUTED_VALUE"""),116598.0)</f>
        <v>116598</v>
      </c>
    </row>
    <row r="295">
      <c r="A295" s="2">
        <f>IFERROR(__xludf.DUMMYFUNCTION("""COMPUTED_VALUE"""),40976.645833333336)</f>
        <v>40976.64583</v>
      </c>
      <c r="B295" s="1">
        <f>IFERROR(__xludf.DUMMYFUNCTION("""COMPUTED_VALUE"""),57731.63)</f>
        <v>57731.63</v>
      </c>
      <c r="C295" s="1">
        <f>IFERROR(__xludf.DUMMYFUNCTION("""COMPUTED_VALUE"""),57854.2)</f>
        <v>57854.2</v>
      </c>
      <c r="D295" s="1">
        <f>IFERROR(__xludf.DUMMYFUNCTION("""COMPUTED_VALUE"""),55647.89)</f>
        <v>55647.89</v>
      </c>
      <c r="E295" s="1">
        <f>IFERROR(__xludf.DUMMYFUNCTION("""COMPUTED_VALUE"""),55647.89)</f>
        <v>55647.89</v>
      </c>
      <c r="F295" s="1">
        <f>IFERROR(__xludf.DUMMYFUNCTION("""COMPUTED_VALUE"""),213013.0)</f>
        <v>213013</v>
      </c>
    </row>
    <row r="296">
      <c r="A296" s="2">
        <f>IFERROR(__xludf.DUMMYFUNCTION("""COMPUTED_VALUE"""),40977.645833333336)</f>
        <v>40977.64583</v>
      </c>
      <c r="B296" s="1">
        <f>IFERROR(__xludf.DUMMYFUNCTION("""COMPUTED_VALUE"""),56138.18)</f>
        <v>56138.18</v>
      </c>
      <c r="C296" s="1">
        <f>IFERROR(__xludf.DUMMYFUNCTION("""COMPUTED_VALUE"""),57609.05)</f>
        <v>57609.05</v>
      </c>
      <c r="D296" s="1">
        <f>IFERROR(__xludf.DUMMYFUNCTION("""COMPUTED_VALUE"""),55893.04)</f>
        <v>55893.04</v>
      </c>
      <c r="E296" s="1">
        <f>IFERROR(__xludf.DUMMYFUNCTION("""COMPUTED_VALUE"""),57118.76)</f>
        <v>57118.76</v>
      </c>
      <c r="F296" s="1">
        <f>IFERROR(__xludf.DUMMYFUNCTION("""COMPUTED_VALUE"""),165196.0)</f>
        <v>165196</v>
      </c>
    </row>
    <row r="297">
      <c r="A297" s="2">
        <f>IFERROR(__xludf.DUMMYFUNCTION("""COMPUTED_VALUE"""),40980.645833333336)</f>
        <v>40980.64583</v>
      </c>
      <c r="B297" s="1">
        <f>IFERROR(__xludf.DUMMYFUNCTION("""COMPUTED_VALUE"""),56873.62)</f>
        <v>56873.62</v>
      </c>
      <c r="C297" s="1">
        <f>IFERROR(__xludf.DUMMYFUNCTION("""COMPUTED_VALUE"""),59325.07)</f>
        <v>59325.07</v>
      </c>
      <c r="D297" s="1">
        <f>IFERROR(__xludf.DUMMYFUNCTION("""COMPUTED_VALUE"""),56751.05)</f>
        <v>56751.05</v>
      </c>
      <c r="E297" s="1">
        <f>IFERROR(__xludf.DUMMYFUNCTION("""COMPUTED_VALUE"""),59202.49)</f>
        <v>59202.49</v>
      </c>
      <c r="F297" s="1">
        <f>IFERROR(__xludf.DUMMYFUNCTION("""COMPUTED_VALUE"""),152447.0)</f>
        <v>152447</v>
      </c>
    </row>
    <row r="298">
      <c r="A298" s="2">
        <f>IFERROR(__xludf.DUMMYFUNCTION("""COMPUTED_VALUE"""),40981.645833333336)</f>
        <v>40981.64583</v>
      </c>
      <c r="B298" s="1">
        <f>IFERROR(__xludf.DUMMYFUNCTION("""COMPUTED_VALUE"""),59447.64)</f>
        <v>59447.64</v>
      </c>
      <c r="C298" s="1">
        <f>IFERROR(__xludf.DUMMYFUNCTION("""COMPUTED_VALUE"""),60305.65)</f>
        <v>60305.65</v>
      </c>
      <c r="D298" s="1">
        <f>IFERROR(__xludf.DUMMYFUNCTION("""COMPUTED_VALUE"""),58467.06)</f>
        <v>58467.06</v>
      </c>
      <c r="E298" s="1">
        <f>IFERROR(__xludf.DUMMYFUNCTION("""COMPUTED_VALUE"""),58467.06)</f>
        <v>58467.06</v>
      </c>
      <c r="F298" s="1">
        <f>IFERROR(__xludf.DUMMYFUNCTION("""COMPUTED_VALUE"""),147947.0)</f>
        <v>147947</v>
      </c>
    </row>
    <row r="299">
      <c r="A299" s="2">
        <f>IFERROR(__xludf.DUMMYFUNCTION("""COMPUTED_VALUE"""),40982.645833333336)</f>
        <v>40982.64583</v>
      </c>
      <c r="B299" s="1">
        <f>IFERROR(__xludf.DUMMYFUNCTION("""COMPUTED_VALUE"""),58467.06)</f>
        <v>58467.06</v>
      </c>
      <c r="C299" s="1">
        <f>IFERROR(__xludf.DUMMYFUNCTION("""COMPUTED_VALUE"""),59447.64)</f>
        <v>59447.64</v>
      </c>
      <c r="D299" s="1">
        <f>IFERROR(__xludf.DUMMYFUNCTION("""COMPUTED_VALUE"""),57731.63)</f>
        <v>57731.63</v>
      </c>
      <c r="E299" s="1">
        <f>IFERROR(__xludf.DUMMYFUNCTION("""COMPUTED_VALUE"""),57854.2)</f>
        <v>57854.2</v>
      </c>
      <c r="F299" s="1">
        <f>IFERROR(__xludf.DUMMYFUNCTION("""COMPUTED_VALUE"""),150021.0)</f>
        <v>150021</v>
      </c>
    </row>
    <row r="300">
      <c r="A300" s="2">
        <f>IFERROR(__xludf.DUMMYFUNCTION("""COMPUTED_VALUE"""),40983.645833333336)</f>
        <v>40983.64583</v>
      </c>
      <c r="B300" s="1">
        <f>IFERROR(__xludf.DUMMYFUNCTION("""COMPUTED_VALUE"""),57854.2)</f>
        <v>57854.2</v>
      </c>
      <c r="C300" s="1">
        <f>IFERROR(__xludf.DUMMYFUNCTION("""COMPUTED_VALUE"""),58712.2)</f>
        <v>58712.2</v>
      </c>
      <c r="D300" s="1">
        <f>IFERROR(__xludf.DUMMYFUNCTION("""COMPUTED_VALUE"""),57609.05)</f>
        <v>57609.05</v>
      </c>
      <c r="E300" s="1">
        <f>IFERROR(__xludf.DUMMYFUNCTION("""COMPUTED_VALUE"""),58099.34)</f>
        <v>58099.34</v>
      </c>
      <c r="F300" s="1">
        <f>IFERROR(__xludf.DUMMYFUNCTION("""COMPUTED_VALUE"""),102501.0)</f>
        <v>102501</v>
      </c>
    </row>
    <row r="301">
      <c r="A301" s="2">
        <f>IFERROR(__xludf.DUMMYFUNCTION("""COMPUTED_VALUE"""),40984.645833333336)</f>
        <v>40984.64583</v>
      </c>
      <c r="B301" s="1">
        <f>IFERROR(__xludf.DUMMYFUNCTION("""COMPUTED_VALUE"""),58099.34)</f>
        <v>58099.34</v>
      </c>
      <c r="C301" s="1">
        <f>IFERROR(__xludf.DUMMYFUNCTION("""COMPUTED_VALUE"""),58589.63)</f>
        <v>58589.63</v>
      </c>
      <c r="D301" s="1">
        <f>IFERROR(__xludf.DUMMYFUNCTION("""COMPUTED_VALUE"""),57609.05)</f>
        <v>57609.05</v>
      </c>
      <c r="E301" s="1">
        <f>IFERROR(__xludf.DUMMYFUNCTION("""COMPUTED_VALUE"""),57609.05)</f>
        <v>57609.05</v>
      </c>
      <c r="F301" s="1">
        <f>IFERROR(__xludf.DUMMYFUNCTION("""COMPUTED_VALUE"""),112046.0)</f>
        <v>112046</v>
      </c>
    </row>
    <row r="302">
      <c r="A302" s="2">
        <f>IFERROR(__xludf.DUMMYFUNCTION("""COMPUTED_VALUE"""),40987.645833333336)</f>
        <v>40987.64583</v>
      </c>
      <c r="B302" s="1">
        <f>IFERROR(__xludf.DUMMYFUNCTION("""COMPUTED_VALUE"""),57609.05)</f>
        <v>57609.05</v>
      </c>
      <c r="C302" s="1">
        <f>IFERROR(__xludf.DUMMYFUNCTION("""COMPUTED_VALUE"""),58957.35)</f>
        <v>58957.35</v>
      </c>
      <c r="D302" s="1">
        <f>IFERROR(__xludf.DUMMYFUNCTION("""COMPUTED_VALUE"""),57609.05)</f>
        <v>57609.05</v>
      </c>
      <c r="E302" s="1">
        <f>IFERROR(__xludf.DUMMYFUNCTION("""COMPUTED_VALUE"""),58467.06)</f>
        <v>58467.06</v>
      </c>
      <c r="F302" s="1">
        <f>IFERROR(__xludf.DUMMYFUNCTION("""COMPUTED_VALUE"""),110345.0)</f>
        <v>110345</v>
      </c>
    </row>
    <row r="303">
      <c r="A303" s="2">
        <f>IFERROR(__xludf.DUMMYFUNCTION("""COMPUTED_VALUE"""),40988.645833333336)</f>
        <v>40988.64583</v>
      </c>
      <c r="B303" s="1">
        <f>IFERROR(__xludf.DUMMYFUNCTION("""COMPUTED_VALUE"""),58344.49)</f>
        <v>58344.49</v>
      </c>
      <c r="C303" s="1">
        <f>IFERROR(__xludf.DUMMYFUNCTION("""COMPUTED_VALUE"""),60183.07)</f>
        <v>60183.07</v>
      </c>
      <c r="D303" s="1">
        <f>IFERROR(__xludf.DUMMYFUNCTION("""COMPUTED_VALUE"""),58099.34)</f>
        <v>58099.34</v>
      </c>
      <c r="E303" s="1">
        <f>IFERROR(__xludf.DUMMYFUNCTION("""COMPUTED_VALUE"""),58589.63)</f>
        <v>58589.63</v>
      </c>
      <c r="F303" s="1">
        <f>IFERROR(__xludf.DUMMYFUNCTION("""COMPUTED_VALUE"""),197686.0)</f>
        <v>197686</v>
      </c>
    </row>
    <row r="304">
      <c r="A304" s="2">
        <f>IFERROR(__xludf.DUMMYFUNCTION("""COMPUTED_VALUE"""),40989.645833333336)</f>
        <v>40989.64583</v>
      </c>
      <c r="B304" s="1">
        <f>IFERROR(__xludf.DUMMYFUNCTION("""COMPUTED_VALUE"""),58957.35)</f>
        <v>58957.35</v>
      </c>
      <c r="C304" s="1">
        <f>IFERROR(__xludf.DUMMYFUNCTION("""COMPUTED_VALUE"""),61163.65)</f>
        <v>61163.65</v>
      </c>
      <c r="D304" s="1">
        <f>IFERROR(__xludf.DUMMYFUNCTION("""COMPUTED_VALUE"""),58589.63)</f>
        <v>58589.63</v>
      </c>
      <c r="E304" s="1">
        <f>IFERROR(__xludf.DUMMYFUNCTION("""COMPUTED_VALUE"""),61163.65)</f>
        <v>61163.65</v>
      </c>
      <c r="F304" s="1">
        <f>IFERROR(__xludf.DUMMYFUNCTION("""COMPUTED_VALUE"""),190385.0)</f>
        <v>190385</v>
      </c>
    </row>
    <row r="305">
      <c r="A305" s="2">
        <f>IFERROR(__xludf.DUMMYFUNCTION("""COMPUTED_VALUE"""),40990.645833333336)</f>
        <v>40990.64583</v>
      </c>
      <c r="B305" s="1">
        <f>IFERROR(__xludf.DUMMYFUNCTION("""COMPUTED_VALUE"""),61408.8)</f>
        <v>61408.8</v>
      </c>
      <c r="C305" s="1">
        <f>IFERROR(__xludf.DUMMYFUNCTION("""COMPUTED_VALUE"""),61531.37)</f>
        <v>61531.37</v>
      </c>
      <c r="D305" s="1">
        <f>IFERROR(__xludf.DUMMYFUNCTION("""COMPUTED_VALUE"""),57609.05)</f>
        <v>57609.05</v>
      </c>
      <c r="E305" s="1">
        <f>IFERROR(__xludf.DUMMYFUNCTION("""COMPUTED_VALUE"""),59937.93)</f>
        <v>59937.93</v>
      </c>
      <c r="F305" s="1">
        <f>IFERROR(__xludf.DUMMYFUNCTION("""COMPUTED_VALUE"""),212406.0)</f>
        <v>212406</v>
      </c>
    </row>
    <row r="306">
      <c r="A306" s="2">
        <f>IFERROR(__xludf.DUMMYFUNCTION("""COMPUTED_VALUE"""),40991.645833333336)</f>
        <v>40991.64583</v>
      </c>
      <c r="B306" s="1">
        <f>IFERROR(__xludf.DUMMYFUNCTION("""COMPUTED_VALUE"""),59325.07)</f>
        <v>59325.07</v>
      </c>
      <c r="C306" s="1">
        <f>IFERROR(__xludf.DUMMYFUNCTION("""COMPUTED_VALUE"""),61531.37)</f>
        <v>61531.37</v>
      </c>
      <c r="D306" s="1">
        <f>IFERROR(__xludf.DUMMYFUNCTION("""COMPUTED_VALUE"""),59202.49)</f>
        <v>59202.49</v>
      </c>
      <c r="E306" s="1">
        <f>IFERROR(__xludf.DUMMYFUNCTION("""COMPUTED_VALUE"""),60428.22)</f>
        <v>60428.22</v>
      </c>
      <c r="F306" s="1">
        <f>IFERROR(__xludf.DUMMYFUNCTION("""COMPUTED_VALUE"""),152765.0)</f>
        <v>152765</v>
      </c>
    </row>
    <row r="307">
      <c r="A307" s="2">
        <f>IFERROR(__xludf.DUMMYFUNCTION("""COMPUTED_VALUE"""),40994.645833333336)</f>
        <v>40994.64583</v>
      </c>
      <c r="B307" s="1">
        <f>IFERROR(__xludf.DUMMYFUNCTION("""COMPUTED_VALUE"""),61286.23)</f>
        <v>61286.23</v>
      </c>
      <c r="C307" s="1">
        <f>IFERROR(__xludf.DUMMYFUNCTION("""COMPUTED_VALUE"""),63124.81)</f>
        <v>63124.81</v>
      </c>
      <c r="D307" s="1">
        <f>IFERROR(__xludf.DUMMYFUNCTION("""COMPUTED_VALUE"""),51480.43)</f>
        <v>51480.43</v>
      </c>
      <c r="E307" s="1">
        <f>IFERROR(__xludf.DUMMYFUNCTION("""COMPUTED_VALUE"""),61531.37)</f>
        <v>61531.37</v>
      </c>
      <c r="F307" s="1">
        <f>IFERROR(__xludf.DUMMYFUNCTION("""COMPUTED_VALUE"""),248570.0)</f>
        <v>248570</v>
      </c>
    </row>
    <row r="308">
      <c r="A308" s="2">
        <f>IFERROR(__xludf.DUMMYFUNCTION("""COMPUTED_VALUE"""),40995.645833333336)</f>
        <v>40995.64583</v>
      </c>
      <c r="B308" s="1">
        <f>IFERROR(__xludf.DUMMYFUNCTION("""COMPUTED_VALUE"""),63124.81)</f>
        <v>63124.81</v>
      </c>
      <c r="C308" s="1">
        <f>IFERROR(__xludf.DUMMYFUNCTION("""COMPUTED_VALUE"""),65453.69)</f>
        <v>65453.69</v>
      </c>
      <c r="D308" s="1">
        <f>IFERROR(__xludf.DUMMYFUNCTION("""COMPUTED_VALUE"""),62511.95)</f>
        <v>62511.95</v>
      </c>
      <c r="E308" s="1">
        <f>IFERROR(__xludf.DUMMYFUNCTION("""COMPUTED_VALUE"""),65085.97)</f>
        <v>65085.97</v>
      </c>
      <c r="F308" s="1">
        <f>IFERROR(__xludf.DUMMYFUNCTION("""COMPUTED_VALUE"""),252874.0)</f>
        <v>252874</v>
      </c>
    </row>
    <row r="309">
      <c r="A309" s="2">
        <f>IFERROR(__xludf.DUMMYFUNCTION("""COMPUTED_VALUE"""),40996.645833333336)</f>
        <v>40996.64583</v>
      </c>
      <c r="B309" s="1">
        <f>IFERROR(__xludf.DUMMYFUNCTION("""COMPUTED_VALUE"""),64963.4)</f>
        <v>64963.4</v>
      </c>
      <c r="C309" s="1">
        <f>IFERROR(__xludf.DUMMYFUNCTION("""COMPUTED_VALUE"""),64963.4)</f>
        <v>64963.4</v>
      </c>
      <c r="D309" s="1">
        <f>IFERROR(__xludf.DUMMYFUNCTION("""COMPUTED_VALUE"""),62634.52)</f>
        <v>62634.52</v>
      </c>
      <c r="E309" s="1">
        <f>IFERROR(__xludf.DUMMYFUNCTION("""COMPUTED_VALUE"""),64105.39)</f>
        <v>64105.39</v>
      </c>
      <c r="F309" s="1">
        <f>IFERROR(__xludf.DUMMYFUNCTION("""COMPUTED_VALUE"""),224499.0)</f>
        <v>224499</v>
      </c>
    </row>
    <row r="310">
      <c r="A310" s="2">
        <f>IFERROR(__xludf.DUMMYFUNCTION("""COMPUTED_VALUE"""),40997.645833333336)</f>
        <v>40997.64583</v>
      </c>
      <c r="B310" s="1">
        <f>IFERROR(__xludf.DUMMYFUNCTION("""COMPUTED_VALUE"""),64105.39)</f>
        <v>64105.39</v>
      </c>
      <c r="C310" s="1">
        <f>IFERROR(__xludf.DUMMYFUNCTION("""COMPUTED_VALUE"""),64105.39)</f>
        <v>64105.39</v>
      </c>
      <c r="D310" s="1">
        <f>IFERROR(__xludf.DUMMYFUNCTION("""COMPUTED_VALUE"""),61776.52)</f>
        <v>61776.52</v>
      </c>
      <c r="E310" s="1">
        <f>IFERROR(__xludf.DUMMYFUNCTION("""COMPUTED_VALUE"""),62144.23)</f>
        <v>62144.23</v>
      </c>
      <c r="F310" s="1">
        <f>IFERROR(__xludf.DUMMYFUNCTION("""COMPUTED_VALUE"""),148908.0)</f>
        <v>148908</v>
      </c>
    </row>
    <row r="311">
      <c r="A311" s="2">
        <f>IFERROR(__xludf.DUMMYFUNCTION("""COMPUTED_VALUE"""),40998.645833333336)</f>
        <v>40998.64583</v>
      </c>
      <c r="B311" s="1">
        <f>IFERROR(__xludf.DUMMYFUNCTION("""COMPUTED_VALUE"""),63369.96)</f>
        <v>63369.96</v>
      </c>
      <c r="C311" s="1">
        <f>IFERROR(__xludf.DUMMYFUNCTION("""COMPUTED_VALUE"""),64227.97)</f>
        <v>64227.97</v>
      </c>
      <c r="D311" s="1">
        <f>IFERROR(__xludf.DUMMYFUNCTION("""COMPUTED_VALUE"""),62144.23)</f>
        <v>62144.23</v>
      </c>
      <c r="E311" s="1">
        <f>IFERROR(__xludf.DUMMYFUNCTION("""COMPUTED_VALUE"""),63737.68)</f>
        <v>63737.68</v>
      </c>
      <c r="F311" s="1">
        <f>IFERROR(__xludf.DUMMYFUNCTION("""COMPUTED_VALUE"""),124997.0)</f>
        <v>124997</v>
      </c>
    </row>
    <row r="312">
      <c r="A312" s="2">
        <f>IFERROR(__xludf.DUMMYFUNCTION("""COMPUTED_VALUE"""),41001.645833333336)</f>
        <v>41001.64583</v>
      </c>
      <c r="B312" s="1">
        <f>IFERROR(__xludf.DUMMYFUNCTION("""COMPUTED_VALUE"""),64963.4)</f>
        <v>64963.4</v>
      </c>
      <c r="C312" s="1">
        <f>IFERROR(__xludf.DUMMYFUNCTION("""COMPUTED_VALUE"""),65453.69)</f>
        <v>65453.69</v>
      </c>
      <c r="D312" s="1">
        <f>IFERROR(__xludf.DUMMYFUNCTION("""COMPUTED_VALUE"""),62757.1)</f>
        <v>62757.1</v>
      </c>
      <c r="E312" s="1">
        <f>IFERROR(__xludf.DUMMYFUNCTION("""COMPUTED_VALUE"""),63492.53)</f>
        <v>63492.53</v>
      </c>
      <c r="F312" s="1">
        <f>IFERROR(__xludf.DUMMYFUNCTION("""COMPUTED_VALUE"""),146979.0)</f>
        <v>146979</v>
      </c>
    </row>
    <row r="313">
      <c r="A313" s="2">
        <f>IFERROR(__xludf.DUMMYFUNCTION("""COMPUTED_VALUE"""),41002.645833333336)</f>
        <v>41002.64583</v>
      </c>
      <c r="B313" s="1">
        <f>IFERROR(__xludf.DUMMYFUNCTION("""COMPUTED_VALUE"""),63492.53)</f>
        <v>63492.53</v>
      </c>
      <c r="C313" s="1">
        <f>IFERROR(__xludf.DUMMYFUNCTION("""COMPUTED_VALUE"""),65821.41)</f>
        <v>65821.41</v>
      </c>
      <c r="D313" s="1">
        <f>IFERROR(__xludf.DUMMYFUNCTION("""COMPUTED_VALUE"""),63124.81)</f>
        <v>63124.81</v>
      </c>
      <c r="E313" s="1">
        <f>IFERROR(__xludf.DUMMYFUNCTION("""COMPUTED_VALUE"""),63982.82)</f>
        <v>63982.82</v>
      </c>
      <c r="F313" s="1">
        <f>IFERROR(__xludf.DUMMYFUNCTION("""COMPUTED_VALUE"""),167397.0)</f>
        <v>167397</v>
      </c>
    </row>
    <row r="314">
      <c r="A314" s="2">
        <f>IFERROR(__xludf.DUMMYFUNCTION("""COMPUTED_VALUE"""),41003.645833333336)</f>
        <v>41003.64583</v>
      </c>
      <c r="B314" s="1">
        <f>IFERROR(__xludf.DUMMYFUNCTION("""COMPUTED_VALUE"""),64350.54)</f>
        <v>64350.54</v>
      </c>
      <c r="C314" s="1">
        <f>IFERROR(__xludf.DUMMYFUNCTION("""COMPUTED_VALUE"""),64718.25)</f>
        <v>64718.25</v>
      </c>
      <c r="D314" s="1">
        <f>IFERROR(__xludf.DUMMYFUNCTION("""COMPUTED_VALUE"""),61899.09)</f>
        <v>61899.09</v>
      </c>
      <c r="E314" s="1">
        <f>IFERROR(__xludf.DUMMYFUNCTION("""COMPUTED_VALUE"""),62144.23)</f>
        <v>62144.23</v>
      </c>
      <c r="F314" s="1">
        <f>IFERROR(__xludf.DUMMYFUNCTION("""COMPUTED_VALUE"""),137898.0)</f>
        <v>137898</v>
      </c>
    </row>
    <row r="315">
      <c r="A315" s="2">
        <f>IFERROR(__xludf.DUMMYFUNCTION("""COMPUTED_VALUE"""),41004.645833333336)</f>
        <v>41004.64583</v>
      </c>
      <c r="B315" s="1">
        <f>IFERROR(__xludf.DUMMYFUNCTION("""COMPUTED_VALUE"""),63247.39)</f>
        <v>63247.39</v>
      </c>
      <c r="C315" s="1">
        <f>IFERROR(__xludf.DUMMYFUNCTION("""COMPUTED_VALUE"""),67169.7)</f>
        <v>67169.7</v>
      </c>
      <c r="D315" s="1">
        <f>IFERROR(__xludf.DUMMYFUNCTION("""COMPUTED_VALUE"""),62757.1)</f>
        <v>62757.1</v>
      </c>
      <c r="E315" s="1">
        <f>IFERROR(__xludf.DUMMYFUNCTION("""COMPUTED_VALUE"""),67169.7)</f>
        <v>67169.7</v>
      </c>
      <c r="F315" s="1">
        <f>IFERROR(__xludf.DUMMYFUNCTION("""COMPUTED_VALUE"""),241042.0)</f>
        <v>241042</v>
      </c>
    </row>
    <row r="316">
      <c r="A316" s="2">
        <f>IFERROR(__xludf.DUMMYFUNCTION("""COMPUTED_VALUE"""),41005.645833333336)</f>
        <v>41005.64583</v>
      </c>
      <c r="B316" s="1">
        <f>IFERROR(__xludf.DUMMYFUNCTION("""COMPUTED_VALUE"""),67169.7)</f>
        <v>67169.7</v>
      </c>
      <c r="C316" s="1">
        <f>IFERROR(__xludf.DUMMYFUNCTION("""COMPUTED_VALUE"""),67169.7)</f>
        <v>67169.7</v>
      </c>
      <c r="D316" s="1">
        <f>IFERROR(__xludf.DUMMYFUNCTION("""COMPUTED_VALUE"""),65208.54)</f>
        <v>65208.54</v>
      </c>
      <c r="E316" s="1">
        <f>IFERROR(__xludf.DUMMYFUNCTION("""COMPUTED_VALUE"""),66679.41)</f>
        <v>66679.41</v>
      </c>
      <c r="F316" s="1">
        <f>IFERROR(__xludf.DUMMYFUNCTION("""COMPUTED_VALUE"""),117707.0)</f>
        <v>117707</v>
      </c>
    </row>
    <row r="317">
      <c r="A317" s="2">
        <f>IFERROR(__xludf.DUMMYFUNCTION("""COMPUTED_VALUE"""),41008.645833333336)</f>
        <v>41008.64583</v>
      </c>
      <c r="B317" s="1">
        <f>IFERROR(__xludf.DUMMYFUNCTION("""COMPUTED_VALUE"""),66679.41)</f>
        <v>66679.41</v>
      </c>
      <c r="C317" s="1">
        <f>IFERROR(__xludf.DUMMYFUNCTION("""COMPUTED_VALUE"""),66801.99)</f>
        <v>66801.99</v>
      </c>
      <c r="D317" s="1">
        <f>IFERROR(__xludf.DUMMYFUNCTION("""COMPUTED_VALUE"""),65331.12)</f>
        <v>65331.12</v>
      </c>
      <c r="E317" s="1">
        <f>IFERROR(__xludf.DUMMYFUNCTION("""COMPUTED_VALUE"""),65821.41)</f>
        <v>65821.41</v>
      </c>
      <c r="F317" s="1">
        <f>IFERROR(__xludf.DUMMYFUNCTION("""COMPUTED_VALUE"""),92424.0)</f>
        <v>92424</v>
      </c>
    </row>
    <row r="318">
      <c r="A318" s="2">
        <f>IFERROR(__xludf.DUMMYFUNCTION("""COMPUTED_VALUE"""),41009.645833333336)</f>
        <v>41009.64583</v>
      </c>
      <c r="B318" s="1">
        <f>IFERROR(__xludf.DUMMYFUNCTION("""COMPUTED_VALUE"""),65698.83)</f>
        <v>65698.83</v>
      </c>
      <c r="C318" s="1">
        <f>IFERROR(__xludf.DUMMYFUNCTION("""COMPUTED_VALUE"""),67414.85)</f>
        <v>67414.85</v>
      </c>
      <c r="D318" s="1">
        <f>IFERROR(__xludf.DUMMYFUNCTION("""COMPUTED_VALUE"""),63860.25)</f>
        <v>63860.25</v>
      </c>
      <c r="E318" s="1">
        <f>IFERROR(__xludf.DUMMYFUNCTION("""COMPUTED_VALUE"""),64963.4)</f>
        <v>64963.4</v>
      </c>
      <c r="F318" s="1">
        <f>IFERROR(__xludf.DUMMYFUNCTION("""COMPUTED_VALUE"""),124528.0)</f>
        <v>124528</v>
      </c>
    </row>
    <row r="319">
      <c r="A319" s="2">
        <f>IFERROR(__xludf.DUMMYFUNCTION("""COMPUTED_VALUE"""),41011.645833333336)</f>
        <v>41011.64583</v>
      </c>
      <c r="B319" s="1">
        <f>IFERROR(__xludf.DUMMYFUNCTION("""COMPUTED_VALUE"""),63737.68)</f>
        <v>63737.68</v>
      </c>
      <c r="C319" s="1">
        <f>IFERROR(__xludf.DUMMYFUNCTION("""COMPUTED_VALUE"""),64963.4)</f>
        <v>64963.4</v>
      </c>
      <c r="D319" s="1">
        <f>IFERROR(__xludf.DUMMYFUNCTION("""COMPUTED_VALUE"""),62021.66)</f>
        <v>62021.66</v>
      </c>
      <c r="E319" s="1">
        <f>IFERROR(__xludf.DUMMYFUNCTION("""COMPUTED_VALUE"""),64840.83)</f>
        <v>64840.83</v>
      </c>
      <c r="F319" s="1">
        <f>IFERROR(__xludf.DUMMYFUNCTION("""COMPUTED_VALUE"""),238564.0)</f>
        <v>238564</v>
      </c>
    </row>
    <row r="320">
      <c r="A320" s="2">
        <f>IFERROR(__xludf.DUMMYFUNCTION("""COMPUTED_VALUE"""),41012.645833333336)</f>
        <v>41012.64583</v>
      </c>
      <c r="B320" s="1">
        <f>IFERROR(__xludf.DUMMYFUNCTION("""COMPUTED_VALUE"""),64963.4)</f>
        <v>64963.4</v>
      </c>
      <c r="C320" s="1">
        <f>IFERROR(__xludf.DUMMYFUNCTION("""COMPUTED_VALUE"""),65085.97)</f>
        <v>65085.97</v>
      </c>
      <c r="D320" s="1">
        <f>IFERROR(__xludf.DUMMYFUNCTION("""COMPUTED_VALUE"""),63002.24)</f>
        <v>63002.24</v>
      </c>
      <c r="E320" s="1">
        <f>IFERROR(__xludf.DUMMYFUNCTION("""COMPUTED_VALUE"""),64227.97)</f>
        <v>64227.97</v>
      </c>
      <c r="F320" s="1">
        <f>IFERROR(__xludf.DUMMYFUNCTION("""COMPUTED_VALUE"""),171120.0)</f>
        <v>171120</v>
      </c>
    </row>
    <row r="321">
      <c r="A321" s="2">
        <f>IFERROR(__xludf.DUMMYFUNCTION("""COMPUTED_VALUE"""),41015.645833333336)</f>
        <v>41015.64583</v>
      </c>
      <c r="B321" s="1">
        <f>IFERROR(__xludf.DUMMYFUNCTION("""COMPUTED_VALUE"""),63492.53)</f>
        <v>63492.53</v>
      </c>
      <c r="C321" s="1">
        <f>IFERROR(__xludf.DUMMYFUNCTION("""COMPUTED_VALUE"""),64105.39)</f>
        <v>64105.39</v>
      </c>
      <c r="D321" s="1">
        <f>IFERROR(__xludf.DUMMYFUNCTION("""COMPUTED_VALUE"""),62389.38)</f>
        <v>62389.38</v>
      </c>
      <c r="E321" s="1">
        <f>IFERROR(__xludf.DUMMYFUNCTION("""COMPUTED_VALUE"""),63492.53)</f>
        <v>63492.53</v>
      </c>
      <c r="F321" s="1">
        <f>IFERROR(__xludf.DUMMYFUNCTION("""COMPUTED_VALUE"""),94486.0)</f>
        <v>94486</v>
      </c>
    </row>
    <row r="322">
      <c r="A322" s="2">
        <f>IFERROR(__xludf.DUMMYFUNCTION("""COMPUTED_VALUE"""),41016.645833333336)</f>
        <v>41016.64583</v>
      </c>
      <c r="B322" s="1">
        <f>IFERROR(__xludf.DUMMYFUNCTION("""COMPUTED_VALUE"""),63369.96)</f>
        <v>63369.96</v>
      </c>
      <c r="C322" s="1">
        <f>IFERROR(__xludf.DUMMYFUNCTION("""COMPUTED_VALUE"""),64718.25)</f>
        <v>64718.25</v>
      </c>
      <c r="D322" s="1">
        <f>IFERROR(__xludf.DUMMYFUNCTION("""COMPUTED_VALUE"""),63247.39)</f>
        <v>63247.39</v>
      </c>
      <c r="E322" s="1">
        <f>IFERROR(__xludf.DUMMYFUNCTION("""COMPUTED_VALUE"""),64350.54)</f>
        <v>64350.54</v>
      </c>
      <c r="F322" s="1">
        <f>IFERROR(__xludf.DUMMYFUNCTION("""COMPUTED_VALUE"""),90110.0)</f>
        <v>90110</v>
      </c>
    </row>
    <row r="323">
      <c r="A323" s="2">
        <f>IFERROR(__xludf.DUMMYFUNCTION("""COMPUTED_VALUE"""),41017.645833333336)</f>
        <v>41017.64583</v>
      </c>
      <c r="B323" s="1">
        <f>IFERROR(__xludf.DUMMYFUNCTION("""COMPUTED_VALUE"""),64718.25)</f>
        <v>64718.25</v>
      </c>
      <c r="C323" s="1">
        <f>IFERROR(__xludf.DUMMYFUNCTION("""COMPUTED_VALUE"""),65085.97)</f>
        <v>65085.97</v>
      </c>
      <c r="D323" s="1">
        <f>IFERROR(__xludf.DUMMYFUNCTION("""COMPUTED_VALUE"""),63615.1)</f>
        <v>63615.1</v>
      </c>
      <c r="E323" s="1">
        <f>IFERROR(__xludf.DUMMYFUNCTION("""COMPUTED_VALUE"""),64595.68)</f>
        <v>64595.68</v>
      </c>
      <c r="F323" s="1">
        <f>IFERROR(__xludf.DUMMYFUNCTION("""COMPUTED_VALUE"""),125737.0)</f>
        <v>125737</v>
      </c>
    </row>
    <row r="324">
      <c r="A324" s="2">
        <f>IFERROR(__xludf.DUMMYFUNCTION("""COMPUTED_VALUE"""),41018.645833333336)</f>
        <v>41018.64583</v>
      </c>
      <c r="B324" s="1">
        <f>IFERROR(__xludf.DUMMYFUNCTION("""COMPUTED_VALUE"""),64840.83)</f>
        <v>64840.83</v>
      </c>
      <c r="C324" s="1">
        <f>IFERROR(__xludf.DUMMYFUNCTION("""COMPUTED_VALUE"""),66434.27)</f>
        <v>66434.27</v>
      </c>
      <c r="D324" s="1">
        <f>IFERROR(__xludf.DUMMYFUNCTION("""COMPUTED_VALUE"""),64595.68)</f>
        <v>64595.68</v>
      </c>
      <c r="E324" s="1">
        <f>IFERROR(__xludf.DUMMYFUNCTION("""COMPUTED_VALUE"""),65943.98)</f>
        <v>65943.98</v>
      </c>
      <c r="F324" s="1">
        <f>IFERROR(__xludf.DUMMYFUNCTION("""COMPUTED_VALUE"""),136162.0)</f>
        <v>136162</v>
      </c>
    </row>
    <row r="325">
      <c r="A325" s="2">
        <f>IFERROR(__xludf.DUMMYFUNCTION("""COMPUTED_VALUE"""),41019.645833333336)</f>
        <v>41019.64583</v>
      </c>
      <c r="B325" s="1">
        <f>IFERROR(__xludf.DUMMYFUNCTION("""COMPUTED_VALUE"""),66066.55)</f>
        <v>66066.55</v>
      </c>
      <c r="C325" s="1">
        <f>IFERROR(__xludf.DUMMYFUNCTION("""COMPUTED_VALUE"""),66189.12)</f>
        <v>66189.12</v>
      </c>
      <c r="D325" s="1">
        <f>IFERROR(__xludf.DUMMYFUNCTION("""COMPUTED_VALUE"""),65208.54)</f>
        <v>65208.54</v>
      </c>
      <c r="E325" s="1">
        <f>IFERROR(__xludf.DUMMYFUNCTION("""COMPUTED_VALUE"""),65453.69)</f>
        <v>65453.69</v>
      </c>
      <c r="F325" s="1">
        <f>IFERROR(__xludf.DUMMYFUNCTION("""COMPUTED_VALUE"""),64028.0)</f>
        <v>64028</v>
      </c>
    </row>
    <row r="326">
      <c r="A326" s="2">
        <f>IFERROR(__xludf.DUMMYFUNCTION("""COMPUTED_VALUE"""),41022.645833333336)</f>
        <v>41022.64583</v>
      </c>
      <c r="B326" s="1">
        <f>IFERROR(__xludf.DUMMYFUNCTION("""COMPUTED_VALUE"""),66066.55)</f>
        <v>66066.55</v>
      </c>
      <c r="C326" s="1">
        <f>IFERROR(__xludf.DUMMYFUNCTION("""COMPUTED_VALUE"""),66556.84)</f>
        <v>66556.84</v>
      </c>
      <c r="D326" s="1">
        <f>IFERROR(__xludf.DUMMYFUNCTION("""COMPUTED_VALUE"""),63002.24)</f>
        <v>63002.24</v>
      </c>
      <c r="E326" s="1">
        <f>IFERROR(__xludf.DUMMYFUNCTION("""COMPUTED_VALUE"""),64227.97)</f>
        <v>64227.97</v>
      </c>
      <c r="F326" s="1">
        <f>IFERROR(__xludf.DUMMYFUNCTION("""COMPUTED_VALUE"""),123360.0)</f>
        <v>123360</v>
      </c>
    </row>
    <row r="327">
      <c r="A327" s="2">
        <f>IFERROR(__xludf.DUMMYFUNCTION("""COMPUTED_VALUE"""),41023.645833333336)</f>
        <v>41023.64583</v>
      </c>
      <c r="B327" s="1">
        <f>IFERROR(__xludf.DUMMYFUNCTION("""COMPUTED_VALUE"""),64595.68)</f>
        <v>64595.68</v>
      </c>
      <c r="C327" s="1">
        <f>IFERROR(__xludf.DUMMYFUNCTION("""COMPUTED_VALUE"""),64595.68)</f>
        <v>64595.68</v>
      </c>
      <c r="D327" s="1">
        <f>IFERROR(__xludf.DUMMYFUNCTION("""COMPUTED_VALUE"""),61163.65)</f>
        <v>61163.65</v>
      </c>
      <c r="E327" s="1">
        <f>IFERROR(__xludf.DUMMYFUNCTION("""COMPUTED_VALUE"""),61163.65)</f>
        <v>61163.65</v>
      </c>
      <c r="F327" s="1">
        <f>IFERROR(__xludf.DUMMYFUNCTION("""COMPUTED_VALUE"""),173220.0)</f>
        <v>173220</v>
      </c>
    </row>
    <row r="328">
      <c r="A328" s="2">
        <f>IFERROR(__xludf.DUMMYFUNCTION("""COMPUTED_VALUE"""),41024.645833333336)</f>
        <v>41024.64583</v>
      </c>
      <c r="B328" s="1">
        <f>IFERROR(__xludf.DUMMYFUNCTION("""COMPUTED_VALUE"""),61531.37)</f>
        <v>61531.37</v>
      </c>
      <c r="C328" s="1">
        <f>IFERROR(__xludf.DUMMYFUNCTION("""COMPUTED_VALUE"""),63247.39)</f>
        <v>63247.39</v>
      </c>
      <c r="D328" s="1">
        <f>IFERROR(__xludf.DUMMYFUNCTION("""COMPUTED_VALUE"""),61408.8)</f>
        <v>61408.8</v>
      </c>
      <c r="E328" s="1">
        <f>IFERROR(__xludf.DUMMYFUNCTION("""COMPUTED_VALUE"""),62634.52)</f>
        <v>62634.52</v>
      </c>
      <c r="F328" s="1">
        <f>IFERROR(__xludf.DUMMYFUNCTION("""COMPUTED_VALUE"""),96580.0)</f>
        <v>96580</v>
      </c>
    </row>
    <row r="329">
      <c r="A329" s="2">
        <f>IFERROR(__xludf.DUMMYFUNCTION("""COMPUTED_VALUE"""),41025.645833333336)</f>
        <v>41025.64583</v>
      </c>
      <c r="B329" s="1">
        <f>IFERROR(__xludf.DUMMYFUNCTION("""COMPUTED_VALUE"""),63737.68)</f>
        <v>63737.68</v>
      </c>
      <c r="C329" s="1">
        <f>IFERROR(__xludf.DUMMYFUNCTION("""COMPUTED_VALUE"""),63737.68)</f>
        <v>63737.68</v>
      </c>
      <c r="D329" s="1">
        <f>IFERROR(__xludf.DUMMYFUNCTION("""COMPUTED_VALUE"""),61653.94)</f>
        <v>61653.94</v>
      </c>
      <c r="E329" s="1">
        <f>IFERROR(__xludf.DUMMYFUNCTION("""COMPUTED_VALUE"""),63124.81)</f>
        <v>63124.81</v>
      </c>
      <c r="F329" s="1">
        <f>IFERROR(__xludf.DUMMYFUNCTION("""COMPUTED_VALUE"""),121556.0)</f>
        <v>121556</v>
      </c>
    </row>
    <row r="330">
      <c r="A330" s="2">
        <f>IFERROR(__xludf.DUMMYFUNCTION("""COMPUTED_VALUE"""),41026.645833333336)</f>
        <v>41026.64583</v>
      </c>
      <c r="B330" s="1">
        <f>IFERROR(__xludf.DUMMYFUNCTION("""COMPUTED_VALUE"""),62757.1)</f>
        <v>62757.1</v>
      </c>
      <c r="C330" s="1">
        <f>IFERROR(__xludf.DUMMYFUNCTION("""COMPUTED_VALUE"""),62757.1)</f>
        <v>62757.1</v>
      </c>
      <c r="D330" s="1">
        <f>IFERROR(__xludf.DUMMYFUNCTION("""COMPUTED_VALUE"""),60673.36)</f>
        <v>60673.36</v>
      </c>
      <c r="E330" s="1">
        <f>IFERROR(__xludf.DUMMYFUNCTION("""COMPUTED_VALUE"""),61653.94)</f>
        <v>61653.94</v>
      </c>
      <c r="F330" s="1">
        <f>IFERROR(__xludf.DUMMYFUNCTION("""COMPUTED_VALUE"""),204985.0)</f>
        <v>204985</v>
      </c>
    </row>
    <row r="331">
      <c r="A331" s="2">
        <f>IFERROR(__xludf.DUMMYFUNCTION("""COMPUTED_VALUE"""),41029.645833333336)</f>
        <v>41029.64583</v>
      </c>
      <c r="B331" s="1">
        <f>IFERROR(__xludf.DUMMYFUNCTION("""COMPUTED_VALUE"""),61653.94)</f>
        <v>61653.94</v>
      </c>
      <c r="C331" s="1">
        <f>IFERROR(__xludf.DUMMYFUNCTION("""COMPUTED_VALUE"""),63247.39)</f>
        <v>63247.39</v>
      </c>
      <c r="D331" s="1">
        <f>IFERROR(__xludf.DUMMYFUNCTION("""COMPUTED_VALUE"""),60918.51)</f>
        <v>60918.51</v>
      </c>
      <c r="E331" s="1">
        <f>IFERROR(__xludf.DUMMYFUNCTION("""COMPUTED_VALUE"""),62757.1)</f>
        <v>62757.1</v>
      </c>
      <c r="F331" s="1">
        <f>IFERROR(__xludf.DUMMYFUNCTION("""COMPUTED_VALUE"""),173560.0)</f>
        <v>173560</v>
      </c>
    </row>
    <row r="332">
      <c r="A332" s="2">
        <f>IFERROR(__xludf.DUMMYFUNCTION("""COMPUTED_VALUE"""),41031.645833333336)</f>
        <v>41031.64583</v>
      </c>
      <c r="B332" s="1">
        <f>IFERROR(__xludf.DUMMYFUNCTION("""COMPUTED_VALUE"""),62634.52)</f>
        <v>62634.52</v>
      </c>
      <c r="C332" s="1">
        <f>IFERROR(__xludf.DUMMYFUNCTION("""COMPUTED_VALUE"""),62757.1)</f>
        <v>62757.1</v>
      </c>
      <c r="D332" s="1">
        <f>IFERROR(__xludf.DUMMYFUNCTION("""COMPUTED_VALUE"""),61286.23)</f>
        <v>61286.23</v>
      </c>
      <c r="E332" s="1">
        <f>IFERROR(__xludf.DUMMYFUNCTION("""COMPUTED_VALUE"""),61286.23)</f>
        <v>61286.23</v>
      </c>
      <c r="F332" s="1">
        <f>IFERROR(__xludf.DUMMYFUNCTION("""COMPUTED_VALUE"""),142603.0)</f>
        <v>142603</v>
      </c>
    </row>
    <row r="333">
      <c r="A333" s="2">
        <f>IFERROR(__xludf.DUMMYFUNCTION("""COMPUTED_VALUE"""),41032.645833333336)</f>
        <v>41032.64583</v>
      </c>
      <c r="B333" s="1">
        <f>IFERROR(__xludf.DUMMYFUNCTION("""COMPUTED_VALUE"""),61286.23)</f>
        <v>61286.23</v>
      </c>
      <c r="C333" s="1">
        <f>IFERROR(__xludf.DUMMYFUNCTION("""COMPUTED_VALUE"""),62511.95)</f>
        <v>62511.95</v>
      </c>
      <c r="D333" s="1">
        <f>IFERROR(__xludf.DUMMYFUNCTION("""COMPUTED_VALUE"""),60305.65)</f>
        <v>60305.65</v>
      </c>
      <c r="E333" s="1">
        <f>IFERROR(__xludf.DUMMYFUNCTION("""COMPUTED_VALUE"""),62511.95)</f>
        <v>62511.95</v>
      </c>
      <c r="F333" s="1">
        <f>IFERROR(__xludf.DUMMYFUNCTION("""COMPUTED_VALUE"""),171329.0)</f>
        <v>171329</v>
      </c>
    </row>
    <row r="334">
      <c r="A334" s="2">
        <f>IFERROR(__xludf.DUMMYFUNCTION("""COMPUTED_VALUE"""),41033.645833333336)</f>
        <v>41033.64583</v>
      </c>
      <c r="B334" s="1">
        <f>IFERROR(__xludf.DUMMYFUNCTION("""COMPUTED_VALUE"""),62634.52)</f>
        <v>62634.52</v>
      </c>
      <c r="C334" s="1">
        <f>IFERROR(__xludf.DUMMYFUNCTION("""COMPUTED_VALUE"""),62634.52)</f>
        <v>62634.52</v>
      </c>
      <c r="D334" s="1">
        <f>IFERROR(__xludf.DUMMYFUNCTION("""COMPUTED_VALUE"""),60305.65)</f>
        <v>60305.65</v>
      </c>
      <c r="E334" s="1">
        <f>IFERROR(__xludf.DUMMYFUNCTION("""COMPUTED_VALUE"""),60550.79)</f>
        <v>60550.79</v>
      </c>
      <c r="F334" s="1">
        <f>IFERROR(__xludf.DUMMYFUNCTION("""COMPUTED_VALUE"""),204267.0)</f>
        <v>204267</v>
      </c>
    </row>
    <row r="335">
      <c r="A335" s="2">
        <f>IFERROR(__xludf.DUMMYFUNCTION("""COMPUTED_VALUE"""),41036.645833333336)</f>
        <v>41036.64583</v>
      </c>
      <c r="B335" s="1">
        <f>IFERROR(__xludf.DUMMYFUNCTION("""COMPUTED_VALUE"""),60305.65)</f>
        <v>60305.65</v>
      </c>
      <c r="C335" s="1">
        <f>IFERROR(__xludf.DUMMYFUNCTION("""COMPUTED_VALUE"""),61286.23)</f>
        <v>61286.23</v>
      </c>
      <c r="D335" s="1">
        <f>IFERROR(__xludf.DUMMYFUNCTION("""COMPUTED_VALUE"""),59079.92)</f>
        <v>59079.92</v>
      </c>
      <c r="E335" s="1">
        <f>IFERROR(__xludf.DUMMYFUNCTION("""COMPUTED_VALUE"""),59815.36)</f>
        <v>59815.36</v>
      </c>
      <c r="F335" s="1">
        <f>IFERROR(__xludf.DUMMYFUNCTION("""COMPUTED_VALUE"""),164271.0)</f>
        <v>164271</v>
      </c>
    </row>
    <row r="336">
      <c r="A336" s="2">
        <f>IFERROR(__xludf.DUMMYFUNCTION("""COMPUTED_VALUE"""),41037.645833333336)</f>
        <v>41037.64583</v>
      </c>
      <c r="B336" s="1">
        <f>IFERROR(__xludf.DUMMYFUNCTION("""COMPUTED_VALUE"""),59570.21)</f>
        <v>59570.21</v>
      </c>
      <c r="C336" s="1">
        <f>IFERROR(__xludf.DUMMYFUNCTION("""COMPUTED_VALUE"""),59937.93)</f>
        <v>59937.93</v>
      </c>
      <c r="D336" s="1">
        <f>IFERROR(__xludf.DUMMYFUNCTION("""COMPUTED_VALUE"""),57363.91)</f>
        <v>57363.91</v>
      </c>
      <c r="E336" s="1">
        <f>IFERROR(__xludf.DUMMYFUNCTION("""COMPUTED_VALUE"""),58467.06)</f>
        <v>58467.06</v>
      </c>
      <c r="F336" s="1">
        <f>IFERROR(__xludf.DUMMYFUNCTION("""COMPUTED_VALUE"""),296663.0)</f>
        <v>296663</v>
      </c>
    </row>
    <row r="337">
      <c r="A337" s="2">
        <f>IFERROR(__xludf.DUMMYFUNCTION("""COMPUTED_VALUE"""),41038.645833333336)</f>
        <v>41038.64583</v>
      </c>
      <c r="B337" s="1">
        <f>IFERROR(__xludf.DUMMYFUNCTION("""COMPUTED_VALUE"""),58467.06)</f>
        <v>58467.06</v>
      </c>
      <c r="C337" s="1">
        <f>IFERROR(__xludf.DUMMYFUNCTION("""COMPUTED_VALUE"""),62389.38)</f>
        <v>62389.38</v>
      </c>
      <c r="D337" s="1">
        <f>IFERROR(__xludf.DUMMYFUNCTION("""COMPUTED_VALUE"""),58344.49)</f>
        <v>58344.49</v>
      </c>
      <c r="E337" s="1">
        <f>IFERROR(__xludf.DUMMYFUNCTION("""COMPUTED_VALUE"""),62389.38)</f>
        <v>62389.38</v>
      </c>
      <c r="F337" s="1">
        <f>IFERROR(__xludf.DUMMYFUNCTION("""COMPUTED_VALUE"""),242887.0)</f>
        <v>242887</v>
      </c>
    </row>
    <row r="338">
      <c r="A338" s="2">
        <f>IFERROR(__xludf.DUMMYFUNCTION("""COMPUTED_VALUE"""),41039.645833333336)</f>
        <v>41039.64583</v>
      </c>
      <c r="B338" s="1">
        <f>IFERROR(__xludf.DUMMYFUNCTION("""COMPUTED_VALUE"""),61286.23)</f>
        <v>61286.23</v>
      </c>
      <c r="C338" s="1">
        <f>IFERROR(__xludf.DUMMYFUNCTION("""COMPUTED_VALUE"""),62634.52)</f>
        <v>62634.52</v>
      </c>
      <c r="D338" s="1">
        <f>IFERROR(__xludf.DUMMYFUNCTION("""COMPUTED_VALUE"""),59325.07)</f>
        <v>59325.07</v>
      </c>
      <c r="E338" s="1">
        <f>IFERROR(__xludf.DUMMYFUNCTION("""COMPUTED_VALUE"""),60060.5)</f>
        <v>60060.5</v>
      </c>
      <c r="F338" s="1">
        <f>IFERROR(__xludf.DUMMYFUNCTION("""COMPUTED_VALUE"""),212178.0)</f>
        <v>212178</v>
      </c>
    </row>
    <row r="339">
      <c r="A339" s="2">
        <f>IFERROR(__xludf.DUMMYFUNCTION("""COMPUTED_VALUE"""),41040.645833333336)</f>
        <v>41040.64583</v>
      </c>
      <c r="B339" s="1">
        <f>IFERROR(__xludf.DUMMYFUNCTION("""COMPUTED_VALUE"""),59447.64)</f>
        <v>59447.64</v>
      </c>
      <c r="C339" s="1">
        <f>IFERROR(__xludf.DUMMYFUNCTION("""COMPUTED_VALUE"""),60060.5)</f>
        <v>60060.5</v>
      </c>
      <c r="D339" s="1">
        <f>IFERROR(__xludf.DUMMYFUNCTION("""COMPUTED_VALUE"""),57609.05)</f>
        <v>57609.05</v>
      </c>
      <c r="E339" s="1">
        <f>IFERROR(__xludf.DUMMYFUNCTION("""COMPUTED_VALUE"""),58712.2)</f>
        <v>58712.2</v>
      </c>
      <c r="F339" s="1">
        <f>IFERROR(__xludf.DUMMYFUNCTION("""COMPUTED_VALUE"""),179932.0)</f>
        <v>179932</v>
      </c>
    </row>
    <row r="340">
      <c r="A340" s="2">
        <f>IFERROR(__xludf.DUMMYFUNCTION("""COMPUTED_VALUE"""),41043.645833333336)</f>
        <v>41043.64583</v>
      </c>
      <c r="B340" s="1">
        <f>IFERROR(__xludf.DUMMYFUNCTION("""COMPUTED_VALUE"""),58834.78)</f>
        <v>58834.78</v>
      </c>
      <c r="C340" s="1">
        <f>IFERROR(__xludf.DUMMYFUNCTION("""COMPUTED_VALUE"""),60183.07)</f>
        <v>60183.07</v>
      </c>
      <c r="D340" s="1">
        <f>IFERROR(__xludf.DUMMYFUNCTION("""COMPUTED_VALUE"""),58467.06)</f>
        <v>58467.06</v>
      </c>
      <c r="E340" s="1">
        <f>IFERROR(__xludf.DUMMYFUNCTION("""COMPUTED_VALUE"""),58467.06)</f>
        <v>58467.06</v>
      </c>
      <c r="F340" s="1">
        <f>IFERROR(__xludf.DUMMYFUNCTION("""COMPUTED_VALUE"""),172411.0)</f>
        <v>172411</v>
      </c>
    </row>
    <row r="341">
      <c r="A341" s="2">
        <f>IFERROR(__xludf.DUMMYFUNCTION("""COMPUTED_VALUE"""),41044.645833333336)</f>
        <v>41044.64583</v>
      </c>
      <c r="B341" s="1">
        <f>IFERROR(__xludf.DUMMYFUNCTION("""COMPUTED_VALUE"""),57976.77)</f>
        <v>57976.77</v>
      </c>
      <c r="C341" s="1">
        <f>IFERROR(__xludf.DUMMYFUNCTION("""COMPUTED_VALUE"""),59202.49)</f>
        <v>59202.49</v>
      </c>
      <c r="D341" s="1">
        <f>IFERROR(__xludf.DUMMYFUNCTION("""COMPUTED_VALUE"""),56505.9)</f>
        <v>56505.9</v>
      </c>
      <c r="E341" s="1">
        <f>IFERROR(__xludf.DUMMYFUNCTION("""COMPUTED_VALUE"""),56873.62)</f>
        <v>56873.62</v>
      </c>
      <c r="F341" s="1">
        <f>IFERROR(__xludf.DUMMYFUNCTION("""COMPUTED_VALUE"""),142037.0)</f>
        <v>142037</v>
      </c>
    </row>
    <row r="342">
      <c r="A342" s="2">
        <f>IFERROR(__xludf.DUMMYFUNCTION("""COMPUTED_VALUE"""),41045.645833333336)</f>
        <v>41045.64583</v>
      </c>
      <c r="B342" s="1">
        <f>IFERROR(__xludf.DUMMYFUNCTION("""COMPUTED_VALUE"""),56751.05)</f>
        <v>56751.05</v>
      </c>
      <c r="C342" s="1">
        <f>IFERROR(__xludf.DUMMYFUNCTION("""COMPUTED_VALUE"""),56873.62)</f>
        <v>56873.62</v>
      </c>
      <c r="D342" s="1">
        <f>IFERROR(__xludf.DUMMYFUNCTION("""COMPUTED_VALUE"""),55157.6)</f>
        <v>55157.6</v>
      </c>
      <c r="E342" s="1">
        <f>IFERROR(__xludf.DUMMYFUNCTION("""COMPUTED_VALUE"""),55647.89)</f>
        <v>55647.89</v>
      </c>
      <c r="F342" s="1">
        <f>IFERROR(__xludf.DUMMYFUNCTION("""COMPUTED_VALUE"""),196214.0)</f>
        <v>196214</v>
      </c>
    </row>
    <row r="343">
      <c r="A343" s="2">
        <f>IFERROR(__xludf.DUMMYFUNCTION("""COMPUTED_VALUE"""),41046.645833333336)</f>
        <v>41046.64583</v>
      </c>
      <c r="B343" s="1">
        <f>IFERROR(__xludf.DUMMYFUNCTION("""COMPUTED_VALUE"""),55280.18)</f>
        <v>55280.18</v>
      </c>
      <c r="C343" s="1">
        <f>IFERROR(__xludf.DUMMYFUNCTION("""COMPUTED_VALUE"""),56015.61)</f>
        <v>56015.61</v>
      </c>
      <c r="D343" s="1">
        <f>IFERROR(__xludf.DUMMYFUNCTION("""COMPUTED_VALUE"""),54299.6)</f>
        <v>54299.6</v>
      </c>
      <c r="E343" s="1">
        <f>IFERROR(__xludf.DUMMYFUNCTION("""COMPUTED_VALUE"""),54544.74)</f>
        <v>54544.74</v>
      </c>
      <c r="F343" s="1">
        <f>IFERROR(__xludf.DUMMYFUNCTION("""COMPUTED_VALUE"""),179697.0)</f>
        <v>179697</v>
      </c>
    </row>
    <row r="344">
      <c r="A344" s="2">
        <f>IFERROR(__xludf.DUMMYFUNCTION("""COMPUTED_VALUE"""),41047.645833333336)</f>
        <v>41047.64583</v>
      </c>
      <c r="B344" s="1">
        <f>IFERROR(__xludf.DUMMYFUNCTION("""COMPUTED_VALUE"""),54667.31)</f>
        <v>54667.31</v>
      </c>
      <c r="C344" s="1">
        <f>IFERROR(__xludf.DUMMYFUNCTION("""COMPUTED_VALUE"""),56505.9)</f>
        <v>56505.9</v>
      </c>
      <c r="D344" s="1">
        <f>IFERROR(__xludf.DUMMYFUNCTION("""COMPUTED_VALUE"""),52828.73)</f>
        <v>52828.73</v>
      </c>
      <c r="E344" s="1">
        <f>IFERROR(__xludf.DUMMYFUNCTION("""COMPUTED_VALUE"""),54912.46)</f>
        <v>54912.46</v>
      </c>
      <c r="F344" s="1">
        <f>IFERROR(__xludf.DUMMYFUNCTION("""COMPUTED_VALUE"""),228743.0)</f>
        <v>228743</v>
      </c>
    </row>
    <row r="345">
      <c r="A345" s="2">
        <f>IFERROR(__xludf.DUMMYFUNCTION("""COMPUTED_VALUE"""),41050.645833333336)</f>
        <v>41050.64583</v>
      </c>
      <c r="B345" s="1">
        <f>IFERROR(__xludf.DUMMYFUNCTION("""COMPUTED_VALUE"""),55893.04)</f>
        <v>55893.04</v>
      </c>
      <c r="C345" s="1">
        <f>IFERROR(__xludf.DUMMYFUNCTION("""COMPUTED_VALUE"""),57854.2)</f>
        <v>57854.2</v>
      </c>
      <c r="D345" s="1">
        <f>IFERROR(__xludf.DUMMYFUNCTION("""COMPUTED_VALUE"""),55525.32)</f>
        <v>55525.32</v>
      </c>
      <c r="E345" s="1">
        <f>IFERROR(__xludf.DUMMYFUNCTION("""COMPUTED_VALUE"""),56138.18)</f>
        <v>56138.18</v>
      </c>
      <c r="F345" s="1">
        <f>IFERROR(__xludf.DUMMYFUNCTION("""COMPUTED_VALUE"""),169063.0)</f>
        <v>169063</v>
      </c>
    </row>
    <row r="346">
      <c r="A346" s="2">
        <f>IFERROR(__xludf.DUMMYFUNCTION("""COMPUTED_VALUE"""),41051.645833333336)</f>
        <v>41051.64583</v>
      </c>
      <c r="B346" s="1">
        <f>IFERROR(__xludf.DUMMYFUNCTION("""COMPUTED_VALUE"""),56383.33)</f>
        <v>56383.33</v>
      </c>
      <c r="C346" s="1">
        <f>IFERROR(__xludf.DUMMYFUNCTION("""COMPUTED_VALUE"""),56873.62)</f>
        <v>56873.62</v>
      </c>
      <c r="D346" s="1">
        <f>IFERROR(__xludf.DUMMYFUNCTION("""COMPUTED_VALUE"""),54299.6)</f>
        <v>54299.6</v>
      </c>
      <c r="E346" s="1">
        <f>IFERROR(__xludf.DUMMYFUNCTION("""COMPUTED_VALUE"""),56138.18)</f>
        <v>56138.18</v>
      </c>
      <c r="F346" s="1">
        <f>IFERROR(__xludf.DUMMYFUNCTION("""COMPUTED_VALUE"""),182314.0)</f>
        <v>182314</v>
      </c>
    </row>
    <row r="347">
      <c r="A347" s="2">
        <f>IFERROR(__xludf.DUMMYFUNCTION("""COMPUTED_VALUE"""),41052.645833333336)</f>
        <v>41052.64583</v>
      </c>
      <c r="B347" s="1">
        <f>IFERROR(__xludf.DUMMYFUNCTION("""COMPUTED_VALUE"""),57363.91)</f>
        <v>57363.91</v>
      </c>
      <c r="C347" s="1">
        <f>IFERROR(__xludf.DUMMYFUNCTION("""COMPUTED_VALUE"""),57486.48)</f>
        <v>57486.48</v>
      </c>
      <c r="D347" s="1">
        <f>IFERROR(__xludf.DUMMYFUNCTION("""COMPUTED_VALUE"""),55402.75)</f>
        <v>55402.75</v>
      </c>
      <c r="E347" s="1">
        <f>IFERROR(__xludf.DUMMYFUNCTION("""COMPUTED_VALUE"""),56383.33)</f>
        <v>56383.33</v>
      </c>
      <c r="F347" s="1">
        <f>IFERROR(__xludf.DUMMYFUNCTION("""COMPUTED_VALUE"""),143543.0)</f>
        <v>143543</v>
      </c>
    </row>
    <row r="348">
      <c r="A348" s="2">
        <f>IFERROR(__xludf.DUMMYFUNCTION("""COMPUTED_VALUE"""),41053.645833333336)</f>
        <v>41053.64583</v>
      </c>
      <c r="B348" s="1">
        <f>IFERROR(__xludf.DUMMYFUNCTION("""COMPUTED_VALUE"""),56505.9)</f>
        <v>56505.9</v>
      </c>
      <c r="C348" s="1">
        <f>IFERROR(__xludf.DUMMYFUNCTION("""COMPUTED_VALUE"""),57609.05)</f>
        <v>57609.05</v>
      </c>
      <c r="D348" s="1">
        <f>IFERROR(__xludf.DUMMYFUNCTION("""COMPUTED_VALUE"""),55647.89)</f>
        <v>55647.89</v>
      </c>
      <c r="E348" s="1">
        <f>IFERROR(__xludf.DUMMYFUNCTION("""COMPUTED_VALUE"""),57363.91)</f>
        <v>57363.91</v>
      </c>
      <c r="F348" s="1">
        <f>IFERROR(__xludf.DUMMYFUNCTION("""COMPUTED_VALUE"""),126322.0)</f>
        <v>126322</v>
      </c>
    </row>
    <row r="349">
      <c r="A349" s="2">
        <f>IFERROR(__xludf.DUMMYFUNCTION("""COMPUTED_VALUE"""),41054.645833333336)</f>
        <v>41054.64583</v>
      </c>
      <c r="B349" s="1">
        <f>IFERROR(__xludf.DUMMYFUNCTION("""COMPUTED_VALUE"""),57363.91)</f>
        <v>57363.91</v>
      </c>
      <c r="C349" s="1">
        <f>IFERROR(__xludf.DUMMYFUNCTION("""COMPUTED_VALUE"""),57609.05)</f>
        <v>57609.05</v>
      </c>
      <c r="D349" s="1">
        <f>IFERROR(__xludf.DUMMYFUNCTION("""COMPUTED_VALUE"""),55770.47)</f>
        <v>55770.47</v>
      </c>
      <c r="E349" s="1">
        <f>IFERROR(__xludf.DUMMYFUNCTION("""COMPUTED_VALUE"""),56383.33)</f>
        <v>56383.33</v>
      </c>
      <c r="F349" s="1">
        <f>IFERROR(__xludf.DUMMYFUNCTION("""COMPUTED_VALUE"""),124007.0)</f>
        <v>124007</v>
      </c>
    </row>
    <row r="350">
      <c r="A350" s="2">
        <f>IFERROR(__xludf.DUMMYFUNCTION("""COMPUTED_VALUE"""),41058.645833333336)</f>
        <v>41058.64583</v>
      </c>
      <c r="B350" s="1">
        <f>IFERROR(__xludf.DUMMYFUNCTION("""COMPUTED_VALUE"""),56138.18)</f>
        <v>56138.18</v>
      </c>
      <c r="C350" s="1">
        <f>IFERROR(__xludf.DUMMYFUNCTION("""COMPUTED_VALUE"""),56260.76)</f>
        <v>56260.76</v>
      </c>
      <c r="D350" s="1">
        <f>IFERROR(__xludf.DUMMYFUNCTION("""COMPUTED_VALUE"""),54789.89)</f>
        <v>54789.89</v>
      </c>
      <c r="E350" s="1">
        <f>IFERROR(__xludf.DUMMYFUNCTION("""COMPUTED_VALUE"""),55525.32)</f>
        <v>55525.32</v>
      </c>
      <c r="F350" s="1">
        <f>IFERROR(__xludf.DUMMYFUNCTION("""COMPUTED_VALUE"""),177082.0)</f>
        <v>177082</v>
      </c>
    </row>
    <row r="351">
      <c r="A351" s="2">
        <f>IFERROR(__xludf.DUMMYFUNCTION("""COMPUTED_VALUE"""),41059.645833333336)</f>
        <v>41059.64583</v>
      </c>
      <c r="B351" s="1">
        <f>IFERROR(__xludf.DUMMYFUNCTION("""COMPUTED_VALUE"""),56138.18)</f>
        <v>56138.18</v>
      </c>
      <c r="C351" s="1">
        <f>IFERROR(__xludf.DUMMYFUNCTION("""COMPUTED_VALUE"""),57731.63)</f>
        <v>57731.63</v>
      </c>
      <c r="D351" s="1">
        <f>IFERROR(__xludf.DUMMYFUNCTION("""COMPUTED_VALUE"""),55157.6)</f>
        <v>55157.6</v>
      </c>
      <c r="E351" s="1">
        <f>IFERROR(__xludf.DUMMYFUNCTION("""COMPUTED_VALUE"""),57731.63)</f>
        <v>57731.63</v>
      </c>
      <c r="F351" s="1">
        <f>IFERROR(__xludf.DUMMYFUNCTION("""COMPUTED_VALUE"""),180007.0)</f>
        <v>180007</v>
      </c>
    </row>
    <row r="352">
      <c r="A352" s="2">
        <f>IFERROR(__xludf.DUMMYFUNCTION("""COMPUTED_VALUE"""),41060.645833333336)</f>
        <v>41060.64583</v>
      </c>
      <c r="B352" s="1">
        <f>IFERROR(__xludf.DUMMYFUNCTION("""COMPUTED_VALUE"""),57976.77)</f>
        <v>57976.77</v>
      </c>
      <c r="C352" s="1">
        <f>IFERROR(__xludf.DUMMYFUNCTION("""COMPUTED_VALUE"""),59447.64)</f>
        <v>59447.64</v>
      </c>
      <c r="D352" s="1">
        <f>IFERROR(__xludf.DUMMYFUNCTION("""COMPUTED_VALUE"""),56873.62)</f>
        <v>56873.62</v>
      </c>
      <c r="E352" s="1">
        <f>IFERROR(__xludf.DUMMYFUNCTION("""COMPUTED_VALUE"""),59447.64)</f>
        <v>59447.64</v>
      </c>
      <c r="F352" s="1">
        <f>IFERROR(__xludf.DUMMYFUNCTION("""COMPUTED_VALUE"""),225015.0)</f>
        <v>225015</v>
      </c>
    </row>
    <row r="353">
      <c r="A353" s="2">
        <f>IFERROR(__xludf.DUMMYFUNCTION("""COMPUTED_VALUE"""),41061.645833333336)</f>
        <v>41061.64583</v>
      </c>
      <c r="B353" s="1">
        <f>IFERROR(__xludf.DUMMYFUNCTION("""COMPUTED_VALUE"""),58221.91)</f>
        <v>58221.91</v>
      </c>
      <c r="C353" s="1">
        <f>IFERROR(__xludf.DUMMYFUNCTION("""COMPUTED_VALUE"""),59570.21)</f>
        <v>59570.21</v>
      </c>
      <c r="D353" s="1">
        <f>IFERROR(__xludf.DUMMYFUNCTION("""COMPUTED_VALUE"""),57854.2)</f>
        <v>57854.2</v>
      </c>
      <c r="E353" s="1">
        <f>IFERROR(__xludf.DUMMYFUNCTION("""COMPUTED_VALUE"""),58834.78)</f>
        <v>58834.78</v>
      </c>
      <c r="F353" s="1">
        <f>IFERROR(__xludf.DUMMYFUNCTION("""COMPUTED_VALUE"""),183154.0)</f>
        <v>183154</v>
      </c>
    </row>
    <row r="354">
      <c r="A354" s="2">
        <f>IFERROR(__xludf.DUMMYFUNCTION("""COMPUTED_VALUE"""),41064.645833333336)</f>
        <v>41064.64583</v>
      </c>
      <c r="B354" s="1">
        <f>IFERROR(__xludf.DUMMYFUNCTION("""COMPUTED_VALUE"""),57609.05)</f>
        <v>57609.05</v>
      </c>
      <c r="C354" s="1">
        <f>IFERROR(__xludf.DUMMYFUNCTION("""COMPUTED_VALUE"""),57976.77)</f>
        <v>57976.77</v>
      </c>
      <c r="D354" s="1">
        <f>IFERROR(__xludf.DUMMYFUNCTION("""COMPUTED_VALUE"""),56138.18)</f>
        <v>56138.18</v>
      </c>
      <c r="E354" s="1">
        <f>IFERROR(__xludf.DUMMYFUNCTION("""COMPUTED_VALUE"""),57854.2)</f>
        <v>57854.2</v>
      </c>
      <c r="F354" s="1">
        <f>IFERROR(__xludf.DUMMYFUNCTION("""COMPUTED_VALUE"""),220367.0)</f>
        <v>220367</v>
      </c>
    </row>
    <row r="355">
      <c r="A355" s="2">
        <f>IFERROR(__xludf.DUMMYFUNCTION("""COMPUTED_VALUE"""),41065.645833333336)</f>
        <v>41065.64583</v>
      </c>
      <c r="B355" s="1">
        <f>IFERROR(__xludf.DUMMYFUNCTION("""COMPUTED_VALUE"""),57854.2)</f>
        <v>57854.2</v>
      </c>
      <c r="C355" s="1">
        <f>IFERROR(__xludf.DUMMYFUNCTION("""COMPUTED_VALUE"""),59202.49)</f>
        <v>59202.49</v>
      </c>
      <c r="D355" s="1">
        <f>IFERROR(__xludf.DUMMYFUNCTION("""COMPUTED_VALUE"""),57486.48)</f>
        <v>57486.48</v>
      </c>
      <c r="E355" s="1">
        <f>IFERROR(__xludf.DUMMYFUNCTION("""COMPUTED_VALUE"""),57854.2)</f>
        <v>57854.2</v>
      </c>
      <c r="F355" s="1">
        <f>IFERROR(__xludf.DUMMYFUNCTION("""COMPUTED_VALUE"""),144180.0)</f>
        <v>144180</v>
      </c>
    </row>
    <row r="356">
      <c r="A356" s="2">
        <f>IFERROR(__xludf.DUMMYFUNCTION("""COMPUTED_VALUE"""),41067.645833333336)</f>
        <v>41067.64583</v>
      </c>
      <c r="B356" s="1">
        <f>IFERROR(__xludf.DUMMYFUNCTION("""COMPUTED_VALUE"""),59447.64)</f>
        <v>59447.64</v>
      </c>
      <c r="C356" s="1">
        <f>IFERROR(__xludf.DUMMYFUNCTION("""COMPUTED_VALUE"""),61041.08)</f>
        <v>61041.08</v>
      </c>
      <c r="D356" s="1">
        <f>IFERROR(__xludf.DUMMYFUNCTION("""COMPUTED_VALUE"""),58834.78)</f>
        <v>58834.78</v>
      </c>
      <c r="E356" s="1">
        <f>IFERROR(__xludf.DUMMYFUNCTION("""COMPUTED_VALUE"""),59325.07)</f>
        <v>59325.07</v>
      </c>
      <c r="F356" s="1">
        <f>IFERROR(__xludf.DUMMYFUNCTION("""COMPUTED_VALUE"""),190140.0)</f>
        <v>190140</v>
      </c>
    </row>
    <row r="357">
      <c r="A357" s="2">
        <f>IFERROR(__xludf.DUMMYFUNCTION("""COMPUTED_VALUE"""),41068.645833333336)</f>
        <v>41068.64583</v>
      </c>
      <c r="B357" s="1">
        <f>IFERROR(__xludf.DUMMYFUNCTION("""COMPUTED_VALUE"""),59447.64)</f>
        <v>59447.64</v>
      </c>
      <c r="C357" s="1">
        <f>IFERROR(__xludf.DUMMYFUNCTION("""COMPUTED_VALUE"""),61653.94)</f>
        <v>61653.94</v>
      </c>
      <c r="D357" s="1">
        <f>IFERROR(__xludf.DUMMYFUNCTION("""COMPUTED_VALUE"""),59325.07)</f>
        <v>59325.07</v>
      </c>
      <c r="E357" s="1">
        <f>IFERROR(__xludf.DUMMYFUNCTION("""COMPUTED_VALUE"""),61041.08)</f>
        <v>61041.08</v>
      </c>
      <c r="F357" s="1">
        <f>IFERROR(__xludf.DUMMYFUNCTION("""COMPUTED_VALUE"""),253554.0)</f>
        <v>253554</v>
      </c>
    </row>
    <row r="358">
      <c r="A358" s="2">
        <f>IFERROR(__xludf.DUMMYFUNCTION("""COMPUTED_VALUE"""),41071.645833333336)</f>
        <v>41071.64583</v>
      </c>
      <c r="B358" s="1">
        <f>IFERROR(__xludf.DUMMYFUNCTION("""COMPUTED_VALUE"""),61286.23)</f>
        <v>61286.23</v>
      </c>
      <c r="C358" s="1">
        <f>IFERROR(__xludf.DUMMYFUNCTION("""COMPUTED_VALUE"""),61776.52)</f>
        <v>61776.52</v>
      </c>
      <c r="D358" s="1">
        <f>IFERROR(__xludf.DUMMYFUNCTION("""COMPUTED_VALUE"""),58589.63)</f>
        <v>58589.63</v>
      </c>
      <c r="E358" s="1">
        <f>IFERROR(__xludf.DUMMYFUNCTION("""COMPUTED_VALUE"""),59079.92)</f>
        <v>59079.92</v>
      </c>
      <c r="F358" s="1">
        <f>IFERROR(__xludf.DUMMYFUNCTION("""COMPUTED_VALUE"""),288847.0)</f>
        <v>288847</v>
      </c>
    </row>
    <row r="359">
      <c r="A359" s="2">
        <f>IFERROR(__xludf.DUMMYFUNCTION("""COMPUTED_VALUE"""),41072.645833333336)</f>
        <v>41072.64583</v>
      </c>
      <c r="B359" s="1">
        <f>IFERROR(__xludf.DUMMYFUNCTION("""COMPUTED_VALUE"""),59079.92)</f>
        <v>59079.92</v>
      </c>
      <c r="C359" s="1">
        <f>IFERROR(__xludf.DUMMYFUNCTION("""COMPUTED_VALUE"""),60673.36)</f>
        <v>60673.36</v>
      </c>
      <c r="D359" s="1">
        <f>IFERROR(__xludf.DUMMYFUNCTION("""COMPUTED_VALUE"""),59079.92)</f>
        <v>59079.92</v>
      </c>
      <c r="E359" s="1">
        <f>IFERROR(__xludf.DUMMYFUNCTION("""COMPUTED_VALUE"""),59937.93)</f>
        <v>59937.93</v>
      </c>
      <c r="F359" s="1">
        <f>IFERROR(__xludf.DUMMYFUNCTION("""COMPUTED_VALUE"""),139291.0)</f>
        <v>139291</v>
      </c>
    </row>
    <row r="360">
      <c r="A360" s="2">
        <f>IFERROR(__xludf.DUMMYFUNCTION("""COMPUTED_VALUE"""),41073.645833333336)</f>
        <v>41073.64583</v>
      </c>
      <c r="B360" s="1">
        <f>IFERROR(__xludf.DUMMYFUNCTION("""COMPUTED_VALUE"""),60305.65)</f>
        <v>60305.65</v>
      </c>
      <c r="C360" s="1">
        <f>IFERROR(__xludf.DUMMYFUNCTION("""COMPUTED_VALUE"""),60550.79)</f>
        <v>60550.79</v>
      </c>
      <c r="D360" s="1">
        <f>IFERROR(__xludf.DUMMYFUNCTION("""COMPUTED_VALUE"""),59447.64)</f>
        <v>59447.64</v>
      </c>
      <c r="E360" s="1">
        <f>IFERROR(__xludf.DUMMYFUNCTION("""COMPUTED_VALUE"""),60060.5)</f>
        <v>60060.5</v>
      </c>
      <c r="F360" s="1">
        <f>IFERROR(__xludf.DUMMYFUNCTION("""COMPUTED_VALUE"""),153920.0)</f>
        <v>153920</v>
      </c>
    </row>
    <row r="361">
      <c r="A361" s="2">
        <f>IFERROR(__xludf.DUMMYFUNCTION("""COMPUTED_VALUE"""),41074.645833333336)</f>
        <v>41074.64583</v>
      </c>
      <c r="B361" s="1">
        <f>IFERROR(__xludf.DUMMYFUNCTION("""COMPUTED_VALUE"""),60060.5)</f>
        <v>60060.5</v>
      </c>
      <c r="C361" s="1">
        <f>IFERROR(__xludf.DUMMYFUNCTION("""COMPUTED_VALUE"""),61041.08)</f>
        <v>61041.08</v>
      </c>
      <c r="D361" s="1">
        <f>IFERROR(__xludf.DUMMYFUNCTION("""COMPUTED_VALUE"""),58834.78)</f>
        <v>58834.78</v>
      </c>
      <c r="E361" s="1">
        <f>IFERROR(__xludf.DUMMYFUNCTION("""COMPUTED_VALUE"""),60060.5)</f>
        <v>60060.5</v>
      </c>
      <c r="F361" s="1">
        <f>IFERROR(__xludf.DUMMYFUNCTION("""COMPUTED_VALUE"""),245824.0)</f>
        <v>245824</v>
      </c>
    </row>
    <row r="362">
      <c r="A362" s="2">
        <f>IFERROR(__xludf.DUMMYFUNCTION("""COMPUTED_VALUE"""),41075.645833333336)</f>
        <v>41075.64583</v>
      </c>
      <c r="B362" s="1">
        <f>IFERROR(__xludf.DUMMYFUNCTION("""COMPUTED_VALUE"""),60305.65)</f>
        <v>60305.65</v>
      </c>
      <c r="C362" s="1">
        <f>IFERROR(__xludf.DUMMYFUNCTION("""COMPUTED_VALUE"""),60428.22)</f>
        <v>60428.22</v>
      </c>
      <c r="D362" s="1">
        <f>IFERROR(__xludf.DUMMYFUNCTION("""COMPUTED_VALUE"""),58957.35)</f>
        <v>58957.35</v>
      </c>
      <c r="E362" s="1">
        <f>IFERROR(__xludf.DUMMYFUNCTION("""COMPUTED_VALUE"""),59570.21)</f>
        <v>59570.21</v>
      </c>
      <c r="F362" s="1">
        <f>IFERROR(__xludf.DUMMYFUNCTION("""COMPUTED_VALUE"""),141410.0)</f>
        <v>141410</v>
      </c>
    </row>
    <row r="363">
      <c r="A363" s="2">
        <f>IFERROR(__xludf.DUMMYFUNCTION("""COMPUTED_VALUE"""),41078.645833333336)</f>
        <v>41078.64583</v>
      </c>
      <c r="B363" s="1">
        <f>IFERROR(__xludf.DUMMYFUNCTION("""COMPUTED_VALUE"""),59937.93)</f>
        <v>59937.93</v>
      </c>
      <c r="C363" s="1">
        <f>IFERROR(__xludf.DUMMYFUNCTION("""COMPUTED_VALUE"""),60428.22)</f>
        <v>60428.22</v>
      </c>
      <c r="D363" s="1">
        <f>IFERROR(__xludf.DUMMYFUNCTION("""COMPUTED_VALUE"""),58957.35)</f>
        <v>58957.35</v>
      </c>
      <c r="E363" s="1">
        <f>IFERROR(__xludf.DUMMYFUNCTION("""COMPUTED_VALUE"""),59447.64)</f>
        <v>59447.64</v>
      </c>
      <c r="F363" s="1">
        <f>IFERROR(__xludf.DUMMYFUNCTION("""COMPUTED_VALUE"""),123427.0)</f>
        <v>123427</v>
      </c>
    </row>
    <row r="364">
      <c r="A364" s="2">
        <f>IFERROR(__xludf.DUMMYFUNCTION("""COMPUTED_VALUE"""),41079.645833333336)</f>
        <v>41079.64583</v>
      </c>
      <c r="B364" s="1">
        <f>IFERROR(__xludf.DUMMYFUNCTION("""COMPUTED_VALUE"""),59692.78)</f>
        <v>59692.78</v>
      </c>
      <c r="C364" s="1">
        <f>IFERROR(__xludf.DUMMYFUNCTION("""COMPUTED_VALUE"""),61041.08)</f>
        <v>61041.08</v>
      </c>
      <c r="D364" s="1">
        <f>IFERROR(__xludf.DUMMYFUNCTION("""COMPUTED_VALUE"""),59692.78)</f>
        <v>59692.78</v>
      </c>
      <c r="E364" s="1">
        <f>IFERROR(__xludf.DUMMYFUNCTION("""COMPUTED_VALUE"""),60428.22)</f>
        <v>60428.22</v>
      </c>
      <c r="F364" s="1">
        <f>IFERROR(__xludf.DUMMYFUNCTION("""COMPUTED_VALUE"""),165838.0)</f>
        <v>165838</v>
      </c>
    </row>
    <row r="365">
      <c r="A365" s="2">
        <f>IFERROR(__xludf.DUMMYFUNCTION("""COMPUTED_VALUE"""),41080.645833333336)</f>
        <v>41080.64583</v>
      </c>
      <c r="B365" s="1">
        <f>IFERROR(__xludf.DUMMYFUNCTION("""COMPUTED_VALUE"""),61286.23)</f>
        <v>61286.23</v>
      </c>
      <c r="C365" s="1">
        <f>IFERROR(__xludf.DUMMYFUNCTION("""COMPUTED_VALUE"""),61408.8)</f>
        <v>61408.8</v>
      </c>
      <c r="D365" s="1">
        <f>IFERROR(__xludf.DUMMYFUNCTION("""COMPUTED_VALUE"""),60673.36)</f>
        <v>60673.36</v>
      </c>
      <c r="E365" s="1">
        <f>IFERROR(__xludf.DUMMYFUNCTION("""COMPUTED_VALUE"""),60673.36)</f>
        <v>60673.36</v>
      </c>
      <c r="F365" s="1">
        <f>IFERROR(__xludf.DUMMYFUNCTION("""COMPUTED_VALUE"""),150444.0)</f>
        <v>150444</v>
      </c>
    </row>
    <row r="366">
      <c r="A366" s="2">
        <f>IFERROR(__xludf.DUMMYFUNCTION("""COMPUTED_VALUE"""),41081.645833333336)</f>
        <v>41081.64583</v>
      </c>
      <c r="B366" s="1">
        <f>IFERROR(__xludf.DUMMYFUNCTION("""COMPUTED_VALUE"""),60183.07)</f>
        <v>60183.07</v>
      </c>
      <c r="C366" s="1">
        <f>IFERROR(__xludf.DUMMYFUNCTION("""COMPUTED_VALUE"""),61653.94)</f>
        <v>61653.94</v>
      </c>
      <c r="D366" s="1">
        <f>IFERROR(__xludf.DUMMYFUNCTION("""COMPUTED_VALUE"""),60183.07)</f>
        <v>60183.07</v>
      </c>
      <c r="E366" s="1">
        <f>IFERROR(__xludf.DUMMYFUNCTION("""COMPUTED_VALUE"""),61041.08)</f>
        <v>61041.08</v>
      </c>
      <c r="F366" s="1">
        <f>IFERROR(__xludf.DUMMYFUNCTION("""COMPUTED_VALUE"""),157031.0)</f>
        <v>157031</v>
      </c>
    </row>
    <row r="367">
      <c r="A367" s="2">
        <f>IFERROR(__xludf.DUMMYFUNCTION("""COMPUTED_VALUE"""),41082.645833333336)</f>
        <v>41082.64583</v>
      </c>
      <c r="B367" s="1">
        <f>IFERROR(__xludf.DUMMYFUNCTION("""COMPUTED_VALUE"""),60918.51)</f>
        <v>60918.51</v>
      </c>
      <c r="C367" s="1">
        <f>IFERROR(__xludf.DUMMYFUNCTION("""COMPUTED_VALUE"""),60918.51)</f>
        <v>60918.51</v>
      </c>
      <c r="D367" s="1">
        <f>IFERROR(__xludf.DUMMYFUNCTION("""COMPUTED_VALUE"""),58344.49)</f>
        <v>58344.49</v>
      </c>
      <c r="E367" s="1">
        <f>IFERROR(__xludf.DUMMYFUNCTION("""COMPUTED_VALUE"""),58957.35)</f>
        <v>58957.35</v>
      </c>
      <c r="F367" s="1">
        <f>IFERROR(__xludf.DUMMYFUNCTION("""COMPUTED_VALUE"""),227790.0)</f>
        <v>227790</v>
      </c>
    </row>
    <row r="368">
      <c r="A368" s="2">
        <f>IFERROR(__xludf.DUMMYFUNCTION("""COMPUTED_VALUE"""),41085.645833333336)</f>
        <v>41085.64583</v>
      </c>
      <c r="B368" s="1">
        <f>IFERROR(__xludf.DUMMYFUNCTION("""COMPUTED_VALUE"""),58834.78)</f>
        <v>58834.78</v>
      </c>
      <c r="C368" s="1">
        <f>IFERROR(__xludf.DUMMYFUNCTION("""COMPUTED_VALUE"""),58957.35)</f>
        <v>58957.35</v>
      </c>
      <c r="D368" s="1">
        <f>IFERROR(__xludf.DUMMYFUNCTION("""COMPUTED_VALUE"""),57486.48)</f>
        <v>57486.48</v>
      </c>
      <c r="E368" s="1">
        <f>IFERROR(__xludf.DUMMYFUNCTION("""COMPUTED_VALUE"""),57854.2)</f>
        <v>57854.2</v>
      </c>
      <c r="F368" s="1">
        <f>IFERROR(__xludf.DUMMYFUNCTION("""COMPUTED_VALUE"""),148825.0)</f>
        <v>148825</v>
      </c>
    </row>
    <row r="369">
      <c r="A369" s="2">
        <f>IFERROR(__xludf.DUMMYFUNCTION("""COMPUTED_VALUE"""),41086.645833333336)</f>
        <v>41086.64583</v>
      </c>
      <c r="B369" s="1">
        <f>IFERROR(__xludf.DUMMYFUNCTION("""COMPUTED_VALUE"""),57609.05)</f>
        <v>57609.05</v>
      </c>
      <c r="C369" s="1">
        <f>IFERROR(__xludf.DUMMYFUNCTION("""COMPUTED_VALUE"""),57976.77)</f>
        <v>57976.77</v>
      </c>
      <c r="D369" s="1">
        <f>IFERROR(__xludf.DUMMYFUNCTION("""COMPUTED_VALUE"""),56383.33)</f>
        <v>56383.33</v>
      </c>
      <c r="E369" s="1">
        <f>IFERROR(__xludf.DUMMYFUNCTION("""COMPUTED_VALUE"""),57363.91)</f>
        <v>57363.91</v>
      </c>
      <c r="F369" s="1">
        <f>IFERROR(__xludf.DUMMYFUNCTION("""COMPUTED_VALUE"""),187568.0)</f>
        <v>187568</v>
      </c>
    </row>
    <row r="370">
      <c r="A370" s="2">
        <f>IFERROR(__xludf.DUMMYFUNCTION("""COMPUTED_VALUE"""),41087.645833333336)</f>
        <v>41087.64583</v>
      </c>
      <c r="B370" s="1">
        <f>IFERROR(__xludf.DUMMYFUNCTION("""COMPUTED_VALUE"""),57363.91)</f>
        <v>57363.91</v>
      </c>
      <c r="C370" s="1">
        <f>IFERROR(__xludf.DUMMYFUNCTION("""COMPUTED_VALUE"""),59447.64)</f>
        <v>59447.64</v>
      </c>
      <c r="D370" s="1">
        <f>IFERROR(__xludf.DUMMYFUNCTION("""COMPUTED_VALUE"""),56383.33)</f>
        <v>56383.33</v>
      </c>
      <c r="E370" s="1">
        <f>IFERROR(__xludf.DUMMYFUNCTION("""COMPUTED_VALUE"""),59447.64)</f>
        <v>59447.64</v>
      </c>
      <c r="F370" s="1">
        <f>IFERROR(__xludf.DUMMYFUNCTION("""COMPUTED_VALUE"""),223942.0)</f>
        <v>223942</v>
      </c>
    </row>
    <row r="371">
      <c r="A371" s="2">
        <f>IFERROR(__xludf.DUMMYFUNCTION("""COMPUTED_VALUE"""),41088.645833333336)</f>
        <v>41088.64583</v>
      </c>
      <c r="B371" s="1">
        <f>IFERROR(__xludf.DUMMYFUNCTION("""COMPUTED_VALUE"""),59815.36)</f>
        <v>59815.36</v>
      </c>
      <c r="C371" s="1">
        <f>IFERROR(__xludf.DUMMYFUNCTION("""COMPUTED_VALUE"""),61041.08)</f>
        <v>61041.08</v>
      </c>
      <c r="D371" s="1">
        <f>IFERROR(__xludf.DUMMYFUNCTION("""COMPUTED_VALUE"""),58957.35)</f>
        <v>58957.35</v>
      </c>
      <c r="E371" s="1">
        <f>IFERROR(__xludf.DUMMYFUNCTION("""COMPUTED_VALUE"""),60060.5)</f>
        <v>60060.5</v>
      </c>
      <c r="F371" s="1">
        <f>IFERROR(__xludf.DUMMYFUNCTION("""COMPUTED_VALUE"""),166439.0)</f>
        <v>166439</v>
      </c>
    </row>
    <row r="372">
      <c r="A372" s="2">
        <f>IFERROR(__xludf.DUMMYFUNCTION("""COMPUTED_VALUE"""),41089.645833333336)</f>
        <v>41089.64583</v>
      </c>
      <c r="B372" s="1">
        <f>IFERROR(__xludf.DUMMYFUNCTION("""COMPUTED_VALUE"""),59202.49)</f>
        <v>59202.49</v>
      </c>
      <c r="C372" s="1">
        <f>IFERROR(__xludf.DUMMYFUNCTION("""COMPUTED_VALUE"""),61286.23)</f>
        <v>61286.23</v>
      </c>
      <c r="D372" s="1">
        <f>IFERROR(__xludf.DUMMYFUNCTION("""COMPUTED_VALUE"""),59202.49)</f>
        <v>59202.49</v>
      </c>
      <c r="E372" s="1">
        <f>IFERROR(__xludf.DUMMYFUNCTION("""COMPUTED_VALUE"""),61286.23)</f>
        <v>61286.23</v>
      </c>
      <c r="F372" s="1">
        <f>IFERROR(__xludf.DUMMYFUNCTION("""COMPUTED_VALUE"""),142540.0)</f>
        <v>142540</v>
      </c>
    </row>
    <row r="373">
      <c r="A373" s="2">
        <f>IFERROR(__xludf.DUMMYFUNCTION("""COMPUTED_VALUE"""),41092.645833333336)</f>
        <v>41092.64583</v>
      </c>
      <c r="B373" s="1">
        <f>IFERROR(__xludf.DUMMYFUNCTION("""COMPUTED_VALUE"""),60060.5)</f>
        <v>60060.5</v>
      </c>
      <c r="C373" s="1">
        <f>IFERROR(__xludf.DUMMYFUNCTION("""COMPUTED_VALUE"""),60428.22)</f>
        <v>60428.22</v>
      </c>
      <c r="D373" s="1">
        <f>IFERROR(__xludf.DUMMYFUNCTION("""COMPUTED_VALUE"""),59447.64)</f>
        <v>59447.64</v>
      </c>
      <c r="E373" s="1">
        <f>IFERROR(__xludf.DUMMYFUNCTION("""COMPUTED_VALUE"""),59815.36)</f>
        <v>59815.36</v>
      </c>
      <c r="F373" s="1">
        <f>IFERROR(__xludf.DUMMYFUNCTION("""COMPUTED_VALUE"""),156322.0)</f>
        <v>156322</v>
      </c>
    </row>
    <row r="374">
      <c r="A374" s="2">
        <f>IFERROR(__xludf.DUMMYFUNCTION("""COMPUTED_VALUE"""),41093.645833333336)</f>
        <v>41093.64583</v>
      </c>
      <c r="B374" s="1">
        <f>IFERROR(__xludf.DUMMYFUNCTION("""COMPUTED_VALUE"""),59692.78)</f>
        <v>59692.78</v>
      </c>
      <c r="C374" s="1">
        <f>IFERROR(__xludf.DUMMYFUNCTION("""COMPUTED_VALUE"""),61286.23)</f>
        <v>61286.23</v>
      </c>
      <c r="D374" s="1">
        <f>IFERROR(__xludf.DUMMYFUNCTION("""COMPUTED_VALUE"""),59692.78)</f>
        <v>59692.78</v>
      </c>
      <c r="E374" s="1">
        <f>IFERROR(__xludf.DUMMYFUNCTION("""COMPUTED_VALUE"""),60550.79)</f>
        <v>60550.79</v>
      </c>
      <c r="F374" s="1">
        <f>IFERROR(__xludf.DUMMYFUNCTION("""COMPUTED_VALUE"""),171759.0)</f>
        <v>171759</v>
      </c>
    </row>
    <row r="375">
      <c r="A375" s="2">
        <f>IFERROR(__xludf.DUMMYFUNCTION("""COMPUTED_VALUE"""),41094.645833333336)</f>
        <v>41094.64583</v>
      </c>
      <c r="B375" s="1">
        <f>IFERROR(__xludf.DUMMYFUNCTION("""COMPUTED_VALUE"""),61286.23)</f>
        <v>61286.23</v>
      </c>
      <c r="C375" s="1">
        <f>IFERROR(__xludf.DUMMYFUNCTION("""COMPUTED_VALUE"""),63369.96)</f>
        <v>63369.96</v>
      </c>
      <c r="D375" s="1">
        <f>IFERROR(__xludf.DUMMYFUNCTION("""COMPUTED_VALUE"""),61163.65)</f>
        <v>61163.65</v>
      </c>
      <c r="E375" s="1">
        <f>IFERROR(__xludf.DUMMYFUNCTION("""COMPUTED_VALUE"""),63124.81)</f>
        <v>63124.81</v>
      </c>
      <c r="F375" s="1">
        <f>IFERROR(__xludf.DUMMYFUNCTION("""COMPUTED_VALUE"""),288524.0)</f>
        <v>288524</v>
      </c>
    </row>
    <row r="376">
      <c r="A376" s="2">
        <f>IFERROR(__xludf.DUMMYFUNCTION("""COMPUTED_VALUE"""),41095.645833333336)</f>
        <v>41095.64583</v>
      </c>
      <c r="B376" s="1">
        <f>IFERROR(__xludf.DUMMYFUNCTION("""COMPUTED_VALUE"""),62511.95)</f>
        <v>62511.95</v>
      </c>
      <c r="C376" s="1">
        <f>IFERROR(__xludf.DUMMYFUNCTION("""COMPUTED_VALUE"""),63982.82)</f>
        <v>63982.82</v>
      </c>
      <c r="D376" s="1">
        <f>IFERROR(__xludf.DUMMYFUNCTION("""COMPUTED_VALUE"""),62511.95)</f>
        <v>62511.95</v>
      </c>
      <c r="E376" s="1">
        <f>IFERROR(__xludf.DUMMYFUNCTION("""COMPUTED_VALUE"""),63982.82)</f>
        <v>63982.82</v>
      </c>
      <c r="F376" s="1">
        <f>IFERROR(__xludf.DUMMYFUNCTION("""COMPUTED_VALUE"""),111452.0)</f>
        <v>111452</v>
      </c>
    </row>
    <row r="377">
      <c r="A377" s="2">
        <f>IFERROR(__xludf.DUMMYFUNCTION("""COMPUTED_VALUE"""),41096.645833333336)</f>
        <v>41096.64583</v>
      </c>
      <c r="B377" s="1">
        <f>IFERROR(__xludf.DUMMYFUNCTION("""COMPUTED_VALUE"""),63982.82)</f>
        <v>63982.82</v>
      </c>
      <c r="C377" s="1">
        <f>IFERROR(__xludf.DUMMYFUNCTION("""COMPUTED_VALUE"""),63982.82)</f>
        <v>63982.82</v>
      </c>
      <c r="D377" s="1">
        <f>IFERROR(__xludf.DUMMYFUNCTION("""COMPUTED_VALUE"""),62266.81)</f>
        <v>62266.81</v>
      </c>
      <c r="E377" s="1">
        <f>IFERROR(__xludf.DUMMYFUNCTION("""COMPUTED_VALUE"""),63124.81)</f>
        <v>63124.81</v>
      </c>
      <c r="F377" s="1">
        <f>IFERROR(__xludf.DUMMYFUNCTION("""COMPUTED_VALUE"""),159547.0)</f>
        <v>159547</v>
      </c>
    </row>
    <row r="378">
      <c r="A378" s="2">
        <f>IFERROR(__xludf.DUMMYFUNCTION("""COMPUTED_VALUE"""),41099.645833333336)</f>
        <v>41099.64583</v>
      </c>
      <c r="B378" s="1">
        <f>IFERROR(__xludf.DUMMYFUNCTION("""COMPUTED_VALUE"""),63124.81)</f>
        <v>63124.81</v>
      </c>
      <c r="C378" s="1">
        <f>IFERROR(__xludf.DUMMYFUNCTION("""COMPUTED_VALUE"""),64718.25)</f>
        <v>64718.25</v>
      </c>
      <c r="D378" s="1">
        <f>IFERROR(__xludf.DUMMYFUNCTION("""COMPUTED_VALUE"""),61899.09)</f>
        <v>61899.09</v>
      </c>
      <c r="E378" s="1">
        <f>IFERROR(__xludf.DUMMYFUNCTION("""COMPUTED_VALUE"""),64595.68)</f>
        <v>64595.68</v>
      </c>
      <c r="F378" s="1">
        <f>IFERROR(__xludf.DUMMYFUNCTION("""COMPUTED_VALUE"""),217943.0)</f>
        <v>217943</v>
      </c>
    </row>
    <row r="379">
      <c r="A379" s="2">
        <f>IFERROR(__xludf.DUMMYFUNCTION("""COMPUTED_VALUE"""),41100.645833333336)</f>
        <v>41100.64583</v>
      </c>
      <c r="B379" s="1">
        <f>IFERROR(__xludf.DUMMYFUNCTION("""COMPUTED_VALUE"""),63124.81)</f>
        <v>63124.81</v>
      </c>
      <c r="C379" s="1">
        <f>IFERROR(__xludf.DUMMYFUNCTION("""COMPUTED_VALUE"""),63615.1)</f>
        <v>63615.1</v>
      </c>
      <c r="D379" s="1">
        <f>IFERROR(__xludf.DUMMYFUNCTION("""COMPUTED_VALUE"""),61163.65)</f>
        <v>61163.65</v>
      </c>
      <c r="E379" s="1">
        <f>IFERROR(__xludf.DUMMYFUNCTION("""COMPUTED_VALUE"""),62266.81)</f>
        <v>62266.81</v>
      </c>
      <c r="F379" s="1">
        <f>IFERROR(__xludf.DUMMYFUNCTION("""COMPUTED_VALUE"""),286333.0)</f>
        <v>286333</v>
      </c>
    </row>
    <row r="380">
      <c r="A380" s="2">
        <f>IFERROR(__xludf.DUMMYFUNCTION("""COMPUTED_VALUE"""),41101.645833333336)</f>
        <v>41101.64583</v>
      </c>
      <c r="B380" s="1">
        <f>IFERROR(__xludf.DUMMYFUNCTION("""COMPUTED_VALUE"""),61776.52)</f>
        <v>61776.52</v>
      </c>
      <c r="C380" s="1">
        <f>IFERROR(__xludf.DUMMYFUNCTION("""COMPUTED_VALUE"""),62757.1)</f>
        <v>62757.1</v>
      </c>
      <c r="D380" s="1">
        <f>IFERROR(__xludf.DUMMYFUNCTION("""COMPUTED_VALUE"""),61531.37)</f>
        <v>61531.37</v>
      </c>
      <c r="E380" s="1">
        <f>IFERROR(__xludf.DUMMYFUNCTION("""COMPUTED_VALUE"""),62144.23)</f>
        <v>62144.23</v>
      </c>
      <c r="F380" s="1">
        <f>IFERROR(__xludf.DUMMYFUNCTION("""COMPUTED_VALUE"""),111160.0)</f>
        <v>111160</v>
      </c>
    </row>
    <row r="381">
      <c r="A381" s="2">
        <f>IFERROR(__xludf.DUMMYFUNCTION("""COMPUTED_VALUE"""),41102.645833333336)</f>
        <v>41102.64583</v>
      </c>
      <c r="B381" s="1">
        <f>IFERROR(__xludf.DUMMYFUNCTION("""COMPUTED_VALUE"""),62266.81)</f>
        <v>62266.81</v>
      </c>
      <c r="C381" s="1">
        <f>IFERROR(__xludf.DUMMYFUNCTION("""COMPUTED_VALUE"""),63247.39)</f>
        <v>63247.39</v>
      </c>
      <c r="D381" s="1">
        <f>IFERROR(__xludf.DUMMYFUNCTION("""COMPUTED_VALUE"""),60428.22)</f>
        <v>60428.22</v>
      </c>
      <c r="E381" s="1">
        <f>IFERROR(__xludf.DUMMYFUNCTION("""COMPUTED_VALUE"""),60428.22)</f>
        <v>60428.22</v>
      </c>
      <c r="F381" s="1">
        <f>IFERROR(__xludf.DUMMYFUNCTION("""COMPUTED_VALUE"""),159956.0)</f>
        <v>159956</v>
      </c>
    </row>
    <row r="382">
      <c r="A382" s="2">
        <f>IFERROR(__xludf.DUMMYFUNCTION("""COMPUTED_VALUE"""),41103.645833333336)</f>
        <v>41103.64583</v>
      </c>
      <c r="B382" s="1">
        <f>IFERROR(__xludf.DUMMYFUNCTION("""COMPUTED_VALUE"""),61531.37)</f>
        <v>61531.37</v>
      </c>
      <c r="C382" s="1">
        <f>IFERROR(__xludf.DUMMYFUNCTION("""COMPUTED_VALUE"""),62879.67)</f>
        <v>62879.67</v>
      </c>
      <c r="D382" s="1">
        <f>IFERROR(__xludf.DUMMYFUNCTION("""COMPUTED_VALUE"""),60918.51)</f>
        <v>60918.51</v>
      </c>
      <c r="E382" s="1">
        <f>IFERROR(__xludf.DUMMYFUNCTION("""COMPUTED_VALUE"""),62266.81)</f>
        <v>62266.81</v>
      </c>
      <c r="F382" s="1">
        <f>IFERROR(__xludf.DUMMYFUNCTION("""COMPUTED_VALUE"""),199301.0)</f>
        <v>199301</v>
      </c>
    </row>
    <row r="383">
      <c r="A383" s="2">
        <f>IFERROR(__xludf.DUMMYFUNCTION("""COMPUTED_VALUE"""),41106.645833333336)</f>
        <v>41106.64583</v>
      </c>
      <c r="B383" s="1">
        <f>IFERROR(__xludf.DUMMYFUNCTION("""COMPUTED_VALUE"""),63369.96)</f>
        <v>63369.96</v>
      </c>
      <c r="C383" s="1">
        <f>IFERROR(__xludf.DUMMYFUNCTION("""COMPUTED_VALUE"""),63737.68)</f>
        <v>63737.68</v>
      </c>
      <c r="D383" s="1">
        <f>IFERROR(__xludf.DUMMYFUNCTION("""COMPUTED_VALUE"""),61899.09)</f>
        <v>61899.09</v>
      </c>
      <c r="E383" s="1">
        <f>IFERROR(__xludf.DUMMYFUNCTION("""COMPUTED_VALUE"""),62021.66)</f>
        <v>62021.66</v>
      </c>
      <c r="F383" s="1">
        <f>IFERROR(__xludf.DUMMYFUNCTION("""COMPUTED_VALUE"""),142396.0)</f>
        <v>142396</v>
      </c>
    </row>
    <row r="384">
      <c r="A384" s="2">
        <f>IFERROR(__xludf.DUMMYFUNCTION("""COMPUTED_VALUE"""),41107.645833333336)</f>
        <v>41107.64583</v>
      </c>
      <c r="B384" s="1">
        <f>IFERROR(__xludf.DUMMYFUNCTION("""COMPUTED_VALUE"""),62757.1)</f>
        <v>62757.1</v>
      </c>
      <c r="C384" s="1">
        <f>IFERROR(__xludf.DUMMYFUNCTION("""COMPUTED_VALUE"""),63002.24)</f>
        <v>63002.24</v>
      </c>
      <c r="D384" s="1">
        <f>IFERROR(__xludf.DUMMYFUNCTION("""COMPUTED_VALUE"""),61286.23)</f>
        <v>61286.23</v>
      </c>
      <c r="E384" s="1">
        <f>IFERROR(__xludf.DUMMYFUNCTION("""COMPUTED_VALUE"""),61408.8)</f>
        <v>61408.8</v>
      </c>
      <c r="F384" s="1">
        <f>IFERROR(__xludf.DUMMYFUNCTION("""COMPUTED_VALUE"""),121520.0)</f>
        <v>121520</v>
      </c>
    </row>
    <row r="385">
      <c r="A385" s="2">
        <f>IFERROR(__xludf.DUMMYFUNCTION("""COMPUTED_VALUE"""),41108.645833333336)</f>
        <v>41108.64583</v>
      </c>
      <c r="B385" s="1">
        <f>IFERROR(__xludf.DUMMYFUNCTION("""COMPUTED_VALUE"""),61408.8)</f>
        <v>61408.8</v>
      </c>
      <c r="C385" s="1">
        <f>IFERROR(__xludf.DUMMYFUNCTION("""COMPUTED_VALUE"""),62879.67)</f>
        <v>62879.67</v>
      </c>
      <c r="D385" s="1">
        <f>IFERROR(__xludf.DUMMYFUNCTION("""COMPUTED_VALUE"""),60795.94)</f>
        <v>60795.94</v>
      </c>
      <c r="E385" s="1">
        <f>IFERROR(__xludf.DUMMYFUNCTION("""COMPUTED_VALUE"""),62266.81)</f>
        <v>62266.81</v>
      </c>
      <c r="F385" s="1">
        <f>IFERROR(__xludf.DUMMYFUNCTION("""COMPUTED_VALUE"""),100545.0)</f>
        <v>100545</v>
      </c>
    </row>
    <row r="386">
      <c r="A386" s="2">
        <f>IFERROR(__xludf.DUMMYFUNCTION("""COMPUTED_VALUE"""),41109.645833333336)</f>
        <v>41109.64583</v>
      </c>
      <c r="B386" s="1">
        <f>IFERROR(__xludf.DUMMYFUNCTION("""COMPUTED_VALUE"""),63369.96)</f>
        <v>63369.96</v>
      </c>
      <c r="C386" s="1">
        <f>IFERROR(__xludf.DUMMYFUNCTION("""COMPUTED_VALUE"""),65943.98)</f>
        <v>65943.98</v>
      </c>
      <c r="D386" s="1">
        <f>IFERROR(__xludf.DUMMYFUNCTION("""COMPUTED_VALUE"""),62634.52)</f>
        <v>62634.52</v>
      </c>
      <c r="E386" s="1">
        <f>IFERROR(__xludf.DUMMYFUNCTION("""COMPUTED_VALUE"""),65943.98)</f>
        <v>65943.98</v>
      </c>
      <c r="F386" s="1">
        <f>IFERROR(__xludf.DUMMYFUNCTION("""COMPUTED_VALUE"""),295303.0)</f>
        <v>295303</v>
      </c>
    </row>
    <row r="387">
      <c r="A387" s="2">
        <f>IFERROR(__xludf.DUMMYFUNCTION("""COMPUTED_VALUE"""),41110.645833333336)</f>
        <v>41110.64583</v>
      </c>
      <c r="B387" s="1">
        <f>IFERROR(__xludf.DUMMYFUNCTION("""COMPUTED_VALUE"""),65453.69)</f>
        <v>65453.69</v>
      </c>
      <c r="C387" s="1">
        <f>IFERROR(__xludf.DUMMYFUNCTION("""COMPUTED_VALUE"""),66801.99)</f>
        <v>66801.99</v>
      </c>
      <c r="D387" s="1">
        <f>IFERROR(__xludf.DUMMYFUNCTION("""COMPUTED_VALUE"""),65085.97)</f>
        <v>65085.97</v>
      </c>
      <c r="E387" s="1">
        <f>IFERROR(__xludf.DUMMYFUNCTION("""COMPUTED_VALUE"""),65208.54)</f>
        <v>65208.54</v>
      </c>
      <c r="F387" s="1">
        <f>IFERROR(__xludf.DUMMYFUNCTION("""COMPUTED_VALUE"""),167228.0)</f>
        <v>167228</v>
      </c>
    </row>
    <row r="388">
      <c r="A388" s="2">
        <f>IFERROR(__xludf.DUMMYFUNCTION("""COMPUTED_VALUE"""),41113.645833333336)</f>
        <v>41113.64583</v>
      </c>
      <c r="B388" s="1">
        <f>IFERROR(__xludf.DUMMYFUNCTION("""COMPUTED_VALUE"""),64718.25)</f>
        <v>64718.25</v>
      </c>
      <c r="C388" s="1">
        <f>IFERROR(__xludf.DUMMYFUNCTION("""COMPUTED_VALUE"""),66556.84)</f>
        <v>66556.84</v>
      </c>
      <c r="D388" s="1">
        <f>IFERROR(__xludf.DUMMYFUNCTION("""COMPUTED_VALUE"""),63737.68)</f>
        <v>63737.68</v>
      </c>
      <c r="E388" s="1">
        <f>IFERROR(__xludf.DUMMYFUNCTION("""COMPUTED_VALUE"""),66434.27)</f>
        <v>66434.27</v>
      </c>
      <c r="F388" s="1">
        <f>IFERROR(__xludf.DUMMYFUNCTION("""COMPUTED_VALUE"""),138742.0)</f>
        <v>138742</v>
      </c>
    </row>
    <row r="389">
      <c r="A389" s="2">
        <f>IFERROR(__xludf.DUMMYFUNCTION("""COMPUTED_VALUE"""),41114.645833333336)</f>
        <v>41114.64583</v>
      </c>
      <c r="B389" s="1">
        <f>IFERROR(__xludf.DUMMYFUNCTION("""COMPUTED_VALUE"""),66556.84)</f>
        <v>66556.84</v>
      </c>
      <c r="C389" s="1">
        <f>IFERROR(__xludf.DUMMYFUNCTION("""COMPUTED_VALUE"""),66801.99)</f>
        <v>66801.99</v>
      </c>
      <c r="D389" s="1">
        <f>IFERROR(__xludf.DUMMYFUNCTION("""COMPUTED_VALUE"""),64473.11)</f>
        <v>64473.11</v>
      </c>
      <c r="E389" s="1">
        <f>IFERROR(__xludf.DUMMYFUNCTION("""COMPUTED_VALUE"""),65821.41)</f>
        <v>65821.41</v>
      </c>
      <c r="F389" s="1">
        <f>IFERROR(__xludf.DUMMYFUNCTION("""COMPUTED_VALUE"""),183567.0)</f>
        <v>183567</v>
      </c>
    </row>
    <row r="390">
      <c r="A390" s="2">
        <f>IFERROR(__xludf.DUMMYFUNCTION("""COMPUTED_VALUE"""),41115.645833333336)</f>
        <v>41115.64583</v>
      </c>
      <c r="B390" s="1">
        <f>IFERROR(__xludf.DUMMYFUNCTION("""COMPUTED_VALUE"""),64718.25)</f>
        <v>64718.25</v>
      </c>
      <c r="C390" s="1">
        <f>IFERROR(__xludf.DUMMYFUNCTION("""COMPUTED_VALUE"""),66189.12)</f>
        <v>66189.12</v>
      </c>
      <c r="D390" s="1">
        <f>IFERROR(__xludf.DUMMYFUNCTION("""COMPUTED_VALUE"""),64595.68)</f>
        <v>64595.68</v>
      </c>
      <c r="E390" s="1">
        <f>IFERROR(__xludf.DUMMYFUNCTION("""COMPUTED_VALUE"""),65453.69)</f>
        <v>65453.69</v>
      </c>
      <c r="F390" s="1">
        <f>IFERROR(__xludf.DUMMYFUNCTION("""COMPUTED_VALUE"""),114677.0)</f>
        <v>114677</v>
      </c>
    </row>
    <row r="391">
      <c r="A391" s="2">
        <f>IFERROR(__xludf.DUMMYFUNCTION("""COMPUTED_VALUE"""),41116.645833333336)</f>
        <v>41116.64583</v>
      </c>
      <c r="B391" s="1">
        <f>IFERROR(__xludf.DUMMYFUNCTION("""COMPUTED_VALUE"""),64718.25)</f>
        <v>64718.25</v>
      </c>
      <c r="C391" s="1">
        <f>IFERROR(__xludf.DUMMYFUNCTION("""COMPUTED_VALUE"""),65453.69)</f>
        <v>65453.69</v>
      </c>
      <c r="D391" s="1">
        <f>IFERROR(__xludf.DUMMYFUNCTION("""COMPUTED_VALUE"""),63615.1)</f>
        <v>63615.1</v>
      </c>
      <c r="E391" s="1">
        <f>IFERROR(__xludf.DUMMYFUNCTION("""COMPUTED_VALUE"""),63615.1)</f>
        <v>63615.1</v>
      </c>
      <c r="F391" s="1">
        <f>IFERROR(__xludf.DUMMYFUNCTION("""COMPUTED_VALUE"""),188382.0)</f>
        <v>188382</v>
      </c>
    </row>
    <row r="392">
      <c r="A392" s="2">
        <f>IFERROR(__xludf.DUMMYFUNCTION("""COMPUTED_VALUE"""),41117.645833333336)</f>
        <v>41117.64583</v>
      </c>
      <c r="B392" s="1">
        <f>IFERROR(__xludf.DUMMYFUNCTION("""COMPUTED_VALUE"""),64227.97)</f>
        <v>64227.97</v>
      </c>
      <c r="C392" s="1">
        <f>IFERROR(__xludf.DUMMYFUNCTION("""COMPUTED_VALUE"""),67537.42)</f>
        <v>67537.42</v>
      </c>
      <c r="D392" s="1">
        <f>IFERROR(__xludf.DUMMYFUNCTION("""COMPUTED_VALUE"""),64105.39)</f>
        <v>64105.39</v>
      </c>
      <c r="E392" s="1">
        <f>IFERROR(__xludf.DUMMYFUNCTION("""COMPUTED_VALUE"""),67414.85)</f>
        <v>67414.85</v>
      </c>
      <c r="F392" s="1">
        <f>IFERROR(__xludf.DUMMYFUNCTION("""COMPUTED_VALUE"""),211941.0)</f>
        <v>211941</v>
      </c>
    </row>
    <row r="393">
      <c r="A393" s="2">
        <f>IFERROR(__xludf.DUMMYFUNCTION("""COMPUTED_VALUE"""),41120.645833333336)</f>
        <v>41120.64583</v>
      </c>
      <c r="B393" s="1">
        <f>IFERROR(__xludf.DUMMYFUNCTION("""COMPUTED_VALUE"""),66924.56)</f>
        <v>66924.56</v>
      </c>
      <c r="C393" s="1">
        <f>IFERROR(__xludf.DUMMYFUNCTION("""COMPUTED_VALUE"""),67414.85)</f>
        <v>67414.85</v>
      </c>
      <c r="D393" s="1">
        <f>IFERROR(__xludf.DUMMYFUNCTION("""COMPUTED_VALUE"""),65208.54)</f>
        <v>65208.54</v>
      </c>
      <c r="E393" s="1">
        <f>IFERROR(__xludf.DUMMYFUNCTION("""COMPUTED_VALUE"""),66066.55)</f>
        <v>66066.55</v>
      </c>
      <c r="F393" s="1">
        <f>IFERROR(__xludf.DUMMYFUNCTION("""COMPUTED_VALUE"""),210692.0)</f>
        <v>210692</v>
      </c>
    </row>
    <row r="394">
      <c r="A394" s="2">
        <f>IFERROR(__xludf.DUMMYFUNCTION("""COMPUTED_VALUE"""),41121.645833333336)</f>
        <v>41121.64583</v>
      </c>
      <c r="B394" s="1">
        <f>IFERROR(__xludf.DUMMYFUNCTION("""COMPUTED_VALUE"""),65576.26)</f>
        <v>65576.26</v>
      </c>
      <c r="C394" s="1">
        <f>IFERROR(__xludf.DUMMYFUNCTION("""COMPUTED_VALUE"""),69988.87)</f>
        <v>69988.87</v>
      </c>
      <c r="D394" s="1">
        <f>IFERROR(__xludf.DUMMYFUNCTION("""COMPUTED_VALUE"""),64718.25)</f>
        <v>64718.25</v>
      </c>
      <c r="E394" s="1">
        <f>IFERROR(__xludf.DUMMYFUNCTION("""COMPUTED_VALUE"""),67414.85)</f>
        <v>67414.85</v>
      </c>
      <c r="F394" s="1">
        <f>IFERROR(__xludf.DUMMYFUNCTION("""COMPUTED_VALUE"""),293748.0)</f>
        <v>293748</v>
      </c>
    </row>
    <row r="395">
      <c r="A395" s="2">
        <f>IFERROR(__xludf.DUMMYFUNCTION("""COMPUTED_VALUE"""),41122.645833333336)</f>
        <v>41122.64583</v>
      </c>
      <c r="B395" s="1">
        <f>IFERROR(__xludf.DUMMYFUNCTION("""COMPUTED_VALUE"""),66679.41)</f>
        <v>66679.41</v>
      </c>
      <c r="C395" s="1">
        <f>IFERROR(__xludf.DUMMYFUNCTION("""COMPUTED_VALUE"""),68885.72)</f>
        <v>68885.72</v>
      </c>
      <c r="D395" s="1">
        <f>IFERROR(__xludf.DUMMYFUNCTION("""COMPUTED_VALUE"""),66679.41)</f>
        <v>66679.41</v>
      </c>
      <c r="E395" s="1">
        <f>IFERROR(__xludf.DUMMYFUNCTION("""COMPUTED_VALUE"""),67905.14)</f>
        <v>67905.14</v>
      </c>
      <c r="F395" s="1">
        <f>IFERROR(__xludf.DUMMYFUNCTION("""COMPUTED_VALUE"""),99950.0)</f>
        <v>99950</v>
      </c>
    </row>
    <row r="396">
      <c r="A396" s="2">
        <f>IFERROR(__xludf.DUMMYFUNCTION("""COMPUTED_VALUE"""),41123.645833333336)</f>
        <v>41123.64583</v>
      </c>
      <c r="B396" s="1">
        <f>IFERROR(__xludf.DUMMYFUNCTION("""COMPUTED_VALUE"""),68395.43)</f>
        <v>68395.43</v>
      </c>
      <c r="C396" s="1">
        <f>IFERROR(__xludf.DUMMYFUNCTION("""COMPUTED_VALUE"""),69866.3)</f>
        <v>69866.3</v>
      </c>
      <c r="D396" s="1">
        <f>IFERROR(__xludf.DUMMYFUNCTION("""COMPUTED_VALUE"""),66801.99)</f>
        <v>66801.99</v>
      </c>
      <c r="E396" s="1">
        <f>IFERROR(__xludf.DUMMYFUNCTION("""COMPUTED_VALUE"""),67047.13)</f>
        <v>67047.13</v>
      </c>
      <c r="F396" s="1">
        <f>IFERROR(__xludf.DUMMYFUNCTION("""COMPUTED_VALUE"""),119331.0)</f>
        <v>119331</v>
      </c>
    </row>
    <row r="397">
      <c r="A397" s="2">
        <f>IFERROR(__xludf.DUMMYFUNCTION("""COMPUTED_VALUE"""),41124.645833333336)</f>
        <v>41124.64583</v>
      </c>
      <c r="B397" s="1">
        <f>IFERROR(__xludf.DUMMYFUNCTION("""COMPUTED_VALUE"""),67537.42)</f>
        <v>67537.42</v>
      </c>
      <c r="C397" s="1">
        <f>IFERROR(__xludf.DUMMYFUNCTION("""COMPUTED_VALUE"""),69253.44)</f>
        <v>69253.44</v>
      </c>
      <c r="D397" s="1">
        <f>IFERROR(__xludf.DUMMYFUNCTION("""COMPUTED_VALUE"""),66924.56)</f>
        <v>66924.56</v>
      </c>
      <c r="E397" s="1">
        <f>IFERROR(__xludf.DUMMYFUNCTION("""COMPUTED_VALUE"""),67169.7)</f>
        <v>67169.7</v>
      </c>
      <c r="F397" s="1">
        <f>IFERROR(__xludf.DUMMYFUNCTION("""COMPUTED_VALUE"""),171657.0)</f>
        <v>171657</v>
      </c>
    </row>
    <row r="398">
      <c r="A398" s="2">
        <f>IFERROR(__xludf.DUMMYFUNCTION("""COMPUTED_VALUE"""),41127.645833333336)</f>
        <v>41127.64583</v>
      </c>
      <c r="B398" s="1">
        <f>IFERROR(__xludf.DUMMYFUNCTION("""COMPUTED_VALUE"""),67782.57)</f>
        <v>67782.57</v>
      </c>
      <c r="C398" s="1">
        <f>IFERROR(__xludf.DUMMYFUNCTION("""COMPUTED_VALUE"""),68150.28)</f>
        <v>68150.28</v>
      </c>
      <c r="D398" s="1">
        <f>IFERROR(__xludf.DUMMYFUNCTION("""COMPUTED_VALUE"""),65576.26)</f>
        <v>65576.26</v>
      </c>
      <c r="E398" s="1">
        <f>IFERROR(__xludf.DUMMYFUNCTION("""COMPUTED_VALUE"""),66679.41)</f>
        <v>66679.41</v>
      </c>
      <c r="F398" s="1">
        <f>IFERROR(__xludf.DUMMYFUNCTION("""COMPUTED_VALUE"""),231200.0)</f>
        <v>231200</v>
      </c>
    </row>
    <row r="399">
      <c r="A399" s="2">
        <f>IFERROR(__xludf.DUMMYFUNCTION("""COMPUTED_VALUE"""),41128.645833333336)</f>
        <v>41128.64583</v>
      </c>
      <c r="B399" s="1">
        <f>IFERROR(__xludf.DUMMYFUNCTION("""COMPUTED_VALUE"""),65821.41)</f>
        <v>65821.41</v>
      </c>
      <c r="C399" s="1">
        <f>IFERROR(__xludf.DUMMYFUNCTION("""COMPUTED_VALUE"""),65943.98)</f>
        <v>65943.98</v>
      </c>
      <c r="D399" s="1">
        <f>IFERROR(__xludf.DUMMYFUNCTION("""COMPUTED_VALUE"""),63369.96)</f>
        <v>63369.96</v>
      </c>
      <c r="E399" s="1">
        <f>IFERROR(__xludf.DUMMYFUNCTION("""COMPUTED_VALUE"""),64350.54)</f>
        <v>64350.54</v>
      </c>
      <c r="F399" s="1">
        <f>IFERROR(__xludf.DUMMYFUNCTION("""COMPUTED_VALUE"""),340832.0)</f>
        <v>340832</v>
      </c>
    </row>
    <row r="400">
      <c r="A400" s="2">
        <f>IFERROR(__xludf.DUMMYFUNCTION("""COMPUTED_VALUE"""),41129.645833333336)</f>
        <v>41129.64583</v>
      </c>
      <c r="B400" s="1">
        <f>IFERROR(__xludf.DUMMYFUNCTION("""COMPUTED_VALUE"""),64350.54)</f>
        <v>64350.54</v>
      </c>
      <c r="C400" s="1">
        <f>IFERROR(__xludf.DUMMYFUNCTION("""COMPUTED_VALUE"""),65085.97)</f>
        <v>65085.97</v>
      </c>
      <c r="D400" s="1">
        <f>IFERROR(__xludf.DUMMYFUNCTION("""COMPUTED_VALUE"""),63982.82)</f>
        <v>63982.82</v>
      </c>
      <c r="E400" s="1">
        <f>IFERROR(__xludf.DUMMYFUNCTION("""COMPUTED_VALUE"""),64718.25)</f>
        <v>64718.25</v>
      </c>
      <c r="F400" s="1">
        <f>IFERROR(__xludf.DUMMYFUNCTION("""COMPUTED_VALUE"""),282333.0)</f>
        <v>282333</v>
      </c>
    </row>
    <row r="401">
      <c r="A401" s="2">
        <f>IFERROR(__xludf.DUMMYFUNCTION("""COMPUTED_VALUE"""),41130.645833333336)</f>
        <v>41130.64583</v>
      </c>
      <c r="B401" s="1">
        <f>IFERROR(__xludf.DUMMYFUNCTION("""COMPUTED_VALUE"""),64473.11)</f>
        <v>64473.11</v>
      </c>
      <c r="C401" s="1">
        <f>IFERROR(__xludf.DUMMYFUNCTION("""COMPUTED_VALUE"""),64963.4)</f>
        <v>64963.4</v>
      </c>
      <c r="D401" s="1">
        <f>IFERROR(__xludf.DUMMYFUNCTION("""COMPUTED_VALUE"""),62879.67)</f>
        <v>62879.67</v>
      </c>
      <c r="E401" s="1">
        <f>IFERROR(__xludf.DUMMYFUNCTION("""COMPUTED_VALUE"""),64595.68)</f>
        <v>64595.68</v>
      </c>
      <c r="F401" s="1">
        <f>IFERROR(__xludf.DUMMYFUNCTION("""COMPUTED_VALUE"""),432787.0)</f>
        <v>432787</v>
      </c>
    </row>
    <row r="402">
      <c r="A402" s="2">
        <f>IFERROR(__xludf.DUMMYFUNCTION("""COMPUTED_VALUE"""),41131.645833333336)</f>
        <v>41131.64583</v>
      </c>
      <c r="B402" s="1">
        <f>IFERROR(__xludf.DUMMYFUNCTION("""COMPUTED_VALUE"""),63615.1)</f>
        <v>63615.1</v>
      </c>
      <c r="C402" s="1">
        <f>IFERROR(__xludf.DUMMYFUNCTION("""COMPUTED_VALUE"""),63860.25)</f>
        <v>63860.25</v>
      </c>
      <c r="D402" s="1">
        <f>IFERROR(__xludf.DUMMYFUNCTION("""COMPUTED_VALUE"""),61163.65)</f>
        <v>61163.65</v>
      </c>
      <c r="E402" s="1">
        <f>IFERROR(__xludf.DUMMYFUNCTION("""COMPUTED_VALUE"""),61408.8)</f>
        <v>61408.8</v>
      </c>
      <c r="F402" s="1">
        <f>IFERROR(__xludf.DUMMYFUNCTION("""COMPUTED_VALUE"""),614351.0)</f>
        <v>614351</v>
      </c>
    </row>
    <row r="403">
      <c r="A403" s="2">
        <f>IFERROR(__xludf.DUMMYFUNCTION("""COMPUTED_VALUE"""),41134.645833333336)</f>
        <v>41134.64583</v>
      </c>
      <c r="B403" s="1">
        <f>IFERROR(__xludf.DUMMYFUNCTION("""COMPUTED_VALUE"""),61408.8)</f>
        <v>61408.8</v>
      </c>
      <c r="C403" s="1">
        <f>IFERROR(__xludf.DUMMYFUNCTION("""COMPUTED_VALUE"""),61776.52)</f>
        <v>61776.52</v>
      </c>
      <c r="D403" s="1">
        <f>IFERROR(__xludf.DUMMYFUNCTION("""COMPUTED_VALUE"""),59692.78)</f>
        <v>59692.78</v>
      </c>
      <c r="E403" s="1">
        <f>IFERROR(__xludf.DUMMYFUNCTION("""COMPUTED_VALUE"""),60428.22)</f>
        <v>60428.22</v>
      </c>
      <c r="F403" s="1">
        <f>IFERROR(__xludf.DUMMYFUNCTION("""COMPUTED_VALUE"""),418832.0)</f>
        <v>418832</v>
      </c>
    </row>
    <row r="404">
      <c r="A404" s="2">
        <f>IFERROR(__xludf.DUMMYFUNCTION("""COMPUTED_VALUE"""),41135.645833333336)</f>
        <v>41135.64583</v>
      </c>
      <c r="B404" s="1">
        <f>IFERROR(__xludf.DUMMYFUNCTION("""COMPUTED_VALUE"""),61041.08)</f>
        <v>61041.08</v>
      </c>
      <c r="C404" s="1">
        <f>IFERROR(__xludf.DUMMYFUNCTION("""COMPUTED_VALUE"""),62266.81)</f>
        <v>62266.81</v>
      </c>
      <c r="D404" s="1">
        <f>IFERROR(__xludf.DUMMYFUNCTION("""COMPUTED_VALUE"""),60795.94)</f>
        <v>60795.94</v>
      </c>
      <c r="E404" s="1">
        <f>IFERROR(__xludf.DUMMYFUNCTION("""COMPUTED_VALUE"""),62266.81)</f>
        <v>62266.81</v>
      </c>
      <c r="F404" s="1">
        <f>IFERROR(__xludf.DUMMYFUNCTION("""COMPUTED_VALUE"""),413692.0)</f>
        <v>413692</v>
      </c>
    </row>
    <row r="405">
      <c r="A405" s="2">
        <f>IFERROR(__xludf.DUMMYFUNCTION("""COMPUTED_VALUE"""),41137.645833333336)</f>
        <v>41137.64583</v>
      </c>
      <c r="B405" s="1">
        <f>IFERROR(__xludf.DUMMYFUNCTION("""COMPUTED_VALUE"""),63002.24)</f>
        <v>63002.24</v>
      </c>
      <c r="C405" s="1">
        <f>IFERROR(__xludf.DUMMYFUNCTION("""COMPUTED_VALUE"""),63492.53)</f>
        <v>63492.53</v>
      </c>
      <c r="D405" s="1">
        <f>IFERROR(__xludf.DUMMYFUNCTION("""COMPUTED_VALUE"""),62266.81)</f>
        <v>62266.81</v>
      </c>
      <c r="E405" s="1">
        <f>IFERROR(__xludf.DUMMYFUNCTION("""COMPUTED_VALUE"""),63002.24)</f>
        <v>63002.24</v>
      </c>
      <c r="F405" s="1">
        <f>IFERROR(__xludf.DUMMYFUNCTION("""COMPUTED_VALUE"""),224462.0)</f>
        <v>224462</v>
      </c>
    </row>
    <row r="406">
      <c r="A406" s="2">
        <f>IFERROR(__xludf.DUMMYFUNCTION("""COMPUTED_VALUE"""),41138.645833333336)</f>
        <v>41138.64583</v>
      </c>
      <c r="B406" s="1">
        <f>IFERROR(__xludf.DUMMYFUNCTION("""COMPUTED_VALUE"""),63002.24)</f>
        <v>63002.24</v>
      </c>
      <c r="C406" s="1">
        <f>IFERROR(__xludf.DUMMYFUNCTION("""COMPUTED_VALUE"""),63369.96)</f>
        <v>63369.96</v>
      </c>
      <c r="D406" s="1">
        <f>IFERROR(__xludf.DUMMYFUNCTION("""COMPUTED_VALUE"""),62511.95)</f>
        <v>62511.95</v>
      </c>
      <c r="E406" s="1">
        <f>IFERROR(__xludf.DUMMYFUNCTION("""COMPUTED_VALUE"""),63002.24)</f>
        <v>63002.24</v>
      </c>
      <c r="F406" s="1">
        <f>IFERROR(__xludf.DUMMYFUNCTION("""COMPUTED_VALUE"""),175366.0)</f>
        <v>175366</v>
      </c>
    </row>
    <row r="407">
      <c r="A407" s="2">
        <f>IFERROR(__xludf.DUMMYFUNCTION("""COMPUTED_VALUE"""),41141.645833333336)</f>
        <v>41141.64583</v>
      </c>
      <c r="B407" s="1">
        <f>IFERROR(__xludf.DUMMYFUNCTION("""COMPUTED_VALUE"""),63492.53)</f>
        <v>63492.53</v>
      </c>
      <c r="C407" s="1">
        <f>IFERROR(__xludf.DUMMYFUNCTION("""COMPUTED_VALUE"""),64473.11)</f>
        <v>64473.11</v>
      </c>
      <c r="D407" s="1">
        <f>IFERROR(__xludf.DUMMYFUNCTION("""COMPUTED_VALUE"""),63247.39)</f>
        <v>63247.39</v>
      </c>
      <c r="E407" s="1">
        <f>IFERROR(__xludf.DUMMYFUNCTION("""COMPUTED_VALUE"""),64350.54)</f>
        <v>64350.54</v>
      </c>
      <c r="F407" s="1">
        <f>IFERROR(__xludf.DUMMYFUNCTION("""COMPUTED_VALUE"""),157976.0)</f>
        <v>157976</v>
      </c>
    </row>
    <row r="408">
      <c r="A408" s="2">
        <f>IFERROR(__xludf.DUMMYFUNCTION("""COMPUTED_VALUE"""),41142.645833333336)</f>
        <v>41142.64583</v>
      </c>
      <c r="B408" s="1">
        <f>IFERROR(__xludf.DUMMYFUNCTION("""COMPUTED_VALUE"""),64595.68)</f>
        <v>64595.68</v>
      </c>
      <c r="C408" s="1">
        <f>IFERROR(__xludf.DUMMYFUNCTION("""COMPUTED_VALUE"""),64840.83)</f>
        <v>64840.83</v>
      </c>
      <c r="D408" s="1">
        <f>IFERROR(__xludf.DUMMYFUNCTION("""COMPUTED_VALUE"""),63615.1)</f>
        <v>63615.1</v>
      </c>
      <c r="E408" s="1">
        <f>IFERROR(__xludf.DUMMYFUNCTION("""COMPUTED_VALUE"""),64227.97)</f>
        <v>64227.97</v>
      </c>
      <c r="F408" s="1">
        <f>IFERROR(__xludf.DUMMYFUNCTION("""COMPUTED_VALUE"""),162738.0)</f>
        <v>162738</v>
      </c>
    </row>
    <row r="409">
      <c r="A409" s="2">
        <f>IFERROR(__xludf.DUMMYFUNCTION("""COMPUTED_VALUE"""),41143.645833333336)</f>
        <v>41143.64583</v>
      </c>
      <c r="B409" s="1">
        <f>IFERROR(__xludf.DUMMYFUNCTION("""COMPUTED_VALUE"""),64595.68)</f>
        <v>64595.68</v>
      </c>
      <c r="C409" s="1">
        <f>IFERROR(__xludf.DUMMYFUNCTION("""COMPUTED_VALUE"""),64963.4)</f>
        <v>64963.4</v>
      </c>
      <c r="D409" s="1">
        <f>IFERROR(__xludf.DUMMYFUNCTION("""COMPUTED_VALUE"""),63982.82)</f>
        <v>63982.82</v>
      </c>
      <c r="E409" s="1">
        <f>IFERROR(__xludf.DUMMYFUNCTION("""COMPUTED_VALUE"""),64105.39)</f>
        <v>64105.39</v>
      </c>
      <c r="F409" s="1">
        <f>IFERROR(__xludf.DUMMYFUNCTION("""COMPUTED_VALUE"""),147884.0)</f>
        <v>147884</v>
      </c>
    </row>
    <row r="410">
      <c r="A410" s="2">
        <f>IFERROR(__xludf.DUMMYFUNCTION("""COMPUTED_VALUE"""),41144.645833333336)</f>
        <v>41144.64583</v>
      </c>
      <c r="B410" s="1">
        <f>IFERROR(__xludf.DUMMYFUNCTION("""COMPUTED_VALUE"""),64473.11)</f>
        <v>64473.11</v>
      </c>
      <c r="C410" s="1">
        <f>IFERROR(__xludf.DUMMYFUNCTION("""COMPUTED_VALUE"""),65698.83)</f>
        <v>65698.83</v>
      </c>
      <c r="D410" s="1">
        <f>IFERROR(__xludf.DUMMYFUNCTION("""COMPUTED_VALUE"""),64473.11)</f>
        <v>64473.11</v>
      </c>
      <c r="E410" s="1">
        <f>IFERROR(__xludf.DUMMYFUNCTION("""COMPUTED_VALUE"""),65453.69)</f>
        <v>65453.69</v>
      </c>
      <c r="F410" s="1">
        <f>IFERROR(__xludf.DUMMYFUNCTION("""COMPUTED_VALUE"""),254480.0)</f>
        <v>254480</v>
      </c>
    </row>
    <row r="411">
      <c r="A411" s="2">
        <f>IFERROR(__xludf.DUMMYFUNCTION("""COMPUTED_VALUE"""),41145.645833333336)</f>
        <v>41145.64583</v>
      </c>
      <c r="B411" s="1">
        <f>IFERROR(__xludf.DUMMYFUNCTION("""COMPUTED_VALUE"""),64105.39)</f>
        <v>64105.39</v>
      </c>
      <c r="C411" s="1">
        <f>IFERROR(__xludf.DUMMYFUNCTION("""COMPUTED_VALUE"""),64963.4)</f>
        <v>64963.4</v>
      </c>
      <c r="D411" s="1">
        <f>IFERROR(__xludf.DUMMYFUNCTION("""COMPUTED_VALUE"""),63002.24)</f>
        <v>63002.24</v>
      </c>
      <c r="E411" s="1">
        <f>IFERROR(__xludf.DUMMYFUNCTION("""COMPUTED_VALUE"""),63492.53)</f>
        <v>63492.53</v>
      </c>
      <c r="F411" s="1">
        <f>IFERROR(__xludf.DUMMYFUNCTION("""COMPUTED_VALUE"""),249047.0)</f>
        <v>249047</v>
      </c>
    </row>
    <row r="412">
      <c r="A412" s="2">
        <f>IFERROR(__xludf.DUMMYFUNCTION("""COMPUTED_VALUE"""),41148.645833333336)</f>
        <v>41148.64583</v>
      </c>
      <c r="B412" s="1">
        <f>IFERROR(__xludf.DUMMYFUNCTION("""COMPUTED_VALUE"""),64473.11)</f>
        <v>64473.11</v>
      </c>
      <c r="C412" s="1">
        <f>IFERROR(__xludf.DUMMYFUNCTION("""COMPUTED_VALUE"""),65208.54)</f>
        <v>65208.54</v>
      </c>
      <c r="D412" s="1">
        <f>IFERROR(__xludf.DUMMYFUNCTION("""COMPUTED_VALUE"""),64350.54)</f>
        <v>64350.54</v>
      </c>
      <c r="E412" s="1">
        <f>IFERROR(__xludf.DUMMYFUNCTION("""COMPUTED_VALUE"""),65085.97)</f>
        <v>65085.97</v>
      </c>
      <c r="F412" s="1">
        <f>IFERROR(__xludf.DUMMYFUNCTION("""COMPUTED_VALUE"""),152335.0)</f>
        <v>152335</v>
      </c>
    </row>
    <row r="413">
      <c r="A413" s="2">
        <f>IFERROR(__xludf.DUMMYFUNCTION("""COMPUTED_VALUE"""),41149.645833333336)</f>
        <v>41149.64583</v>
      </c>
      <c r="B413" s="1">
        <f>IFERROR(__xludf.DUMMYFUNCTION("""COMPUTED_VALUE"""),65698.83)</f>
        <v>65698.83</v>
      </c>
      <c r="C413" s="1">
        <f>IFERROR(__xludf.DUMMYFUNCTION("""COMPUTED_VALUE"""),66311.7)</f>
        <v>66311.7</v>
      </c>
      <c r="D413" s="1">
        <f>IFERROR(__xludf.DUMMYFUNCTION("""COMPUTED_VALUE"""),63982.82)</f>
        <v>63982.82</v>
      </c>
      <c r="E413" s="1">
        <f>IFERROR(__xludf.DUMMYFUNCTION("""COMPUTED_VALUE"""),63982.82)</f>
        <v>63982.82</v>
      </c>
      <c r="F413" s="1">
        <f>IFERROR(__xludf.DUMMYFUNCTION("""COMPUTED_VALUE"""),167756.0)</f>
        <v>167756</v>
      </c>
    </row>
    <row r="414">
      <c r="A414" s="2">
        <f>IFERROR(__xludf.DUMMYFUNCTION("""COMPUTED_VALUE"""),41150.645833333336)</f>
        <v>41150.64583</v>
      </c>
      <c r="B414" s="1">
        <f>IFERROR(__xludf.DUMMYFUNCTION("""COMPUTED_VALUE"""),63982.82)</f>
        <v>63982.82</v>
      </c>
      <c r="C414" s="1">
        <f>IFERROR(__xludf.DUMMYFUNCTION("""COMPUTED_VALUE"""),64473.11)</f>
        <v>64473.11</v>
      </c>
      <c r="D414" s="1">
        <f>IFERROR(__xludf.DUMMYFUNCTION("""COMPUTED_VALUE"""),62757.1)</f>
        <v>62757.1</v>
      </c>
      <c r="E414" s="1">
        <f>IFERROR(__xludf.DUMMYFUNCTION("""COMPUTED_VALUE"""),63492.53)</f>
        <v>63492.53</v>
      </c>
      <c r="F414" s="1">
        <f>IFERROR(__xludf.DUMMYFUNCTION("""COMPUTED_VALUE"""),261222.0)</f>
        <v>261222</v>
      </c>
    </row>
    <row r="415">
      <c r="A415" s="2">
        <f>IFERROR(__xludf.DUMMYFUNCTION("""COMPUTED_VALUE"""),41151.645833333336)</f>
        <v>41151.64583</v>
      </c>
      <c r="B415" s="1">
        <f>IFERROR(__xludf.DUMMYFUNCTION("""COMPUTED_VALUE"""),63002.24)</f>
        <v>63002.24</v>
      </c>
      <c r="C415" s="1">
        <f>IFERROR(__xludf.DUMMYFUNCTION("""COMPUTED_VALUE"""),64595.68)</f>
        <v>64595.68</v>
      </c>
      <c r="D415" s="1">
        <f>IFERROR(__xludf.DUMMYFUNCTION("""COMPUTED_VALUE"""),62634.52)</f>
        <v>62634.52</v>
      </c>
      <c r="E415" s="1">
        <f>IFERROR(__xludf.DUMMYFUNCTION("""COMPUTED_VALUE"""),64473.11)</f>
        <v>64473.11</v>
      </c>
      <c r="F415" s="1">
        <f>IFERROR(__xludf.DUMMYFUNCTION("""COMPUTED_VALUE"""),196665.0)</f>
        <v>196665</v>
      </c>
    </row>
    <row r="416">
      <c r="A416" s="2">
        <f>IFERROR(__xludf.DUMMYFUNCTION("""COMPUTED_VALUE"""),41152.645833333336)</f>
        <v>41152.64583</v>
      </c>
      <c r="B416" s="1">
        <f>IFERROR(__xludf.DUMMYFUNCTION("""COMPUTED_VALUE"""),64473.11)</f>
        <v>64473.11</v>
      </c>
      <c r="C416" s="1">
        <f>IFERROR(__xludf.DUMMYFUNCTION("""COMPUTED_VALUE"""),64595.68)</f>
        <v>64595.68</v>
      </c>
      <c r="D416" s="1">
        <f>IFERROR(__xludf.DUMMYFUNCTION("""COMPUTED_VALUE"""),63615.1)</f>
        <v>63615.1</v>
      </c>
      <c r="E416" s="1">
        <f>IFERROR(__xludf.DUMMYFUNCTION("""COMPUTED_VALUE"""),63615.1)</f>
        <v>63615.1</v>
      </c>
      <c r="F416" s="1">
        <f>IFERROR(__xludf.DUMMYFUNCTION("""COMPUTED_VALUE"""),139777.0)</f>
        <v>139777</v>
      </c>
    </row>
    <row r="417">
      <c r="A417" s="2">
        <f>IFERROR(__xludf.DUMMYFUNCTION("""COMPUTED_VALUE"""),41155.645833333336)</f>
        <v>41155.64583</v>
      </c>
      <c r="B417" s="1">
        <f>IFERROR(__xludf.DUMMYFUNCTION("""COMPUTED_VALUE"""),63492.53)</f>
        <v>63492.53</v>
      </c>
      <c r="C417" s="1">
        <f>IFERROR(__xludf.DUMMYFUNCTION("""COMPUTED_VALUE"""),64105.39)</f>
        <v>64105.39</v>
      </c>
      <c r="D417" s="1">
        <f>IFERROR(__xludf.DUMMYFUNCTION("""COMPUTED_VALUE"""),61776.52)</f>
        <v>61776.52</v>
      </c>
      <c r="E417" s="1">
        <f>IFERROR(__xludf.DUMMYFUNCTION("""COMPUTED_VALUE"""),63737.68)</f>
        <v>63737.68</v>
      </c>
      <c r="F417" s="1">
        <f>IFERROR(__xludf.DUMMYFUNCTION("""COMPUTED_VALUE"""),142772.0)</f>
        <v>142772</v>
      </c>
    </row>
    <row r="418">
      <c r="A418" s="2">
        <f>IFERROR(__xludf.DUMMYFUNCTION("""COMPUTED_VALUE"""),41156.645833333336)</f>
        <v>41156.64583</v>
      </c>
      <c r="B418" s="1">
        <f>IFERROR(__xludf.DUMMYFUNCTION("""COMPUTED_VALUE"""),63002.24)</f>
        <v>63002.24</v>
      </c>
      <c r="C418" s="1">
        <f>IFERROR(__xludf.DUMMYFUNCTION("""COMPUTED_VALUE"""),65576.26)</f>
        <v>65576.26</v>
      </c>
      <c r="D418" s="1">
        <f>IFERROR(__xludf.DUMMYFUNCTION("""COMPUTED_VALUE"""),62634.52)</f>
        <v>62634.52</v>
      </c>
      <c r="E418" s="1">
        <f>IFERROR(__xludf.DUMMYFUNCTION("""COMPUTED_VALUE"""),64963.4)</f>
        <v>64963.4</v>
      </c>
      <c r="F418" s="1">
        <f>IFERROR(__xludf.DUMMYFUNCTION("""COMPUTED_VALUE"""),223434.0)</f>
        <v>223434</v>
      </c>
    </row>
    <row r="419">
      <c r="A419" s="2">
        <f>IFERROR(__xludf.DUMMYFUNCTION("""COMPUTED_VALUE"""),41157.645833333336)</f>
        <v>41157.64583</v>
      </c>
      <c r="B419" s="1">
        <f>IFERROR(__xludf.DUMMYFUNCTION("""COMPUTED_VALUE"""),64963.4)</f>
        <v>64963.4</v>
      </c>
      <c r="C419" s="1">
        <f>IFERROR(__xludf.DUMMYFUNCTION("""COMPUTED_VALUE"""),65821.41)</f>
        <v>65821.41</v>
      </c>
      <c r="D419" s="1">
        <f>IFERROR(__xludf.DUMMYFUNCTION("""COMPUTED_VALUE"""),63737.68)</f>
        <v>63737.68</v>
      </c>
      <c r="E419" s="1">
        <f>IFERROR(__xludf.DUMMYFUNCTION("""COMPUTED_VALUE"""),63737.68)</f>
        <v>63737.68</v>
      </c>
      <c r="F419" s="1">
        <f>IFERROR(__xludf.DUMMYFUNCTION("""COMPUTED_VALUE"""),125253.0)</f>
        <v>125253</v>
      </c>
    </row>
    <row r="420">
      <c r="A420" s="2">
        <f>IFERROR(__xludf.DUMMYFUNCTION("""COMPUTED_VALUE"""),41158.645833333336)</f>
        <v>41158.64583</v>
      </c>
      <c r="B420" s="1">
        <f>IFERROR(__xludf.DUMMYFUNCTION("""COMPUTED_VALUE"""),63982.82)</f>
        <v>63982.82</v>
      </c>
      <c r="C420" s="1">
        <f>IFERROR(__xludf.DUMMYFUNCTION("""COMPUTED_VALUE"""),65576.26)</f>
        <v>65576.26</v>
      </c>
      <c r="D420" s="1">
        <f>IFERROR(__xludf.DUMMYFUNCTION("""COMPUTED_VALUE"""),63860.25)</f>
        <v>63860.25</v>
      </c>
      <c r="E420" s="1">
        <f>IFERROR(__xludf.DUMMYFUNCTION("""COMPUTED_VALUE"""),65576.26)</f>
        <v>65576.26</v>
      </c>
      <c r="F420" s="1">
        <f>IFERROR(__xludf.DUMMYFUNCTION("""COMPUTED_VALUE"""),148402.0)</f>
        <v>148402</v>
      </c>
    </row>
    <row r="421">
      <c r="A421" s="2">
        <f>IFERROR(__xludf.DUMMYFUNCTION("""COMPUTED_VALUE"""),41159.645833333336)</f>
        <v>41159.64583</v>
      </c>
      <c r="B421" s="1">
        <f>IFERROR(__xludf.DUMMYFUNCTION("""COMPUTED_VALUE"""),65698.83)</f>
        <v>65698.83</v>
      </c>
      <c r="C421" s="1">
        <f>IFERROR(__xludf.DUMMYFUNCTION("""COMPUTED_VALUE"""),66556.84)</f>
        <v>66556.84</v>
      </c>
      <c r="D421" s="1">
        <f>IFERROR(__xludf.DUMMYFUNCTION("""COMPUTED_VALUE"""),64350.54)</f>
        <v>64350.54</v>
      </c>
      <c r="E421" s="1">
        <f>IFERROR(__xludf.DUMMYFUNCTION("""COMPUTED_VALUE"""),64595.68)</f>
        <v>64595.68</v>
      </c>
      <c r="F421" s="1">
        <f>IFERROR(__xludf.DUMMYFUNCTION("""COMPUTED_VALUE"""),155622.0)</f>
        <v>155622</v>
      </c>
    </row>
    <row r="422">
      <c r="A422" s="2">
        <f>IFERROR(__xludf.DUMMYFUNCTION("""COMPUTED_VALUE"""),41162.645833333336)</f>
        <v>41162.64583</v>
      </c>
      <c r="B422" s="1">
        <f>IFERROR(__xludf.DUMMYFUNCTION("""COMPUTED_VALUE"""),64963.4)</f>
        <v>64963.4</v>
      </c>
      <c r="C422" s="1">
        <f>IFERROR(__xludf.DUMMYFUNCTION("""COMPUTED_VALUE"""),65085.97)</f>
        <v>65085.97</v>
      </c>
      <c r="D422" s="1">
        <f>IFERROR(__xludf.DUMMYFUNCTION("""COMPUTED_VALUE"""),63615.1)</f>
        <v>63615.1</v>
      </c>
      <c r="E422" s="1">
        <f>IFERROR(__xludf.DUMMYFUNCTION("""COMPUTED_VALUE"""),63615.1)</f>
        <v>63615.1</v>
      </c>
      <c r="F422" s="1">
        <f>IFERROR(__xludf.DUMMYFUNCTION("""COMPUTED_VALUE"""),77790.0)</f>
        <v>77790</v>
      </c>
    </row>
    <row r="423">
      <c r="A423" s="2">
        <f>IFERROR(__xludf.DUMMYFUNCTION("""COMPUTED_VALUE"""),41163.645833333336)</f>
        <v>41163.64583</v>
      </c>
      <c r="B423" s="1">
        <f>IFERROR(__xludf.DUMMYFUNCTION("""COMPUTED_VALUE"""),63860.25)</f>
        <v>63860.25</v>
      </c>
      <c r="C423" s="1">
        <f>IFERROR(__xludf.DUMMYFUNCTION("""COMPUTED_VALUE"""),65208.54)</f>
        <v>65208.54</v>
      </c>
      <c r="D423" s="1">
        <f>IFERROR(__xludf.DUMMYFUNCTION("""COMPUTED_VALUE"""),63247.39)</f>
        <v>63247.39</v>
      </c>
      <c r="E423" s="1">
        <f>IFERROR(__xludf.DUMMYFUNCTION("""COMPUTED_VALUE"""),64963.4)</f>
        <v>64963.4</v>
      </c>
      <c r="F423" s="1">
        <f>IFERROR(__xludf.DUMMYFUNCTION("""COMPUTED_VALUE"""),88211.0)</f>
        <v>88211</v>
      </c>
    </row>
    <row r="424">
      <c r="A424" s="2">
        <f>IFERROR(__xludf.DUMMYFUNCTION("""COMPUTED_VALUE"""),41164.645833333336)</f>
        <v>41164.64583</v>
      </c>
      <c r="B424" s="1">
        <f>IFERROR(__xludf.DUMMYFUNCTION("""COMPUTED_VALUE"""),65085.97)</f>
        <v>65085.97</v>
      </c>
      <c r="C424" s="1">
        <f>IFERROR(__xludf.DUMMYFUNCTION("""COMPUTED_VALUE"""),68150.28)</f>
        <v>68150.28</v>
      </c>
      <c r="D424" s="1">
        <f>IFERROR(__xludf.DUMMYFUNCTION("""COMPUTED_VALUE"""),64963.4)</f>
        <v>64963.4</v>
      </c>
      <c r="E424" s="1">
        <f>IFERROR(__xludf.DUMMYFUNCTION("""COMPUTED_VALUE"""),68027.71)</f>
        <v>68027.71</v>
      </c>
      <c r="F424" s="1">
        <f>IFERROR(__xludf.DUMMYFUNCTION("""COMPUTED_VALUE"""),297981.0)</f>
        <v>297981</v>
      </c>
    </row>
    <row r="425">
      <c r="A425" s="2">
        <f>IFERROR(__xludf.DUMMYFUNCTION("""COMPUTED_VALUE"""),41165.645833333336)</f>
        <v>41165.64583</v>
      </c>
      <c r="B425" s="1">
        <f>IFERROR(__xludf.DUMMYFUNCTION("""COMPUTED_VALUE"""),67905.14)</f>
        <v>67905.14</v>
      </c>
      <c r="C425" s="1">
        <f>IFERROR(__xludf.DUMMYFUNCTION("""COMPUTED_VALUE"""),68272.86)</f>
        <v>68272.86</v>
      </c>
      <c r="D425" s="1">
        <f>IFERROR(__xludf.DUMMYFUNCTION("""COMPUTED_VALUE"""),67169.7)</f>
        <v>67169.7</v>
      </c>
      <c r="E425" s="1">
        <f>IFERROR(__xludf.DUMMYFUNCTION("""COMPUTED_VALUE"""),67905.14)</f>
        <v>67905.14</v>
      </c>
      <c r="F425" s="1">
        <f>IFERROR(__xludf.DUMMYFUNCTION("""COMPUTED_VALUE"""),219303.0)</f>
        <v>219303</v>
      </c>
    </row>
    <row r="426">
      <c r="A426" s="2">
        <f>IFERROR(__xludf.DUMMYFUNCTION("""COMPUTED_VALUE"""),41166.645833333336)</f>
        <v>41166.64583</v>
      </c>
      <c r="B426" s="1">
        <f>IFERROR(__xludf.DUMMYFUNCTION("""COMPUTED_VALUE"""),67782.57)</f>
        <v>67782.57</v>
      </c>
      <c r="C426" s="1">
        <f>IFERROR(__xludf.DUMMYFUNCTION("""COMPUTED_VALUE"""),68885.72)</f>
        <v>68885.72</v>
      </c>
      <c r="D426" s="1">
        <f>IFERROR(__xludf.DUMMYFUNCTION("""COMPUTED_VALUE"""),67537.42)</f>
        <v>67537.42</v>
      </c>
      <c r="E426" s="1">
        <f>IFERROR(__xludf.DUMMYFUNCTION("""COMPUTED_VALUE"""),68518.0)</f>
        <v>68518</v>
      </c>
      <c r="F426" s="1">
        <f>IFERROR(__xludf.DUMMYFUNCTION("""COMPUTED_VALUE"""),266011.0)</f>
        <v>266011</v>
      </c>
    </row>
    <row r="427">
      <c r="A427" s="2">
        <f>IFERROR(__xludf.DUMMYFUNCTION("""COMPUTED_VALUE"""),41169.645833333336)</f>
        <v>41169.64583</v>
      </c>
      <c r="B427" s="1">
        <f>IFERROR(__xludf.DUMMYFUNCTION("""COMPUTED_VALUE"""),67414.85)</f>
        <v>67414.85</v>
      </c>
      <c r="C427" s="1">
        <f>IFERROR(__xludf.DUMMYFUNCTION("""COMPUTED_VALUE"""),67659.99)</f>
        <v>67659.99</v>
      </c>
      <c r="D427" s="1">
        <f>IFERROR(__xludf.DUMMYFUNCTION("""COMPUTED_VALUE"""),65085.97)</f>
        <v>65085.97</v>
      </c>
      <c r="E427" s="1">
        <f>IFERROR(__xludf.DUMMYFUNCTION("""COMPUTED_VALUE"""),65453.69)</f>
        <v>65453.69</v>
      </c>
      <c r="F427" s="1">
        <f>IFERROR(__xludf.DUMMYFUNCTION("""COMPUTED_VALUE"""),274705.0)</f>
        <v>274705</v>
      </c>
    </row>
    <row r="428">
      <c r="A428" s="2">
        <f>IFERROR(__xludf.DUMMYFUNCTION("""COMPUTED_VALUE"""),41170.645833333336)</f>
        <v>41170.64583</v>
      </c>
      <c r="B428" s="1">
        <f>IFERROR(__xludf.DUMMYFUNCTION("""COMPUTED_VALUE"""),65453.69)</f>
        <v>65453.69</v>
      </c>
      <c r="C428" s="1">
        <f>IFERROR(__xludf.DUMMYFUNCTION("""COMPUTED_VALUE"""),66434.27)</f>
        <v>66434.27</v>
      </c>
      <c r="D428" s="1">
        <f>IFERROR(__xludf.DUMMYFUNCTION("""COMPUTED_VALUE"""),65331.12)</f>
        <v>65331.12</v>
      </c>
      <c r="E428" s="1">
        <f>IFERROR(__xludf.DUMMYFUNCTION("""COMPUTED_VALUE"""),65943.98)</f>
        <v>65943.98</v>
      </c>
      <c r="F428" s="1">
        <f>IFERROR(__xludf.DUMMYFUNCTION("""COMPUTED_VALUE"""),101018.0)</f>
        <v>101018</v>
      </c>
    </row>
    <row r="429">
      <c r="A429" s="2">
        <f>IFERROR(__xludf.DUMMYFUNCTION("""COMPUTED_VALUE"""),41171.645833333336)</f>
        <v>41171.64583</v>
      </c>
      <c r="B429" s="1">
        <f>IFERROR(__xludf.DUMMYFUNCTION("""COMPUTED_VALUE"""),66556.84)</f>
        <v>66556.84</v>
      </c>
      <c r="C429" s="1">
        <f>IFERROR(__xludf.DUMMYFUNCTION("""COMPUTED_VALUE"""),68150.28)</f>
        <v>68150.28</v>
      </c>
      <c r="D429" s="1">
        <f>IFERROR(__xludf.DUMMYFUNCTION("""COMPUTED_VALUE"""),66189.12)</f>
        <v>66189.12</v>
      </c>
      <c r="E429" s="1">
        <f>IFERROR(__xludf.DUMMYFUNCTION("""COMPUTED_VALUE"""),66679.41)</f>
        <v>66679.41</v>
      </c>
      <c r="F429" s="1">
        <f>IFERROR(__xludf.DUMMYFUNCTION("""COMPUTED_VALUE"""),155567.0)</f>
        <v>155567</v>
      </c>
    </row>
    <row r="430">
      <c r="A430" s="2">
        <f>IFERROR(__xludf.DUMMYFUNCTION("""COMPUTED_VALUE"""),41172.645833333336)</f>
        <v>41172.64583</v>
      </c>
      <c r="B430" s="1">
        <f>IFERROR(__xludf.DUMMYFUNCTION("""COMPUTED_VALUE"""),67169.7)</f>
        <v>67169.7</v>
      </c>
      <c r="C430" s="1">
        <f>IFERROR(__xludf.DUMMYFUNCTION("""COMPUTED_VALUE"""),68640.57)</f>
        <v>68640.57</v>
      </c>
      <c r="D430" s="1">
        <f>IFERROR(__xludf.DUMMYFUNCTION("""COMPUTED_VALUE"""),66679.41)</f>
        <v>66679.41</v>
      </c>
      <c r="E430" s="1">
        <f>IFERROR(__xludf.DUMMYFUNCTION("""COMPUTED_VALUE"""),67905.14)</f>
        <v>67905.14</v>
      </c>
      <c r="F430" s="1">
        <f>IFERROR(__xludf.DUMMYFUNCTION("""COMPUTED_VALUE"""),112366.0)</f>
        <v>112366</v>
      </c>
    </row>
    <row r="431">
      <c r="A431" s="2">
        <f>IFERROR(__xludf.DUMMYFUNCTION("""COMPUTED_VALUE"""),41173.645833333336)</f>
        <v>41173.64583</v>
      </c>
      <c r="B431" s="1">
        <f>IFERROR(__xludf.DUMMYFUNCTION("""COMPUTED_VALUE"""),68150.28)</f>
        <v>68150.28</v>
      </c>
      <c r="C431" s="1">
        <f>IFERROR(__xludf.DUMMYFUNCTION("""COMPUTED_VALUE"""),69008.29)</f>
        <v>69008.29</v>
      </c>
      <c r="D431" s="1">
        <f>IFERROR(__xludf.DUMMYFUNCTION("""COMPUTED_VALUE"""),67414.85)</f>
        <v>67414.85</v>
      </c>
      <c r="E431" s="1">
        <f>IFERROR(__xludf.DUMMYFUNCTION("""COMPUTED_VALUE"""),67905.14)</f>
        <v>67905.14</v>
      </c>
      <c r="F431" s="1">
        <f>IFERROR(__xludf.DUMMYFUNCTION("""COMPUTED_VALUE"""),134420.0)</f>
        <v>134420</v>
      </c>
    </row>
    <row r="432">
      <c r="A432" s="2">
        <f>IFERROR(__xludf.DUMMYFUNCTION("""COMPUTED_VALUE"""),41176.645833333336)</f>
        <v>41176.64583</v>
      </c>
      <c r="B432" s="1">
        <f>IFERROR(__xludf.DUMMYFUNCTION("""COMPUTED_VALUE"""),68150.28)</f>
        <v>68150.28</v>
      </c>
      <c r="C432" s="1">
        <f>IFERROR(__xludf.DUMMYFUNCTION("""COMPUTED_VALUE"""),70969.45)</f>
        <v>70969.45</v>
      </c>
      <c r="D432" s="1">
        <f>IFERROR(__xludf.DUMMYFUNCTION("""COMPUTED_VALUE"""),67659.99)</f>
        <v>67659.99</v>
      </c>
      <c r="E432" s="1">
        <f>IFERROR(__xludf.DUMMYFUNCTION("""COMPUTED_VALUE"""),69743.73)</f>
        <v>69743.73</v>
      </c>
      <c r="F432" s="1">
        <f>IFERROR(__xludf.DUMMYFUNCTION("""COMPUTED_VALUE"""),160765.0)</f>
        <v>160765</v>
      </c>
    </row>
    <row r="433">
      <c r="A433" s="2">
        <f>IFERROR(__xludf.DUMMYFUNCTION("""COMPUTED_VALUE"""),41177.645833333336)</f>
        <v>41177.64583</v>
      </c>
      <c r="B433" s="1">
        <f>IFERROR(__xludf.DUMMYFUNCTION("""COMPUTED_VALUE"""),69988.87)</f>
        <v>69988.87</v>
      </c>
      <c r="C433" s="1">
        <f>IFERROR(__xludf.DUMMYFUNCTION("""COMPUTED_VALUE"""),71459.74)</f>
        <v>71459.74</v>
      </c>
      <c r="D433" s="1">
        <f>IFERROR(__xludf.DUMMYFUNCTION("""COMPUTED_VALUE"""),67047.13)</f>
        <v>67047.13</v>
      </c>
      <c r="E433" s="1">
        <f>IFERROR(__xludf.DUMMYFUNCTION("""COMPUTED_VALUE"""),67414.85)</f>
        <v>67414.85</v>
      </c>
      <c r="F433" s="1">
        <f>IFERROR(__xludf.DUMMYFUNCTION("""COMPUTED_VALUE"""),222124.0)</f>
        <v>222124</v>
      </c>
    </row>
    <row r="434">
      <c r="A434" s="2">
        <f>IFERROR(__xludf.DUMMYFUNCTION("""COMPUTED_VALUE"""),41178.645833333336)</f>
        <v>41178.64583</v>
      </c>
      <c r="B434" s="1">
        <f>IFERROR(__xludf.DUMMYFUNCTION("""COMPUTED_VALUE"""),66924.56)</f>
        <v>66924.56</v>
      </c>
      <c r="C434" s="1">
        <f>IFERROR(__xludf.DUMMYFUNCTION("""COMPUTED_VALUE"""),67169.7)</f>
        <v>67169.7</v>
      </c>
      <c r="D434" s="1">
        <f>IFERROR(__xludf.DUMMYFUNCTION("""COMPUTED_VALUE"""),65943.98)</f>
        <v>65943.98</v>
      </c>
      <c r="E434" s="1">
        <f>IFERROR(__xludf.DUMMYFUNCTION("""COMPUTED_VALUE"""),66311.7)</f>
        <v>66311.7</v>
      </c>
      <c r="F434" s="1">
        <f>IFERROR(__xludf.DUMMYFUNCTION("""COMPUTED_VALUE"""),144831.0)</f>
        <v>144831</v>
      </c>
    </row>
    <row r="435">
      <c r="A435" s="2">
        <f>IFERROR(__xludf.DUMMYFUNCTION("""COMPUTED_VALUE"""),41179.645833333336)</f>
        <v>41179.64583</v>
      </c>
      <c r="B435" s="1">
        <f>IFERROR(__xludf.DUMMYFUNCTION("""COMPUTED_VALUE"""),66066.55)</f>
        <v>66066.55</v>
      </c>
      <c r="C435" s="1">
        <f>IFERROR(__xludf.DUMMYFUNCTION("""COMPUTED_VALUE"""),68640.57)</f>
        <v>68640.57</v>
      </c>
      <c r="D435" s="1">
        <f>IFERROR(__xludf.DUMMYFUNCTION("""COMPUTED_VALUE"""),66066.55)</f>
        <v>66066.55</v>
      </c>
      <c r="E435" s="1">
        <f>IFERROR(__xludf.DUMMYFUNCTION("""COMPUTED_VALUE"""),67782.57)</f>
        <v>67782.57</v>
      </c>
      <c r="F435" s="1">
        <f>IFERROR(__xludf.DUMMYFUNCTION("""COMPUTED_VALUE"""),99966.0)</f>
        <v>99966</v>
      </c>
    </row>
    <row r="436">
      <c r="A436" s="2">
        <f>IFERROR(__xludf.DUMMYFUNCTION("""COMPUTED_VALUE"""),41180.645833333336)</f>
        <v>41180.64583</v>
      </c>
      <c r="B436" s="1">
        <f>IFERROR(__xludf.DUMMYFUNCTION("""COMPUTED_VALUE"""),67782.57)</f>
        <v>67782.57</v>
      </c>
      <c r="C436" s="1">
        <f>IFERROR(__xludf.DUMMYFUNCTION("""COMPUTED_VALUE"""),71704.88)</f>
        <v>71704.88</v>
      </c>
      <c r="D436" s="1">
        <f>IFERROR(__xludf.DUMMYFUNCTION("""COMPUTED_VALUE"""),67292.28)</f>
        <v>67292.28</v>
      </c>
      <c r="E436" s="1">
        <f>IFERROR(__xludf.DUMMYFUNCTION("""COMPUTED_VALUE"""),71214.59)</f>
        <v>71214.59</v>
      </c>
      <c r="F436" s="1">
        <f>IFERROR(__xludf.DUMMYFUNCTION("""COMPUTED_VALUE"""),358174.0)</f>
        <v>358174</v>
      </c>
    </row>
    <row r="437">
      <c r="A437" s="2">
        <f>IFERROR(__xludf.DUMMYFUNCTION("""COMPUTED_VALUE"""),41184.645833333336)</f>
        <v>41184.64583</v>
      </c>
      <c r="B437" s="1">
        <f>IFERROR(__xludf.DUMMYFUNCTION("""COMPUTED_VALUE"""),71214.59)</f>
        <v>71214.59</v>
      </c>
      <c r="C437" s="1">
        <f>IFERROR(__xludf.DUMMYFUNCTION("""COMPUTED_VALUE"""),71337.17)</f>
        <v>71337.17</v>
      </c>
      <c r="D437" s="1">
        <f>IFERROR(__xludf.DUMMYFUNCTION("""COMPUTED_VALUE"""),68518.0)</f>
        <v>68518</v>
      </c>
      <c r="E437" s="1">
        <f>IFERROR(__xludf.DUMMYFUNCTION("""COMPUTED_VALUE"""),68518.0)</f>
        <v>68518</v>
      </c>
      <c r="F437" s="1">
        <f>IFERROR(__xludf.DUMMYFUNCTION("""COMPUTED_VALUE"""),238719.0)</f>
        <v>238719</v>
      </c>
    </row>
    <row r="438">
      <c r="A438" s="2">
        <f>IFERROR(__xludf.DUMMYFUNCTION("""COMPUTED_VALUE"""),41186.645833333336)</f>
        <v>41186.64583</v>
      </c>
      <c r="B438" s="1">
        <f>IFERROR(__xludf.DUMMYFUNCTION("""COMPUTED_VALUE"""),68150.28)</f>
        <v>68150.28</v>
      </c>
      <c r="C438" s="1">
        <f>IFERROR(__xludf.DUMMYFUNCTION("""COMPUTED_VALUE"""),68885.72)</f>
        <v>68885.72</v>
      </c>
      <c r="D438" s="1">
        <f>IFERROR(__xludf.DUMMYFUNCTION("""COMPUTED_VALUE"""),67169.7)</f>
        <v>67169.7</v>
      </c>
      <c r="E438" s="1">
        <f>IFERROR(__xludf.DUMMYFUNCTION("""COMPUTED_VALUE"""),67414.85)</f>
        <v>67414.85</v>
      </c>
      <c r="F438" s="1">
        <f>IFERROR(__xludf.DUMMYFUNCTION("""COMPUTED_VALUE"""),317183.0)</f>
        <v>317183</v>
      </c>
    </row>
    <row r="439">
      <c r="A439" s="2">
        <f>IFERROR(__xludf.DUMMYFUNCTION("""COMPUTED_VALUE"""),41187.645833333336)</f>
        <v>41187.64583</v>
      </c>
      <c r="B439" s="1">
        <f>IFERROR(__xludf.DUMMYFUNCTION("""COMPUTED_VALUE"""),68395.43)</f>
        <v>68395.43</v>
      </c>
      <c r="C439" s="1">
        <f>IFERROR(__xludf.DUMMYFUNCTION("""COMPUTED_VALUE"""),69743.73)</f>
        <v>69743.73</v>
      </c>
      <c r="D439" s="1">
        <f>IFERROR(__xludf.DUMMYFUNCTION("""COMPUTED_VALUE"""),67537.42)</f>
        <v>67537.42</v>
      </c>
      <c r="E439" s="1">
        <f>IFERROR(__xludf.DUMMYFUNCTION("""COMPUTED_VALUE"""),69376.01)</f>
        <v>69376.01</v>
      </c>
      <c r="F439" s="1">
        <f>IFERROR(__xludf.DUMMYFUNCTION("""COMPUTED_VALUE"""),283625.0)</f>
        <v>283625</v>
      </c>
    </row>
    <row r="440">
      <c r="A440" s="2">
        <f>IFERROR(__xludf.DUMMYFUNCTION("""COMPUTED_VALUE"""),41190.645833333336)</f>
        <v>41190.64583</v>
      </c>
      <c r="B440" s="1">
        <f>IFERROR(__xludf.DUMMYFUNCTION("""COMPUTED_VALUE"""),69130.86)</f>
        <v>69130.86</v>
      </c>
      <c r="C440" s="1">
        <f>IFERROR(__xludf.DUMMYFUNCTION("""COMPUTED_VALUE"""),69621.15)</f>
        <v>69621.15</v>
      </c>
      <c r="D440" s="1">
        <f>IFERROR(__xludf.DUMMYFUNCTION("""COMPUTED_VALUE"""),67537.42)</f>
        <v>67537.42</v>
      </c>
      <c r="E440" s="1">
        <f>IFERROR(__xludf.DUMMYFUNCTION("""COMPUTED_VALUE"""),68150.28)</f>
        <v>68150.28</v>
      </c>
      <c r="F440" s="1">
        <f>IFERROR(__xludf.DUMMYFUNCTION("""COMPUTED_VALUE"""),227528.0)</f>
        <v>227528</v>
      </c>
    </row>
    <row r="441">
      <c r="A441" s="2">
        <f>IFERROR(__xludf.DUMMYFUNCTION("""COMPUTED_VALUE"""),41191.645833333336)</f>
        <v>41191.64583</v>
      </c>
      <c r="B441" s="1">
        <f>IFERROR(__xludf.DUMMYFUNCTION("""COMPUTED_VALUE"""),68150.28)</f>
        <v>68150.28</v>
      </c>
      <c r="C441" s="1">
        <f>IFERROR(__xludf.DUMMYFUNCTION("""COMPUTED_VALUE"""),68640.57)</f>
        <v>68640.57</v>
      </c>
      <c r="D441" s="1">
        <f>IFERROR(__xludf.DUMMYFUNCTION("""COMPUTED_VALUE"""),67414.85)</f>
        <v>67414.85</v>
      </c>
      <c r="E441" s="1">
        <f>IFERROR(__xludf.DUMMYFUNCTION("""COMPUTED_VALUE"""),67414.85)</f>
        <v>67414.85</v>
      </c>
      <c r="F441" s="1">
        <f>IFERROR(__xludf.DUMMYFUNCTION("""COMPUTED_VALUE"""),201946.0)</f>
        <v>201946</v>
      </c>
    </row>
    <row r="442">
      <c r="A442" s="2">
        <f>IFERROR(__xludf.DUMMYFUNCTION("""COMPUTED_VALUE"""),41192.645833333336)</f>
        <v>41192.64583</v>
      </c>
      <c r="B442" s="1">
        <f>IFERROR(__xludf.DUMMYFUNCTION("""COMPUTED_VALUE"""),66924.56)</f>
        <v>66924.56</v>
      </c>
      <c r="C442" s="1">
        <f>IFERROR(__xludf.DUMMYFUNCTION("""COMPUTED_VALUE"""),67905.14)</f>
        <v>67905.14</v>
      </c>
      <c r="D442" s="1">
        <f>IFERROR(__xludf.DUMMYFUNCTION("""COMPUTED_VALUE"""),66434.27)</f>
        <v>66434.27</v>
      </c>
      <c r="E442" s="1">
        <f>IFERROR(__xludf.DUMMYFUNCTION("""COMPUTED_VALUE"""),66556.84)</f>
        <v>66556.84</v>
      </c>
      <c r="F442" s="1">
        <f>IFERROR(__xludf.DUMMYFUNCTION("""COMPUTED_VALUE"""),198487.0)</f>
        <v>198487</v>
      </c>
    </row>
    <row r="443">
      <c r="A443" s="2">
        <f>IFERROR(__xludf.DUMMYFUNCTION("""COMPUTED_VALUE"""),41193.645833333336)</f>
        <v>41193.64583</v>
      </c>
      <c r="B443" s="1">
        <f>IFERROR(__xludf.DUMMYFUNCTION("""COMPUTED_VALUE"""),66066.55)</f>
        <v>66066.55</v>
      </c>
      <c r="C443" s="1">
        <f>IFERROR(__xludf.DUMMYFUNCTION("""COMPUTED_VALUE"""),68763.15)</f>
        <v>68763.15</v>
      </c>
      <c r="D443" s="1">
        <f>IFERROR(__xludf.DUMMYFUNCTION("""COMPUTED_VALUE"""),66066.55)</f>
        <v>66066.55</v>
      </c>
      <c r="E443" s="1">
        <f>IFERROR(__xludf.DUMMYFUNCTION("""COMPUTED_VALUE"""),67905.14)</f>
        <v>67905.14</v>
      </c>
      <c r="F443" s="1">
        <f>IFERROR(__xludf.DUMMYFUNCTION("""COMPUTED_VALUE"""),322714.0)</f>
        <v>322714</v>
      </c>
    </row>
    <row r="444">
      <c r="A444" s="2">
        <f>IFERROR(__xludf.DUMMYFUNCTION("""COMPUTED_VALUE"""),41194.645833333336)</f>
        <v>41194.64583</v>
      </c>
      <c r="B444" s="1">
        <f>IFERROR(__xludf.DUMMYFUNCTION("""COMPUTED_VALUE"""),67537.42)</f>
        <v>67537.42</v>
      </c>
      <c r="C444" s="1">
        <f>IFERROR(__xludf.DUMMYFUNCTION("""COMPUTED_VALUE"""),67905.14)</f>
        <v>67905.14</v>
      </c>
      <c r="D444" s="1">
        <f>IFERROR(__xludf.DUMMYFUNCTION("""COMPUTED_VALUE"""),66066.55)</f>
        <v>66066.55</v>
      </c>
      <c r="E444" s="1">
        <f>IFERROR(__xludf.DUMMYFUNCTION("""COMPUTED_VALUE"""),66066.55)</f>
        <v>66066.55</v>
      </c>
      <c r="F444" s="1">
        <f>IFERROR(__xludf.DUMMYFUNCTION("""COMPUTED_VALUE"""),235840.0)</f>
        <v>235840</v>
      </c>
    </row>
    <row r="445">
      <c r="A445" s="2">
        <f>IFERROR(__xludf.DUMMYFUNCTION("""COMPUTED_VALUE"""),41197.645833333336)</f>
        <v>41197.64583</v>
      </c>
      <c r="B445" s="1">
        <f>IFERROR(__xludf.DUMMYFUNCTION("""COMPUTED_VALUE"""),66434.27)</f>
        <v>66434.27</v>
      </c>
      <c r="C445" s="1">
        <f>IFERROR(__xludf.DUMMYFUNCTION("""COMPUTED_VALUE"""),67782.57)</f>
        <v>67782.57</v>
      </c>
      <c r="D445" s="1">
        <f>IFERROR(__xludf.DUMMYFUNCTION("""COMPUTED_VALUE"""),66189.12)</f>
        <v>66189.12</v>
      </c>
      <c r="E445" s="1">
        <f>IFERROR(__xludf.DUMMYFUNCTION("""COMPUTED_VALUE"""),67659.99)</f>
        <v>67659.99</v>
      </c>
      <c r="F445" s="1">
        <f>IFERROR(__xludf.DUMMYFUNCTION("""COMPUTED_VALUE"""),249797.0)</f>
        <v>249797</v>
      </c>
    </row>
    <row r="446">
      <c r="A446" s="2">
        <f>IFERROR(__xludf.DUMMYFUNCTION("""COMPUTED_VALUE"""),41198.645833333336)</f>
        <v>41198.64583</v>
      </c>
      <c r="B446" s="1">
        <f>IFERROR(__xludf.DUMMYFUNCTION("""COMPUTED_VALUE"""),67782.57)</f>
        <v>67782.57</v>
      </c>
      <c r="C446" s="1">
        <f>IFERROR(__xludf.DUMMYFUNCTION("""COMPUTED_VALUE"""),68640.57)</f>
        <v>68640.57</v>
      </c>
      <c r="D446" s="1">
        <f>IFERROR(__xludf.DUMMYFUNCTION("""COMPUTED_VALUE"""),66434.27)</f>
        <v>66434.27</v>
      </c>
      <c r="E446" s="1">
        <f>IFERROR(__xludf.DUMMYFUNCTION("""COMPUTED_VALUE"""),68027.71)</f>
        <v>68027.71</v>
      </c>
      <c r="F446" s="1">
        <f>IFERROR(__xludf.DUMMYFUNCTION("""COMPUTED_VALUE"""),162146.0)</f>
        <v>162146</v>
      </c>
    </row>
    <row r="447">
      <c r="A447" s="2">
        <f>IFERROR(__xludf.DUMMYFUNCTION("""COMPUTED_VALUE"""),41199.645833333336)</f>
        <v>41199.64583</v>
      </c>
      <c r="B447" s="1">
        <f>IFERROR(__xludf.DUMMYFUNCTION("""COMPUTED_VALUE"""),67905.14)</f>
        <v>67905.14</v>
      </c>
      <c r="C447" s="1">
        <f>IFERROR(__xludf.DUMMYFUNCTION("""COMPUTED_VALUE"""),68027.71)</f>
        <v>68027.71</v>
      </c>
      <c r="D447" s="1">
        <f>IFERROR(__xludf.DUMMYFUNCTION("""COMPUTED_VALUE"""),66066.55)</f>
        <v>66066.55</v>
      </c>
      <c r="E447" s="1">
        <f>IFERROR(__xludf.DUMMYFUNCTION("""COMPUTED_VALUE"""),66066.55)</f>
        <v>66066.55</v>
      </c>
      <c r="F447" s="1">
        <f>IFERROR(__xludf.DUMMYFUNCTION("""COMPUTED_VALUE"""),253354.0)</f>
        <v>253354</v>
      </c>
    </row>
    <row r="448">
      <c r="A448" s="2">
        <f>IFERROR(__xludf.DUMMYFUNCTION("""COMPUTED_VALUE"""),41200.645833333336)</f>
        <v>41200.64583</v>
      </c>
      <c r="B448" s="1">
        <f>IFERROR(__xludf.DUMMYFUNCTION("""COMPUTED_VALUE"""),66066.55)</f>
        <v>66066.55</v>
      </c>
      <c r="C448" s="1">
        <f>IFERROR(__xludf.DUMMYFUNCTION("""COMPUTED_VALUE"""),66434.27)</f>
        <v>66434.27</v>
      </c>
      <c r="D448" s="1">
        <f>IFERROR(__xludf.DUMMYFUNCTION("""COMPUTED_VALUE"""),62511.95)</f>
        <v>62511.95</v>
      </c>
      <c r="E448" s="1">
        <f>IFERROR(__xludf.DUMMYFUNCTION("""COMPUTED_VALUE"""),62757.1)</f>
        <v>62757.1</v>
      </c>
      <c r="F448" s="1">
        <f>IFERROR(__xludf.DUMMYFUNCTION("""COMPUTED_VALUE"""),535434.0)</f>
        <v>535434</v>
      </c>
    </row>
    <row r="449">
      <c r="A449" s="2">
        <f>IFERROR(__xludf.DUMMYFUNCTION("""COMPUTED_VALUE"""),41201.645833333336)</f>
        <v>41201.64583</v>
      </c>
      <c r="B449" s="1">
        <f>IFERROR(__xludf.DUMMYFUNCTION("""COMPUTED_VALUE"""),62144.23)</f>
        <v>62144.23</v>
      </c>
      <c r="C449" s="1">
        <f>IFERROR(__xludf.DUMMYFUNCTION("""COMPUTED_VALUE"""),63860.25)</f>
        <v>63860.25</v>
      </c>
      <c r="D449" s="1">
        <f>IFERROR(__xludf.DUMMYFUNCTION("""COMPUTED_VALUE"""),61408.8)</f>
        <v>61408.8</v>
      </c>
      <c r="E449" s="1">
        <f>IFERROR(__xludf.DUMMYFUNCTION("""COMPUTED_VALUE"""),62879.67)</f>
        <v>62879.67</v>
      </c>
      <c r="F449" s="1">
        <f>IFERROR(__xludf.DUMMYFUNCTION("""COMPUTED_VALUE"""),413010.0)</f>
        <v>413010</v>
      </c>
    </row>
    <row r="450">
      <c r="A450" s="2">
        <f>IFERROR(__xludf.DUMMYFUNCTION("""COMPUTED_VALUE"""),41204.645833333336)</f>
        <v>41204.64583</v>
      </c>
      <c r="B450" s="1">
        <f>IFERROR(__xludf.DUMMYFUNCTION("""COMPUTED_VALUE"""),61531.37)</f>
        <v>61531.37</v>
      </c>
      <c r="C450" s="1">
        <f>IFERROR(__xludf.DUMMYFUNCTION("""COMPUTED_VALUE"""),63737.68)</f>
        <v>63737.68</v>
      </c>
      <c r="D450" s="1">
        <f>IFERROR(__xludf.DUMMYFUNCTION("""COMPUTED_VALUE"""),61408.8)</f>
        <v>61408.8</v>
      </c>
      <c r="E450" s="1">
        <f>IFERROR(__xludf.DUMMYFUNCTION("""COMPUTED_VALUE"""),63737.68)</f>
        <v>63737.68</v>
      </c>
      <c r="F450" s="1">
        <f>IFERROR(__xludf.DUMMYFUNCTION("""COMPUTED_VALUE"""),197705.0)</f>
        <v>197705</v>
      </c>
    </row>
    <row r="451">
      <c r="A451" s="2">
        <f>IFERROR(__xludf.DUMMYFUNCTION("""COMPUTED_VALUE"""),41205.645833333336)</f>
        <v>41205.64583</v>
      </c>
      <c r="B451" s="1">
        <f>IFERROR(__xludf.DUMMYFUNCTION("""COMPUTED_VALUE"""),63002.24)</f>
        <v>63002.24</v>
      </c>
      <c r="C451" s="1">
        <f>IFERROR(__xludf.DUMMYFUNCTION("""COMPUTED_VALUE"""),63860.25)</f>
        <v>63860.25</v>
      </c>
      <c r="D451" s="1">
        <f>IFERROR(__xludf.DUMMYFUNCTION("""COMPUTED_VALUE"""),61531.37)</f>
        <v>61531.37</v>
      </c>
      <c r="E451" s="1">
        <f>IFERROR(__xludf.DUMMYFUNCTION("""COMPUTED_VALUE"""),62511.95)</f>
        <v>62511.95</v>
      </c>
      <c r="F451" s="1">
        <f>IFERROR(__xludf.DUMMYFUNCTION("""COMPUTED_VALUE"""),268015.0)</f>
        <v>268015</v>
      </c>
    </row>
    <row r="452">
      <c r="A452" s="2">
        <f>IFERROR(__xludf.DUMMYFUNCTION("""COMPUTED_VALUE"""),41206.645833333336)</f>
        <v>41206.64583</v>
      </c>
      <c r="B452" s="1">
        <f>IFERROR(__xludf.DUMMYFUNCTION("""COMPUTED_VALUE"""),61899.09)</f>
        <v>61899.09</v>
      </c>
      <c r="C452" s="1">
        <f>IFERROR(__xludf.DUMMYFUNCTION("""COMPUTED_VALUE"""),64963.4)</f>
        <v>64963.4</v>
      </c>
      <c r="D452" s="1">
        <f>IFERROR(__xludf.DUMMYFUNCTION("""COMPUTED_VALUE"""),61653.94)</f>
        <v>61653.94</v>
      </c>
      <c r="E452" s="1">
        <f>IFERROR(__xludf.DUMMYFUNCTION("""COMPUTED_VALUE"""),63615.1)</f>
        <v>63615.1</v>
      </c>
      <c r="F452" s="1">
        <f>IFERROR(__xludf.DUMMYFUNCTION("""COMPUTED_VALUE"""),448083.0)</f>
        <v>448083</v>
      </c>
    </row>
    <row r="453">
      <c r="A453" s="2">
        <f>IFERROR(__xludf.DUMMYFUNCTION("""COMPUTED_VALUE"""),41207.645833333336)</f>
        <v>41207.64583</v>
      </c>
      <c r="B453" s="1">
        <f>IFERROR(__xludf.DUMMYFUNCTION("""COMPUTED_VALUE"""),63615.1)</f>
        <v>63615.1</v>
      </c>
      <c r="C453" s="1">
        <f>IFERROR(__xludf.DUMMYFUNCTION("""COMPUTED_VALUE"""),64963.4)</f>
        <v>64963.4</v>
      </c>
      <c r="D453" s="1">
        <f>IFERROR(__xludf.DUMMYFUNCTION("""COMPUTED_VALUE"""),63124.81)</f>
        <v>63124.81</v>
      </c>
      <c r="E453" s="1">
        <f>IFERROR(__xludf.DUMMYFUNCTION("""COMPUTED_VALUE"""),64718.25)</f>
        <v>64718.25</v>
      </c>
      <c r="F453" s="1">
        <f>IFERROR(__xludf.DUMMYFUNCTION("""COMPUTED_VALUE"""),184561.0)</f>
        <v>184561</v>
      </c>
    </row>
    <row r="454">
      <c r="A454" s="2">
        <f>IFERROR(__xludf.DUMMYFUNCTION("""COMPUTED_VALUE"""),41208.645833333336)</f>
        <v>41208.64583</v>
      </c>
      <c r="B454" s="1">
        <f>IFERROR(__xludf.DUMMYFUNCTION("""COMPUTED_VALUE"""),62511.95)</f>
        <v>62511.95</v>
      </c>
      <c r="C454" s="1">
        <f>IFERROR(__xludf.DUMMYFUNCTION("""COMPUTED_VALUE"""),62879.67)</f>
        <v>62879.67</v>
      </c>
      <c r="D454" s="1">
        <f>IFERROR(__xludf.DUMMYFUNCTION("""COMPUTED_VALUE"""),59815.36)</f>
        <v>59815.36</v>
      </c>
      <c r="E454" s="1">
        <f>IFERROR(__xludf.DUMMYFUNCTION("""COMPUTED_VALUE"""),61041.08)</f>
        <v>61041.08</v>
      </c>
      <c r="F454" s="1">
        <f>IFERROR(__xludf.DUMMYFUNCTION("""COMPUTED_VALUE"""),631233.0)</f>
        <v>631233</v>
      </c>
    </row>
    <row r="455">
      <c r="A455" s="2">
        <f>IFERROR(__xludf.DUMMYFUNCTION("""COMPUTED_VALUE"""),41211.645833333336)</f>
        <v>41211.64583</v>
      </c>
      <c r="B455" s="1">
        <f>IFERROR(__xludf.DUMMYFUNCTION("""COMPUTED_VALUE"""),61776.52)</f>
        <v>61776.52</v>
      </c>
      <c r="C455" s="1">
        <f>IFERROR(__xludf.DUMMYFUNCTION("""COMPUTED_VALUE"""),61899.09)</f>
        <v>61899.09</v>
      </c>
      <c r="D455" s="1">
        <f>IFERROR(__xludf.DUMMYFUNCTION("""COMPUTED_VALUE"""),60918.51)</f>
        <v>60918.51</v>
      </c>
      <c r="E455" s="1">
        <f>IFERROR(__xludf.DUMMYFUNCTION("""COMPUTED_VALUE"""),61163.65)</f>
        <v>61163.65</v>
      </c>
      <c r="F455" s="1">
        <f>IFERROR(__xludf.DUMMYFUNCTION("""COMPUTED_VALUE"""),159923.0)</f>
        <v>159923</v>
      </c>
    </row>
    <row r="456">
      <c r="A456" s="2">
        <f>IFERROR(__xludf.DUMMYFUNCTION("""COMPUTED_VALUE"""),41212.645833333336)</f>
        <v>41212.64583</v>
      </c>
      <c r="B456" s="1">
        <f>IFERROR(__xludf.DUMMYFUNCTION("""COMPUTED_VALUE"""),61776.52)</f>
        <v>61776.52</v>
      </c>
      <c r="C456" s="1">
        <f>IFERROR(__xludf.DUMMYFUNCTION("""COMPUTED_VALUE"""),61899.09)</f>
        <v>61899.09</v>
      </c>
      <c r="D456" s="1">
        <f>IFERROR(__xludf.DUMMYFUNCTION("""COMPUTED_VALUE"""),60060.5)</f>
        <v>60060.5</v>
      </c>
      <c r="E456" s="1">
        <f>IFERROR(__xludf.DUMMYFUNCTION("""COMPUTED_VALUE"""),60673.36)</f>
        <v>60673.36</v>
      </c>
      <c r="F456" s="1">
        <f>IFERROR(__xludf.DUMMYFUNCTION("""COMPUTED_VALUE"""),200524.0)</f>
        <v>200524</v>
      </c>
    </row>
    <row r="457">
      <c r="A457" s="2">
        <f>IFERROR(__xludf.DUMMYFUNCTION("""COMPUTED_VALUE"""),41213.645833333336)</f>
        <v>41213.64583</v>
      </c>
      <c r="B457" s="1">
        <f>IFERROR(__xludf.DUMMYFUNCTION("""COMPUTED_VALUE"""),61041.08)</f>
        <v>61041.08</v>
      </c>
      <c r="C457" s="1">
        <f>IFERROR(__xludf.DUMMYFUNCTION("""COMPUTED_VALUE"""),62757.1)</f>
        <v>62757.1</v>
      </c>
      <c r="D457" s="1">
        <f>IFERROR(__xludf.DUMMYFUNCTION("""COMPUTED_VALUE"""),60795.94)</f>
        <v>60795.94</v>
      </c>
      <c r="E457" s="1">
        <f>IFERROR(__xludf.DUMMYFUNCTION("""COMPUTED_VALUE"""),61899.09)</f>
        <v>61899.09</v>
      </c>
      <c r="F457" s="1">
        <f>IFERROR(__xludf.DUMMYFUNCTION("""COMPUTED_VALUE"""),148641.0)</f>
        <v>148641</v>
      </c>
    </row>
    <row r="458">
      <c r="A458" s="2">
        <f>IFERROR(__xludf.DUMMYFUNCTION("""COMPUTED_VALUE"""),41214.645833333336)</f>
        <v>41214.64583</v>
      </c>
      <c r="B458" s="1">
        <f>IFERROR(__xludf.DUMMYFUNCTION("""COMPUTED_VALUE"""),61776.52)</f>
        <v>61776.52</v>
      </c>
      <c r="C458" s="1">
        <f>IFERROR(__xludf.DUMMYFUNCTION("""COMPUTED_VALUE"""),62266.81)</f>
        <v>62266.81</v>
      </c>
      <c r="D458" s="1">
        <f>IFERROR(__xludf.DUMMYFUNCTION("""COMPUTED_VALUE"""),60918.51)</f>
        <v>60918.51</v>
      </c>
      <c r="E458" s="1">
        <f>IFERROR(__xludf.DUMMYFUNCTION("""COMPUTED_VALUE"""),62021.66)</f>
        <v>62021.66</v>
      </c>
      <c r="F458" s="1">
        <f>IFERROR(__xludf.DUMMYFUNCTION("""COMPUTED_VALUE"""),213715.0)</f>
        <v>213715</v>
      </c>
    </row>
    <row r="459">
      <c r="A459" s="2">
        <f>IFERROR(__xludf.DUMMYFUNCTION("""COMPUTED_VALUE"""),41215.645833333336)</f>
        <v>41215.64583</v>
      </c>
      <c r="B459" s="1">
        <f>IFERROR(__xludf.DUMMYFUNCTION("""COMPUTED_VALUE"""),62511.95)</f>
        <v>62511.95</v>
      </c>
      <c r="C459" s="1">
        <f>IFERROR(__xludf.DUMMYFUNCTION("""COMPUTED_VALUE"""),62511.95)</f>
        <v>62511.95</v>
      </c>
      <c r="D459" s="1">
        <f>IFERROR(__xludf.DUMMYFUNCTION("""COMPUTED_VALUE"""),61041.08)</f>
        <v>61041.08</v>
      </c>
      <c r="E459" s="1">
        <f>IFERROR(__xludf.DUMMYFUNCTION("""COMPUTED_VALUE"""),61041.08)</f>
        <v>61041.08</v>
      </c>
      <c r="F459" s="1">
        <f>IFERROR(__xludf.DUMMYFUNCTION("""COMPUTED_VALUE"""),167295.0)</f>
        <v>167295</v>
      </c>
    </row>
    <row r="460">
      <c r="A460" s="2">
        <f>IFERROR(__xludf.DUMMYFUNCTION("""COMPUTED_VALUE"""),41218.645833333336)</f>
        <v>41218.64583</v>
      </c>
      <c r="B460" s="1">
        <f>IFERROR(__xludf.DUMMYFUNCTION("""COMPUTED_VALUE"""),61163.65)</f>
        <v>61163.65</v>
      </c>
      <c r="C460" s="1">
        <f>IFERROR(__xludf.DUMMYFUNCTION("""COMPUTED_VALUE"""),62634.52)</f>
        <v>62634.52</v>
      </c>
      <c r="D460" s="1">
        <f>IFERROR(__xludf.DUMMYFUNCTION("""COMPUTED_VALUE"""),61041.08)</f>
        <v>61041.08</v>
      </c>
      <c r="E460" s="1">
        <f>IFERROR(__xludf.DUMMYFUNCTION("""COMPUTED_VALUE"""),62511.95)</f>
        <v>62511.95</v>
      </c>
      <c r="F460" s="1">
        <f>IFERROR(__xludf.DUMMYFUNCTION("""COMPUTED_VALUE"""),199839.0)</f>
        <v>199839</v>
      </c>
    </row>
    <row r="461">
      <c r="A461" s="2">
        <f>IFERROR(__xludf.DUMMYFUNCTION("""COMPUTED_VALUE"""),41219.645833333336)</f>
        <v>41219.64583</v>
      </c>
      <c r="B461" s="1">
        <f>IFERROR(__xludf.DUMMYFUNCTION("""COMPUTED_VALUE"""),62511.95)</f>
        <v>62511.95</v>
      </c>
      <c r="C461" s="1">
        <f>IFERROR(__xludf.DUMMYFUNCTION("""COMPUTED_VALUE"""),63002.24)</f>
        <v>63002.24</v>
      </c>
      <c r="D461" s="1">
        <f>IFERROR(__xludf.DUMMYFUNCTION("""COMPUTED_VALUE"""),62021.66)</f>
        <v>62021.66</v>
      </c>
      <c r="E461" s="1">
        <f>IFERROR(__xludf.DUMMYFUNCTION("""COMPUTED_VALUE"""),62389.38)</f>
        <v>62389.38</v>
      </c>
      <c r="F461" s="1">
        <f>IFERROR(__xludf.DUMMYFUNCTION("""COMPUTED_VALUE"""),150479.0)</f>
        <v>150479</v>
      </c>
    </row>
    <row r="462">
      <c r="A462" s="2">
        <f>IFERROR(__xludf.DUMMYFUNCTION("""COMPUTED_VALUE"""),41220.645833333336)</f>
        <v>41220.64583</v>
      </c>
      <c r="B462" s="1">
        <f>IFERROR(__xludf.DUMMYFUNCTION("""COMPUTED_VALUE"""),62511.95)</f>
        <v>62511.95</v>
      </c>
      <c r="C462" s="1">
        <f>IFERROR(__xludf.DUMMYFUNCTION("""COMPUTED_VALUE"""),63737.68)</f>
        <v>63737.68</v>
      </c>
      <c r="D462" s="1">
        <f>IFERROR(__xludf.DUMMYFUNCTION("""COMPUTED_VALUE"""),61776.52)</f>
        <v>61776.52</v>
      </c>
      <c r="E462" s="1">
        <f>IFERROR(__xludf.DUMMYFUNCTION("""COMPUTED_VALUE"""),62144.23)</f>
        <v>62144.23</v>
      </c>
      <c r="F462" s="1">
        <f>IFERROR(__xludf.DUMMYFUNCTION("""COMPUTED_VALUE"""),191286.0)</f>
        <v>191286</v>
      </c>
    </row>
    <row r="463">
      <c r="A463" s="2">
        <f>IFERROR(__xludf.DUMMYFUNCTION("""COMPUTED_VALUE"""),41221.645833333336)</f>
        <v>41221.64583</v>
      </c>
      <c r="B463" s="1">
        <f>IFERROR(__xludf.DUMMYFUNCTION("""COMPUTED_VALUE"""),62757.1)</f>
        <v>62757.1</v>
      </c>
      <c r="C463" s="1">
        <f>IFERROR(__xludf.DUMMYFUNCTION("""COMPUTED_VALUE"""),64227.97)</f>
        <v>64227.97</v>
      </c>
      <c r="D463" s="1">
        <f>IFERROR(__xludf.DUMMYFUNCTION("""COMPUTED_VALUE"""),62511.95)</f>
        <v>62511.95</v>
      </c>
      <c r="E463" s="1">
        <f>IFERROR(__xludf.DUMMYFUNCTION("""COMPUTED_VALUE"""),63737.68)</f>
        <v>63737.68</v>
      </c>
      <c r="F463" s="1">
        <f>IFERROR(__xludf.DUMMYFUNCTION("""COMPUTED_VALUE"""),392913.0)</f>
        <v>392913</v>
      </c>
    </row>
    <row r="464">
      <c r="A464" s="2">
        <f>IFERROR(__xludf.DUMMYFUNCTION("""COMPUTED_VALUE"""),41222.645833333336)</f>
        <v>41222.64583</v>
      </c>
      <c r="B464" s="1">
        <f>IFERROR(__xludf.DUMMYFUNCTION("""COMPUTED_VALUE"""),63492.53)</f>
        <v>63492.53</v>
      </c>
      <c r="C464" s="1">
        <f>IFERROR(__xludf.DUMMYFUNCTION("""COMPUTED_VALUE"""),63737.68)</f>
        <v>63737.68</v>
      </c>
      <c r="D464" s="1">
        <f>IFERROR(__xludf.DUMMYFUNCTION("""COMPUTED_VALUE"""),62021.66)</f>
        <v>62021.66</v>
      </c>
      <c r="E464" s="1">
        <f>IFERROR(__xludf.DUMMYFUNCTION("""COMPUTED_VALUE"""),62389.38)</f>
        <v>62389.38</v>
      </c>
      <c r="F464" s="1">
        <f>IFERROR(__xludf.DUMMYFUNCTION("""COMPUTED_VALUE"""),245580.0)</f>
        <v>245580</v>
      </c>
    </row>
    <row r="465">
      <c r="A465" s="2">
        <f>IFERROR(__xludf.DUMMYFUNCTION("""COMPUTED_VALUE"""),41225.645833333336)</f>
        <v>41225.64583</v>
      </c>
      <c r="B465" s="1">
        <f>IFERROR(__xludf.DUMMYFUNCTION("""COMPUTED_VALUE"""),63124.81)</f>
        <v>63124.81</v>
      </c>
      <c r="C465" s="1">
        <f>IFERROR(__xludf.DUMMYFUNCTION("""COMPUTED_VALUE"""),63247.39)</f>
        <v>63247.39</v>
      </c>
      <c r="D465" s="1">
        <f>IFERROR(__xludf.DUMMYFUNCTION("""COMPUTED_VALUE"""),61776.52)</f>
        <v>61776.52</v>
      </c>
      <c r="E465" s="1">
        <f>IFERROR(__xludf.DUMMYFUNCTION("""COMPUTED_VALUE"""),63002.24)</f>
        <v>63002.24</v>
      </c>
      <c r="F465" s="1">
        <f>IFERROR(__xludf.DUMMYFUNCTION("""COMPUTED_VALUE"""),172801.0)</f>
        <v>172801</v>
      </c>
    </row>
    <row r="466">
      <c r="A466" s="2">
        <f>IFERROR(__xludf.DUMMYFUNCTION("""COMPUTED_VALUE"""),41226.645833333336)</f>
        <v>41226.64583</v>
      </c>
      <c r="B466" s="1">
        <f>IFERROR(__xludf.DUMMYFUNCTION("""COMPUTED_VALUE"""),63247.39)</f>
        <v>63247.39</v>
      </c>
      <c r="C466" s="1">
        <f>IFERROR(__xludf.DUMMYFUNCTION("""COMPUTED_VALUE"""),63247.39)</f>
        <v>63247.39</v>
      </c>
      <c r="D466" s="1">
        <f>IFERROR(__xludf.DUMMYFUNCTION("""COMPUTED_VALUE"""),61286.23)</f>
        <v>61286.23</v>
      </c>
      <c r="E466" s="1">
        <f>IFERROR(__xludf.DUMMYFUNCTION("""COMPUTED_VALUE"""),61531.37)</f>
        <v>61531.37</v>
      </c>
      <c r="F466" s="1">
        <f>IFERROR(__xludf.DUMMYFUNCTION("""COMPUTED_VALUE"""),166784.0)</f>
        <v>166784</v>
      </c>
    </row>
    <row r="467">
      <c r="A467" s="2">
        <f>IFERROR(__xludf.DUMMYFUNCTION("""COMPUTED_VALUE"""),41227.645833333336)</f>
        <v>41227.64583</v>
      </c>
      <c r="B467" s="1">
        <f>IFERROR(__xludf.DUMMYFUNCTION("""COMPUTED_VALUE"""),62266.81)</f>
        <v>62266.81</v>
      </c>
      <c r="C467" s="1">
        <f>IFERROR(__xludf.DUMMYFUNCTION("""COMPUTED_VALUE"""),62266.81)</f>
        <v>62266.81</v>
      </c>
      <c r="D467" s="1">
        <f>IFERROR(__xludf.DUMMYFUNCTION("""COMPUTED_VALUE"""),56996.19)</f>
        <v>56996.19</v>
      </c>
      <c r="E467" s="1">
        <f>IFERROR(__xludf.DUMMYFUNCTION("""COMPUTED_VALUE"""),57854.2)</f>
        <v>57854.2</v>
      </c>
      <c r="F467" s="1">
        <f>IFERROR(__xludf.DUMMYFUNCTION("""COMPUTED_VALUE"""),583812.0)</f>
        <v>583812</v>
      </c>
    </row>
    <row r="468">
      <c r="A468" s="2">
        <f>IFERROR(__xludf.DUMMYFUNCTION("""COMPUTED_VALUE"""),41228.645833333336)</f>
        <v>41228.64583</v>
      </c>
      <c r="B468" s="1">
        <f>IFERROR(__xludf.DUMMYFUNCTION("""COMPUTED_VALUE"""),56751.05)</f>
        <v>56751.05</v>
      </c>
      <c r="C468" s="1">
        <f>IFERROR(__xludf.DUMMYFUNCTION("""COMPUTED_VALUE"""),59202.49)</f>
        <v>59202.49</v>
      </c>
      <c r="D468" s="1">
        <f>IFERROR(__xludf.DUMMYFUNCTION("""COMPUTED_VALUE"""),56505.9)</f>
        <v>56505.9</v>
      </c>
      <c r="E468" s="1">
        <f>IFERROR(__xludf.DUMMYFUNCTION("""COMPUTED_VALUE"""),59079.92)</f>
        <v>59079.92</v>
      </c>
      <c r="F468" s="1">
        <f>IFERROR(__xludf.DUMMYFUNCTION("""COMPUTED_VALUE"""),330664.0)</f>
        <v>330664</v>
      </c>
    </row>
    <row r="469">
      <c r="A469" s="2">
        <f>IFERROR(__xludf.DUMMYFUNCTION("""COMPUTED_VALUE"""),41229.645833333336)</f>
        <v>41229.64583</v>
      </c>
      <c r="B469" s="1">
        <f>IFERROR(__xludf.DUMMYFUNCTION("""COMPUTED_VALUE"""),59079.92)</f>
        <v>59079.92</v>
      </c>
      <c r="C469" s="1">
        <f>IFERROR(__xludf.DUMMYFUNCTION("""COMPUTED_VALUE"""),59937.93)</f>
        <v>59937.93</v>
      </c>
      <c r="D469" s="1">
        <f>IFERROR(__xludf.DUMMYFUNCTION("""COMPUTED_VALUE"""),58344.49)</f>
        <v>58344.49</v>
      </c>
      <c r="E469" s="1">
        <f>IFERROR(__xludf.DUMMYFUNCTION("""COMPUTED_VALUE"""),59815.36)</f>
        <v>59815.36</v>
      </c>
      <c r="F469" s="1">
        <f>IFERROR(__xludf.DUMMYFUNCTION("""COMPUTED_VALUE"""),218304.0)</f>
        <v>218304</v>
      </c>
    </row>
    <row r="470">
      <c r="A470" s="2">
        <f>IFERROR(__xludf.DUMMYFUNCTION("""COMPUTED_VALUE"""),41232.645833333336)</f>
        <v>41232.64583</v>
      </c>
      <c r="B470" s="1">
        <f>IFERROR(__xludf.DUMMYFUNCTION("""COMPUTED_VALUE"""),59325.07)</f>
        <v>59325.07</v>
      </c>
      <c r="C470" s="1">
        <f>IFERROR(__xludf.DUMMYFUNCTION("""COMPUTED_VALUE"""),60673.36)</f>
        <v>60673.36</v>
      </c>
      <c r="D470" s="1">
        <f>IFERROR(__xludf.DUMMYFUNCTION("""COMPUTED_VALUE"""),59202.49)</f>
        <v>59202.49</v>
      </c>
      <c r="E470" s="1">
        <f>IFERROR(__xludf.DUMMYFUNCTION("""COMPUTED_VALUE"""),60550.79)</f>
        <v>60550.79</v>
      </c>
      <c r="F470" s="1">
        <f>IFERROR(__xludf.DUMMYFUNCTION("""COMPUTED_VALUE"""),91890.0)</f>
        <v>91890</v>
      </c>
    </row>
    <row r="471">
      <c r="A471" s="2">
        <f>IFERROR(__xludf.DUMMYFUNCTION("""COMPUTED_VALUE"""),41233.645833333336)</f>
        <v>41233.64583</v>
      </c>
      <c r="B471" s="1">
        <f>IFERROR(__xludf.DUMMYFUNCTION("""COMPUTED_VALUE"""),62266.81)</f>
        <v>62266.81</v>
      </c>
      <c r="C471" s="1">
        <f>IFERROR(__xludf.DUMMYFUNCTION("""COMPUTED_VALUE"""),64350.54)</f>
        <v>64350.54</v>
      </c>
      <c r="D471" s="1">
        <f>IFERROR(__xludf.DUMMYFUNCTION("""COMPUTED_VALUE"""),62266.81)</f>
        <v>62266.81</v>
      </c>
      <c r="E471" s="1">
        <f>IFERROR(__xludf.DUMMYFUNCTION("""COMPUTED_VALUE"""),64350.54)</f>
        <v>64350.54</v>
      </c>
      <c r="F471" s="1">
        <f>IFERROR(__xludf.DUMMYFUNCTION("""COMPUTED_VALUE"""),344037.0)</f>
        <v>344037</v>
      </c>
    </row>
    <row r="472">
      <c r="A472" s="2">
        <f>IFERROR(__xludf.DUMMYFUNCTION("""COMPUTED_VALUE"""),41234.645833333336)</f>
        <v>41234.64583</v>
      </c>
      <c r="B472" s="1">
        <f>IFERROR(__xludf.DUMMYFUNCTION("""COMPUTED_VALUE"""),64963.4)</f>
        <v>64963.4</v>
      </c>
      <c r="C472" s="1">
        <f>IFERROR(__xludf.DUMMYFUNCTION("""COMPUTED_VALUE"""),65331.12)</f>
        <v>65331.12</v>
      </c>
      <c r="D472" s="1">
        <f>IFERROR(__xludf.DUMMYFUNCTION("""COMPUTED_VALUE"""),63492.53)</f>
        <v>63492.53</v>
      </c>
      <c r="E472" s="1">
        <f>IFERROR(__xludf.DUMMYFUNCTION("""COMPUTED_VALUE"""),64105.39)</f>
        <v>64105.39</v>
      </c>
      <c r="F472" s="1">
        <f>IFERROR(__xludf.DUMMYFUNCTION("""COMPUTED_VALUE"""),353150.0)</f>
        <v>353150</v>
      </c>
    </row>
    <row r="473">
      <c r="A473" s="2">
        <f>IFERROR(__xludf.DUMMYFUNCTION("""COMPUTED_VALUE"""),41235.645833333336)</f>
        <v>41235.64583</v>
      </c>
      <c r="B473" s="1">
        <f>IFERROR(__xludf.DUMMYFUNCTION("""COMPUTED_VALUE"""),64840.83)</f>
        <v>64840.83</v>
      </c>
      <c r="C473" s="1">
        <f>IFERROR(__xludf.DUMMYFUNCTION("""COMPUTED_VALUE"""),64840.83)</f>
        <v>64840.83</v>
      </c>
      <c r="D473" s="1">
        <f>IFERROR(__xludf.DUMMYFUNCTION("""COMPUTED_VALUE"""),63492.53)</f>
        <v>63492.53</v>
      </c>
      <c r="E473" s="1">
        <f>IFERROR(__xludf.DUMMYFUNCTION("""COMPUTED_VALUE"""),64227.97)</f>
        <v>64227.97</v>
      </c>
      <c r="F473" s="1">
        <f>IFERROR(__xludf.DUMMYFUNCTION("""COMPUTED_VALUE"""),189911.0)</f>
        <v>189911</v>
      </c>
    </row>
    <row r="474">
      <c r="A474" s="2">
        <f>IFERROR(__xludf.DUMMYFUNCTION("""COMPUTED_VALUE"""),41236.645833333336)</f>
        <v>41236.64583</v>
      </c>
      <c r="B474" s="1">
        <f>IFERROR(__xludf.DUMMYFUNCTION("""COMPUTED_VALUE"""),63860.25)</f>
        <v>63860.25</v>
      </c>
      <c r="C474" s="1">
        <f>IFERROR(__xludf.DUMMYFUNCTION("""COMPUTED_VALUE"""),65331.12)</f>
        <v>65331.12</v>
      </c>
      <c r="D474" s="1">
        <f>IFERROR(__xludf.DUMMYFUNCTION("""COMPUTED_VALUE"""),63737.68)</f>
        <v>63737.68</v>
      </c>
      <c r="E474" s="1">
        <f>IFERROR(__xludf.DUMMYFUNCTION("""COMPUTED_VALUE"""),65085.97)</f>
        <v>65085.97</v>
      </c>
      <c r="F474" s="1">
        <f>IFERROR(__xludf.DUMMYFUNCTION("""COMPUTED_VALUE"""),281862.0)</f>
        <v>281862</v>
      </c>
    </row>
    <row r="475">
      <c r="A475" s="2">
        <f>IFERROR(__xludf.DUMMYFUNCTION("""COMPUTED_VALUE"""),41239.645833333336)</f>
        <v>41239.64583</v>
      </c>
      <c r="B475" s="1">
        <f>IFERROR(__xludf.DUMMYFUNCTION("""COMPUTED_VALUE"""),65208.54)</f>
        <v>65208.54</v>
      </c>
      <c r="C475" s="1">
        <f>IFERROR(__xludf.DUMMYFUNCTION("""COMPUTED_VALUE"""),65453.69)</f>
        <v>65453.69</v>
      </c>
      <c r="D475" s="1">
        <f>IFERROR(__xludf.DUMMYFUNCTION("""COMPUTED_VALUE"""),64105.39)</f>
        <v>64105.39</v>
      </c>
      <c r="E475" s="1">
        <f>IFERROR(__xludf.DUMMYFUNCTION("""COMPUTED_VALUE"""),64963.4)</f>
        <v>64963.4</v>
      </c>
      <c r="F475" s="1">
        <f>IFERROR(__xludf.DUMMYFUNCTION("""COMPUTED_VALUE"""),142199.0)</f>
        <v>142199</v>
      </c>
    </row>
    <row r="476">
      <c r="A476" s="2">
        <f>IFERROR(__xludf.DUMMYFUNCTION("""COMPUTED_VALUE"""),41240.645833333336)</f>
        <v>41240.64583</v>
      </c>
      <c r="B476" s="1">
        <f>IFERROR(__xludf.DUMMYFUNCTION("""COMPUTED_VALUE"""),64963.4)</f>
        <v>64963.4</v>
      </c>
      <c r="C476" s="1">
        <f>IFERROR(__xludf.DUMMYFUNCTION("""COMPUTED_VALUE"""),65453.69)</f>
        <v>65453.69</v>
      </c>
      <c r="D476" s="1">
        <f>IFERROR(__xludf.DUMMYFUNCTION("""COMPUTED_VALUE"""),62511.95)</f>
        <v>62511.95</v>
      </c>
      <c r="E476" s="1">
        <f>IFERROR(__xludf.DUMMYFUNCTION("""COMPUTED_VALUE"""),63124.81)</f>
        <v>63124.81</v>
      </c>
      <c r="F476" s="1">
        <f>IFERROR(__xludf.DUMMYFUNCTION("""COMPUTED_VALUE"""),316475.0)</f>
        <v>316475</v>
      </c>
    </row>
    <row r="477">
      <c r="A477" s="2">
        <f>IFERROR(__xludf.DUMMYFUNCTION("""COMPUTED_VALUE"""),41241.645833333336)</f>
        <v>41241.64583</v>
      </c>
      <c r="B477" s="1">
        <f>IFERROR(__xludf.DUMMYFUNCTION("""COMPUTED_VALUE"""),62757.1)</f>
        <v>62757.1</v>
      </c>
      <c r="C477" s="1">
        <f>IFERROR(__xludf.DUMMYFUNCTION("""COMPUTED_VALUE"""),63124.81)</f>
        <v>63124.81</v>
      </c>
      <c r="D477" s="1">
        <f>IFERROR(__xludf.DUMMYFUNCTION("""COMPUTED_VALUE"""),61286.23)</f>
        <v>61286.23</v>
      </c>
      <c r="E477" s="1">
        <f>IFERROR(__xludf.DUMMYFUNCTION("""COMPUTED_VALUE"""),62757.1)</f>
        <v>62757.1</v>
      </c>
      <c r="F477" s="1">
        <f>IFERROR(__xludf.DUMMYFUNCTION("""COMPUTED_VALUE"""),261114.0)</f>
        <v>261114</v>
      </c>
    </row>
    <row r="478">
      <c r="A478" s="2">
        <f>IFERROR(__xludf.DUMMYFUNCTION("""COMPUTED_VALUE"""),41242.645833333336)</f>
        <v>41242.64583</v>
      </c>
      <c r="B478" s="1">
        <f>IFERROR(__xludf.DUMMYFUNCTION("""COMPUTED_VALUE"""),63369.96)</f>
        <v>63369.96</v>
      </c>
      <c r="C478" s="1">
        <f>IFERROR(__xludf.DUMMYFUNCTION("""COMPUTED_VALUE"""),63369.96)</f>
        <v>63369.96</v>
      </c>
      <c r="D478" s="1">
        <f>IFERROR(__xludf.DUMMYFUNCTION("""COMPUTED_VALUE"""),61531.37)</f>
        <v>61531.37</v>
      </c>
      <c r="E478" s="1">
        <f>IFERROR(__xludf.DUMMYFUNCTION("""COMPUTED_VALUE"""),62266.81)</f>
        <v>62266.81</v>
      </c>
      <c r="F478" s="1">
        <f>IFERROR(__xludf.DUMMYFUNCTION("""COMPUTED_VALUE"""),239173.0)</f>
        <v>239173</v>
      </c>
    </row>
    <row r="479">
      <c r="A479" s="2">
        <f>IFERROR(__xludf.DUMMYFUNCTION("""COMPUTED_VALUE"""),41243.645833333336)</f>
        <v>41243.64583</v>
      </c>
      <c r="B479" s="1">
        <f>IFERROR(__xludf.DUMMYFUNCTION("""COMPUTED_VALUE"""),61899.09)</f>
        <v>61899.09</v>
      </c>
      <c r="C479" s="1">
        <f>IFERROR(__xludf.DUMMYFUNCTION("""COMPUTED_VALUE"""),63247.39)</f>
        <v>63247.39</v>
      </c>
      <c r="D479" s="1">
        <f>IFERROR(__xludf.DUMMYFUNCTION("""COMPUTED_VALUE"""),61776.52)</f>
        <v>61776.52</v>
      </c>
      <c r="E479" s="1">
        <f>IFERROR(__xludf.DUMMYFUNCTION("""COMPUTED_VALUE"""),61776.52)</f>
        <v>61776.52</v>
      </c>
      <c r="F479" s="1">
        <f>IFERROR(__xludf.DUMMYFUNCTION("""COMPUTED_VALUE"""),231163.0)</f>
        <v>231163</v>
      </c>
    </row>
    <row r="480">
      <c r="A480" s="2">
        <f>IFERROR(__xludf.DUMMYFUNCTION("""COMPUTED_VALUE"""),41246.645833333336)</f>
        <v>41246.64583</v>
      </c>
      <c r="B480" s="1">
        <f>IFERROR(__xludf.DUMMYFUNCTION("""COMPUTED_VALUE"""),62634.52)</f>
        <v>62634.52</v>
      </c>
      <c r="C480" s="1">
        <f>IFERROR(__xludf.DUMMYFUNCTION("""COMPUTED_VALUE"""),64227.97)</f>
        <v>64227.97</v>
      </c>
      <c r="D480" s="1">
        <f>IFERROR(__xludf.DUMMYFUNCTION("""COMPUTED_VALUE"""),62021.66)</f>
        <v>62021.66</v>
      </c>
      <c r="E480" s="1">
        <f>IFERROR(__xludf.DUMMYFUNCTION("""COMPUTED_VALUE"""),64227.97)</f>
        <v>64227.97</v>
      </c>
      <c r="F480" s="1">
        <f>IFERROR(__xludf.DUMMYFUNCTION("""COMPUTED_VALUE"""),155569.0)</f>
        <v>155569</v>
      </c>
    </row>
    <row r="481">
      <c r="A481" s="2">
        <f>IFERROR(__xludf.DUMMYFUNCTION("""COMPUTED_VALUE"""),41247.645833333336)</f>
        <v>41247.64583</v>
      </c>
      <c r="B481" s="1">
        <f>IFERROR(__xludf.DUMMYFUNCTION("""COMPUTED_VALUE"""),63737.68)</f>
        <v>63737.68</v>
      </c>
      <c r="C481" s="1">
        <f>IFERROR(__xludf.DUMMYFUNCTION("""COMPUTED_VALUE"""),65085.97)</f>
        <v>65085.97</v>
      </c>
      <c r="D481" s="1">
        <f>IFERROR(__xludf.DUMMYFUNCTION("""COMPUTED_VALUE"""),63247.39)</f>
        <v>63247.39</v>
      </c>
      <c r="E481" s="1">
        <f>IFERROR(__xludf.DUMMYFUNCTION("""COMPUTED_VALUE"""),64595.68)</f>
        <v>64595.68</v>
      </c>
      <c r="F481" s="1">
        <f>IFERROR(__xludf.DUMMYFUNCTION("""COMPUTED_VALUE"""),272693.0)</f>
        <v>272693</v>
      </c>
    </row>
    <row r="482">
      <c r="A482" s="2">
        <f>IFERROR(__xludf.DUMMYFUNCTION("""COMPUTED_VALUE"""),41248.645833333336)</f>
        <v>41248.64583</v>
      </c>
      <c r="B482" s="1">
        <f>IFERROR(__xludf.DUMMYFUNCTION("""COMPUTED_VALUE"""),64595.68)</f>
        <v>64595.68</v>
      </c>
      <c r="C482" s="1">
        <f>IFERROR(__xludf.DUMMYFUNCTION("""COMPUTED_VALUE"""),65208.54)</f>
        <v>65208.54</v>
      </c>
      <c r="D482" s="1">
        <f>IFERROR(__xludf.DUMMYFUNCTION("""COMPUTED_VALUE"""),61286.23)</f>
        <v>61286.23</v>
      </c>
      <c r="E482" s="1">
        <f>IFERROR(__xludf.DUMMYFUNCTION("""COMPUTED_VALUE"""),62021.66)</f>
        <v>62021.66</v>
      </c>
      <c r="F482" s="1">
        <f>IFERROR(__xludf.DUMMYFUNCTION("""COMPUTED_VALUE"""),400197.0)</f>
        <v>400197</v>
      </c>
    </row>
    <row r="483">
      <c r="A483" s="2">
        <f>IFERROR(__xludf.DUMMYFUNCTION("""COMPUTED_VALUE"""),41249.645833333336)</f>
        <v>41249.64583</v>
      </c>
      <c r="B483" s="1">
        <f>IFERROR(__xludf.DUMMYFUNCTION("""COMPUTED_VALUE"""),62021.66)</f>
        <v>62021.66</v>
      </c>
      <c r="C483" s="1">
        <f>IFERROR(__xludf.DUMMYFUNCTION("""COMPUTED_VALUE"""),62021.66)</f>
        <v>62021.66</v>
      </c>
      <c r="D483" s="1">
        <f>IFERROR(__xludf.DUMMYFUNCTION("""COMPUTED_VALUE"""),56996.19)</f>
        <v>56996.19</v>
      </c>
      <c r="E483" s="1">
        <f>IFERROR(__xludf.DUMMYFUNCTION("""COMPUTED_VALUE"""),57118.76)</f>
        <v>57118.76</v>
      </c>
      <c r="F483" s="1">
        <f>IFERROR(__xludf.DUMMYFUNCTION("""COMPUTED_VALUE"""),678544.0)</f>
        <v>678544</v>
      </c>
    </row>
    <row r="484">
      <c r="A484" s="2">
        <f>IFERROR(__xludf.DUMMYFUNCTION("""COMPUTED_VALUE"""),41250.645833333336)</f>
        <v>41250.64583</v>
      </c>
      <c r="B484" s="1">
        <f>IFERROR(__xludf.DUMMYFUNCTION("""COMPUTED_VALUE"""),57609.05)</f>
        <v>57609.05</v>
      </c>
      <c r="C484" s="1">
        <f>IFERROR(__xludf.DUMMYFUNCTION("""COMPUTED_VALUE"""),58834.78)</f>
        <v>58834.78</v>
      </c>
      <c r="D484" s="1">
        <f>IFERROR(__xludf.DUMMYFUNCTION("""COMPUTED_VALUE"""),57609.05)</f>
        <v>57609.05</v>
      </c>
      <c r="E484" s="1">
        <f>IFERROR(__xludf.DUMMYFUNCTION("""COMPUTED_VALUE"""),58344.49)</f>
        <v>58344.49</v>
      </c>
      <c r="F484" s="1">
        <f>IFERROR(__xludf.DUMMYFUNCTION("""COMPUTED_VALUE"""),366983.0)</f>
        <v>366983</v>
      </c>
    </row>
    <row r="485">
      <c r="A485" s="2">
        <f>IFERROR(__xludf.DUMMYFUNCTION("""COMPUTED_VALUE"""),41253.645833333336)</f>
        <v>41253.64583</v>
      </c>
      <c r="B485" s="1">
        <f>IFERROR(__xludf.DUMMYFUNCTION("""COMPUTED_VALUE"""),57976.77)</f>
        <v>57976.77</v>
      </c>
      <c r="C485" s="1">
        <f>IFERROR(__xludf.DUMMYFUNCTION("""COMPUTED_VALUE"""),59692.78)</f>
        <v>59692.78</v>
      </c>
      <c r="D485" s="1">
        <f>IFERROR(__xludf.DUMMYFUNCTION("""COMPUTED_VALUE"""),57609.05)</f>
        <v>57609.05</v>
      </c>
      <c r="E485" s="1">
        <f>IFERROR(__xludf.DUMMYFUNCTION("""COMPUTED_VALUE"""),59325.07)</f>
        <v>59325.07</v>
      </c>
      <c r="F485" s="1">
        <f>IFERROR(__xludf.DUMMYFUNCTION("""COMPUTED_VALUE"""),266578.0)</f>
        <v>266578</v>
      </c>
    </row>
    <row r="486">
      <c r="A486" s="2">
        <f>IFERROR(__xludf.DUMMYFUNCTION("""COMPUTED_VALUE"""),41254.645833333336)</f>
        <v>41254.64583</v>
      </c>
      <c r="B486" s="1">
        <f>IFERROR(__xludf.DUMMYFUNCTION("""COMPUTED_VALUE"""),58712.2)</f>
        <v>58712.2</v>
      </c>
      <c r="C486" s="1">
        <f>IFERROR(__xludf.DUMMYFUNCTION("""COMPUTED_VALUE"""),59937.93)</f>
        <v>59937.93</v>
      </c>
      <c r="D486" s="1">
        <f>IFERROR(__xludf.DUMMYFUNCTION("""COMPUTED_VALUE"""),58712.2)</f>
        <v>58712.2</v>
      </c>
      <c r="E486" s="1">
        <f>IFERROR(__xludf.DUMMYFUNCTION("""COMPUTED_VALUE"""),59325.07)</f>
        <v>59325.07</v>
      </c>
      <c r="F486" s="1">
        <f>IFERROR(__xludf.DUMMYFUNCTION("""COMPUTED_VALUE"""),193580.0)</f>
        <v>193580</v>
      </c>
    </row>
    <row r="487">
      <c r="A487" s="2">
        <f>IFERROR(__xludf.DUMMYFUNCTION("""COMPUTED_VALUE"""),41255.645833333336)</f>
        <v>41255.64583</v>
      </c>
      <c r="B487" s="1">
        <f>IFERROR(__xludf.DUMMYFUNCTION("""COMPUTED_VALUE"""),59325.07)</f>
        <v>59325.07</v>
      </c>
      <c r="C487" s="1">
        <f>IFERROR(__xludf.DUMMYFUNCTION("""COMPUTED_VALUE"""),59692.78)</f>
        <v>59692.78</v>
      </c>
      <c r="D487" s="1">
        <f>IFERROR(__xludf.DUMMYFUNCTION("""COMPUTED_VALUE"""),56628.47)</f>
        <v>56628.47</v>
      </c>
      <c r="E487" s="1">
        <f>IFERROR(__xludf.DUMMYFUNCTION("""COMPUTED_VALUE"""),57609.05)</f>
        <v>57609.05</v>
      </c>
      <c r="F487" s="1">
        <f>IFERROR(__xludf.DUMMYFUNCTION("""COMPUTED_VALUE"""),470246.0)</f>
        <v>470246</v>
      </c>
    </row>
    <row r="488">
      <c r="A488" s="2">
        <f>IFERROR(__xludf.DUMMYFUNCTION("""COMPUTED_VALUE"""),41256.645833333336)</f>
        <v>41256.64583</v>
      </c>
      <c r="B488" s="1">
        <f>IFERROR(__xludf.DUMMYFUNCTION("""COMPUTED_VALUE"""),57854.2)</f>
        <v>57854.2</v>
      </c>
      <c r="C488" s="1">
        <f>IFERROR(__xludf.DUMMYFUNCTION("""COMPUTED_VALUE"""),58712.2)</f>
        <v>58712.2</v>
      </c>
      <c r="D488" s="1">
        <f>IFERROR(__xludf.DUMMYFUNCTION("""COMPUTED_VALUE"""),57241.34)</f>
        <v>57241.34</v>
      </c>
      <c r="E488" s="1">
        <f>IFERROR(__xludf.DUMMYFUNCTION("""COMPUTED_VALUE"""),58712.2)</f>
        <v>58712.2</v>
      </c>
      <c r="F488" s="1">
        <f>IFERROR(__xludf.DUMMYFUNCTION("""COMPUTED_VALUE"""),333648.0)</f>
        <v>333648</v>
      </c>
    </row>
    <row r="489">
      <c r="A489" s="2">
        <f>IFERROR(__xludf.DUMMYFUNCTION("""COMPUTED_VALUE"""),41257.645833333336)</f>
        <v>41257.64583</v>
      </c>
      <c r="B489" s="1">
        <f>IFERROR(__xludf.DUMMYFUNCTION("""COMPUTED_VALUE"""),58099.34)</f>
        <v>58099.34</v>
      </c>
      <c r="C489" s="1">
        <f>IFERROR(__xludf.DUMMYFUNCTION("""COMPUTED_VALUE"""),59079.92)</f>
        <v>59079.92</v>
      </c>
      <c r="D489" s="1">
        <f>IFERROR(__xludf.DUMMYFUNCTION("""COMPUTED_VALUE"""),57363.91)</f>
        <v>57363.91</v>
      </c>
      <c r="E489" s="1">
        <f>IFERROR(__xludf.DUMMYFUNCTION("""COMPUTED_VALUE"""),57854.2)</f>
        <v>57854.2</v>
      </c>
      <c r="F489" s="1">
        <f>IFERROR(__xludf.DUMMYFUNCTION("""COMPUTED_VALUE"""),264521.0)</f>
        <v>264521</v>
      </c>
    </row>
    <row r="490">
      <c r="A490" s="2">
        <f>IFERROR(__xludf.DUMMYFUNCTION("""COMPUTED_VALUE"""),41260.645833333336)</f>
        <v>41260.64583</v>
      </c>
      <c r="B490" s="1">
        <f>IFERROR(__xludf.DUMMYFUNCTION("""COMPUTED_VALUE"""),58099.34)</f>
        <v>58099.34</v>
      </c>
      <c r="C490" s="1">
        <f>IFERROR(__xludf.DUMMYFUNCTION("""COMPUTED_VALUE"""),58467.06)</f>
        <v>58467.06</v>
      </c>
      <c r="D490" s="1">
        <f>IFERROR(__xludf.DUMMYFUNCTION("""COMPUTED_VALUE"""),55525.32)</f>
        <v>55525.32</v>
      </c>
      <c r="E490" s="1">
        <f>IFERROR(__xludf.DUMMYFUNCTION("""COMPUTED_VALUE"""),55647.89)</f>
        <v>55647.89</v>
      </c>
      <c r="F490" s="1">
        <f>IFERROR(__xludf.DUMMYFUNCTION("""COMPUTED_VALUE"""),368523.0)</f>
        <v>368523</v>
      </c>
    </row>
    <row r="491">
      <c r="A491" s="2">
        <f>IFERROR(__xludf.DUMMYFUNCTION("""COMPUTED_VALUE"""),41261.645833333336)</f>
        <v>41261.64583</v>
      </c>
      <c r="B491" s="1">
        <f>IFERROR(__xludf.DUMMYFUNCTION("""COMPUTED_VALUE"""),56015.61)</f>
        <v>56015.61</v>
      </c>
      <c r="C491" s="1">
        <f>IFERROR(__xludf.DUMMYFUNCTION("""COMPUTED_VALUE"""),56628.47)</f>
        <v>56628.47</v>
      </c>
      <c r="D491" s="1">
        <f>IFERROR(__xludf.DUMMYFUNCTION("""COMPUTED_VALUE"""),54177.02)</f>
        <v>54177.02</v>
      </c>
      <c r="E491" s="1">
        <f>IFERROR(__xludf.DUMMYFUNCTION("""COMPUTED_VALUE"""),56628.47)</f>
        <v>56628.47</v>
      </c>
      <c r="F491" s="1">
        <f>IFERROR(__xludf.DUMMYFUNCTION("""COMPUTED_VALUE"""),343349.0)</f>
        <v>343349</v>
      </c>
    </row>
    <row r="492">
      <c r="A492" s="2">
        <f>IFERROR(__xludf.DUMMYFUNCTION("""COMPUTED_VALUE"""),41263.645833333336)</f>
        <v>41263.64583</v>
      </c>
      <c r="B492" s="1">
        <f>IFERROR(__xludf.DUMMYFUNCTION("""COMPUTED_VALUE"""),57363.91)</f>
        <v>57363.91</v>
      </c>
      <c r="C492" s="1">
        <f>IFERROR(__xludf.DUMMYFUNCTION("""COMPUTED_VALUE"""),57363.91)</f>
        <v>57363.91</v>
      </c>
      <c r="D492" s="1">
        <f>IFERROR(__xludf.DUMMYFUNCTION("""COMPUTED_VALUE"""),52706.15)</f>
        <v>52706.15</v>
      </c>
      <c r="E492" s="1">
        <f>IFERROR(__xludf.DUMMYFUNCTION("""COMPUTED_VALUE"""),53073.87)</f>
        <v>53073.87</v>
      </c>
      <c r="F492" s="1">
        <f>IFERROR(__xludf.DUMMYFUNCTION("""COMPUTED_VALUE"""),649950.0)</f>
        <v>649950</v>
      </c>
    </row>
    <row r="493">
      <c r="A493" s="2">
        <f>IFERROR(__xludf.DUMMYFUNCTION("""COMPUTED_VALUE"""),41264.645833333336)</f>
        <v>41264.64583</v>
      </c>
      <c r="B493" s="1">
        <f>IFERROR(__xludf.DUMMYFUNCTION("""COMPUTED_VALUE"""),53319.02)</f>
        <v>53319.02</v>
      </c>
      <c r="C493" s="1">
        <f>IFERROR(__xludf.DUMMYFUNCTION("""COMPUTED_VALUE"""),55647.89)</f>
        <v>55647.89</v>
      </c>
      <c r="D493" s="1">
        <f>IFERROR(__xludf.DUMMYFUNCTION("""COMPUTED_VALUE"""),53319.02)</f>
        <v>53319.02</v>
      </c>
      <c r="E493" s="1">
        <f>IFERROR(__xludf.DUMMYFUNCTION("""COMPUTED_VALUE"""),55647.89)</f>
        <v>55647.89</v>
      </c>
      <c r="F493" s="1">
        <f>IFERROR(__xludf.DUMMYFUNCTION("""COMPUTED_VALUE"""),336943.0)</f>
        <v>336943</v>
      </c>
    </row>
    <row r="494">
      <c r="A494" s="2">
        <f>IFERROR(__xludf.DUMMYFUNCTION("""COMPUTED_VALUE"""),41267.645833333336)</f>
        <v>41267.64583</v>
      </c>
      <c r="B494" s="1">
        <f>IFERROR(__xludf.DUMMYFUNCTION("""COMPUTED_VALUE"""),55647.89)</f>
        <v>55647.89</v>
      </c>
      <c r="C494" s="1">
        <f>IFERROR(__xludf.DUMMYFUNCTION("""COMPUTED_VALUE"""),57241.34)</f>
        <v>57241.34</v>
      </c>
      <c r="D494" s="1">
        <f>IFERROR(__xludf.DUMMYFUNCTION("""COMPUTED_VALUE"""),55280.18)</f>
        <v>55280.18</v>
      </c>
      <c r="E494" s="1">
        <f>IFERROR(__xludf.DUMMYFUNCTION("""COMPUTED_VALUE"""),56383.33)</f>
        <v>56383.33</v>
      </c>
      <c r="F494" s="1">
        <f>IFERROR(__xludf.DUMMYFUNCTION("""COMPUTED_VALUE"""),249713.0)</f>
        <v>249713</v>
      </c>
    </row>
    <row r="495">
      <c r="A495" s="2">
        <f>IFERROR(__xludf.DUMMYFUNCTION("""COMPUTED_VALUE"""),41269.645833333336)</f>
        <v>41269.64583</v>
      </c>
      <c r="B495" s="1">
        <f>IFERROR(__xludf.DUMMYFUNCTION("""COMPUTED_VALUE"""),57118.76)</f>
        <v>57118.76</v>
      </c>
      <c r="C495" s="1">
        <f>IFERROR(__xludf.DUMMYFUNCTION("""COMPUTED_VALUE"""),57118.76)</f>
        <v>57118.76</v>
      </c>
      <c r="D495" s="1">
        <f>IFERROR(__xludf.DUMMYFUNCTION("""COMPUTED_VALUE"""),55157.6)</f>
        <v>55157.6</v>
      </c>
      <c r="E495" s="1">
        <f>IFERROR(__xludf.DUMMYFUNCTION("""COMPUTED_VALUE"""),55402.75)</f>
        <v>55402.75</v>
      </c>
      <c r="F495" s="1">
        <f>IFERROR(__xludf.DUMMYFUNCTION("""COMPUTED_VALUE"""),162903.0)</f>
        <v>162903</v>
      </c>
    </row>
    <row r="496">
      <c r="A496" s="2">
        <f>IFERROR(__xludf.DUMMYFUNCTION("""COMPUTED_VALUE"""),41270.645833333336)</f>
        <v>41270.64583</v>
      </c>
      <c r="B496" s="1">
        <f>IFERROR(__xludf.DUMMYFUNCTION("""COMPUTED_VALUE"""),55402.75)</f>
        <v>55402.75</v>
      </c>
      <c r="C496" s="1">
        <f>IFERROR(__xludf.DUMMYFUNCTION("""COMPUTED_VALUE"""),56138.18)</f>
        <v>56138.18</v>
      </c>
      <c r="D496" s="1">
        <f>IFERROR(__xludf.DUMMYFUNCTION("""COMPUTED_VALUE"""),54299.6)</f>
        <v>54299.6</v>
      </c>
      <c r="E496" s="1">
        <f>IFERROR(__xludf.DUMMYFUNCTION("""COMPUTED_VALUE"""),55157.6)</f>
        <v>55157.6</v>
      </c>
      <c r="F496" s="1">
        <f>IFERROR(__xludf.DUMMYFUNCTION("""COMPUTED_VALUE"""),151915.0)</f>
        <v>151915</v>
      </c>
    </row>
    <row r="497">
      <c r="A497" s="2">
        <f>IFERROR(__xludf.DUMMYFUNCTION("""COMPUTED_VALUE"""),41271.645833333336)</f>
        <v>41271.64583</v>
      </c>
      <c r="B497" s="1">
        <f>IFERROR(__xludf.DUMMYFUNCTION("""COMPUTED_VALUE"""),55280.18)</f>
        <v>55280.18</v>
      </c>
      <c r="C497" s="1">
        <f>IFERROR(__xludf.DUMMYFUNCTION("""COMPUTED_VALUE"""),56138.18)</f>
        <v>56138.18</v>
      </c>
      <c r="D497" s="1">
        <f>IFERROR(__xludf.DUMMYFUNCTION("""COMPUTED_VALUE"""),54789.89)</f>
        <v>54789.89</v>
      </c>
      <c r="E497" s="1">
        <f>IFERROR(__xludf.DUMMYFUNCTION("""COMPUTED_VALUE"""),55647.89)</f>
        <v>55647.89</v>
      </c>
      <c r="F497" s="1">
        <f>IFERROR(__xludf.DUMMYFUNCTION("""COMPUTED_VALUE"""),177059.0)</f>
        <v>177059</v>
      </c>
    </row>
    <row r="498">
      <c r="A498" s="2">
        <f>IFERROR(__xludf.DUMMYFUNCTION("""COMPUTED_VALUE"""),41276.645833333336)</f>
        <v>41276.64583</v>
      </c>
      <c r="B498" s="1">
        <f>IFERROR(__xludf.DUMMYFUNCTION("""COMPUTED_VALUE"""),56505.9)</f>
        <v>56505.9</v>
      </c>
      <c r="C498" s="1">
        <f>IFERROR(__xludf.DUMMYFUNCTION("""COMPUTED_VALUE"""),56996.19)</f>
        <v>56996.19</v>
      </c>
      <c r="D498" s="1">
        <f>IFERROR(__xludf.DUMMYFUNCTION("""COMPUTED_VALUE"""),55647.89)</f>
        <v>55647.89</v>
      </c>
      <c r="E498" s="1">
        <f>IFERROR(__xludf.DUMMYFUNCTION("""COMPUTED_VALUE"""),55770.47)</f>
        <v>55770.47</v>
      </c>
      <c r="F498" s="1">
        <f>IFERROR(__xludf.DUMMYFUNCTION("""COMPUTED_VALUE"""),154444.0)</f>
        <v>154444</v>
      </c>
    </row>
    <row r="499">
      <c r="A499" s="2">
        <f>IFERROR(__xludf.DUMMYFUNCTION("""COMPUTED_VALUE"""),41277.645833333336)</f>
        <v>41277.64583</v>
      </c>
      <c r="B499" s="1">
        <f>IFERROR(__xludf.DUMMYFUNCTION("""COMPUTED_VALUE"""),56138.18)</f>
        <v>56138.18</v>
      </c>
      <c r="C499" s="1">
        <f>IFERROR(__xludf.DUMMYFUNCTION("""COMPUTED_VALUE"""),56873.62)</f>
        <v>56873.62</v>
      </c>
      <c r="D499" s="1">
        <f>IFERROR(__xludf.DUMMYFUNCTION("""COMPUTED_VALUE"""),53686.73)</f>
        <v>53686.73</v>
      </c>
      <c r="E499" s="1">
        <f>IFERROR(__xludf.DUMMYFUNCTION("""COMPUTED_VALUE"""),54177.02)</f>
        <v>54177.02</v>
      </c>
      <c r="F499" s="1">
        <f>IFERROR(__xludf.DUMMYFUNCTION("""COMPUTED_VALUE"""),356022.0)</f>
        <v>356022</v>
      </c>
    </row>
    <row r="500">
      <c r="A500" s="2">
        <f>IFERROR(__xludf.DUMMYFUNCTION("""COMPUTED_VALUE"""),41278.645833333336)</f>
        <v>41278.64583</v>
      </c>
      <c r="B500" s="1">
        <f>IFERROR(__xludf.DUMMYFUNCTION("""COMPUTED_VALUE"""),54299.6)</f>
        <v>54299.6</v>
      </c>
      <c r="C500" s="1">
        <f>IFERROR(__xludf.DUMMYFUNCTION("""COMPUTED_VALUE"""),55525.32)</f>
        <v>55525.32</v>
      </c>
      <c r="D500" s="1">
        <f>IFERROR(__xludf.DUMMYFUNCTION("""COMPUTED_VALUE"""),54054.45)</f>
        <v>54054.45</v>
      </c>
      <c r="E500" s="1">
        <f>IFERROR(__xludf.DUMMYFUNCTION("""COMPUTED_VALUE"""),55525.32)</f>
        <v>55525.32</v>
      </c>
      <c r="F500" s="1">
        <f>IFERROR(__xludf.DUMMYFUNCTION("""COMPUTED_VALUE"""),233374.0)</f>
        <v>233374</v>
      </c>
    </row>
    <row r="501">
      <c r="A501" s="2">
        <f>IFERROR(__xludf.DUMMYFUNCTION("""COMPUTED_VALUE"""),41281.645833333336)</f>
        <v>41281.64583</v>
      </c>
      <c r="B501" s="1">
        <f>IFERROR(__xludf.DUMMYFUNCTION("""COMPUTED_VALUE"""),56260.76)</f>
        <v>56260.76</v>
      </c>
      <c r="C501" s="1">
        <f>IFERROR(__xludf.DUMMYFUNCTION("""COMPUTED_VALUE"""),58957.35)</f>
        <v>58957.35</v>
      </c>
      <c r="D501" s="1">
        <f>IFERROR(__xludf.DUMMYFUNCTION("""COMPUTED_VALUE"""),56138.18)</f>
        <v>56138.18</v>
      </c>
      <c r="E501" s="1">
        <f>IFERROR(__xludf.DUMMYFUNCTION("""COMPUTED_VALUE"""),58834.78)</f>
        <v>58834.78</v>
      </c>
      <c r="F501" s="1">
        <f>IFERROR(__xludf.DUMMYFUNCTION("""COMPUTED_VALUE"""),404663.0)</f>
        <v>404663</v>
      </c>
    </row>
    <row r="502">
      <c r="A502" s="2">
        <f>IFERROR(__xludf.DUMMYFUNCTION("""COMPUTED_VALUE"""),41282.645833333336)</f>
        <v>41282.64583</v>
      </c>
      <c r="B502" s="1">
        <f>IFERROR(__xludf.DUMMYFUNCTION("""COMPUTED_VALUE"""),58834.78)</f>
        <v>58834.78</v>
      </c>
      <c r="C502" s="1">
        <f>IFERROR(__xludf.DUMMYFUNCTION("""COMPUTED_VALUE"""),59202.49)</f>
        <v>59202.49</v>
      </c>
      <c r="D502" s="1">
        <f>IFERROR(__xludf.DUMMYFUNCTION("""COMPUTED_VALUE"""),57854.2)</f>
        <v>57854.2</v>
      </c>
      <c r="E502" s="1">
        <f>IFERROR(__xludf.DUMMYFUNCTION("""COMPUTED_VALUE"""),58099.34)</f>
        <v>58099.34</v>
      </c>
      <c r="F502" s="1">
        <f>IFERROR(__xludf.DUMMYFUNCTION("""COMPUTED_VALUE"""),198503.0)</f>
        <v>198503</v>
      </c>
    </row>
    <row r="503">
      <c r="A503" s="2">
        <f>IFERROR(__xludf.DUMMYFUNCTION("""COMPUTED_VALUE"""),41283.645833333336)</f>
        <v>41283.64583</v>
      </c>
      <c r="B503" s="1">
        <f>IFERROR(__xludf.DUMMYFUNCTION("""COMPUTED_VALUE"""),58589.63)</f>
        <v>58589.63</v>
      </c>
      <c r="C503" s="1">
        <f>IFERROR(__xludf.DUMMYFUNCTION("""COMPUTED_VALUE"""),58834.78)</f>
        <v>58834.78</v>
      </c>
      <c r="D503" s="1">
        <f>IFERROR(__xludf.DUMMYFUNCTION("""COMPUTED_VALUE"""),56996.19)</f>
        <v>56996.19</v>
      </c>
      <c r="E503" s="1">
        <f>IFERROR(__xludf.DUMMYFUNCTION("""COMPUTED_VALUE"""),57241.34)</f>
        <v>57241.34</v>
      </c>
      <c r="F503" s="1">
        <f>IFERROR(__xludf.DUMMYFUNCTION("""COMPUTED_VALUE"""),147860.0)</f>
        <v>147860</v>
      </c>
    </row>
    <row r="504">
      <c r="A504" s="2">
        <f>IFERROR(__xludf.DUMMYFUNCTION("""COMPUTED_VALUE"""),41284.645833333336)</f>
        <v>41284.64583</v>
      </c>
      <c r="B504" s="1">
        <f>IFERROR(__xludf.DUMMYFUNCTION("""COMPUTED_VALUE"""),56873.62)</f>
        <v>56873.62</v>
      </c>
      <c r="C504" s="1">
        <f>IFERROR(__xludf.DUMMYFUNCTION("""COMPUTED_VALUE"""),57363.91)</f>
        <v>57363.91</v>
      </c>
      <c r="D504" s="1">
        <f>IFERROR(__xludf.DUMMYFUNCTION("""COMPUTED_VALUE"""),55280.18)</f>
        <v>55280.18</v>
      </c>
      <c r="E504" s="1">
        <f>IFERROR(__xludf.DUMMYFUNCTION("""COMPUTED_VALUE"""),56138.18)</f>
        <v>56138.18</v>
      </c>
      <c r="F504" s="1">
        <f>IFERROR(__xludf.DUMMYFUNCTION("""COMPUTED_VALUE"""),235154.0)</f>
        <v>235154</v>
      </c>
    </row>
    <row r="505">
      <c r="A505" s="2">
        <f>IFERROR(__xludf.DUMMYFUNCTION("""COMPUTED_VALUE"""),41285.645833333336)</f>
        <v>41285.64583</v>
      </c>
      <c r="B505" s="1">
        <f>IFERROR(__xludf.DUMMYFUNCTION("""COMPUTED_VALUE"""),56873.62)</f>
        <v>56873.62</v>
      </c>
      <c r="C505" s="1">
        <f>IFERROR(__xludf.DUMMYFUNCTION("""COMPUTED_VALUE"""),56996.19)</f>
        <v>56996.19</v>
      </c>
      <c r="D505" s="1">
        <f>IFERROR(__xludf.DUMMYFUNCTION("""COMPUTED_VALUE"""),55280.18)</f>
        <v>55280.18</v>
      </c>
      <c r="E505" s="1">
        <f>IFERROR(__xludf.DUMMYFUNCTION("""COMPUTED_VALUE"""),56015.61)</f>
        <v>56015.61</v>
      </c>
      <c r="F505" s="1">
        <f>IFERROR(__xludf.DUMMYFUNCTION("""COMPUTED_VALUE"""),169969.0)</f>
        <v>169969</v>
      </c>
    </row>
    <row r="506">
      <c r="A506" s="2">
        <f>IFERROR(__xludf.DUMMYFUNCTION("""COMPUTED_VALUE"""),41288.645833333336)</f>
        <v>41288.64583</v>
      </c>
      <c r="B506" s="1">
        <f>IFERROR(__xludf.DUMMYFUNCTION("""COMPUTED_VALUE"""),55770.47)</f>
        <v>55770.47</v>
      </c>
      <c r="C506" s="1">
        <f>IFERROR(__xludf.DUMMYFUNCTION("""COMPUTED_VALUE"""),58467.06)</f>
        <v>58467.06</v>
      </c>
      <c r="D506" s="1">
        <f>IFERROR(__xludf.DUMMYFUNCTION("""COMPUTED_VALUE"""),55157.6)</f>
        <v>55157.6</v>
      </c>
      <c r="E506" s="1">
        <f>IFERROR(__xludf.DUMMYFUNCTION("""COMPUTED_VALUE"""),58099.34)</f>
        <v>58099.34</v>
      </c>
      <c r="F506" s="1">
        <f>IFERROR(__xludf.DUMMYFUNCTION("""COMPUTED_VALUE"""),241270.0)</f>
        <v>241270</v>
      </c>
    </row>
    <row r="507">
      <c r="A507" s="2">
        <f>IFERROR(__xludf.DUMMYFUNCTION("""COMPUTED_VALUE"""),41289.645833333336)</f>
        <v>41289.64583</v>
      </c>
      <c r="B507" s="1">
        <f>IFERROR(__xludf.DUMMYFUNCTION("""COMPUTED_VALUE"""),57241.34)</f>
        <v>57241.34</v>
      </c>
      <c r="C507" s="1">
        <f>IFERROR(__xludf.DUMMYFUNCTION("""COMPUTED_VALUE"""),58099.34)</f>
        <v>58099.34</v>
      </c>
      <c r="D507" s="1">
        <f>IFERROR(__xludf.DUMMYFUNCTION("""COMPUTED_VALUE"""),56260.76)</f>
        <v>56260.76</v>
      </c>
      <c r="E507" s="1">
        <f>IFERROR(__xludf.DUMMYFUNCTION("""COMPUTED_VALUE"""),57486.48)</f>
        <v>57486.48</v>
      </c>
      <c r="F507" s="1">
        <f>IFERROR(__xludf.DUMMYFUNCTION("""COMPUTED_VALUE"""),240367.0)</f>
        <v>240367</v>
      </c>
    </row>
    <row r="508">
      <c r="A508" s="2">
        <f>IFERROR(__xludf.DUMMYFUNCTION("""COMPUTED_VALUE"""),41290.645833333336)</f>
        <v>41290.64583</v>
      </c>
      <c r="B508" s="1">
        <f>IFERROR(__xludf.DUMMYFUNCTION("""COMPUTED_VALUE"""),58099.34)</f>
        <v>58099.34</v>
      </c>
      <c r="C508" s="1">
        <f>IFERROR(__xludf.DUMMYFUNCTION("""COMPUTED_VALUE"""),58834.78)</f>
        <v>58834.78</v>
      </c>
      <c r="D508" s="1">
        <f>IFERROR(__xludf.DUMMYFUNCTION("""COMPUTED_VALUE"""),56628.47)</f>
        <v>56628.47</v>
      </c>
      <c r="E508" s="1">
        <f>IFERROR(__xludf.DUMMYFUNCTION("""COMPUTED_VALUE"""),56873.62)</f>
        <v>56873.62</v>
      </c>
      <c r="F508" s="1">
        <f>IFERROR(__xludf.DUMMYFUNCTION("""COMPUTED_VALUE"""),184419.0)</f>
        <v>184419</v>
      </c>
    </row>
    <row r="509">
      <c r="A509" s="2">
        <f>IFERROR(__xludf.DUMMYFUNCTION("""COMPUTED_VALUE"""),41291.645833333336)</f>
        <v>41291.64583</v>
      </c>
      <c r="B509" s="1">
        <f>IFERROR(__xludf.DUMMYFUNCTION("""COMPUTED_VALUE"""),56996.19)</f>
        <v>56996.19</v>
      </c>
      <c r="C509" s="1">
        <f>IFERROR(__xludf.DUMMYFUNCTION("""COMPUTED_VALUE"""),57854.2)</f>
        <v>57854.2</v>
      </c>
      <c r="D509" s="1">
        <f>IFERROR(__xludf.DUMMYFUNCTION("""COMPUTED_VALUE"""),56505.9)</f>
        <v>56505.9</v>
      </c>
      <c r="E509" s="1">
        <f>IFERROR(__xludf.DUMMYFUNCTION("""COMPUTED_VALUE"""),57486.48)</f>
        <v>57486.48</v>
      </c>
      <c r="F509" s="1">
        <f>IFERROR(__xludf.DUMMYFUNCTION("""COMPUTED_VALUE"""),131847.0)</f>
        <v>131847</v>
      </c>
    </row>
    <row r="510">
      <c r="A510" s="2">
        <f>IFERROR(__xludf.DUMMYFUNCTION("""COMPUTED_VALUE"""),41292.645833333336)</f>
        <v>41292.64583</v>
      </c>
      <c r="B510" s="1">
        <f>IFERROR(__xludf.DUMMYFUNCTION("""COMPUTED_VALUE"""),57854.2)</f>
        <v>57854.2</v>
      </c>
      <c r="C510" s="1">
        <f>IFERROR(__xludf.DUMMYFUNCTION("""COMPUTED_VALUE"""),58099.34)</f>
        <v>58099.34</v>
      </c>
      <c r="D510" s="1">
        <f>IFERROR(__xludf.DUMMYFUNCTION("""COMPUTED_VALUE"""),56873.62)</f>
        <v>56873.62</v>
      </c>
      <c r="E510" s="1">
        <f>IFERROR(__xludf.DUMMYFUNCTION("""COMPUTED_VALUE"""),58099.34)</f>
        <v>58099.34</v>
      </c>
      <c r="F510" s="1">
        <f>IFERROR(__xludf.DUMMYFUNCTION("""COMPUTED_VALUE"""),198956.0)</f>
        <v>198956</v>
      </c>
    </row>
    <row r="511">
      <c r="A511" s="2">
        <f>IFERROR(__xludf.DUMMYFUNCTION("""COMPUTED_VALUE"""),41295.645833333336)</f>
        <v>41295.64583</v>
      </c>
      <c r="B511" s="1">
        <f>IFERROR(__xludf.DUMMYFUNCTION("""COMPUTED_VALUE"""),58589.63)</f>
        <v>58589.63</v>
      </c>
      <c r="C511" s="1">
        <f>IFERROR(__xludf.DUMMYFUNCTION("""COMPUTED_VALUE"""),59815.36)</f>
        <v>59815.36</v>
      </c>
      <c r="D511" s="1">
        <f>IFERROR(__xludf.DUMMYFUNCTION("""COMPUTED_VALUE"""),57854.2)</f>
        <v>57854.2</v>
      </c>
      <c r="E511" s="1">
        <f>IFERROR(__xludf.DUMMYFUNCTION("""COMPUTED_VALUE"""),59570.21)</f>
        <v>59570.21</v>
      </c>
      <c r="F511" s="1">
        <f>IFERROR(__xludf.DUMMYFUNCTION("""COMPUTED_VALUE"""),362612.0)</f>
        <v>362612</v>
      </c>
    </row>
    <row r="512">
      <c r="A512" s="2">
        <f>IFERROR(__xludf.DUMMYFUNCTION("""COMPUTED_VALUE"""),41296.645833333336)</f>
        <v>41296.64583</v>
      </c>
      <c r="B512" s="1">
        <f>IFERROR(__xludf.DUMMYFUNCTION("""COMPUTED_VALUE"""),59815.36)</f>
        <v>59815.36</v>
      </c>
      <c r="C512" s="1">
        <f>IFERROR(__xludf.DUMMYFUNCTION("""COMPUTED_VALUE"""),60795.94)</f>
        <v>60795.94</v>
      </c>
      <c r="D512" s="1">
        <f>IFERROR(__xludf.DUMMYFUNCTION("""COMPUTED_VALUE"""),59079.92)</f>
        <v>59079.92</v>
      </c>
      <c r="E512" s="1">
        <f>IFERROR(__xludf.DUMMYFUNCTION("""COMPUTED_VALUE"""),60428.22)</f>
        <v>60428.22</v>
      </c>
      <c r="F512" s="1">
        <f>IFERROR(__xludf.DUMMYFUNCTION("""COMPUTED_VALUE"""),355752.0)</f>
        <v>355752</v>
      </c>
    </row>
    <row r="513">
      <c r="A513" s="2">
        <f>IFERROR(__xludf.DUMMYFUNCTION("""COMPUTED_VALUE"""),41297.645833333336)</f>
        <v>41297.64583</v>
      </c>
      <c r="B513" s="1">
        <f>IFERROR(__xludf.DUMMYFUNCTION("""COMPUTED_VALUE"""),60428.22)</f>
        <v>60428.22</v>
      </c>
      <c r="C513" s="1">
        <f>IFERROR(__xludf.DUMMYFUNCTION("""COMPUTED_VALUE"""),61286.23)</f>
        <v>61286.23</v>
      </c>
      <c r="D513" s="1">
        <f>IFERROR(__xludf.DUMMYFUNCTION("""COMPUTED_VALUE"""),59937.93)</f>
        <v>59937.93</v>
      </c>
      <c r="E513" s="1">
        <f>IFERROR(__xludf.DUMMYFUNCTION("""COMPUTED_VALUE"""),60673.36)</f>
        <v>60673.36</v>
      </c>
      <c r="F513" s="1">
        <f>IFERROR(__xludf.DUMMYFUNCTION("""COMPUTED_VALUE"""),198255.0)</f>
        <v>198255</v>
      </c>
    </row>
    <row r="514">
      <c r="A514" s="2">
        <f>IFERROR(__xludf.DUMMYFUNCTION("""COMPUTED_VALUE"""),41298.645833333336)</f>
        <v>41298.64583</v>
      </c>
      <c r="B514" s="1">
        <f>IFERROR(__xludf.DUMMYFUNCTION("""COMPUTED_VALUE"""),60918.51)</f>
        <v>60918.51</v>
      </c>
      <c r="C514" s="1">
        <f>IFERROR(__xludf.DUMMYFUNCTION("""COMPUTED_VALUE"""),61041.08)</f>
        <v>61041.08</v>
      </c>
      <c r="D514" s="1">
        <f>IFERROR(__xludf.DUMMYFUNCTION("""COMPUTED_VALUE"""),60060.5)</f>
        <v>60060.5</v>
      </c>
      <c r="E514" s="1">
        <f>IFERROR(__xludf.DUMMYFUNCTION("""COMPUTED_VALUE"""),60550.79)</f>
        <v>60550.79</v>
      </c>
      <c r="F514" s="1">
        <f>IFERROR(__xludf.DUMMYFUNCTION("""COMPUTED_VALUE"""),134144.0)</f>
        <v>134144</v>
      </c>
    </row>
    <row r="515">
      <c r="A515" s="2">
        <f>IFERROR(__xludf.DUMMYFUNCTION("""COMPUTED_VALUE"""),41299.645833333336)</f>
        <v>41299.64583</v>
      </c>
      <c r="B515" s="1">
        <f>IFERROR(__xludf.DUMMYFUNCTION("""COMPUTED_VALUE"""),60550.79)</f>
        <v>60550.79</v>
      </c>
      <c r="C515" s="1">
        <f>IFERROR(__xludf.DUMMYFUNCTION("""COMPUTED_VALUE"""),60918.51)</f>
        <v>60918.51</v>
      </c>
      <c r="D515" s="1">
        <f>IFERROR(__xludf.DUMMYFUNCTION("""COMPUTED_VALUE"""),58834.78)</f>
        <v>58834.78</v>
      </c>
      <c r="E515" s="1">
        <f>IFERROR(__xludf.DUMMYFUNCTION("""COMPUTED_VALUE"""),60918.51)</f>
        <v>60918.51</v>
      </c>
      <c r="F515" s="1">
        <f>IFERROR(__xludf.DUMMYFUNCTION("""COMPUTED_VALUE"""),172868.0)</f>
        <v>172868</v>
      </c>
    </row>
    <row r="516">
      <c r="A516" s="2">
        <f>IFERROR(__xludf.DUMMYFUNCTION("""COMPUTED_VALUE"""),41302.645833333336)</f>
        <v>41302.64583</v>
      </c>
      <c r="B516" s="1">
        <f>IFERROR(__xludf.DUMMYFUNCTION("""COMPUTED_VALUE"""),61163.65)</f>
        <v>61163.65</v>
      </c>
      <c r="C516" s="1">
        <f>IFERROR(__xludf.DUMMYFUNCTION("""COMPUTED_VALUE"""),61531.37)</f>
        <v>61531.37</v>
      </c>
      <c r="D516" s="1">
        <f>IFERROR(__xludf.DUMMYFUNCTION("""COMPUTED_VALUE"""),60305.65)</f>
        <v>60305.65</v>
      </c>
      <c r="E516" s="1">
        <f>IFERROR(__xludf.DUMMYFUNCTION("""COMPUTED_VALUE"""),61041.08)</f>
        <v>61041.08</v>
      </c>
      <c r="F516" s="1">
        <f>IFERROR(__xludf.DUMMYFUNCTION("""COMPUTED_VALUE"""),136429.0)</f>
        <v>136429</v>
      </c>
    </row>
    <row r="517">
      <c r="A517" s="2">
        <f>IFERROR(__xludf.DUMMYFUNCTION("""COMPUTED_VALUE"""),41303.645833333336)</f>
        <v>41303.64583</v>
      </c>
      <c r="B517" s="1">
        <f>IFERROR(__xludf.DUMMYFUNCTION("""COMPUTED_VALUE"""),61163.65)</f>
        <v>61163.65</v>
      </c>
      <c r="C517" s="1">
        <f>IFERROR(__xludf.DUMMYFUNCTION("""COMPUTED_VALUE"""),61163.65)</f>
        <v>61163.65</v>
      </c>
      <c r="D517" s="1">
        <f>IFERROR(__xludf.DUMMYFUNCTION("""COMPUTED_VALUE"""),58834.78)</f>
        <v>58834.78</v>
      </c>
      <c r="E517" s="1">
        <f>IFERROR(__xludf.DUMMYFUNCTION("""COMPUTED_VALUE"""),59447.64)</f>
        <v>59447.64</v>
      </c>
      <c r="F517" s="1">
        <f>IFERROR(__xludf.DUMMYFUNCTION("""COMPUTED_VALUE"""),239643.0)</f>
        <v>239643</v>
      </c>
    </row>
    <row r="518">
      <c r="A518" s="2">
        <f>IFERROR(__xludf.DUMMYFUNCTION("""COMPUTED_VALUE"""),41304.645833333336)</f>
        <v>41304.64583</v>
      </c>
      <c r="B518" s="1">
        <f>IFERROR(__xludf.DUMMYFUNCTION("""COMPUTED_VALUE"""),59570.21)</f>
        <v>59570.21</v>
      </c>
      <c r="C518" s="1">
        <f>IFERROR(__xludf.DUMMYFUNCTION("""COMPUTED_VALUE"""),60428.22)</f>
        <v>60428.22</v>
      </c>
      <c r="D518" s="1">
        <f>IFERROR(__xludf.DUMMYFUNCTION("""COMPUTED_VALUE"""),59079.92)</f>
        <v>59079.92</v>
      </c>
      <c r="E518" s="1">
        <f>IFERROR(__xludf.DUMMYFUNCTION("""COMPUTED_VALUE"""),59937.93)</f>
        <v>59937.93</v>
      </c>
      <c r="F518" s="1">
        <f>IFERROR(__xludf.DUMMYFUNCTION("""COMPUTED_VALUE"""),195035.0)</f>
        <v>195035</v>
      </c>
    </row>
    <row r="519">
      <c r="A519" s="2">
        <f>IFERROR(__xludf.DUMMYFUNCTION("""COMPUTED_VALUE"""),41305.645833333336)</f>
        <v>41305.64583</v>
      </c>
      <c r="B519" s="1">
        <f>IFERROR(__xludf.DUMMYFUNCTION("""COMPUTED_VALUE"""),59570.21)</f>
        <v>59570.21</v>
      </c>
      <c r="C519" s="1">
        <f>IFERROR(__xludf.DUMMYFUNCTION("""COMPUTED_VALUE"""),60428.22)</f>
        <v>60428.22</v>
      </c>
      <c r="D519" s="1">
        <f>IFERROR(__xludf.DUMMYFUNCTION("""COMPUTED_VALUE"""),58589.63)</f>
        <v>58589.63</v>
      </c>
      <c r="E519" s="1">
        <f>IFERROR(__xludf.DUMMYFUNCTION("""COMPUTED_VALUE"""),59079.92)</f>
        <v>59079.92</v>
      </c>
      <c r="F519" s="1">
        <f>IFERROR(__xludf.DUMMYFUNCTION("""COMPUTED_VALUE"""),219159.0)</f>
        <v>219159</v>
      </c>
    </row>
    <row r="520">
      <c r="A520" s="2">
        <f>IFERROR(__xludf.DUMMYFUNCTION("""COMPUTED_VALUE"""),41306.645833333336)</f>
        <v>41306.64583</v>
      </c>
      <c r="B520" s="1">
        <f>IFERROR(__xludf.DUMMYFUNCTION("""COMPUTED_VALUE"""),59325.07)</f>
        <v>59325.07</v>
      </c>
      <c r="C520" s="1">
        <f>IFERROR(__xludf.DUMMYFUNCTION("""COMPUTED_VALUE"""),60550.79)</f>
        <v>60550.79</v>
      </c>
      <c r="D520" s="1">
        <f>IFERROR(__xludf.DUMMYFUNCTION("""COMPUTED_VALUE"""),59325.07)</f>
        <v>59325.07</v>
      </c>
      <c r="E520" s="1">
        <f>IFERROR(__xludf.DUMMYFUNCTION("""COMPUTED_VALUE"""),60305.65)</f>
        <v>60305.65</v>
      </c>
      <c r="F520" s="1">
        <f>IFERROR(__xludf.DUMMYFUNCTION("""COMPUTED_VALUE"""),209171.0)</f>
        <v>209171</v>
      </c>
    </row>
    <row r="521">
      <c r="A521" s="2">
        <f>IFERROR(__xludf.DUMMYFUNCTION("""COMPUTED_VALUE"""),41309.645833333336)</f>
        <v>41309.64583</v>
      </c>
      <c r="B521" s="1">
        <f>IFERROR(__xludf.DUMMYFUNCTION("""COMPUTED_VALUE"""),61163.65)</f>
        <v>61163.65</v>
      </c>
      <c r="C521" s="1">
        <f>IFERROR(__xludf.DUMMYFUNCTION("""COMPUTED_VALUE"""),61163.65)</f>
        <v>61163.65</v>
      </c>
      <c r="D521" s="1">
        <f>IFERROR(__xludf.DUMMYFUNCTION("""COMPUTED_VALUE"""),59202.49)</f>
        <v>59202.49</v>
      </c>
      <c r="E521" s="1">
        <f>IFERROR(__xludf.DUMMYFUNCTION("""COMPUTED_VALUE"""),59570.21)</f>
        <v>59570.21</v>
      </c>
      <c r="F521" s="1">
        <f>IFERROR(__xludf.DUMMYFUNCTION("""COMPUTED_VALUE"""),112056.0)</f>
        <v>112056</v>
      </c>
    </row>
    <row r="522">
      <c r="A522" s="2">
        <f>IFERROR(__xludf.DUMMYFUNCTION("""COMPUTED_VALUE"""),41310.645833333336)</f>
        <v>41310.64583</v>
      </c>
      <c r="B522" s="1">
        <f>IFERROR(__xludf.DUMMYFUNCTION("""COMPUTED_VALUE"""),57731.63)</f>
        <v>57731.63</v>
      </c>
      <c r="C522" s="1">
        <f>IFERROR(__xludf.DUMMYFUNCTION("""COMPUTED_VALUE"""),58589.63)</f>
        <v>58589.63</v>
      </c>
      <c r="D522" s="1">
        <f>IFERROR(__xludf.DUMMYFUNCTION("""COMPUTED_VALUE"""),56260.76)</f>
        <v>56260.76</v>
      </c>
      <c r="E522" s="1">
        <f>IFERROR(__xludf.DUMMYFUNCTION("""COMPUTED_VALUE"""),56751.05)</f>
        <v>56751.05</v>
      </c>
      <c r="F522" s="1">
        <f>IFERROR(__xludf.DUMMYFUNCTION("""COMPUTED_VALUE"""),398162.0)</f>
        <v>398162</v>
      </c>
    </row>
    <row r="523">
      <c r="A523" s="2">
        <f>IFERROR(__xludf.DUMMYFUNCTION("""COMPUTED_VALUE"""),41311.645833333336)</f>
        <v>41311.64583</v>
      </c>
      <c r="B523" s="1">
        <f>IFERROR(__xludf.DUMMYFUNCTION("""COMPUTED_VALUE"""),56260.76)</f>
        <v>56260.76</v>
      </c>
      <c r="C523" s="1">
        <f>IFERROR(__xludf.DUMMYFUNCTION("""COMPUTED_VALUE"""),56628.47)</f>
        <v>56628.47</v>
      </c>
      <c r="D523" s="1">
        <f>IFERROR(__xludf.DUMMYFUNCTION("""COMPUTED_VALUE"""),54054.45)</f>
        <v>54054.45</v>
      </c>
      <c r="E523" s="1">
        <f>IFERROR(__xludf.DUMMYFUNCTION("""COMPUTED_VALUE"""),55525.32)</f>
        <v>55525.32</v>
      </c>
      <c r="F523" s="1">
        <f>IFERROR(__xludf.DUMMYFUNCTION("""COMPUTED_VALUE"""),448172.0)</f>
        <v>448172</v>
      </c>
    </row>
    <row r="524">
      <c r="A524" s="2">
        <f>IFERROR(__xludf.DUMMYFUNCTION("""COMPUTED_VALUE"""),41312.645833333336)</f>
        <v>41312.64583</v>
      </c>
      <c r="B524" s="1">
        <f>IFERROR(__xludf.DUMMYFUNCTION("""COMPUTED_VALUE"""),56138.18)</f>
        <v>56138.18</v>
      </c>
      <c r="C524" s="1">
        <f>IFERROR(__xludf.DUMMYFUNCTION("""COMPUTED_VALUE"""),58834.78)</f>
        <v>58834.78</v>
      </c>
      <c r="D524" s="1">
        <f>IFERROR(__xludf.DUMMYFUNCTION("""COMPUTED_VALUE"""),54667.31)</f>
        <v>54667.31</v>
      </c>
      <c r="E524" s="1">
        <f>IFERROR(__xludf.DUMMYFUNCTION("""COMPUTED_VALUE"""),57241.34)</f>
        <v>57241.34</v>
      </c>
      <c r="F524" s="1">
        <f>IFERROR(__xludf.DUMMYFUNCTION("""COMPUTED_VALUE"""),661508.0)</f>
        <v>661508</v>
      </c>
    </row>
    <row r="525">
      <c r="A525" s="2">
        <f>IFERROR(__xludf.DUMMYFUNCTION("""COMPUTED_VALUE"""),41313.645833333336)</f>
        <v>41313.64583</v>
      </c>
      <c r="B525" s="1">
        <f>IFERROR(__xludf.DUMMYFUNCTION("""COMPUTED_VALUE"""),57609.05)</f>
        <v>57609.05</v>
      </c>
      <c r="C525" s="1">
        <f>IFERROR(__xludf.DUMMYFUNCTION("""COMPUTED_VALUE"""),59079.92)</f>
        <v>59079.92</v>
      </c>
      <c r="D525" s="1">
        <f>IFERROR(__xludf.DUMMYFUNCTION("""COMPUTED_VALUE"""),57609.05)</f>
        <v>57609.05</v>
      </c>
      <c r="E525" s="1">
        <f>IFERROR(__xludf.DUMMYFUNCTION("""COMPUTED_VALUE"""),57854.2)</f>
        <v>57854.2</v>
      </c>
      <c r="F525" s="1">
        <f>IFERROR(__xludf.DUMMYFUNCTION("""COMPUTED_VALUE"""),365567.0)</f>
        <v>365567</v>
      </c>
    </row>
    <row r="526">
      <c r="A526" s="2">
        <f>IFERROR(__xludf.DUMMYFUNCTION("""COMPUTED_VALUE"""),41317.645833333336)</f>
        <v>41317.64583</v>
      </c>
      <c r="B526" s="1">
        <f>IFERROR(__xludf.DUMMYFUNCTION("""COMPUTED_VALUE"""),58344.49)</f>
        <v>58344.49</v>
      </c>
      <c r="C526" s="1">
        <f>IFERROR(__xludf.DUMMYFUNCTION("""COMPUTED_VALUE"""),58957.35)</f>
        <v>58957.35</v>
      </c>
      <c r="D526" s="1">
        <f>IFERROR(__xludf.DUMMYFUNCTION("""COMPUTED_VALUE"""),56873.62)</f>
        <v>56873.62</v>
      </c>
      <c r="E526" s="1">
        <f>IFERROR(__xludf.DUMMYFUNCTION("""COMPUTED_VALUE"""),57609.05)</f>
        <v>57609.05</v>
      </c>
      <c r="F526" s="1">
        <f>IFERROR(__xludf.DUMMYFUNCTION("""COMPUTED_VALUE"""),190114.0)</f>
        <v>190114</v>
      </c>
    </row>
    <row r="527">
      <c r="A527" s="2">
        <f>IFERROR(__xludf.DUMMYFUNCTION("""COMPUTED_VALUE"""),41318.645833333336)</f>
        <v>41318.64583</v>
      </c>
      <c r="B527" s="1">
        <f>IFERROR(__xludf.DUMMYFUNCTION("""COMPUTED_VALUE"""),58221.91)</f>
        <v>58221.91</v>
      </c>
      <c r="C527" s="1">
        <f>IFERROR(__xludf.DUMMYFUNCTION("""COMPUTED_VALUE"""),59815.36)</f>
        <v>59815.36</v>
      </c>
      <c r="D527" s="1">
        <f>IFERROR(__xludf.DUMMYFUNCTION("""COMPUTED_VALUE"""),57854.2)</f>
        <v>57854.2</v>
      </c>
      <c r="E527" s="1">
        <f>IFERROR(__xludf.DUMMYFUNCTION("""COMPUTED_VALUE"""),59692.78)</f>
        <v>59692.78</v>
      </c>
      <c r="F527" s="1">
        <f>IFERROR(__xludf.DUMMYFUNCTION("""COMPUTED_VALUE"""),176236.0)</f>
        <v>176236</v>
      </c>
    </row>
    <row r="528">
      <c r="A528" s="2">
        <f>IFERROR(__xludf.DUMMYFUNCTION("""COMPUTED_VALUE"""),41319.645833333336)</f>
        <v>41319.64583</v>
      </c>
      <c r="B528" s="1">
        <f>IFERROR(__xludf.DUMMYFUNCTION("""COMPUTED_VALUE"""),60060.5)</f>
        <v>60060.5</v>
      </c>
      <c r="C528" s="1">
        <f>IFERROR(__xludf.DUMMYFUNCTION("""COMPUTED_VALUE"""),60918.51)</f>
        <v>60918.51</v>
      </c>
      <c r="D528" s="1">
        <f>IFERROR(__xludf.DUMMYFUNCTION("""COMPUTED_VALUE"""),59202.49)</f>
        <v>59202.49</v>
      </c>
      <c r="E528" s="1">
        <f>IFERROR(__xludf.DUMMYFUNCTION("""COMPUTED_VALUE"""),59570.21)</f>
        <v>59570.21</v>
      </c>
      <c r="F528" s="1">
        <f>IFERROR(__xludf.DUMMYFUNCTION("""COMPUTED_VALUE"""),183484.0)</f>
        <v>183484</v>
      </c>
    </row>
    <row r="529">
      <c r="A529" s="2">
        <f>IFERROR(__xludf.DUMMYFUNCTION("""COMPUTED_VALUE"""),41320.645833333336)</f>
        <v>41320.64583</v>
      </c>
      <c r="B529" s="1">
        <f>IFERROR(__xludf.DUMMYFUNCTION("""COMPUTED_VALUE"""),60550.79)</f>
        <v>60550.79</v>
      </c>
      <c r="C529" s="1">
        <f>IFERROR(__xludf.DUMMYFUNCTION("""COMPUTED_VALUE"""),60550.79)</f>
        <v>60550.79</v>
      </c>
      <c r="D529" s="1">
        <f>IFERROR(__xludf.DUMMYFUNCTION("""COMPUTED_VALUE"""),59570.21)</f>
        <v>59570.21</v>
      </c>
      <c r="E529" s="1">
        <f>IFERROR(__xludf.DUMMYFUNCTION("""COMPUTED_VALUE"""),60428.22)</f>
        <v>60428.22</v>
      </c>
      <c r="F529" s="1">
        <f>IFERROR(__xludf.DUMMYFUNCTION("""COMPUTED_VALUE"""),116201.0)</f>
        <v>116201</v>
      </c>
    </row>
    <row r="530">
      <c r="A530" s="2">
        <f>IFERROR(__xludf.DUMMYFUNCTION("""COMPUTED_VALUE"""),41323.645833333336)</f>
        <v>41323.64583</v>
      </c>
      <c r="B530" s="1">
        <f>IFERROR(__xludf.DUMMYFUNCTION("""COMPUTED_VALUE"""),60795.94)</f>
        <v>60795.94</v>
      </c>
      <c r="C530" s="1">
        <f>IFERROR(__xludf.DUMMYFUNCTION("""COMPUTED_VALUE"""),61041.08)</f>
        <v>61041.08</v>
      </c>
      <c r="D530" s="1">
        <f>IFERROR(__xludf.DUMMYFUNCTION("""COMPUTED_VALUE"""),59937.93)</f>
        <v>59937.93</v>
      </c>
      <c r="E530" s="1">
        <f>IFERROR(__xludf.DUMMYFUNCTION("""COMPUTED_VALUE"""),60183.07)</f>
        <v>60183.07</v>
      </c>
      <c r="F530" s="1">
        <f>IFERROR(__xludf.DUMMYFUNCTION("""COMPUTED_VALUE"""),96916.0)</f>
        <v>96916</v>
      </c>
    </row>
    <row r="531">
      <c r="A531" s="2">
        <f>IFERROR(__xludf.DUMMYFUNCTION("""COMPUTED_VALUE"""),41324.645833333336)</f>
        <v>41324.64583</v>
      </c>
      <c r="B531" s="1">
        <f>IFERROR(__xludf.DUMMYFUNCTION("""COMPUTED_VALUE"""),60550.79)</f>
        <v>60550.79</v>
      </c>
      <c r="C531" s="1">
        <f>IFERROR(__xludf.DUMMYFUNCTION("""COMPUTED_VALUE"""),61041.08)</f>
        <v>61041.08</v>
      </c>
      <c r="D531" s="1">
        <f>IFERROR(__xludf.DUMMYFUNCTION("""COMPUTED_VALUE"""),59815.36)</f>
        <v>59815.36</v>
      </c>
      <c r="E531" s="1">
        <f>IFERROR(__xludf.DUMMYFUNCTION("""COMPUTED_VALUE"""),60795.94)</f>
        <v>60795.94</v>
      </c>
      <c r="F531" s="1">
        <f>IFERROR(__xludf.DUMMYFUNCTION("""COMPUTED_VALUE"""),139704.0)</f>
        <v>139704</v>
      </c>
    </row>
    <row r="532">
      <c r="A532" s="2">
        <f>IFERROR(__xludf.DUMMYFUNCTION("""COMPUTED_VALUE"""),41325.645833333336)</f>
        <v>41325.64583</v>
      </c>
      <c r="B532" s="1">
        <f>IFERROR(__xludf.DUMMYFUNCTION("""COMPUTED_VALUE"""),61286.23)</f>
        <v>61286.23</v>
      </c>
      <c r="C532" s="1">
        <f>IFERROR(__xludf.DUMMYFUNCTION("""COMPUTED_VALUE"""),64350.54)</f>
        <v>64350.54</v>
      </c>
      <c r="D532" s="1">
        <f>IFERROR(__xludf.DUMMYFUNCTION("""COMPUTED_VALUE"""),61286.23)</f>
        <v>61286.23</v>
      </c>
      <c r="E532" s="1">
        <f>IFERROR(__xludf.DUMMYFUNCTION("""COMPUTED_VALUE"""),64105.39)</f>
        <v>64105.39</v>
      </c>
      <c r="F532" s="1">
        <f>IFERROR(__xludf.DUMMYFUNCTION("""COMPUTED_VALUE"""),425793.0)</f>
        <v>425793</v>
      </c>
    </row>
    <row r="533">
      <c r="A533" s="2">
        <f>IFERROR(__xludf.DUMMYFUNCTION("""COMPUTED_VALUE"""),41326.645833333336)</f>
        <v>41326.64583</v>
      </c>
      <c r="B533" s="1">
        <f>IFERROR(__xludf.DUMMYFUNCTION("""COMPUTED_VALUE"""),64105.39)</f>
        <v>64105.39</v>
      </c>
      <c r="C533" s="1">
        <f>IFERROR(__xludf.DUMMYFUNCTION("""COMPUTED_VALUE"""),64595.68)</f>
        <v>64595.68</v>
      </c>
      <c r="D533" s="1">
        <f>IFERROR(__xludf.DUMMYFUNCTION("""COMPUTED_VALUE"""),63247.39)</f>
        <v>63247.39</v>
      </c>
      <c r="E533" s="1">
        <f>IFERROR(__xludf.DUMMYFUNCTION("""COMPUTED_VALUE"""),64105.39)</f>
        <v>64105.39</v>
      </c>
      <c r="F533" s="1">
        <f>IFERROR(__xludf.DUMMYFUNCTION("""COMPUTED_VALUE"""),195343.0)</f>
        <v>195343</v>
      </c>
    </row>
    <row r="534">
      <c r="A534" s="2">
        <f>IFERROR(__xludf.DUMMYFUNCTION("""COMPUTED_VALUE"""),41327.645833333336)</f>
        <v>41327.64583</v>
      </c>
      <c r="B534" s="1">
        <f>IFERROR(__xludf.DUMMYFUNCTION("""COMPUTED_VALUE"""),64473.11)</f>
        <v>64473.11</v>
      </c>
      <c r="C534" s="1">
        <f>IFERROR(__xludf.DUMMYFUNCTION("""COMPUTED_VALUE"""),65453.69)</f>
        <v>65453.69</v>
      </c>
      <c r="D534" s="1">
        <f>IFERROR(__xludf.DUMMYFUNCTION("""COMPUTED_VALUE"""),63982.82)</f>
        <v>63982.82</v>
      </c>
      <c r="E534" s="1">
        <f>IFERROR(__xludf.DUMMYFUNCTION("""COMPUTED_VALUE"""),64595.68)</f>
        <v>64595.68</v>
      </c>
      <c r="F534" s="1">
        <f>IFERROR(__xludf.DUMMYFUNCTION("""COMPUTED_VALUE"""),273490.0)</f>
        <v>273490</v>
      </c>
    </row>
    <row r="535">
      <c r="A535" s="2">
        <f>IFERROR(__xludf.DUMMYFUNCTION("""COMPUTED_VALUE"""),41330.645833333336)</f>
        <v>41330.64583</v>
      </c>
      <c r="B535" s="1">
        <f>IFERROR(__xludf.DUMMYFUNCTION("""COMPUTED_VALUE"""),64595.68)</f>
        <v>64595.68</v>
      </c>
      <c r="C535" s="1">
        <f>IFERROR(__xludf.DUMMYFUNCTION("""COMPUTED_VALUE"""),64840.83)</f>
        <v>64840.83</v>
      </c>
      <c r="D535" s="1">
        <f>IFERROR(__xludf.DUMMYFUNCTION("""COMPUTED_VALUE"""),63737.68)</f>
        <v>63737.68</v>
      </c>
      <c r="E535" s="1">
        <f>IFERROR(__xludf.DUMMYFUNCTION("""COMPUTED_VALUE"""),64350.54)</f>
        <v>64350.54</v>
      </c>
      <c r="F535" s="1">
        <f>IFERROR(__xludf.DUMMYFUNCTION("""COMPUTED_VALUE"""),130065.0)</f>
        <v>130065</v>
      </c>
    </row>
    <row r="536">
      <c r="A536" s="2">
        <f>IFERROR(__xludf.DUMMYFUNCTION("""COMPUTED_VALUE"""),41331.645833333336)</f>
        <v>41331.64583</v>
      </c>
      <c r="B536" s="1">
        <f>IFERROR(__xludf.DUMMYFUNCTION("""COMPUTED_VALUE"""),63860.25)</f>
        <v>63860.25</v>
      </c>
      <c r="C536" s="1">
        <f>IFERROR(__xludf.DUMMYFUNCTION("""COMPUTED_VALUE"""),65208.54)</f>
        <v>65208.54</v>
      </c>
      <c r="D536" s="1">
        <f>IFERROR(__xludf.DUMMYFUNCTION("""COMPUTED_VALUE"""),63860.25)</f>
        <v>63860.25</v>
      </c>
      <c r="E536" s="1">
        <f>IFERROR(__xludf.DUMMYFUNCTION("""COMPUTED_VALUE"""),64840.83)</f>
        <v>64840.83</v>
      </c>
      <c r="F536" s="1">
        <f>IFERROR(__xludf.DUMMYFUNCTION("""COMPUTED_VALUE"""),188307.0)</f>
        <v>188307</v>
      </c>
    </row>
    <row r="537">
      <c r="A537" s="2">
        <f>IFERROR(__xludf.DUMMYFUNCTION("""COMPUTED_VALUE"""),41332.645833333336)</f>
        <v>41332.64583</v>
      </c>
      <c r="B537" s="1">
        <f>IFERROR(__xludf.DUMMYFUNCTION("""COMPUTED_VALUE"""),65453.69)</f>
        <v>65453.69</v>
      </c>
      <c r="C537" s="1">
        <f>IFERROR(__xludf.DUMMYFUNCTION("""COMPUTED_VALUE"""),65576.26)</f>
        <v>65576.26</v>
      </c>
      <c r="D537" s="1">
        <f>IFERROR(__xludf.DUMMYFUNCTION("""COMPUTED_VALUE"""),63982.82)</f>
        <v>63982.82</v>
      </c>
      <c r="E537" s="1">
        <f>IFERROR(__xludf.DUMMYFUNCTION("""COMPUTED_VALUE"""),64718.25)</f>
        <v>64718.25</v>
      </c>
      <c r="F537" s="1">
        <f>IFERROR(__xludf.DUMMYFUNCTION("""COMPUTED_VALUE"""),88984.0)</f>
        <v>88984</v>
      </c>
    </row>
    <row r="538">
      <c r="A538" s="2">
        <f>IFERROR(__xludf.DUMMYFUNCTION("""COMPUTED_VALUE"""),41333.645833333336)</f>
        <v>41333.64583</v>
      </c>
      <c r="B538" s="1">
        <f>IFERROR(__xludf.DUMMYFUNCTION("""COMPUTED_VALUE"""),65085.97)</f>
        <v>65085.97</v>
      </c>
      <c r="C538" s="1">
        <f>IFERROR(__xludf.DUMMYFUNCTION("""COMPUTED_VALUE"""),65453.69)</f>
        <v>65453.69</v>
      </c>
      <c r="D538" s="1">
        <f>IFERROR(__xludf.DUMMYFUNCTION("""COMPUTED_VALUE"""),63492.53)</f>
        <v>63492.53</v>
      </c>
      <c r="E538" s="1">
        <f>IFERROR(__xludf.DUMMYFUNCTION("""COMPUTED_VALUE"""),64473.11)</f>
        <v>64473.11</v>
      </c>
      <c r="F538" s="1">
        <f>IFERROR(__xludf.DUMMYFUNCTION("""COMPUTED_VALUE"""),180142.0)</f>
        <v>180142</v>
      </c>
    </row>
    <row r="539">
      <c r="A539" s="2">
        <f>IFERROR(__xludf.DUMMYFUNCTION("""COMPUTED_VALUE"""),41337.645833333336)</f>
        <v>41337.64583</v>
      </c>
      <c r="B539" s="1">
        <f>IFERROR(__xludf.DUMMYFUNCTION("""COMPUTED_VALUE"""),65821.41)</f>
        <v>65821.41</v>
      </c>
      <c r="C539" s="1">
        <f>IFERROR(__xludf.DUMMYFUNCTION("""COMPUTED_VALUE"""),67659.99)</f>
        <v>67659.99</v>
      </c>
      <c r="D539" s="1">
        <f>IFERROR(__xludf.DUMMYFUNCTION("""COMPUTED_VALUE"""),65821.41)</f>
        <v>65821.41</v>
      </c>
      <c r="E539" s="1">
        <f>IFERROR(__xludf.DUMMYFUNCTION("""COMPUTED_VALUE"""),67414.85)</f>
        <v>67414.85</v>
      </c>
      <c r="F539" s="1">
        <f>IFERROR(__xludf.DUMMYFUNCTION("""COMPUTED_VALUE"""),340339.0)</f>
        <v>340339</v>
      </c>
    </row>
    <row r="540">
      <c r="A540" s="2">
        <f>IFERROR(__xludf.DUMMYFUNCTION("""COMPUTED_VALUE"""),41338.645833333336)</f>
        <v>41338.64583</v>
      </c>
      <c r="B540" s="1">
        <f>IFERROR(__xludf.DUMMYFUNCTION("""COMPUTED_VALUE"""),68640.57)</f>
        <v>68640.57</v>
      </c>
      <c r="C540" s="1">
        <f>IFERROR(__xludf.DUMMYFUNCTION("""COMPUTED_VALUE"""),69253.44)</f>
        <v>69253.44</v>
      </c>
      <c r="D540" s="1">
        <f>IFERROR(__xludf.DUMMYFUNCTION("""COMPUTED_VALUE"""),67292.28)</f>
        <v>67292.28</v>
      </c>
      <c r="E540" s="1">
        <f>IFERROR(__xludf.DUMMYFUNCTION("""COMPUTED_VALUE"""),67292.28)</f>
        <v>67292.28</v>
      </c>
      <c r="F540" s="1">
        <f>IFERROR(__xludf.DUMMYFUNCTION("""COMPUTED_VALUE"""),197976.0)</f>
        <v>197976</v>
      </c>
    </row>
    <row r="541">
      <c r="A541" s="2">
        <f>IFERROR(__xludf.DUMMYFUNCTION("""COMPUTED_VALUE"""),41339.645833333336)</f>
        <v>41339.64583</v>
      </c>
      <c r="B541" s="1">
        <f>IFERROR(__xludf.DUMMYFUNCTION("""COMPUTED_VALUE"""),67169.7)</f>
        <v>67169.7</v>
      </c>
      <c r="C541" s="1">
        <f>IFERROR(__xludf.DUMMYFUNCTION("""COMPUTED_VALUE"""),67659.99)</f>
        <v>67659.99</v>
      </c>
      <c r="D541" s="1">
        <f>IFERROR(__xludf.DUMMYFUNCTION("""COMPUTED_VALUE"""),66189.12)</f>
        <v>66189.12</v>
      </c>
      <c r="E541" s="1">
        <f>IFERROR(__xludf.DUMMYFUNCTION("""COMPUTED_VALUE"""),66189.12)</f>
        <v>66189.12</v>
      </c>
      <c r="F541" s="1">
        <f>IFERROR(__xludf.DUMMYFUNCTION("""COMPUTED_VALUE"""),146668.0)</f>
        <v>146668</v>
      </c>
    </row>
    <row r="542">
      <c r="A542" s="2">
        <f>IFERROR(__xludf.DUMMYFUNCTION("""COMPUTED_VALUE"""),41340.645833333336)</f>
        <v>41340.64583</v>
      </c>
      <c r="B542" s="1">
        <f>IFERROR(__xludf.DUMMYFUNCTION("""COMPUTED_VALUE"""),65331.12)</f>
        <v>65331.12</v>
      </c>
      <c r="C542" s="1">
        <f>IFERROR(__xludf.DUMMYFUNCTION("""COMPUTED_VALUE"""),66679.41)</f>
        <v>66679.41</v>
      </c>
      <c r="D542" s="1">
        <f>IFERROR(__xludf.DUMMYFUNCTION("""COMPUTED_VALUE"""),64595.68)</f>
        <v>64595.68</v>
      </c>
      <c r="E542" s="1">
        <f>IFERROR(__xludf.DUMMYFUNCTION("""COMPUTED_VALUE"""),65698.83)</f>
        <v>65698.83</v>
      </c>
      <c r="F542" s="1">
        <f>IFERROR(__xludf.DUMMYFUNCTION("""COMPUTED_VALUE"""),238971.0)</f>
        <v>238971</v>
      </c>
    </row>
    <row r="543">
      <c r="A543" s="2">
        <f>IFERROR(__xludf.DUMMYFUNCTION("""COMPUTED_VALUE"""),41341.645833333336)</f>
        <v>41341.64583</v>
      </c>
      <c r="B543" s="1">
        <f>IFERROR(__xludf.DUMMYFUNCTION("""COMPUTED_VALUE"""),66801.99)</f>
        <v>66801.99</v>
      </c>
      <c r="C543" s="1">
        <f>IFERROR(__xludf.DUMMYFUNCTION("""COMPUTED_VALUE"""),67905.14)</f>
        <v>67905.14</v>
      </c>
      <c r="D543" s="1">
        <f>IFERROR(__xludf.DUMMYFUNCTION("""COMPUTED_VALUE"""),66066.55)</f>
        <v>66066.55</v>
      </c>
      <c r="E543" s="1">
        <f>IFERROR(__xludf.DUMMYFUNCTION("""COMPUTED_VALUE"""),67169.7)</f>
        <v>67169.7</v>
      </c>
      <c r="F543" s="1">
        <f>IFERROR(__xludf.DUMMYFUNCTION("""COMPUTED_VALUE"""),148588.0)</f>
        <v>148588</v>
      </c>
    </row>
    <row r="544">
      <c r="A544" s="2">
        <f>IFERROR(__xludf.DUMMYFUNCTION("""COMPUTED_VALUE"""),41344.645833333336)</f>
        <v>41344.64583</v>
      </c>
      <c r="B544" s="1">
        <f>IFERROR(__xludf.DUMMYFUNCTION("""COMPUTED_VALUE"""),66924.56)</f>
        <v>66924.56</v>
      </c>
      <c r="C544" s="1">
        <f>IFERROR(__xludf.DUMMYFUNCTION("""COMPUTED_VALUE"""),67537.42)</f>
        <v>67537.42</v>
      </c>
      <c r="D544" s="1">
        <f>IFERROR(__xludf.DUMMYFUNCTION("""COMPUTED_VALUE"""),63737.68)</f>
        <v>63737.68</v>
      </c>
      <c r="E544" s="1">
        <f>IFERROR(__xludf.DUMMYFUNCTION("""COMPUTED_VALUE"""),64718.25)</f>
        <v>64718.25</v>
      </c>
      <c r="F544" s="1">
        <f>IFERROR(__xludf.DUMMYFUNCTION("""COMPUTED_VALUE"""),381953.0)</f>
        <v>381953</v>
      </c>
    </row>
    <row r="545">
      <c r="A545" s="2">
        <f>IFERROR(__xludf.DUMMYFUNCTION("""COMPUTED_VALUE"""),41345.645833333336)</f>
        <v>41345.64583</v>
      </c>
      <c r="B545" s="1">
        <f>IFERROR(__xludf.DUMMYFUNCTION("""COMPUTED_VALUE"""),65453.69)</f>
        <v>65453.69</v>
      </c>
      <c r="C545" s="1">
        <f>IFERROR(__xludf.DUMMYFUNCTION("""COMPUTED_VALUE"""),65943.98)</f>
        <v>65943.98</v>
      </c>
      <c r="D545" s="1">
        <f>IFERROR(__xludf.DUMMYFUNCTION("""COMPUTED_VALUE"""),63492.53)</f>
        <v>63492.53</v>
      </c>
      <c r="E545" s="1">
        <f>IFERROR(__xludf.DUMMYFUNCTION("""COMPUTED_VALUE"""),64105.39)</f>
        <v>64105.39</v>
      </c>
      <c r="F545" s="1">
        <f>IFERROR(__xludf.DUMMYFUNCTION("""COMPUTED_VALUE"""),314925.0)</f>
        <v>314925</v>
      </c>
    </row>
    <row r="546">
      <c r="A546" s="2">
        <f>IFERROR(__xludf.DUMMYFUNCTION("""COMPUTED_VALUE"""),41346.645833333336)</f>
        <v>41346.64583</v>
      </c>
      <c r="B546" s="1">
        <f>IFERROR(__xludf.DUMMYFUNCTION("""COMPUTED_VALUE"""),64105.39)</f>
        <v>64105.39</v>
      </c>
      <c r="C546" s="1">
        <f>IFERROR(__xludf.DUMMYFUNCTION("""COMPUTED_VALUE"""),64840.83)</f>
        <v>64840.83</v>
      </c>
      <c r="D546" s="1">
        <f>IFERROR(__xludf.DUMMYFUNCTION("""COMPUTED_VALUE"""),63124.81)</f>
        <v>63124.81</v>
      </c>
      <c r="E546" s="1">
        <f>IFERROR(__xludf.DUMMYFUNCTION("""COMPUTED_VALUE"""),64840.83)</f>
        <v>64840.83</v>
      </c>
      <c r="F546" s="1">
        <f>IFERROR(__xludf.DUMMYFUNCTION("""COMPUTED_VALUE"""),214688.0)</f>
        <v>214688</v>
      </c>
    </row>
    <row r="547">
      <c r="A547" s="2">
        <f>IFERROR(__xludf.DUMMYFUNCTION("""COMPUTED_VALUE"""),41347.645833333336)</f>
        <v>41347.64583</v>
      </c>
      <c r="B547" s="1">
        <f>IFERROR(__xludf.DUMMYFUNCTION("""COMPUTED_VALUE"""),64963.4)</f>
        <v>64963.4</v>
      </c>
      <c r="C547" s="1">
        <f>IFERROR(__xludf.DUMMYFUNCTION("""COMPUTED_VALUE"""),65208.54)</f>
        <v>65208.54</v>
      </c>
      <c r="D547" s="1">
        <f>IFERROR(__xludf.DUMMYFUNCTION("""COMPUTED_VALUE"""),63982.82)</f>
        <v>63982.82</v>
      </c>
      <c r="E547" s="1">
        <f>IFERROR(__xludf.DUMMYFUNCTION("""COMPUTED_VALUE"""),64473.11)</f>
        <v>64473.11</v>
      </c>
      <c r="F547" s="1">
        <f>IFERROR(__xludf.DUMMYFUNCTION("""COMPUTED_VALUE"""),149477.0)</f>
        <v>149477</v>
      </c>
    </row>
    <row r="548">
      <c r="A548" s="2">
        <f>IFERROR(__xludf.DUMMYFUNCTION("""COMPUTED_VALUE"""),41348.645833333336)</f>
        <v>41348.64583</v>
      </c>
      <c r="B548" s="1">
        <f>IFERROR(__xludf.DUMMYFUNCTION("""COMPUTED_VALUE"""),65085.97)</f>
        <v>65085.97</v>
      </c>
      <c r="C548" s="1">
        <f>IFERROR(__xludf.DUMMYFUNCTION("""COMPUTED_VALUE"""),65698.83)</f>
        <v>65698.83</v>
      </c>
      <c r="D548" s="1">
        <f>IFERROR(__xludf.DUMMYFUNCTION("""COMPUTED_VALUE"""),64595.68)</f>
        <v>64595.68</v>
      </c>
      <c r="E548" s="1">
        <f>IFERROR(__xludf.DUMMYFUNCTION("""COMPUTED_VALUE"""),64595.68)</f>
        <v>64595.68</v>
      </c>
      <c r="F548" s="1">
        <f>IFERROR(__xludf.DUMMYFUNCTION("""COMPUTED_VALUE"""),149647.0)</f>
        <v>149647</v>
      </c>
    </row>
    <row r="549">
      <c r="A549" s="2">
        <f>IFERROR(__xludf.DUMMYFUNCTION("""COMPUTED_VALUE"""),41351.645833333336)</f>
        <v>41351.64583</v>
      </c>
      <c r="B549" s="1">
        <f>IFERROR(__xludf.DUMMYFUNCTION("""COMPUTED_VALUE"""),64840.83)</f>
        <v>64840.83</v>
      </c>
      <c r="C549" s="1">
        <f>IFERROR(__xludf.DUMMYFUNCTION("""COMPUTED_VALUE"""),66066.55)</f>
        <v>66066.55</v>
      </c>
      <c r="D549" s="1">
        <f>IFERROR(__xludf.DUMMYFUNCTION("""COMPUTED_VALUE"""),63982.82)</f>
        <v>63982.82</v>
      </c>
      <c r="E549" s="1">
        <f>IFERROR(__xludf.DUMMYFUNCTION("""COMPUTED_VALUE"""),64718.25)</f>
        <v>64718.25</v>
      </c>
      <c r="F549" s="1">
        <f>IFERROR(__xludf.DUMMYFUNCTION("""COMPUTED_VALUE"""),126283.0)</f>
        <v>126283</v>
      </c>
    </row>
    <row r="550">
      <c r="A550" s="2">
        <f>IFERROR(__xludf.DUMMYFUNCTION("""COMPUTED_VALUE"""),41352.645833333336)</f>
        <v>41352.64583</v>
      </c>
      <c r="B550" s="1">
        <f>IFERROR(__xludf.DUMMYFUNCTION("""COMPUTED_VALUE"""),65453.69)</f>
        <v>65453.69</v>
      </c>
      <c r="C550" s="1">
        <f>IFERROR(__xludf.DUMMYFUNCTION("""COMPUTED_VALUE"""),67414.85)</f>
        <v>67414.85</v>
      </c>
      <c r="D550" s="1">
        <f>IFERROR(__xludf.DUMMYFUNCTION("""COMPUTED_VALUE"""),65331.12)</f>
        <v>65331.12</v>
      </c>
      <c r="E550" s="1">
        <f>IFERROR(__xludf.DUMMYFUNCTION("""COMPUTED_VALUE"""),66924.56)</f>
        <v>66924.56</v>
      </c>
      <c r="F550" s="1">
        <f>IFERROR(__xludf.DUMMYFUNCTION("""COMPUTED_VALUE"""),181293.0)</f>
        <v>181293</v>
      </c>
    </row>
    <row r="551">
      <c r="A551" s="2">
        <f>IFERROR(__xludf.DUMMYFUNCTION("""COMPUTED_VALUE"""),41353.645833333336)</f>
        <v>41353.64583</v>
      </c>
      <c r="B551" s="1">
        <f>IFERROR(__xludf.DUMMYFUNCTION("""COMPUTED_VALUE"""),67047.13)</f>
        <v>67047.13</v>
      </c>
      <c r="C551" s="1">
        <f>IFERROR(__xludf.DUMMYFUNCTION("""COMPUTED_VALUE"""),67414.85)</f>
        <v>67414.85</v>
      </c>
      <c r="D551" s="1">
        <f>IFERROR(__xludf.DUMMYFUNCTION("""COMPUTED_VALUE"""),65453.69)</f>
        <v>65453.69</v>
      </c>
      <c r="E551" s="1">
        <f>IFERROR(__xludf.DUMMYFUNCTION("""COMPUTED_VALUE"""),65943.98)</f>
        <v>65943.98</v>
      </c>
      <c r="F551" s="1">
        <f>IFERROR(__xludf.DUMMYFUNCTION("""COMPUTED_VALUE"""),153006.0)</f>
        <v>153006</v>
      </c>
    </row>
    <row r="552">
      <c r="A552" s="2">
        <f>IFERROR(__xludf.DUMMYFUNCTION("""COMPUTED_VALUE"""),41354.645833333336)</f>
        <v>41354.64583</v>
      </c>
      <c r="B552" s="1">
        <f>IFERROR(__xludf.DUMMYFUNCTION("""COMPUTED_VALUE"""),67047.13)</f>
        <v>67047.13</v>
      </c>
      <c r="C552" s="1">
        <f>IFERROR(__xludf.DUMMYFUNCTION("""COMPUTED_VALUE"""),67414.85)</f>
        <v>67414.85</v>
      </c>
      <c r="D552" s="1">
        <f>IFERROR(__xludf.DUMMYFUNCTION("""COMPUTED_VALUE"""),65943.98)</f>
        <v>65943.98</v>
      </c>
      <c r="E552" s="1">
        <f>IFERROR(__xludf.DUMMYFUNCTION("""COMPUTED_VALUE"""),66434.27)</f>
        <v>66434.27</v>
      </c>
      <c r="F552" s="1">
        <f>IFERROR(__xludf.DUMMYFUNCTION("""COMPUTED_VALUE"""),130448.0)</f>
        <v>130448</v>
      </c>
    </row>
    <row r="553">
      <c r="A553" s="2">
        <f>IFERROR(__xludf.DUMMYFUNCTION("""COMPUTED_VALUE"""),41355.645833333336)</f>
        <v>41355.64583</v>
      </c>
      <c r="B553" s="1">
        <f>IFERROR(__xludf.DUMMYFUNCTION("""COMPUTED_VALUE"""),67047.13)</f>
        <v>67047.13</v>
      </c>
      <c r="C553" s="1">
        <f>IFERROR(__xludf.DUMMYFUNCTION("""COMPUTED_VALUE"""),67537.42)</f>
        <v>67537.42</v>
      </c>
      <c r="D553" s="1">
        <f>IFERROR(__xludf.DUMMYFUNCTION("""COMPUTED_VALUE"""),66189.12)</f>
        <v>66189.12</v>
      </c>
      <c r="E553" s="1">
        <f>IFERROR(__xludf.DUMMYFUNCTION("""COMPUTED_VALUE"""),67414.85)</f>
        <v>67414.85</v>
      </c>
      <c r="F553" s="1">
        <f>IFERROR(__xludf.DUMMYFUNCTION("""COMPUTED_VALUE"""),150783.0)</f>
        <v>150783</v>
      </c>
    </row>
    <row r="554">
      <c r="A554" s="2">
        <f>IFERROR(__xludf.DUMMYFUNCTION("""COMPUTED_VALUE"""),41358.645833333336)</f>
        <v>41358.64583</v>
      </c>
      <c r="B554" s="1">
        <f>IFERROR(__xludf.DUMMYFUNCTION("""COMPUTED_VALUE"""),67414.85)</f>
        <v>67414.85</v>
      </c>
      <c r="C554" s="1">
        <f>IFERROR(__xludf.DUMMYFUNCTION("""COMPUTED_VALUE"""),67414.85)</f>
        <v>67414.85</v>
      </c>
      <c r="D554" s="1">
        <f>IFERROR(__xludf.DUMMYFUNCTION("""COMPUTED_VALUE"""),66066.55)</f>
        <v>66066.55</v>
      </c>
      <c r="E554" s="1">
        <f>IFERROR(__xludf.DUMMYFUNCTION("""COMPUTED_VALUE"""),66311.7)</f>
        <v>66311.7</v>
      </c>
      <c r="F554" s="1">
        <f>IFERROR(__xludf.DUMMYFUNCTION("""COMPUTED_VALUE"""),120876.0)</f>
        <v>120876</v>
      </c>
    </row>
    <row r="555">
      <c r="A555" s="2">
        <f>IFERROR(__xludf.DUMMYFUNCTION("""COMPUTED_VALUE"""),41359.645833333336)</f>
        <v>41359.64583</v>
      </c>
      <c r="B555" s="1">
        <f>IFERROR(__xludf.DUMMYFUNCTION("""COMPUTED_VALUE"""),66556.84)</f>
        <v>66556.84</v>
      </c>
      <c r="C555" s="1">
        <f>IFERROR(__xludf.DUMMYFUNCTION("""COMPUTED_VALUE"""),66679.41)</f>
        <v>66679.41</v>
      </c>
      <c r="D555" s="1">
        <f>IFERROR(__xludf.DUMMYFUNCTION("""COMPUTED_VALUE"""),65208.54)</f>
        <v>65208.54</v>
      </c>
      <c r="E555" s="1">
        <f>IFERROR(__xludf.DUMMYFUNCTION("""COMPUTED_VALUE"""),65331.12)</f>
        <v>65331.12</v>
      </c>
      <c r="F555" s="1">
        <f>IFERROR(__xludf.DUMMYFUNCTION("""COMPUTED_VALUE"""),154192.0)</f>
        <v>154192</v>
      </c>
    </row>
    <row r="556">
      <c r="A556" s="2">
        <f>IFERROR(__xludf.DUMMYFUNCTION("""COMPUTED_VALUE"""),41360.645833333336)</f>
        <v>41360.64583</v>
      </c>
      <c r="B556" s="1">
        <f>IFERROR(__xludf.DUMMYFUNCTION("""COMPUTED_VALUE"""),65331.12)</f>
        <v>65331.12</v>
      </c>
      <c r="C556" s="1">
        <f>IFERROR(__xludf.DUMMYFUNCTION("""COMPUTED_VALUE"""),66434.27)</f>
        <v>66434.27</v>
      </c>
      <c r="D556" s="1">
        <f>IFERROR(__xludf.DUMMYFUNCTION("""COMPUTED_VALUE"""),64473.11)</f>
        <v>64473.11</v>
      </c>
      <c r="E556" s="1">
        <f>IFERROR(__xludf.DUMMYFUNCTION("""COMPUTED_VALUE"""),66189.12)</f>
        <v>66189.12</v>
      </c>
      <c r="F556" s="1">
        <f>IFERROR(__xludf.DUMMYFUNCTION("""COMPUTED_VALUE"""),161836.0)</f>
        <v>161836</v>
      </c>
    </row>
    <row r="557">
      <c r="A557" s="2">
        <f>IFERROR(__xludf.DUMMYFUNCTION("""COMPUTED_VALUE"""),41361.645833333336)</f>
        <v>41361.64583</v>
      </c>
      <c r="B557" s="1">
        <f>IFERROR(__xludf.DUMMYFUNCTION("""COMPUTED_VALUE"""),66679.41)</f>
        <v>66679.41</v>
      </c>
      <c r="C557" s="1">
        <f>IFERROR(__xludf.DUMMYFUNCTION("""COMPUTED_VALUE"""),66679.41)</f>
        <v>66679.41</v>
      </c>
      <c r="D557" s="1">
        <f>IFERROR(__xludf.DUMMYFUNCTION("""COMPUTED_VALUE"""),65698.83)</f>
        <v>65698.83</v>
      </c>
      <c r="E557" s="1">
        <f>IFERROR(__xludf.DUMMYFUNCTION("""COMPUTED_VALUE"""),65698.83)</f>
        <v>65698.83</v>
      </c>
      <c r="F557" s="1">
        <f>IFERROR(__xludf.DUMMYFUNCTION("""COMPUTED_VALUE"""),118433.0)</f>
        <v>118433</v>
      </c>
    </row>
    <row r="558">
      <c r="A558" s="2">
        <f>IFERROR(__xludf.DUMMYFUNCTION("""COMPUTED_VALUE"""),41362.645833333336)</f>
        <v>41362.64583</v>
      </c>
      <c r="B558" s="1">
        <f>IFERROR(__xludf.DUMMYFUNCTION("""COMPUTED_VALUE"""),66679.41)</f>
        <v>66679.41</v>
      </c>
      <c r="C558" s="1">
        <f>IFERROR(__xludf.DUMMYFUNCTION("""COMPUTED_VALUE"""),68640.57)</f>
        <v>68640.57</v>
      </c>
      <c r="D558" s="1">
        <f>IFERROR(__xludf.DUMMYFUNCTION("""COMPUTED_VALUE"""),66189.12)</f>
        <v>66189.12</v>
      </c>
      <c r="E558" s="1">
        <f>IFERROR(__xludf.DUMMYFUNCTION("""COMPUTED_VALUE"""),67905.14)</f>
        <v>67905.14</v>
      </c>
      <c r="F558" s="1">
        <f>IFERROR(__xludf.DUMMYFUNCTION("""COMPUTED_VALUE"""),237188.0)</f>
        <v>237188</v>
      </c>
    </row>
    <row r="559">
      <c r="A559" s="2">
        <f>IFERROR(__xludf.DUMMYFUNCTION("""COMPUTED_VALUE"""),41365.645833333336)</f>
        <v>41365.64583</v>
      </c>
      <c r="B559" s="1">
        <f>IFERROR(__xludf.DUMMYFUNCTION("""COMPUTED_VALUE"""),68640.57)</f>
        <v>68640.57</v>
      </c>
      <c r="C559" s="1">
        <f>IFERROR(__xludf.DUMMYFUNCTION("""COMPUTED_VALUE"""),72440.32)</f>
        <v>72440.32</v>
      </c>
      <c r="D559" s="1">
        <f>IFERROR(__xludf.DUMMYFUNCTION("""COMPUTED_VALUE"""),68272.86)</f>
        <v>68272.86</v>
      </c>
      <c r="E559" s="1">
        <f>IFERROR(__xludf.DUMMYFUNCTION("""COMPUTED_VALUE"""),72072.6)</f>
        <v>72072.6</v>
      </c>
      <c r="F559" s="1">
        <f>IFERROR(__xludf.DUMMYFUNCTION("""COMPUTED_VALUE"""),315284.0)</f>
        <v>315284</v>
      </c>
    </row>
    <row r="560">
      <c r="A560" s="2">
        <f>IFERROR(__xludf.DUMMYFUNCTION("""COMPUTED_VALUE"""),41366.645833333336)</f>
        <v>41366.64583</v>
      </c>
      <c r="B560" s="1">
        <f>IFERROR(__xludf.DUMMYFUNCTION("""COMPUTED_VALUE"""),72808.04)</f>
        <v>72808.04</v>
      </c>
      <c r="C560" s="1">
        <f>IFERROR(__xludf.DUMMYFUNCTION("""COMPUTED_VALUE"""),72930.61)</f>
        <v>72930.61</v>
      </c>
      <c r="D560" s="1">
        <f>IFERROR(__xludf.DUMMYFUNCTION("""COMPUTED_VALUE"""),70356.59)</f>
        <v>70356.59</v>
      </c>
      <c r="E560" s="1">
        <f>IFERROR(__xludf.DUMMYFUNCTION("""COMPUTED_VALUE"""),70479.16)</f>
        <v>70479.16</v>
      </c>
      <c r="F560" s="1">
        <f>IFERROR(__xludf.DUMMYFUNCTION("""COMPUTED_VALUE"""),199228.0)</f>
        <v>199228</v>
      </c>
    </row>
    <row r="561">
      <c r="A561" s="2">
        <f>IFERROR(__xludf.DUMMYFUNCTION("""COMPUTED_VALUE"""),41367.645833333336)</f>
        <v>41367.64583</v>
      </c>
      <c r="B561" s="1">
        <f>IFERROR(__xludf.DUMMYFUNCTION("""COMPUTED_VALUE"""),70969.45)</f>
        <v>70969.45</v>
      </c>
      <c r="C561" s="1">
        <f>IFERROR(__xludf.DUMMYFUNCTION("""COMPUTED_VALUE"""),71337.17)</f>
        <v>71337.17</v>
      </c>
      <c r="D561" s="1">
        <f>IFERROR(__xludf.DUMMYFUNCTION("""COMPUTED_VALUE"""),68763.15)</f>
        <v>68763.15</v>
      </c>
      <c r="E561" s="1">
        <f>IFERROR(__xludf.DUMMYFUNCTION("""COMPUTED_VALUE"""),70479.16)</f>
        <v>70479.16</v>
      </c>
      <c r="F561" s="1">
        <f>IFERROR(__xludf.DUMMYFUNCTION("""COMPUTED_VALUE"""),249503.0)</f>
        <v>249503</v>
      </c>
    </row>
    <row r="562">
      <c r="A562" s="2">
        <f>IFERROR(__xludf.DUMMYFUNCTION("""COMPUTED_VALUE"""),41368.645833333336)</f>
        <v>41368.64583</v>
      </c>
      <c r="B562" s="1">
        <f>IFERROR(__xludf.DUMMYFUNCTION("""COMPUTED_VALUE"""),70479.16)</f>
        <v>70479.16</v>
      </c>
      <c r="C562" s="1">
        <f>IFERROR(__xludf.DUMMYFUNCTION("""COMPUTED_VALUE"""),71214.59)</f>
        <v>71214.59</v>
      </c>
      <c r="D562" s="1">
        <f>IFERROR(__xludf.DUMMYFUNCTION("""COMPUTED_VALUE"""),69253.44)</f>
        <v>69253.44</v>
      </c>
      <c r="E562" s="1">
        <f>IFERROR(__xludf.DUMMYFUNCTION("""COMPUTED_VALUE"""),70234.02)</f>
        <v>70234.02</v>
      </c>
      <c r="F562" s="1">
        <f>IFERROR(__xludf.DUMMYFUNCTION("""COMPUTED_VALUE"""),185030.0)</f>
        <v>185030</v>
      </c>
    </row>
    <row r="563">
      <c r="A563" s="2">
        <f>IFERROR(__xludf.DUMMYFUNCTION("""COMPUTED_VALUE"""),41369.645833333336)</f>
        <v>41369.64583</v>
      </c>
      <c r="B563" s="1">
        <f>IFERROR(__xludf.DUMMYFUNCTION("""COMPUTED_VALUE"""),69988.87)</f>
        <v>69988.87</v>
      </c>
      <c r="C563" s="1">
        <f>IFERROR(__xludf.DUMMYFUNCTION("""COMPUTED_VALUE"""),73053.18)</f>
        <v>73053.18</v>
      </c>
      <c r="D563" s="1">
        <f>IFERROR(__xludf.DUMMYFUNCTION("""COMPUTED_VALUE"""),69376.01)</f>
        <v>69376.01</v>
      </c>
      <c r="E563" s="1">
        <f>IFERROR(__xludf.DUMMYFUNCTION("""COMPUTED_VALUE"""),70111.44)</f>
        <v>70111.44</v>
      </c>
      <c r="F563" s="1">
        <f>IFERROR(__xludf.DUMMYFUNCTION("""COMPUTED_VALUE"""),276533.0)</f>
        <v>276533</v>
      </c>
    </row>
    <row r="564">
      <c r="A564" s="2">
        <f>IFERROR(__xludf.DUMMYFUNCTION("""COMPUTED_VALUE"""),41372.645833333336)</f>
        <v>41372.64583</v>
      </c>
      <c r="B564" s="1">
        <f>IFERROR(__xludf.DUMMYFUNCTION("""COMPUTED_VALUE"""),70846.88)</f>
        <v>70846.88</v>
      </c>
      <c r="C564" s="1">
        <f>IFERROR(__xludf.DUMMYFUNCTION("""COMPUTED_VALUE"""),70846.88)</f>
        <v>70846.88</v>
      </c>
      <c r="D564" s="1">
        <f>IFERROR(__xludf.DUMMYFUNCTION("""COMPUTED_VALUE"""),67169.7)</f>
        <v>67169.7</v>
      </c>
      <c r="E564" s="1">
        <f>IFERROR(__xludf.DUMMYFUNCTION("""COMPUTED_VALUE"""),68027.71)</f>
        <v>68027.71</v>
      </c>
      <c r="F564" s="1">
        <f>IFERROR(__xludf.DUMMYFUNCTION("""COMPUTED_VALUE"""),248196.0)</f>
        <v>248196</v>
      </c>
    </row>
    <row r="565">
      <c r="A565" s="2">
        <f>IFERROR(__xludf.DUMMYFUNCTION("""COMPUTED_VALUE"""),41373.645833333336)</f>
        <v>41373.64583</v>
      </c>
      <c r="B565" s="1">
        <f>IFERROR(__xludf.DUMMYFUNCTION("""COMPUTED_VALUE"""),67047.13)</f>
        <v>67047.13</v>
      </c>
      <c r="C565" s="1">
        <f>IFERROR(__xludf.DUMMYFUNCTION("""COMPUTED_VALUE"""),68395.43)</f>
        <v>68395.43</v>
      </c>
      <c r="D565" s="1">
        <f>IFERROR(__xludf.DUMMYFUNCTION("""COMPUTED_VALUE"""),64840.83)</f>
        <v>64840.83</v>
      </c>
      <c r="E565" s="1">
        <f>IFERROR(__xludf.DUMMYFUNCTION("""COMPUTED_VALUE"""),67905.14)</f>
        <v>67905.14</v>
      </c>
      <c r="F565" s="1">
        <f>IFERROR(__xludf.DUMMYFUNCTION("""COMPUTED_VALUE"""),260933.0)</f>
        <v>260933</v>
      </c>
    </row>
    <row r="566">
      <c r="A566" s="2">
        <f>IFERROR(__xludf.DUMMYFUNCTION("""COMPUTED_VALUE"""),41374.645833333336)</f>
        <v>41374.64583</v>
      </c>
      <c r="B566" s="1">
        <f>IFERROR(__xludf.DUMMYFUNCTION("""COMPUTED_VALUE"""),68027.71)</f>
        <v>68027.71</v>
      </c>
      <c r="C566" s="1">
        <f>IFERROR(__xludf.DUMMYFUNCTION("""COMPUTED_VALUE"""),68640.57)</f>
        <v>68640.57</v>
      </c>
      <c r="D566" s="1">
        <f>IFERROR(__xludf.DUMMYFUNCTION("""COMPUTED_VALUE"""),66311.7)</f>
        <v>66311.7</v>
      </c>
      <c r="E566" s="1">
        <f>IFERROR(__xludf.DUMMYFUNCTION("""COMPUTED_VALUE"""),66679.41)</f>
        <v>66679.41</v>
      </c>
      <c r="F566" s="1">
        <f>IFERROR(__xludf.DUMMYFUNCTION("""COMPUTED_VALUE"""),164791.0)</f>
        <v>164791</v>
      </c>
    </row>
    <row r="567">
      <c r="A567" s="2">
        <f>IFERROR(__xludf.DUMMYFUNCTION("""COMPUTED_VALUE"""),41375.645833333336)</f>
        <v>41375.64583</v>
      </c>
      <c r="B567" s="1">
        <f>IFERROR(__xludf.DUMMYFUNCTION("""COMPUTED_VALUE"""),67169.7)</f>
        <v>67169.7</v>
      </c>
      <c r="C567" s="1">
        <f>IFERROR(__xludf.DUMMYFUNCTION("""COMPUTED_VALUE"""),69130.86)</f>
        <v>69130.86</v>
      </c>
      <c r="D567" s="1">
        <f>IFERROR(__xludf.DUMMYFUNCTION("""COMPUTED_VALUE"""),66311.7)</f>
        <v>66311.7</v>
      </c>
      <c r="E567" s="1">
        <f>IFERROR(__xludf.DUMMYFUNCTION("""COMPUTED_VALUE"""),68640.57)</f>
        <v>68640.57</v>
      </c>
      <c r="F567" s="1">
        <f>IFERROR(__xludf.DUMMYFUNCTION("""COMPUTED_VALUE"""),146664.0)</f>
        <v>146664</v>
      </c>
    </row>
    <row r="568">
      <c r="A568" s="2">
        <f>IFERROR(__xludf.DUMMYFUNCTION("""COMPUTED_VALUE"""),41376.645833333336)</f>
        <v>41376.64583</v>
      </c>
      <c r="B568" s="1">
        <f>IFERROR(__xludf.DUMMYFUNCTION("""COMPUTED_VALUE"""),69621.15)</f>
        <v>69621.15</v>
      </c>
      <c r="C568" s="1">
        <f>IFERROR(__xludf.DUMMYFUNCTION("""COMPUTED_VALUE"""),72195.17)</f>
        <v>72195.17</v>
      </c>
      <c r="D568" s="1">
        <f>IFERROR(__xludf.DUMMYFUNCTION("""COMPUTED_VALUE"""),69376.01)</f>
        <v>69376.01</v>
      </c>
      <c r="E568" s="1">
        <f>IFERROR(__xludf.DUMMYFUNCTION("""COMPUTED_VALUE"""),71582.31)</f>
        <v>71582.31</v>
      </c>
      <c r="F568" s="1">
        <f>IFERROR(__xludf.DUMMYFUNCTION("""COMPUTED_VALUE"""),257672.0)</f>
        <v>257672</v>
      </c>
    </row>
    <row r="569">
      <c r="A569" s="2">
        <f>IFERROR(__xludf.DUMMYFUNCTION("""COMPUTED_VALUE"""),41379.645833333336)</f>
        <v>41379.64583</v>
      </c>
      <c r="B569" s="1">
        <f>IFERROR(__xludf.DUMMYFUNCTION("""COMPUTED_VALUE"""),71214.59)</f>
        <v>71214.59</v>
      </c>
      <c r="C569" s="1">
        <f>IFERROR(__xludf.DUMMYFUNCTION("""COMPUTED_VALUE"""),72440.32)</f>
        <v>72440.32</v>
      </c>
      <c r="D569" s="1">
        <f>IFERROR(__xludf.DUMMYFUNCTION("""COMPUTED_VALUE"""),70479.16)</f>
        <v>70479.16</v>
      </c>
      <c r="E569" s="1">
        <f>IFERROR(__xludf.DUMMYFUNCTION("""COMPUTED_VALUE"""),70479.16)</f>
        <v>70479.16</v>
      </c>
      <c r="F569" s="1">
        <f>IFERROR(__xludf.DUMMYFUNCTION("""COMPUTED_VALUE"""),143075.0)</f>
        <v>143075</v>
      </c>
    </row>
    <row r="570">
      <c r="A570" s="2">
        <f>IFERROR(__xludf.DUMMYFUNCTION("""COMPUTED_VALUE"""),41380.645833333336)</f>
        <v>41380.64583</v>
      </c>
      <c r="B570" s="1">
        <f>IFERROR(__xludf.DUMMYFUNCTION("""COMPUTED_VALUE"""),70846.88)</f>
        <v>70846.88</v>
      </c>
      <c r="C570" s="1">
        <f>IFERROR(__xludf.DUMMYFUNCTION("""COMPUTED_VALUE"""),74891.77)</f>
        <v>74891.77</v>
      </c>
      <c r="D570" s="1">
        <f>IFERROR(__xludf.DUMMYFUNCTION("""COMPUTED_VALUE"""),70234.02)</f>
        <v>70234.02</v>
      </c>
      <c r="E570" s="1">
        <f>IFERROR(__xludf.DUMMYFUNCTION("""COMPUTED_VALUE"""),74646.62)</f>
        <v>74646.62</v>
      </c>
      <c r="F570" s="1">
        <f>IFERROR(__xludf.DUMMYFUNCTION("""COMPUTED_VALUE"""),314680.0)</f>
        <v>314680</v>
      </c>
    </row>
    <row r="571">
      <c r="A571" s="2">
        <f>IFERROR(__xludf.DUMMYFUNCTION("""COMPUTED_VALUE"""),41381.645833333336)</f>
        <v>41381.64583</v>
      </c>
      <c r="B571" s="1">
        <f>IFERROR(__xludf.DUMMYFUNCTION("""COMPUTED_VALUE"""),74646.62)</f>
        <v>74646.62</v>
      </c>
      <c r="C571" s="1">
        <f>IFERROR(__xludf.DUMMYFUNCTION("""COMPUTED_VALUE"""),75259.49)</f>
        <v>75259.49</v>
      </c>
      <c r="D571" s="1">
        <f>IFERROR(__xludf.DUMMYFUNCTION("""COMPUTED_VALUE"""),72072.6)</f>
        <v>72072.6</v>
      </c>
      <c r="E571" s="1">
        <f>IFERROR(__xludf.DUMMYFUNCTION("""COMPUTED_VALUE"""),72562.89)</f>
        <v>72562.89</v>
      </c>
      <c r="F571" s="1">
        <f>IFERROR(__xludf.DUMMYFUNCTION("""COMPUTED_VALUE"""),215281.0)</f>
        <v>215281</v>
      </c>
    </row>
    <row r="572">
      <c r="A572" s="2">
        <f>IFERROR(__xludf.DUMMYFUNCTION("""COMPUTED_VALUE"""),41382.645833333336)</f>
        <v>41382.64583</v>
      </c>
      <c r="B572" s="1">
        <f>IFERROR(__xludf.DUMMYFUNCTION("""COMPUTED_VALUE"""),72317.75)</f>
        <v>72317.75</v>
      </c>
      <c r="C572" s="1">
        <f>IFERROR(__xludf.DUMMYFUNCTION("""COMPUTED_VALUE"""),73911.19)</f>
        <v>73911.19</v>
      </c>
      <c r="D572" s="1">
        <f>IFERROR(__xludf.DUMMYFUNCTION("""COMPUTED_VALUE"""),70969.45)</f>
        <v>70969.45</v>
      </c>
      <c r="E572" s="1">
        <f>IFERROR(__xludf.DUMMYFUNCTION("""COMPUTED_VALUE"""),71092.02)</f>
        <v>71092.02</v>
      </c>
      <c r="F572" s="1">
        <f>IFERROR(__xludf.DUMMYFUNCTION("""COMPUTED_VALUE"""),228528.0)</f>
        <v>228528</v>
      </c>
    </row>
    <row r="573">
      <c r="A573" s="2">
        <f>IFERROR(__xludf.DUMMYFUNCTION("""COMPUTED_VALUE"""),41383.645833333336)</f>
        <v>41383.64583</v>
      </c>
      <c r="B573" s="1">
        <f>IFERROR(__xludf.DUMMYFUNCTION("""COMPUTED_VALUE"""),70724.31)</f>
        <v>70724.31</v>
      </c>
      <c r="C573" s="1">
        <f>IFERROR(__xludf.DUMMYFUNCTION("""COMPUTED_VALUE"""),72562.89)</f>
        <v>72562.89</v>
      </c>
      <c r="D573" s="1">
        <f>IFERROR(__xludf.DUMMYFUNCTION("""COMPUTED_VALUE"""),70601.73)</f>
        <v>70601.73</v>
      </c>
      <c r="E573" s="1">
        <f>IFERROR(__xludf.DUMMYFUNCTION("""COMPUTED_VALUE"""),71337.17)</f>
        <v>71337.17</v>
      </c>
      <c r="F573" s="1">
        <f>IFERROR(__xludf.DUMMYFUNCTION("""COMPUTED_VALUE"""),217204.0)</f>
        <v>217204</v>
      </c>
    </row>
    <row r="574">
      <c r="A574" s="2">
        <f>IFERROR(__xludf.DUMMYFUNCTION("""COMPUTED_VALUE"""),41386.645833333336)</f>
        <v>41386.64583</v>
      </c>
      <c r="B574" s="1">
        <f>IFERROR(__xludf.DUMMYFUNCTION("""COMPUTED_VALUE"""),70601.73)</f>
        <v>70601.73</v>
      </c>
      <c r="C574" s="1">
        <f>IFERROR(__xludf.DUMMYFUNCTION("""COMPUTED_VALUE"""),71582.31)</f>
        <v>71582.31</v>
      </c>
      <c r="D574" s="1">
        <f>IFERROR(__xludf.DUMMYFUNCTION("""COMPUTED_VALUE"""),70234.02)</f>
        <v>70234.02</v>
      </c>
      <c r="E574" s="1">
        <f>IFERROR(__xludf.DUMMYFUNCTION("""COMPUTED_VALUE"""),70846.88)</f>
        <v>70846.88</v>
      </c>
      <c r="F574" s="1">
        <f>IFERROR(__xludf.DUMMYFUNCTION("""COMPUTED_VALUE"""),313923.0)</f>
        <v>313923</v>
      </c>
    </row>
    <row r="575">
      <c r="A575" s="2">
        <f>IFERROR(__xludf.DUMMYFUNCTION("""COMPUTED_VALUE"""),41387.645833333336)</f>
        <v>41387.64583</v>
      </c>
      <c r="B575" s="1">
        <f>IFERROR(__xludf.DUMMYFUNCTION("""COMPUTED_VALUE"""),71582.31)</f>
        <v>71582.31</v>
      </c>
      <c r="C575" s="1">
        <f>IFERROR(__xludf.DUMMYFUNCTION("""COMPUTED_VALUE"""),71950.03)</f>
        <v>71950.03</v>
      </c>
      <c r="D575" s="1">
        <f>IFERROR(__xludf.DUMMYFUNCTION("""COMPUTED_VALUE"""),69621.15)</f>
        <v>69621.15</v>
      </c>
      <c r="E575" s="1">
        <f>IFERROR(__xludf.DUMMYFUNCTION("""COMPUTED_VALUE"""),71337.17)</f>
        <v>71337.17</v>
      </c>
      <c r="F575" s="1">
        <f>IFERROR(__xludf.DUMMYFUNCTION("""COMPUTED_VALUE"""),303292.0)</f>
        <v>303292</v>
      </c>
    </row>
    <row r="576">
      <c r="A576" s="2">
        <f>IFERROR(__xludf.DUMMYFUNCTION("""COMPUTED_VALUE"""),41388.645833333336)</f>
        <v>41388.64583</v>
      </c>
      <c r="B576" s="1">
        <f>IFERROR(__xludf.DUMMYFUNCTION("""COMPUTED_VALUE"""),72562.89)</f>
        <v>72562.89</v>
      </c>
      <c r="C576" s="1">
        <f>IFERROR(__xludf.DUMMYFUNCTION("""COMPUTED_VALUE"""),72562.89)</f>
        <v>72562.89</v>
      </c>
      <c r="D576" s="1">
        <f>IFERROR(__xludf.DUMMYFUNCTION("""COMPUTED_VALUE"""),70724.31)</f>
        <v>70724.31</v>
      </c>
      <c r="E576" s="1">
        <f>IFERROR(__xludf.DUMMYFUNCTION("""COMPUTED_VALUE"""),70846.88)</f>
        <v>70846.88</v>
      </c>
      <c r="F576" s="1">
        <f>IFERROR(__xludf.DUMMYFUNCTION("""COMPUTED_VALUE"""),282191.0)</f>
        <v>282191</v>
      </c>
    </row>
    <row r="577">
      <c r="A577" s="2">
        <f>IFERROR(__xludf.DUMMYFUNCTION("""COMPUTED_VALUE"""),41389.645833333336)</f>
        <v>41389.64583</v>
      </c>
      <c r="B577" s="1">
        <f>IFERROR(__xludf.DUMMYFUNCTION("""COMPUTED_VALUE"""),70846.88)</f>
        <v>70846.88</v>
      </c>
      <c r="C577" s="1">
        <f>IFERROR(__xludf.DUMMYFUNCTION("""COMPUTED_VALUE"""),71582.31)</f>
        <v>71582.31</v>
      </c>
      <c r="D577" s="1">
        <f>IFERROR(__xludf.DUMMYFUNCTION("""COMPUTED_VALUE"""),70234.02)</f>
        <v>70234.02</v>
      </c>
      <c r="E577" s="1">
        <f>IFERROR(__xludf.DUMMYFUNCTION("""COMPUTED_VALUE"""),70969.45)</f>
        <v>70969.45</v>
      </c>
      <c r="F577" s="1">
        <f>IFERROR(__xludf.DUMMYFUNCTION("""COMPUTED_VALUE"""),173600.0)</f>
        <v>173600</v>
      </c>
    </row>
    <row r="578">
      <c r="A578" s="2">
        <f>IFERROR(__xludf.DUMMYFUNCTION("""COMPUTED_VALUE"""),41390.645833333336)</f>
        <v>41390.64583</v>
      </c>
      <c r="B578" s="1">
        <f>IFERROR(__xludf.DUMMYFUNCTION("""COMPUTED_VALUE"""),71092.02)</f>
        <v>71092.02</v>
      </c>
      <c r="C578" s="1">
        <f>IFERROR(__xludf.DUMMYFUNCTION("""COMPUTED_VALUE"""),71827.46)</f>
        <v>71827.46</v>
      </c>
      <c r="D578" s="1">
        <f>IFERROR(__xludf.DUMMYFUNCTION("""COMPUTED_VALUE"""),70234.02)</f>
        <v>70234.02</v>
      </c>
      <c r="E578" s="1">
        <f>IFERROR(__xludf.DUMMYFUNCTION("""COMPUTED_VALUE"""),70234.02)</f>
        <v>70234.02</v>
      </c>
      <c r="F578" s="1">
        <f>IFERROR(__xludf.DUMMYFUNCTION("""COMPUTED_VALUE"""),128792.0)</f>
        <v>128792</v>
      </c>
    </row>
    <row r="579">
      <c r="A579" s="2">
        <f>IFERROR(__xludf.DUMMYFUNCTION("""COMPUTED_VALUE"""),41393.645833333336)</f>
        <v>41393.64583</v>
      </c>
      <c r="B579" s="1">
        <f>IFERROR(__xludf.DUMMYFUNCTION("""COMPUTED_VALUE"""),70969.45)</f>
        <v>70969.45</v>
      </c>
      <c r="C579" s="1">
        <f>IFERROR(__xludf.DUMMYFUNCTION("""COMPUTED_VALUE"""),70969.45)</f>
        <v>70969.45</v>
      </c>
      <c r="D579" s="1">
        <f>IFERROR(__xludf.DUMMYFUNCTION("""COMPUTED_VALUE"""),69988.87)</f>
        <v>69988.87</v>
      </c>
      <c r="E579" s="1">
        <f>IFERROR(__xludf.DUMMYFUNCTION("""COMPUTED_VALUE"""),70356.59)</f>
        <v>70356.59</v>
      </c>
      <c r="F579" s="1">
        <f>IFERROR(__xludf.DUMMYFUNCTION("""COMPUTED_VALUE"""),131456.0)</f>
        <v>131456</v>
      </c>
    </row>
    <row r="580">
      <c r="A580" s="2">
        <f>IFERROR(__xludf.DUMMYFUNCTION("""COMPUTED_VALUE"""),41394.645833333336)</f>
        <v>41394.64583</v>
      </c>
      <c r="B580" s="1">
        <f>IFERROR(__xludf.DUMMYFUNCTION("""COMPUTED_VALUE"""),70969.45)</f>
        <v>70969.45</v>
      </c>
      <c r="C580" s="1">
        <f>IFERROR(__xludf.DUMMYFUNCTION("""COMPUTED_VALUE"""),73175.75)</f>
        <v>73175.75</v>
      </c>
      <c r="D580" s="1">
        <f>IFERROR(__xludf.DUMMYFUNCTION("""COMPUTED_VALUE"""),70846.88)</f>
        <v>70846.88</v>
      </c>
      <c r="E580" s="1">
        <f>IFERROR(__xludf.DUMMYFUNCTION("""COMPUTED_VALUE"""),72562.89)</f>
        <v>72562.89</v>
      </c>
      <c r="F580" s="1">
        <f>IFERROR(__xludf.DUMMYFUNCTION("""COMPUTED_VALUE"""),325483.0)</f>
        <v>325483</v>
      </c>
    </row>
    <row r="581">
      <c r="A581" s="2">
        <f>IFERROR(__xludf.DUMMYFUNCTION("""COMPUTED_VALUE"""),41396.645833333336)</f>
        <v>41396.64583</v>
      </c>
      <c r="B581" s="1">
        <f>IFERROR(__xludf.DUMMYFUNCTION("""COMPUTED_VALUE"""),73543.47)</f>
        <v>73543.47</v>
      </c>
      <c r="C581" s="1">
        <f>IFERROR(__xludf.DUMMYFUNCTION("""COMPUTED_VALUE"""),74769.2)</f>
        <v>74769.2</v>
      </c>
      <c r="D581" s="1">
        <f>IFERROR(__xludf.DUMMYFUNCTION("""COMPUTED_VALUE"""),73175.75)</f>
        <v>73175.75</v>
      </c>
      <c r="E581" s="1">
        <f>IFERROR(__xludf.DUMMYFUNCTION("""COMPUTED_VALUE"""),73543.47)</f>
        <v>73543.47</v>
      </c>
      <c r="F581" s="1">
        <f>IFERROR(__xludf.DUMMYFUNCTION("""COMPUTED_VALUE"""),356464.0)</f>
        <v>356464</v>
      </c>
    </row>
    <row r="582">
      <c r="A582" s="2">
        <f>IFERROR(__xludf.DUMMYFUNCTION("""COMPUTED_VALUE"""),41397.645833333336)</f>
        <v>41397.64583</v>
      </c>
      <c r="B582" s="1">
        <f>IFERROR(__xludf.DUMMYFUNCTION("""COMPUTED_VALUE"""),74401.48)</f>
        <v>74401.48</v>
      </c>
      <c r="C582" s="1">
        <f>IFERROR(__xludf.DUMMYFUNCTION("""COMPUTED_VALUE"""),74769.2)</f>
        <v>74769.2</v>
      </c>
      <c r="D582" s="1">
        <f>IFERROR(__xludf.DUMMYFUNCTION("""COMPUTED_VALUE"""),72685.46)</f>
        <v>72685.46</v>
      </c>
      <c r="E582" s="1">
        <f>IFERROR(__xludf.DUMMYFUNCTION("""COMPUTED_VALUE"""),73298.33)</f>
        <v>73298.33</v>
      </c>
      <c r="F582" s="1">
        <f>IFERROR(__xludf.DUMMYFUNCTION("""COMPUTED_VALUE"""),193356.0)</f>
        <v>193356</v>
      </c>
    </row>
    <row r="583">
      <c r="A583" s="2">
        <f>IFERROR(__xludf.DUMMYFUNCTION("""COMPUTED_VALUE"""),41400.645833333336)</f>
        <v>41400.64583</v>
      </c>
      <c r="B583" s="1">
        <f>IFERROR(__xludf.DUMMYFUNCTION("""COMPUTED_VALUE"""),73666.04)</f>
        <v>73666.04</v>
      </c>
      <c r="C583" s="1">
        <f>IFERROR(__xludf.DUMMYFUNCTION("""COMPUTED_VALUE"""),74401.48)</f>
        <v>74401.48</v>
      </c>
      <c r="D583" s="1">
        <f>IFERROR(__xludf.DUMMYFUNCTION("""COMPUTED_VALUE"""),72808.04)</f>
        <v>72808.04</v>
      </c>
      <c r="E583" s="1">
        <f>IFERROR(__xludf.DUMMYFUNCTION("""COMPUTED_VALUE"""),72808.04)</f>
        <v>72808.04</v>
      </c>
      <c r="F583" s="1">
        <f>IFERROR(__xludf.DUMMYFUNCTION("""COMPUTED_VALUE"""),143821.0)</f>
        <v>143821</v>
      </c>
    </row>
    <row r="584">
      <c r="A584" s="2">
        <f>IFERROR(__xludf.DUMMYFUNCTION("""COMPUTED_VALUE"""),41401.645833333336)</f>
        <v>41401.64583</v>
      </c>
      <c r="B584" s="1">
        <f>IFERROR(__xludf.DUMMYFUNCTION("""COMPUTED_VALUE"""),72440.32)</f>
        <v>72440.32</v>
      </c>
      <c r="C584" s="1">
        <f>IFERROR(__xludf.DUMMYFUNCTION("""COMPUTED_VALUE"""),73911.19)</f>
        <v>73911.19</v>
      </c>
      <c r="D584" s="1">
        <f>IFERROR(__xludf.DUMMYFUNCTION("""COMPUTED_VALUE"""),72195.17)</f>
        <v>72195.17</v>
      </c>
      <c r="E584" s="1">
        <f>IFERROR(__xludf.DUMMYFUNCTION("""COMPUTED_VALUE"""),72562.89)</f>
        <v>72562.89</v>
      </c>
      <c r="F584" s="1">
        <f>IFERROR(__xludf.DUMMYFUNCTION("""COMPUTED_VALUE"""),132253.0)</f>
        <v>132253</v>
      </c>
    </row>
    <row r="585">
      <c r="A585" s="2">
        <f>IFERROR(__xludf.DUMMYFUNCTION("""COMPUTED_VALUE"""),41402.645833333336)</f>
        <v>41402.64583</v>
      </c>
      <c r="B585" s="1">
        <f>IFERROR(__xludf.DUMMYFUNCTION("""COMPUTED_VALUE"""),72317.75)</f>
        <v>72317.75</v>
      </c>
      <c r="C585" s="1">
        <f>IFERROR(__xludf.DUMMYFUNCTION("""COMPUTED_VALUE"""),74033.76)</f>
        <v>74033.76</v>
      </c>
      <c r="D585" s="1">
        <f>IFERROR(__xludf.DUMMYFUNCTION("""COMPUTED_VALUE"""),72317.75)</f>
        <v>72317.75</v>
      </c>
      <c r="E585" s="1">
        <f>IFERROR(__xludf.DUMMYFUNCTION("""COMPUTED_VALUE"""),73666.04)</f>
        <v>73666.04</v>
      </c>
      <c r="F585" s="1">
        <f>IFERROR(__xludf.DUMMYFUNCTION("""COMPUTED_VALUE"""),161402.0)</f>
        <v>161402</v>
      </c>
    </row>
    <row r="586">
      <c r="A586" s="2">
        <f>IFERROR(__xludf.DUMMYFUNCTION("""COMPUTED_VALUE"""),41403.645833333336)</f>
        <v>41403.64583</v>
      </c>
      <c r="B586" s="1">
        <f>IFERROR(__xludf.DUMMYFUNCTION("""COMPUTED_VALUE"""),73175.75)</f>
        <v>73175.75</v>
      </c>
      <c r="C586" s="1">
        <f>IFERROR(__xludf.DUMMYFUNCTION("""COMPUTED_VALUE"""),73788.62)</f>
        <v>73788.62</v>
      </c>
      <c r="D586" s="1">
        <f>IFERROR(__xludf.DUMMYFUNCTION("""COMPUTED_VALUE"""),70111.44)</f>
        <v>70111.44</v>
      </c>
      <c r="E586" s="1">
        <f>IFERROR(__xludf.DUMMYFUNCTION("""COMPUTED_VALUE"""),70724.31)</f>
        <v>70724.31</v>
      </c>
      <c r="F586" s="1">
        <f>IFERROR(__xludf.DUMMYFUNCTION("""COMPUTED_VALUE"""),436377.0)</f>
        <v>436377</v>
      </c>
    </row>
    <row r="587">
      <c r="A587" s="2">
        <f>IFERROR(__xludf.DUMMYFUNCTION("""COMPUTED_VALUE"""),41404.645833333336)</f>
        <v>41404.64583</v>
      </c>
      <c r="B587" s="1">
        <f>IFERROR(__xludf.DUMMYFUNCTION("""COMPUTED_VALUE"""),70846.88)</f>
        <v>70846.88</v>
      </c>
      <c r="C587" s="1">
        <f>IFERROR(__xludf.DUMMYFUNCTION("""COMPUTED_VALUE"""),72440.32)</f>
        <v>72440.32</v>
      </c>
      <c r="D587" s="1">
        <f>IFERROR(__xludf.DUMMYFUNCTION("""COMPUTED_VALUE"""),70846.88)</f>
        <v>70846.88</v>
      </c>
      <c r="E587" s="1">
        <f>IFERROR(__xludf.DUMMYFUNCTION("""COMPUTED_VALUE"""),71214.59)</f>
        <v>71214.59</v>
      </c>
      <c r="F587" s="1">
        <f>IFERROR(__xludf.DUMMYFUNCTION("""COMPUTED_VALUE"""),256125.0)</f>
        <v>256125</v>
      </c>
    </row>
    <row r="588">
      <c r="A588" s="2">
        <f>IFERROR(__xludf.DUMMYFUNCTION("""COMPUTED_VALUE"""),41407.645833333336)</f>
        <v>41407.64583</v>
      </c>
      <c r="B588" s="1">
        <f>IFERROR(__xludf.DUMMYFUNCTION("""COMPUTED_VALUE"""),71214.59)</f>
        <v>71214.59</v>
      </c>
      <c r="C588" s="1">
        <f>IFERROR(__xludf.DUMMYFUNCTION("""COMPUTED_VALUE"""),71827.46)</f>
        <v>71827.46</v>
      </c>
      <c r="D588" s="1">
        <f>IFERROR(__xludf.DUMMYFUNCTION("""COMPUTED_VALUE"""),69008.29)</f>
        <v>69008.29</v>
      </c>
      <c r="E588" s="1">
        <f>IFERROR(__xludf.DUMMYFUNCTION("""COMPUTED_VALUE"""),71582.31)</f>
        <v>71582.31</v>
      </c>
      <c r="F588" s="1">
        <f>IFERROR(__xludf.DUMMYFUNCTION("""COMPUTED_VALUE"""),302757.0)</f>
        <v>302757</v>
      </c>
    </row>
    <row r="589">
      <c r="A589" s="2">
        <f>IFERROR(__xludf.DUMMYFUNCTION("""COMPUTED_VALUE"""),41408.645833333336)</f>
        <v>41408.64583</v>
      </c>
      <c r="B589" s="1">
        <f>IFERROR(__xludf.DUMMYFUNCTION("""COMPUTED_VALUE"""),70111.44)</f>
        <v>70111.44</v>
      </c>
      <c r="C589" s="1">
        <f>IFERROR(__xludf.DUMMYFUNCTION("""COMPUTED_VALUE"""),71459.74)</f>
        <v>71459.74</v>
      </c>
      <c r="D589" s="1">
        <f>IFERROR(__xludf.DUMMYFUNCTION("""COMPUTED_VALUE"""),69866.3)</f>
        <v>69866.3</v>
      </c>
      <c r="E589" s="1">
        <f>IFERROR(__xludf.DUMMYFUNCTION("""COMPUTED_VALUE"""),70846.88)</f>
        <v>70846.88</v>
      </c>
      <c r="F589" s="1">
        <f>IFERROR(__xludf.DUMMYFUNCTION("""COMPUTED_VALUE"""),246085.0)</f>
        <v>246085</v>
      </c>
    </row>
    <row r="590">
      <c r="A590" s="2">
        <f>IFERROR(__xludf.DUMMYFUNCTION("""COMPUTED_VALUE"""),41409.645833333336)</f>
        <v>41409.64583</v>
      </c>
      <c r="B590" s="1">
        <f>IFERROR(__xludf.DUMMYFUNCTION("""COMPUTED_VALUE"""),70601.73)</f>
        <v>70601.73</v>
      </c>
      <c r="C590" s="1">
        <f>IFERROR(__xludf.DUMMYFUNCTION("""COMPUTED_VALUE"""),72562.89)</f>
        <v>72562.89</v>
      </c>
      <c r="D590" s="1">
        <f>IFERROR(__xludf.DUMMYFUNCTION("""COMPUTED_VALUE"""),70111.44)</f>
        <v>70111.44</v>
      </c>
      <c r="E590" s="1">
        <f>IFERROR(__xludf.DUMMYFUNCTION("""COMPUTED_VALUE"""),71827.46)</f>
        <v>71827.46</v>
      </c>
      <c r="F590" s="1">
        <f>IFERROR(__xludf.DUMMYFUNCTION("""COMPUTED_VALUE"""),399662.0)</f>
        <v>399662</v>
      </c>
    </row>
    <row r="591">
      <c r="A591" s="2">
        <f>IFERROR(__xludf.DUMMYFUNCTION("""COMPUTED_VALUE"""),41410.645833333336)</f>
        <v>41410.64583</v>
      </c>
      <c r="B591" s="1">
        <f>IFERROR(__xludf.DUMMYFUNCTION("""COMPUTED_VALUE"""),72808.04)</f>
        <v>72808.04</v>
      </c>
      <c r="C591" s="1">
        <f>IFERROR(__xludf.DUMMYFUNCTION("""COMPUTED_VALUE"""),78446.37)</f>
        <v>78446.37</v>
      </c>
      <c r="D591" s="1">
        <f>IFERROR(__xludf.DUMMYFUNCTION("""COMPUTED_VALUE"""),72685.46)</f>
        <v>72685.46</v>
      </c>
      <c r="E591" s="1">
        <f>IFERROR(__xludf.DUMMYFUNCTION("""COMPUTED_VALUE"""),77220.65)</f>
        <v>77220.65</v>
      </c>
      <c r="F591" s="1">
        <f>IFERROR(__xludf.DUMMYFUNCTION("""COMPUTED_VALUE"""),445540.0)</f>
        <v>445540</v>
      </c>
    </row>
    <row r="592">
      <c r="A592" s="2">
        <f>IFERROR(__xludf.DUMMYFUNCTION("""COMPUTED_VALUE"""),41414.645833333336)</f>
        <v>41414.64583</v>
      </c>
      <c r="B592" s="1">
        <f>IFERROR(__xludf.DUMMYFUNCTION("""COMPUTED_VALUE"""),77465.79)</f>
        <v>77465.79</v>
      </c>
      <c r="C592" s="1">
        <f>IFERROR(__xludf.DUMMYFUNCTION("""COMPUTED_VALUE"""),79304.38)</f>
        <v>79304.38</v>
      </c>
      <c r="D592" s="1">
        <f>IFERROR(__xludf.DUMMYFUNCTION("""COMPUTED_VALUE"""),76730.36)</f>
        <v>76730.36</v>
      </c>
      <c r="E592" s="1">
        <f>IFERROR(__xludf.DUMMYFUNCTION("""COMPUTED_VALUE"""),76730.36)</f>
        <v>76730.36</v>
      </c>
      <c r="F592" s="1">
        <f>IFERROR(__xludf.DUMMYFUNCTION("""COMPUTED_VALUE"""),261725.0)</f>
        <v>261725</v>
      </c>
    </row>
    <row r="593">
      <c r="A593" s="2">
        <f>IFERROR(__xludf.DUMMYFUNCTION("""COMPUTED_VALUE"""),41415.645833333336)</f>
        <v>41415.64583</v>
      </c>
      <c r="B593" s="1">
        <f>IFERROR(__xludf.DUMMYFUNCTION("""COMPUTED_VALUE"""),77465.79)</f>
        <v>77465.79</v>
      </c>
      <c r="C593" s="1">
        <f>IFERROR(__xludf.DUMMYFUNCTION("""COMPUTED_VALUE"""),79181.8)</f>
        <v>79181.8</v>
      </c>
      <c r="D593" s="1">
        <f>IFERROR(__xludf.DUMMYFUNCTION("""COMPUTED_VALUE"""),77220.65)</f>
        <v>77220.65</v>
      </c>
      <c r="E593" s="1">
        <f>IFERROR(__xludf.DUMMYFUNCTION("""COMPUTED_VALUE"""),78201.22)</f>
        <v>78201.22</v>
      </c>
      <c r="F593" s="1">
        <f>IFERROR(__xludf.DUMMYFUNCTION("""COMPUTED_VALUE"""),216338.0)</f>
        <v>216338</v>
      </c>
    </row>
    <row r="594">
      <c r="A594" s="2">
        <f>IFERROR(__xludf.DUMMYFUNCTION("""COMPUTED_VALUE"""),41416.645833333336)</f>
        <v>41416.64583</v>
      </c>
      <c r="B594" s="1">
        <f>IFERROR(__xludf.DUMMYFUNCTION("""COMPUTED_VALUE"""),78446.37)</f>
        <v>78446.37</v>
      </c>
      <c r="C594" s="1">
        <f>IFERROR(__xludf.DUMMYFUNCTION("""COMPUTED_VALUE"""),78814.09)</f>
        <v>78814.09</v>
      </c>
      <c r="D594" s="1">
        <f>IFERROR(__xludf.DUMMYFUNCTION("""COMPUTED_VALUE"""),77465.79)</f>
        <v>77465.79</v>
      </c>
      <c r="E594" s="1">
        <f>IFERROR(__xludf.DUMMYFUNCTION("""COMPUTED_VALUE"""),77710.93)</f>
        <v>77710.93</v>
      </c>
      <c r="F594" s="1">
        <f>IFERROR(__xludf.DUMMYFUNCTION("""COMPUTED_VALUE"""),202164.0)</f>
        <v>202164</v>
      </c>
    </row>
    <row r="595">
      <c r="A595" s="2">
        <f>IFERROR(__xludf.DUMMYFUNCTION("""COMPUTED_VALUE"""),41417.645833333336)</f>
        <v>41417.64583</v>
      </c>
      <c r="B595" s="1">
        <f>IFERROR(__xludf.DUMMYFUNCTION("""COMPUTED_VALUE"""),77098.07)</f>
        <v>77098.07</v>
      </c>
      <c r="C595" s="1">
        <f>IFERROR(__xludf.DUMMYFUNCTION("""COMPUTED_VALUE"""),77343.22)</f>
        <v>77343.22</v>
      </c>
      <c r="D595" s="1">
        <f>IFERROR(__xludf.DUMMYFUNCTION("""COMPUTED_VALUE"""),75504.63)</f>
        <v>75504.63</v>
      </c>
      <c r="E595" s="1">
        <f>IFERROR(__xludf.DUMMYFUNCTION("""COMPUTED_VALUE"""),75749.78)</f>
        <v>75749.78</v>
      </c>
      <c r="F595" s="1">
        <f>IFERROR(__xludf.DUMMYFUNCTION("""COMPUTED_VALUE"""),223077.0)</f>
        <v>223077</v>
      </c>
    </row>
    <row r="596">
      <c r="A596" s="2">
        <f>IFERROR(__xludf.DUMMYFUNCTION("""COMPUTED_VALUE"""),41418.645833333336)</f>
        <v>41418.64583</v>
      </c>
      <c r="B596" s="1">
        <f>IFERROR(__xludf.DUMMYFUNCTION("""COMPUTED_VALUE"""),76852.93)</f>
        <v>76852.93</v>
      </c>
      <c r="C596" s="1">
        <f>IFERROR(__xludf.DUMMYFUNCTION("""COMPUTED_VALUE"""),77343.22)</f>
        <v>77343.22</v>
      </c>
      <c r="D596" s="1">
        <f>IFERROR(__xludf.DUMMYFUNCTION("""COMPUTED_VALUE"""),75627.2)</f>
        <v>75627.2</v>
      </c>
      <c r="E596" s="1">
        <f>IFERROR(__xludf.DUMMYFUNCTION("""COMPUTED_VALUE"""),76730.36)</f>
        <v>76730.36</v>
      </c>
      <c r="F596" s="1">
        <f>IFERROR(__xludf.DUMMYFUNCTION("""COMPUTED_VALUE"""),154689.0)</f>
        <v>154689</v>
      </c>
    </row>
    <row r="597">
      <c r="A597" s="2">
        <f>IFERROR(__xludf.DUMMYFUNCTION("""COMPUTED_VALUE"""),41421.645833333336)</f>
        <v>41421.64583</v>
      </c>
      <c r="B597" s="1">
        <f>IFERROR(__xludf.DUMMYFUNCTION("""COMPUTED_VALUE"""),75872.35)</f>
        <v>75872.35</v>
      </c>
      <c r="C597" s="1">
        <f>IFERROR(__xludf.DUMMYFUNCTION("""COMPUTED_VALUE"""),77098.07)</f>
        <v>77098.07</v>
      </c>
      <c r="D597" s="1">
        <f>IFERROR(__xludf.DUMMYFUNCTION("""COMPUTED_VALUE"""),75749.78)</f>
        <v>75749.78</v>
      </c>
      <c r="E597" s="1">
        <f>IFERROR(__xludf.DUMMYFUNCTION("""COMPUTED_VALUE"""),76485.21)</f>
        <v>76485.21</v>
      </c>
      <c r="F597" s="1">
        <f>IFERROR(__xludf.DUMMYFUNCTION("""COMPUTED_VALUE"""),93546.0)</f>
        <v>93546</v>
      </c>
    </row>
    <row r="598">
      <c r="A598" s="2">
        <f>IFERROR(__xludf.DUMMYFUNCTION("""COMPUTED_VALUE"""),41422.645833333336)</f>
        <v>41422.64583</v>
      </c>
      <c r="B598" s="1">
        <f>IFERROR(__xludf.DUMMYFUNCTION("""COMPUTED_VALUE"""),77098.07)</f>
        <v>77098.07</v>
      </c>
      <c r="C598" s="1">
        <f>IFERROR(__xludf.DUMMYFUNCTION("""COMPUTED_VALUE"""),78691.51)</f>
        <v>78691.51</v>
      </c>
      <c r="D598" s="1">
        <f>IFERROR(__xludf.DUMMYFUNCTION("""COMPUTED_VALUE"""),76730.36)</f>
        <v>76730.36</v>
      </c>
      <c r="E598" s="1">
        <f>IFERROR(__xludf.DUMMYFUNCTION("""COMPUTED_VALUE"""),77220.65)</f>
        <v>77220.65</v>
      </c>
      <c r="F598" s="1">
        <f>IFERROR(__xludf.DUMMYFUNCTION("""COMPUTED_VALUE"""),225378.0)</f>
        <v>225378</v>
      </c>
    </row>
    <row r="599">
      <c r="A599" s="2">
        <f>IFERROR(__xludf.DUMMYFUNCTION("""COMPUTED_VALUE"""),41423.645833333336)</f>
        <v>41423.64583</v>
      </c>
      <c r="B599" s="1">
        <f>IFERROR(__xludf.DUMMYFUNCTION("""COMPUTED_VALUE"""),77220.65)</f>
        <v>77220.65</v>
      </c>
      <c r="C599" s="1">
        <f>IFERROR(__xludf.DUMMYFUNCTION("""COMPUTED_VALUE"""),78078.65)</f>
        <v>78078.65</v>
      </c>
      <c r="D599" s="1">
        <f>IFERROR(__xludf.DUMMYFUNCTION("""COMPUTED_VALUE"""),76852.93)</f>
        <v>76852.93</v>
      </c>
      <c r="E599" s="1">
        <f>IFERROR(__xludf.DUMMYFUNCTION("""COMPUTED_VALUE"""),77956.08)</f>
        <v>77956.08</v>
      </c>
      <c r="F599" s="1">
        <f>IFERROR(__xludf.DUMMYFUNCTION("""COMPUTED_VALUE"""),138565.0)</f>
        <v>138565</v>
      </c>
    </row>
    <row r="600">
      <c r="A600" s="2">
        <f>IFERROR(__xludf.DUMMYFUNCTION("""COMPUTED_VALUE"""),41424.645833333336)</f>
        <v>41424.64583</v>
      </c>
      <c r="B600" s="1">
        <f>IFERROR(__xludf.DUMMYFUNCTION("""COMPUTED_VALUE"""),77343.22)</f>
        <v>77343.22</v>
      </c>
      <c r="C600" s="1">
        <f>IFERROR(__xludf.DUMMYFUNCTION("""COMPUTED_VALUE"""),77465.79)</f>
        <v>77465.79</v>
      </c>
      <c r="D600" s="1">
        <f>IFERROR(__xludf.DUMMYFUNCTION("""COMPUTED_VALUE"""),74891.77)</f>
        <v>74891.77</v>
      </c>
      <c r="E600" s="1">
        <f>IFERROR(__xludf.DUMMYFUNCTION("""COMPUTED_VALUE"""),75259.49)</f>
        <v>75259.49</v>
      </c>
      <c r="F600" s="1">
        <f>IFERROR(__xludf.DUMMYFUNCTION("""COMPUTED_VALUE"""),281745.0)</f>
        <v>281745</v>
      </c>
    </row>
    <row r="601">
      <c r="A601" s="2">
        <f>IFERROR(__xludf.DUMMYFUNCTION("""COMPUTED_VALUE"""),41425.645833333336)</f>
        <v>41425.64583</v>
      </c>
      <c r="B601" s="1">
        <f>IFERROR(__xludf.DUMMYFUNCTION("""COMPUTED_VALUE"""),75749.78)</f>
        <v>75749.78</v>
      </c>
      <c r="C601" s="1">
        <f>IFERROR(__xludf.DUMMYFUNCTION("""COMPUTED_VALUE"""),76485.21)</f>
        <v>76485.21</v>
      </c>
      <c r="D601" s="1">
        <f>IFERROR(__xludf.DUMMYFUNCTION("""COMPUTED_VALUE"""),73666.04)</f>
        <v>73666.04</v>
      </c>
      <c r="E601" s="1">
        <f>IFERROR(__xludf.DUMMYFUNCTION("""COMPUTED_VALUE"""),74769.2)</f>
        <v>74769.2</v>
      </c>
      <c r="F601" s="1">
        <f>IFERROR(__xludf.DUMMYFUNCTION("""COMPUTED_VALUE"""),174745.0)</f>
        <v>174745</v>
      </c>
    </row>
    <row r="602">
      <c r="A602" s="2">
        <f>IFERROR(__xludf.DUMMYFUNCTION("""COMPUTED_VALUE"""),41428.645833333336)</f>
        <v>41428.64583</v>
      </c>
      <c r="B602" s="1">
        <f>IFERROR(__xludf.DUMMYFUNCTION("""COMPUTED_VALUE"""),74769.2)</f>
        <v>74769.2</v>
      </c>
      <c r="C602" s="1">
        <f>IFERROR(__xludf.DUMMYFUNCTION("""COMPUTED_VALUE"""),74769.2)</f>
        <v>74769.2</v>
      </c>
      <c r="D602" s="1">
        <f>IFERROR(__xludf.DUMMYFUNCTION("""COMPUTED_VALUE"""),73053.18)</f>
        <v>73053.18</v>
      </c>
      <c r="E602" s="1">
        <f>IFERROR(__xludf.DUMMYFUNCTION("""COMPUTED_VALUE"""),73053.18)</f>
        <v>73053.18</v>
      </c>
      <c r="F602" s="1">
        <f>IFERROR(__xludf.DUMMYFUNCTION("""COMPUTED_VALUE"""),205400.0)</f>
        <v>205400</v>
      </c>
    </row>
    <row r="603">
      <c r="A603" s="2">
        <f>IFERROR(__xludf.DUMMYFUNCTION("""COMPUTED_VALUE"""),41429.645833333336)</f>
        <v>41429.64583</v>
      </c>
      <c r="B603" s="1">
        <f>IFERROR(__xludf.DUMMYFUNCTION("""COMPUTED_VALUE"""),73053.18)</f>
        <v>73053.18</v>
      </c>
      <c r="C603" s="1">
        <f>IFERROR(__xludf.DUMMYFUNCTION("""COMPUTED_VALUE"""),73666.04)</f>
        <v>73666.04</v>
      </c>
      <c r="D603" s="1">
        <f>IFERROR(__xludf.DUMMYFUNCTION("""COMPUTED_VALUE"""),71704.88)</f>
        <v>71704.88</v>
      </c>
      <c r="E603" s="1">
        <f>IFERROR(__xludf.DUMMYFUNCTION("""COMPUTED_VALUE"""),71704.88)</f>
        <v>71704.88</v>
      </c>
      <c r="F603" s="1">
        <f>IFERROR(__xludf.DUMMYFUNCTION("""COMPUTED_VALUE"""),225957.0)</f>
        <v>225957</v>
      </c>
    </row>
    <row r="604">
      <c r="A604" s="2">
        <f>IFERROR(__xludf.DUMMYFUNCTION("""COMPUTED_VALUE"""),41430.645833333336)</f>
        <v>41430.64583</v>
      </c>
      <c r="B604" s="1">
        <f>IFERROR(__xludf.DUMMYFUNCTION("""COMPUTED_VALUE"""),72195.17)</f>
        <v>72195.17</v>
      </c>
      <c r="C604" s="1">
        <f>IFERROR(__xludf.DUMMYFUNCTION("""COMPUTED_VALUE"""),73420.9)</f>
        <v>73420.9</v>
      </c>
      <c r="D604" s="1">
        <f>IFERROR(__xludf.DUMMYFUNCTION("""COMPUTED_VALUE"""),71704.88)</f>
        <v>71704.88</v>
      </c>
      <c r="E604" s="1">
        <f>IFERROR(__xludf.DUMMYFUNCTION("""COMPUTED_VALUE"""),72562.89)</f>
        <v>72562.89</v>
      </c>
      <c r="F604" s="1">
        <f>IFERROR(__xludf.DUMMYFUNCTION("""COMPUTED_VALUE"""),286072.0)</f>
        <v>286072</v>
      </c>
    </row>
    <row r="605">
      <c r="A605" s="2">
        <f>IFERROR(__xludf.DUMMYFUNCTION("""COMPUTED_VALUE"""),41432.645833333336)</f>
        <v>41432.64583</v>
      </c>
      <c r="B605" s="1">
        <f>IFERROR(__xludf.DUMMYFUNCTION("""COMPUTED_VALUE"""),73543.47)</f>
        <v>73543.47</v>
      </c>
      <c r="C605" s="1">
        <f>IFERROR(__xludf.DUMMYFUNCTION("""COMPUTED_VALUE"""),73788.62)</f>
        <v>73788.62</v>
      </c>
      <c r="D605" s="1">
        <f>IFERROR(__xludf.DUMMYFUNCTION("""COMPUTED_VALUE"""),70234.02)</f>
        <v>70234.02</v>
      </c>
      <c r="E605" s="1">
        <f>IFERROR(__xludf.DUMMYFUNCTION("""COMPUTED_VALUE"""),71092.02)</f>
        <v>71092.02</v>
      </c>
      <c r="F605" s="1">
        <f>IFERROR(__xludf.DUMMYFUNCTION("""COMPUTED_VALUE"""),243631.0)</f>
        <v>243631</v>
      </c>
    </row>
    <row r="606">
      <c r="A606" s="2">
        <f>IFERROR(__xludf.DUMMYFUNCTION("""COMPUTED_VALUE"""),41435.645833333336)</f>
        <v>41435.64583</v>
      </c>
      <c r="B606" s="1">
        <f>IFERROR(__xludf.DUMMYFUNCTION("""COMPUTED_VALUE"""),71092.02)</f>
        <v>71092.02</v>
      </c>
      <c r="C606" s="1">
        <f>IFERROR(__xludf.DUMMYFUNCTION("""COMPUTED_VALUE"""),72808.04)</f>
        <v>72808.04</v>
      </c>
      <c r="D606" s="1">
        <f>IFERROR(__xludf.DUMMYFUNCTION("""COMPUTED_VALUE"""),70724.31)</f>
        <v>70724.31</v>
      </c>
      <c r="E606" s="1">
        <f>IFERROR(__xludf.DUMMYFUNCTION("""COMPUTED_VALUE"""),72317.75)</f>
        <v>72317.75</v>
      </c>
      <c r="F606" s="1">
        <f>IFERROR(__xludf.DUMMYFUNCTION("""COMPUTED_VALUE"""),117014.0)</f>
        <v>117014</v>
      </c>
    </row>
    <row r="607">
      <c r="A607" s="2">
        <f>IFERROR(__xludf.DUMMYFUNCTION("""COMPUTED_VALUE"""),41436.645833333336)</f>
        <v>41436.64583</v>
      </c>
      <c r="B607" s="1">
        <f>IFERROR(__xludf.DUMMYFUNCTION("""COMPUTED_VALUE"""),71950.03)</f>
        <v>71950.03</v>
      </c>
      <c r="C607" s="1">
        <f>IFERROR(__xludf.DUMMYFUNCTION("""COMPUTED_VALUE"""),73788.62)</f>
        <v>73788.62</v>
      </c>
      <c r="D607" s="1">
        <f>IFERROR(__xludf.DUMMYFUNCTION("""COMPUTED_VALUE"""),71459.74)</f>
        <v>71459.74</v>
      </c>
      <c r="E607" s="1">
        <f>IFERROR(__xludf.DUMMYFUNCTION("""COMPUTED_VALUE"""),73788.62)</f>
        <v>73788.62</v>
      </c>
      <c r="F607" s="1">
        <f>IFERROR(__xludf.DUMMYFUNCTION("""COMPUTED_VALUE"""),178937.0)</f>
        <v>178937</v>
      </c>
    </row>
    <row r="608">
      <c r="A608" s="2">
        <f>IFERROR(__xludf.DUMMYFUNCTION("""COMPUTED_VALUE"""),41437.645833333336)</f>
        <v>41437.64583</v>
      </c>
      <c r="B608" s="1">
        <f>IFERROR(__xludf.DUMMYFUNCTION("""COMPUTED_VALUE"""),73420.9)</f>
        <v>73420.9</v>
      </c>
      <c r="C608" s="1">
        <f>IFERROR(__xludf.DUMMYFUNCTION("""COMPUTED_VALUE"""),73788.62)</f>
        <v>73788.62</v>
      </c>
      <c r="D608" s="1">
        <f>IFERROR(__xludf.DUMMYFUNCTION("""COMPUTED_VALUE"""),71459.74)</f>
        <v>71459.74</v>
      </c>
      <c r="E608" s="1">
        <f>IFERROR(__xludf.DUMMYFUNCTION("""COMPUTED_VALUE"""),71704.88)</f>
        <v>71704.88</v>
      </c>
      <c r="F608" s="1">
        <f>IFERROR(__xludf.DUMMYFUNCTION("""COMPUTED_VALUE"""),125140.0)</f>
        <v>125140</v>
      </c>
    </row>
    <row r="609">
      <c r="A609" s="2">
        <f>IFERROR(__xludf.DUMMYFUNCTION("""COMPUTED_VALUE"""),41438.645833333336)</f>
        <v>41438.64583</v>
      </c>
      <c r="B609" s="1">
        <f>IFERROR(__xludf.DUMMYFUNCTION("""COMPUTED_VALUE"""),71214.59)</f>
        <v>71214.59</v>
      </c>
      <c r="C609" s="1">
        <f>IFERROR(__xludf.DUMMYFUNCTION("""COMPUTED_VALUE"""),71459.74)</f>
        <v>71459.74</v>
      </c>
      <c r="D609" s="1">
        <f>IFERROR(__xludf.DUMMYFUNCTION("""COMPUTED_VALUE"""),68518.0)</f>
        <v>68518</v>
      </c>
      <c r="E609" s="1">
        <f>IFERROR(__xludf.DUMMYFUNCTION("""COMPUTED_VALUE"""),68518.0)</f>
        <v>68518</v>
      </c>
      <c r="F609" s="1">
        <f>IFERROR(__xludf.DUMMYFUNCTION("""COMPUTED_VALUE"""),386306.0)</f>
        <v>386306</v>
      </c>
    </row>
    <row r="610">
      <c r="A610" s="2">
        <f>IFERROR(__xludf.DUMMYFUNCTION("""COMPUTED_VALUE"""),41439.645833333336)</f>
        <v>41439.64583</v>
      </c>
      <c r="B610" s="1">
        <f>IFERROR(__xludf.DUMMYFUNCTION("""COMPUTED_VALUE"""),69376.01)</f>
        <v>69376.01</v>
      </c>
      <c r="C610" s="1">
        <f>IFERROR(__xludf.DUMMYFUNCTION("""COMPUTED_VALUE"""),69988.87)</f>
        <v>69988.87</v>
      </c>
      <c r="D610" s="1">
        <f>IFERROR(__xludf.DUMMYFUNCTION("""COMPUTED_VALUE"""),68518.0)</f>
        <v>68518</v>
      </c>
      <c r="E610" s="1">
        <f>IFERROR(__xludf.DUMMYFUNCTION("""COMPUTED_VALUE"""),68885.72)</f>
        <v>68885.72</v>
      </c>
      <c r="F610" s="1">
        <f>IFERROR(__xludf.DUMMYFUNCTION("""COMPUTED_VALUE"""),184466.0)</f>
        <v>184466</v>
      </c>
    </row>
    <row r="611">
      <c r="A611" s="2">
        <f>IFERROR(__xludf.DUMMYFUNCTION("""COMPUTED_VALUE"""),41442.645833333336)</f>
        <v>41442.64583</v>
      </c>
      <c r="B611" s="1">
        <f>IFERROR(__xludf.DUMMYFUNCTION("""COMPUTED_VALUE"""),69376.01)</f>
        <v>69376.01</v>
      </c>
      <c r="C611" s="1">
        <f>IFERROR(__xludf.DUMMYFUNCTION("""COMPUTED_VALUE"""),69621.15)</f>
        <v>69621.15</v>
      </c>
      <c r="D611" s="1">
        <f>IFERROR(__xludf.DUMMYFUNCTION("""COMPUTED_VALUE"""),66556.84)</f>
        <v>66556.84</v>
      </c>
      <c r="E611" s="1">
        <f>IFERROR(__xludf.DUMMYFUNCTION("""COMPUTED_VALUE"""),68763.15)</f>
        <v>68763.15</v>
      </c>
      <c r="F611" s="1">
        <f>IFERROR(__xludf.DUMMYFUNCTION("""COMPUTED_VALUE"""),196372.0)</f>
        <v>196372</v>
      </c>
    </row>
    <row r="612">
      <c r="A612" s="2">
        <f>IFERROR(__xludf.DUMMYFUNCTION("""COMPUTED_VALUE"""),41443.645833333336)</f>
        <v>41443.64583</v>
      </c>
      <c r="B612" s="1">
        <f>IFERROR(__xludf.DUMMYFUNCTION("""COMPUTED_VALUE"""),68640.57)</f>
        <v>68640.57</v>
      </c>
      <c r="C612" s="1">
        <f>IFERROR(__xludf.DUMMYFUNCTION("""COMPUTED_VALUE"""),70724.31)</f>
        <v>70724.31</v>
      </c>
      <c r="D612" s="1">
        <f>IFERROR(__xludf.DUMMYFUNCTION("""COMPUTED_VALUE"""),67047.13)</f>
        <v>67047.13</v>
      </c>
      <c r="E612" s="1">
        <f>IFERROR(__xludf.DUMMYFUNCTION("""COMPUTED_VALUE"""),70356.59)</f>
        <v>70356.59</v>
      </c>
      <c r="F612" s="1">
        <f>IFERROR(__xludf.DUMMYFUNCTION("""COMPUTED_VALUE"""),230150.0)</f>
        <v>230150</v>
      </c>
    </row>
    <row r="613">
      <c r="A613" s="2">
        <f>IFERROR(__xludf.DUMMYFUNCTION("""COMPUTED_VALUE"""),41444.645833333336)</f>
        <v>41444.64583</v>
      </c>
      <c r="B613" s="1">
        <f>IFERROR(__xludf.DUMMYFUNCTION("""COMPUTED_VALUE"""),70969.45)</f>
        <v>70969.45</v>
      </c>
      <c r="C613" s="1">
        <f>IFERROR(__xludf.DUMMYFUNCTION("""COMPUTED_VALUE"""),70969.45)</f>
        <v>70969.45</v>
      </c>
      <c r="D613" s="1">
        <f>IFERROR(__xludf.DUMMYFUNCTION("""COMPUTED_VALUE"""),68150.28)</f>
        <v>68150.28</v>
      </c>
      <c r="E613" s="1">
        <f>IFERROR(__xludf.DUMMYFUNCTION("""COMPUTED_VALUE"""),68518.0)</f>
        <v>68518</v>
      </c>
      <c r="F613" s="1">
        <f>IFERROR(__xludf.DUMMYFUNCTION("""COMPUTED_VALUE"""),118105.0)</f>
        <v>118105</v>
      </c>
    </row>
    <row r="614">
      <c r="A614" s="2">
        <f>IFERROR(__xludf.DUMMYFUNCTION("""COMPUTED_VALUE"""),41445.645833333336)</f>
        <v>41445.64583</v>
      </c>
      <c r="B614" s="1">
        <f>IFERROR(__xludf.DUMMYFUNCTION("""COMPUTED_VALUE"""),66434.27)</f>
        <v>66434.27</v>
      </c>
      <c r="C614" s="1">
        <f>IFERROR(__xludf.DUMMYFUNCTION("""COMPUTED_VALUE"""),66924.56)</f>
        <v>66924.56</v>
      </c>
      <c r="D614" s="1">
        <f>IFERROR(__xludf.DUMMYFUNCTION("""COMPUTED_VALUE"""),65453.69)</f>
        <v>65453.69</v>
      </c>
      <c r="E614" s="1">
        <f>IFERROR(__xludf.DUMMYFUNCTION("""COMPUTED_VALUE"""),66311.7)</f>
        <v>66311.7</v>
      </c>
      <c r="F614" s="1">
        <f>IFERROR(__xludf.DUMMYFUNCTION("""COMPUTED_VALUE"""),262317.0)</f>
        <v>262317</v>
      </c>
    </row>
    <row r="615">
      <c r="A615" s="2">
        <f>IFERROR(__xludf.DUMMYFUNCTION("""COMPUTED_VALUE"""),41446.645833333336)</f>
        <v>41446.64583</v>
      </c>
      <c r="B615" s="1">
        <f>IFERROR(__xludf.DUMMYFUNCTION("""COMPUTED_VALUE"""),64595.68)</f>
        <v>64595.68</v>
      </c>
      <c r="C615" s="1">
        <f>IFERROR(__xludf.DUMMYFUNCTION("""COMPUTED_VALUE"""),67414.85)</f>
        <v>67414.85</v>
      </c>
      <c r="D615" s="1">
        <f>IFERROR(__xludf.DUMMYFUNCTION("""COMPUTED_VALUE"""),64473.11)</f>
        <v>64473.11</v>
      </c>
      <c r="E615" s="1">
        <f>IFERROR(__xludf.DUMMYFUNCTION("""COMPUTED_VALUE"""),67414.85)</f>
        <v>67414.85</v>
      </c>
      <c r="F615" s="1">
        <f>IFERROR(__xludf.DUMMYFUNCTION("""COMPUTED_VALUE"""),165330.0)</f>
        <v>165330</v>
      </c>
    </row>
    <row r="616">
      <c r="A616" s="2">
        <f>IFERROR(__xludf.DUMMYFUNCTION("""COMPUTED_VALUE"""),41449.645833333336)</f>
        <v>41449.64583</v>
      </c>
      <c r="B616" s="1">
        <f>IFERROR(__xludf.DUMMYFUNCTION("""COMPUTED_VALUE"""),66801.99)</f>
        <v>66801.99</v>
      </c>
      <c r="C616" s="1">
        <f>IFERROR(__xludf.DUMMYFUNCTION("""COMPUTED_VALUE"""),67782.57)</f>
        <v>67782.57</v>
      </c>
      <c r="D616" s="1">
        <f>IFERROR(__xludf.DUMMYFUNCTION("""COMPUTED_VALUE"""),65943.98)</f>
        <v>65943.98</v>
      </c>
      <c r="E616" s="1">
        <f>IFERROR(__xludf.DUMMYFUNCTION("""COMPUTED_VALUE"""),66434.27)</f>
        <v>66434.27</v>
      </c>
      <c r="F616" s="1">
        <f>IFERROR(__xludf.DUMMYFUNCTION("""COMPUTED_VALUE"""),102050.0)</f>
        <v>102050</v>
      </c>
    </row>
    <row r="617">
      <c r="A617" s="2">
        <f>IFERROR(__xludf.DUMMYFUNCTION("""COMPUTED_VALUE"""),41450.645833333336)</f>
        <v>41450.64583</v>
      </c>
      <c r="B617" s="1">
        <f>IFERROR(__xludf.DUMMYFUNCTION("""COMPUTED_VALUE"""),66924.56)</f>
        <v>66924.56</v>
      </c>
      <c r="C617" s="1">
        <f>IFERROR(__xludf.DUMMYFUNCTION("""COMPUTED_VALUE"""),67905.14)</f>
        <v>67905.14</v>
      </c>
      <c r="D617" s="1">
        <f>IFERROR(__xludf.DUMMYFUNCTION("""COMPUTED_VALUE"""),64963.4)</f>
        <v>64963.4</v>
      </c>
      <c r="E617" s="1">
        <f>IFERROR(__xludf.DUMMYFUNCTION("""COMPUTED_VALUE"""),66066.55)</f>
        <v>66066.55</v>
      </c>
      <c r="F617" s="1">
        <f>IFERROR(__xludf.DUMMYFUNCTION("""COMPUTED_VALUE"""),178686.0)</f>
        <v>178686</v>
      </c>
    </row>
    <row r="618">
      <c r="A618" s="2">
        <f>IFERROR(__xludf.DUMMYFUNCTION("""COMPUTED_VALUE"""),41451.645833333336)</f>
        <v>41451.64583</v>
      </c>
      <c r="B618" s="1">
        <f>IFERROR(__xludf.DUMMYFUNCTION("""COMPUTED_VALUE"""),67659.99)</f>
        <v>67659.99</v>
      </c>
      <c r="C618" s="1">
        <f>IFERROR(__xludf.DUMMYFUNCTION("""COMPUTED_VALUE"""),68150.28)</f>
        <v>68150.28</v>
      </c>
      <c r="D618" s="1">
        <f>IFERROR(__xludf.DUMMYFUNCTION("""COMPUTED_VALUE"""),66434.27)</f>
        <v>66434.27</v>
      </c>
      <c r="E618" s="1">
        <f>IFERROR(__xludf.DUMMYFUNCTION("""COMPUTED_VALUE"""),67659.99)</f>
        <v>67659.99</v>
      </c>
      <c r="F618" s="1">
        <f>IFERROR(__xludf.DUMMYFUNCTION("""COMPUTED_VALUE"""),173542.0)</f>
        <v>173542</v>
      </c>
    </row>
    <row r="619">
      <c r="A619" s="2">
        <f>IFERROR(__xludf.DUMMYFUNCTION("""COMPUTED_VALUE"""),41452.645833333336)</f>
        <v>41452.64583</v>
      </c>
      <c r="B619" s="1">
        <f>IFERROR(__xludf.DUMMYFUNCTION("""COMPUTED_VALUE"""),68640.57)</f>
        <v>68640.57</v>
      </c>
      <c r="C619" s="1">
        <f>IFERROR(__xludf.DUMMYFUNCTION("""COMPUTED_VALUE"""),69743.73)</f>
        <v>69743.73</v>
      </c>
      <c r="D619" s="1">
        <f>IFERROR(__xludf.DUMMYFUNCTION("""COMPUTED_VALUE"""),67905.14)</f>
        <v>67905.14</v>
      </c>
      <c r="E619" s="1">
        <f>IFERROR(__xludf.DUMMYFUNCTION("""COMPUTED_VALUE"""),67905.14)</f>
        <v>67905.14</v>
      </c>
      <c r="F619" s="1">
        <f>IFERROR(__xludf.DUMMYFUNCTION("""COMPUTED_VALUE"""),222275.0)</f>
        <v>222275</v>
      </c>
    </row>
    <row r="620">
      <c r="A620" s="2">
        <f>IFERROR(__xludf.DUMMYFUNCTION("""COMPUTED_VALUE"""),41453.645833333336)</f>
        <v>41453.64583</v>
      </c>
      <c r="B620" s="1">
        <f>IFERROR(__xludf.DUMMYFUNCTION("""COMPUTED_VALUE"""),68518.0)</f>
        <v>68518</v>
      </c>
      <c r="C620" s="1">
        <f>IFERROR(__xludf.DUMMYFUNCTION("""COMPUTED_VALUE"""),71827.46)</f>
        <v>71827.46</v>
      </c>
      <c r="D620" s="1">
        <f>IFERROR(__xludf.DUMMYFUNCTION("""COMPUTED_VALUE"""),68272.86)</f>
        <v>68272.86</v>
      </c>
      <c r="E620" s="1">
        <f>IFERROR(__xludf.DUMMYFUNCTION("""COMPUTED_VALUE"""),71214.59)</f>
        <v>71214.59</v>
      </c>
      <c r="F620" s="1">
        <f>IFERROR(__xludf.DUMMYFUNCTION("""COMPUTED_VALUE"""),330174.0)</f>
        <v>330174</v>
      </c>
    </row>
    <row r="621">
      <c r="A621" s="2">
        <f>IFERROR(__xludf.DUMMYFUNCTION("""COMPUTED_VALUE"""),41456.645833333336)</f>
        <v>41456.64583</v>
      </c>
      <c r="B621" s="1">
        <f>IFERROR(__xludf.DUMMYFUNCTION("""COMPUTED_VALUE"""),70601.73)</f>
        <v>70601.73</v>
      </c>
      <c r="C621" s="1">
        <f>IFERROR(__xludf.DUMMYFUNCTION("""COMPUTED_VALUE"""),71827.46)</f>
        <v>71827.46</v>
      </c>
      <c r="D621" s="1">
        <f>IFERROR(__xludf.DUMMYFUNCTION("""COMPUTED_VALUE"""),69621.15)</f>
        <v>69621.15</v>
      </c>
      <c r="E621" s="1">
        <f>IFERROR(__xludf.DUMMYFUNCTION("""COMPUTED_VALUE"""),71092.02)</f>
        <v>71092.02</v>
      </c>
      <c r="F621" s="1">
        <f>IFERROR(__xludf.DUMMYFUNCTION("""COMPUTED_VALUE"""),136750.0)</f>
        <v>136750</v>
      </c>
    </row>
    <row r="622">
      <c r="A622" s="2">
        <f>IFERROR(__xludf.DUMMYFUNCTION("""COMPUTED_VALUE"""),41457.645833333336)</f>
        <v>41457.64583</v>
      </c>
      <c r="B622" s="1">
        <f>IFERROR(__xludf.DUMMYFUNCTION("""COMPUTED_VALUE"""),71214.59)</f>
        <v>71214.59</v>
      </c>
      <c r="C622" s="1">
        <f>IFERROR(__xludf.DUMMYFUNCTION("""COMPUTED_VALUE"""),73420.9)</f>
        <v>73420.9</v>
      </c>
      <c r="D622" s="1">
        <f>IFERROR(__xludf.DUMMYFUNCTION("""COMPUTED_VALUE"""),70479.16)</f>
        <v>70479.16</v>
      </c>
      <c r="E622" s="1">
        <f>IFERROR(__xludf.DUMMYFUNCTION("""COMPUTED_VALUE"""),71827.46)</f>
        <v>71827.46</v>
      </c>
      <c r="F622" s="1">
        <f>IFERROR(__xludf.DUMMYFUNCTION("""COMPUTED_VALUE"""),197390.0)</f>
        <v>197390</v>
      </c>
    </row>
    <row r="623">
      <c r="A623" s="2">
        <f>IFERROR(__xludf.DUMMYFUNCTION("""COMPUTED_VALUE"""),41458.645833333336)</f>
        <v>41458.64583</v>
      </c>
      <c r="B623" s="1">
        <f>IFERROR(__xludf.DUMMYFUNCTION("""COMPUTED_VALUE"""),72808.04)</f>
        <v>72808.04</v>
      </c>
      <c r="C623" s="1">
        <f>IFERROR(__xludf.DUMMYFUNCTION("""COMPUTED_VALUE"""),73911.19)</f>
        <v>73911.19</v>
      </c>
      <c r="D623" s="1">
        <f>IFERROR(__xludf.DUMMYFUNCTION("""COMPUTED_VALUE"""),71092.02)</f>
        <v>71092.02</v>
      </c>
      <c r="E623" s="1">
        <f>IFERROR(__xludf.DUMMYFUNCTION("""COMPUTED_VALUE"""),71459.74)</f>
        <v>71459.74</v>
      </c>
      <c r="F623" s="1">
        <f>IFERROR(__xludf.DUMMYFUNCTION("""COMPUTED_VALUE"""),173330.0)</f>
        <v>173330</v>
      </c>
    </row>
    <row r="624">
      <c r="A624" s="2">
        <f>IFERROR(__xludf.DUMMYFUNCTION("""COMPUTED_VALUE"""),41459.645833333336)</f>
        <v>41459.64583</v>
      </c>
      <c r="B624" s="1">
        <f>IFERROR(__xludf.DUMMYFUNCTION("""COMPUTED_VALUE"""),71459.74)</f>
        <v>71459.74</v>
      </c>
      <c r="C624" s="1">
        <f>IFERROR(__xludf.DUMMYFUNCTION("""COMPUTED_VALUE"""),71704.88)</f>
        <v>71704.88</v>
      </c>
      <c r="D624" s="1">
        <f>IFERROR(__xludf.DUMMYFUNCTION("""COMPUTED_VALUE"""),69988.87)</f>
        <v>69988.87</v>
      </c>
      <c r="E624" s="1">
        <f>IFERROR(__xludf.DUMMYFUNCTION("""COMPUTED_VALUE"""),71214.59)</f>
        <v>71214.59</v>
      </c>
      <c r="F624" s="1">
        <f>IFERROR(__xludf.DUMMYFUNCTION("""COMPUTED_VALUE"""),160260.0)</f>
        <v>160260</v>
      </c>
    </row>
    <row r="625">
      <c r="A625" s="2">
        <f>IFERROR(__xludf.DUMMYFUNCTION("""COMPUTED_VALUE"""),41460.645833333336)</f>
        <v>41460.64583</v>
      </c>
      <c r="B625" s="1">
        <f>IFERROR(__xludf.DUMMYFUNCTION("""COMPUTED_VALUE"""),71337.17)</f>
        <v>71337.17</v>
      </c>
      <c r="C625" s="1">
        <f>IFERROR(__xludf.DUMMYFUNCTION("""COMPUTED_VALUE"""),72317.75)</f>
        <v>72317.75</v>
      </c>
      <c r="D625" s="1">
        <f>IFERROR(__xludf.DUMMYFUNCTION("""COMPUTED_VALUE"""),70356.59)</f>
        <v>70356.59</v>
      </c>
      <c r="E625" s="1">
        <f>IFERROR(__xludf.DUMMYFUNCTION("""COMPUTED_VALUE"""),70601.73)</f>
        <v>70601.73</v>
      </c>
      <c r="F625" s="1">
        <f>IFERROR(__xludf.DUMMYFUNCTION("""COMPUTED_VALUE"""),98693.0)</f>
        <v>98693</v>
      </c>
    </row>
    <row r="626">
      <c r="A626" s="2">
        <f>IFERROR(__xludf.DUMMYFUNCTION("""COMPUTED_VALUE"""),41463.645833333336)</f>
        <v>41463.64583</v>
      </c>
      <c r="B626" s="1">
        <f>IFERROR(__xludf.DUMMYFUNCTION("""COMPUTED_VALUE"""),70601.73)</f>
        <v>70601.73</v>
      </c>
      <c r="C626" s="1">
        <f>IFERROR(__xludf.DUMMYFUNCTION("""COMPUTED_VALUE"""),72072.6)</f>
        <v>72072.6</v>
      </c>
      <c r="D626" s="1">
        <f>IFERROR(__xludf.DUMMYFUNCTION("""COMPUTED_VALUE"""),70356.59)</f>
        <v>70356.59</v>
      </c>
      <c r="E626" s="1">
        <f>IFERROR(__xludf.DUMMYFUNCTION("""COMPUTED_VALUE"""),71214.59)</f>
        <v>71214.59</v>
      </c>
      <c r="F626" s="1">
        <f>IFERROR(__xludf.DUMMYFUNCTION("""COMPUTED_VALUE"""),118776.0)</f>
        <v>118776</v>
      </c>
    </row>
    <row r="627">
      <c r="A627" s="2">
        <f>IFERROR(__xludf.DUMMYFUNCTION("""COMPUTED_VALUE"""),41464.645833333336)</f>
        <v>41464.64583</v>
      </c>
      <c r="B627" s="1">
        <f>IFERROR(__xludf.DUMMYFUNCTION("""COMPUTED_VALUE"""),72072.6)</f>
        <v>72072.6</v>
      </c>
      <c r="C627" s="1">
        <f>IFERROR(__xludf.DUMMYFUNCTION("""COMPUTED_VALUE"""),72440.32)</f>
        <v>72440.32</v>
      </c>
      <c r="D627" s="1">
        <f>IFERROR(__xludf.DUMMYFUNCTION("""COMPUTED_VALUE"""),70356.59)</f>
        <v>70356.59</v>
      </c>
      <c r="E627" s="1">
        <f>IFERROR(__xludf.DUMMYFUNCTION("""COMPUTED_VALUE"""),72440.32)</f>
        <v>72440.32</v>
      </c>
      <c r="F627" s="1">
        <f>IFERROR(__xludf.DUMMYFUNCTION("""COMPUTED_VALUE"""),107661.0)</f>
        <v>107661</v>
      </c>
    </row>
    <row r="628">
      <c r="A628" s="2">
        <f>IFERROR(__xludf.DUMMYFUNCTION("""COMPUTED_VALUE"""),41465.645833333336)</f>
        <v>41465.64583</v>
      </c>
      <c r="B628" s="1">
        <f>IFERROR(__xludf.DUMMYFUNCTION("""COMPUTED_VALUE"""),72685.46)</f>
        <v>72685.46</v>
      </c>
      <c r="C628" s="1">
        <f>IFERROR(__xludf.DUMMYFUNCTION("""COMPUTED_VALUE"""),72808.04)</f>
        <v>72808.04</v>
      </c>
      <c r="D628" s="1">
        <f>IFERROR(__xludf.DUMMYFUNCTION("""COMPUTED_VALUE"""),68395.43)</f>
        <v>68395.43</v>
      </c>
      <c r="E628" s="1">
        <f>IFERROR(__xludf.DUMMYFUNCTION("""COMPUTED_VALUE"""),68640.57)</f>
        <v>68640.57</v>
      </c>
      <c r="F628" s="1">
        <f>IFERROR(__xludf.DUMMYFUNCTION("""COMPUTED_VALUE"""),360679.0)</f>
        <v>360679</v>
      </c>
    </row>
    <row r="629">
      <c r="A629" s="2">
        <f>IFERROR(__xludf.DUMMYFUNCTION("""COMPUTED_VALUE"""),41466.645833333336)</f>
        <v>41466.64583</v>
      </c>
      <c r="B629" s="1">
        <f>IFERROR(__xludf.DUMMYFUNCTION("""COMPUTED_VALUE"""),69743.73)</f>
        <v>69743.73</v>
      </c>
      <c r="C629" s="1">
        <f>IFERROR(__xludf.DUMMYFUNCTION("""COMPUTED_VALUE"""),71582.31)</f>
        <v>71582.31</v>
      </c>
      <c r="D629" s="1">
        <f>IFERROR(__xludf.DUMMYFUNCTION("""COMPUTED_VALUE"""),69621.15)</f>
        <v>69621.15</v>
      </c>
      <c r="E629" s="1">
        <f>IFERROR(__xludf.DUMMYFUNCTION("""COMPUTED_VALUE"""),71092.02)</f>
        <v>71092.02</v>
      </c>
      <c r="F629" s="1">
        <f>IFERROR(__xludf.DUMMYFUNCTION("""COMPUTED_VALUE"""),183732.0)</f>
        <v>183732</v>
      </c>
    </row>
    <row r="630">
      <c r="A630" s="2">
        <f>IFERROR(__xludf.DUMMYFUNCTION("""COMPUTED_VALUE"""),41467.645833333336)</f>
        <v>41467.64583</v>
      </c>
      <c r="B630" s="1">
        <f>IFERROR(__xludf.DUMMYFUNCTION("""COMPUTED_VALUE"""),70479.16)</f>
        <v>70479.16</v>
      </c>
      <c r="C630" s="1">
        <f>IFERROR(__xludf.DUMMYFUNCTION("""COMPUTED_VALUE"""),71092.02)</f>
        <v>71092.02</v>
      </c>
      <c r="D630" s="1">
        <f>IFERROR(__xludf.DUMMYFUNCTION("""COMPUTED_VALUE"""),69621.15)</f>
        <v>69621.15</v>
      </c>
      <c r="E630" s="1">
        <f>IFERROR(__xludf.DUMMYFUNCTION("""COMPUTED_VALUE"""),71092.02)</f>
        <v>71092.02</v>
      </c>
      <c r="F630" s="1">
        <f>IFERROR(__xludf.DUMMYFUNCTION("""COMPUTED_VALUE"""),154141.0)</f>
        <v>154141</v>
      </c>
    </row>
    <row r="631">
      <c r="A631" s="2">
        <f>IFERROR(__xludf.DUMMYFUNCTION("""COMPUTED_VALUE"""),41470.645833333336)</f>
        <v>41470.64583</v>
      </c>
      <c r="B631" s="1">
        <f>IFERROR(__xludf.DUMMYFUNCTION("""COMPUTED_VALUE"""),70724.31)</f>
        <v>70724.31</v>
      </c>
      <c r="C631" s="1">
        <f>IFERROR(__xludf.DUMMYFUNCTION("""COMPUTED_VALUE"""),70724.31)</f>
        <v>70724.31</v>
      </c>
      <c r="D631" s="1">
        <f>IFERROR(__xludf.DUMMYFUNCTION("""COMPUTED_VALUE"""),69130.86)</f>
        <v>69130.86</v>
      </c>
      <c r="E631" s="1">
        <f>IFERROR(__xludf.DUMMYFUNCTION("""COMPUTED_VALUE"""),70234.02)</f>
        <v>70234.02</v>
      </c>
      <c r="F631" s="1">
        <f>IFERROR(__xludf.DUMMYFUNCTION("""COMPUTED_VALUE"""),123843.0)</f>
        <v>123843</v>
      </c>
    </row>
    <row r="632">
      <c r="A632" s="2">
        <f>IFERROR(__xludf.DUMMYFUNCTION("""COMPUTED_VALUE"""),41471.645833333336)</f>
        <v>41471.64583</v>
      </c>
      <c r="B632" s="1">
        <f>IFERROR(__xludf.DUMMYFUNCTION("""COMPUTED_VALUE"""),70601.73)</f>
        <v>70601.73</v>
      </c>
      <c r="C632" s="1">
        <f>IFERROR(__xludf.DUMMYFUNCTION("""COMPUTED_VALUE"""),72440.32)</f>
        <v>72440.32</v>
      </c>
      <c r="D632" s="1">
        <f>IFERROR(__xludf.DUMMYFUNCTION("""COMPUTED_VALUE"""),69866.3)</f>
        <v>69866.3</v>
      </c>
      <c r="E632" s="1">
        <f>IFERROR(__xludf.DUMMYFUNCTION("""COMPUTED_VALUE"""),71704.88)</f>
        <v>71704.88</v>
      </c>
      <c r="F632" s="1">
        <f>IFERROR(__xludf.DUMMYFUNCTION("""COMPUTED_VALUE"""),136976.0)</f>
        <v>136976</v>
      </c>
    </row>
    <row r="633">
      <c r="A633" s="2">
        <f>IFERROR(__xludf.DUMMYFUNCTION("""COMPUTED_VALUE"""),41472.645833333336)</f>
        <v>41472.64583</v>
      </c>
      <c r="B633" s="1">
        <f>IFERROR(__xludf.DUMMYFUNCTION("""COMPUTED_VALUE"""),71704.88)</f>
        <v>71704.88</v>
      </c>
      <c r="C633" s="1">
        <f>IFERROR(__xludf.DUMMYFUNCTION("""COMPUTED_VALUE"""),72440.32)</f>
        <v>72440.32</v>
      </c>
      <c r="D633" s="1">
        <f>IFERROR(__xludf.DUMMYFUNCTION("""COMPUTED_VALUE"""),70601.73)</f>
        <v>70601.73</v>
      </c>
      <c r="E633" s="1">
        <f>IFERROR(__xludf.DUMMYFUNCTION("""COMPUTED_VALUE"""),71827.46)</f>
        <v>71827.46</v>
      </c>
      <c r="F633" s="1">
        <f>IFERROR(__xludf.DUMMYFUNCTION("""COMPUTED_VALUE"""),121540.0)</f>
        <v>121540</v>
      </c>
    </row>
    <row r="634">
      <c r="A634" s="2">
        <f>IFERROR(__xludf.DUMMYFUNCTION("""COMPUTED_VALUE"""),41473.645833333336)</f>
        <v>41473.64583</v>
      </c>
      <c r="B634" s="1">
        <f>IFERROR(__xludf.DUMMYFUNCTION("""COMPUTED_VALUE"""),71582.31)</f>
        <v>71582.31</v>
      </c>
      <c r="C634" s="1">
        <f>IFERROR(__xludf.DUMMYFUNCTION("""COMPUTED_VALUE"""),72685.46)</f>
        <v>72685.46</v>
      </c>
      <c r="D634" s="1">
        <f>IFERROR(__xludf.DUMMYFUNCTION("""COMPUTED_VALUE"""),70479.16)</f>
        <v>70479.16</v>
      </c>
      <c r="E634" s="1">
        <f>IFERROR(__xludf.DUMMYFUNCTION("""COMPUTED_VALUE"""),70601.73)</f>
        <v>70601.73</v>
      </c>
      <c r="F634" s="1">
        <f>IFERROR(__xludf.DUMMYFUNCTION("""COMPUTED_VALUE"""),167697.0)</f>
        <v>167697</v>
      </c>
    </row>
    <row r="635">
      <c r="A635" s="2">
        <f>IFERROR(__xludf.DUMMYFUNCTION("""COMPUTED_VALUE"""),41474.645833333336)</f>
        <v>41474.64583</v>
      </c>
      <c r="B635" s="1">
        <f>IFERROR(__xludf.DUMMYFUNCTION("""COMPUTED_VALUE"""),70356.59)</f>
        <v>70356.59</v>
      </c>
      <c r="C635" s="1">
        <f>IFERROR(__xludf.DUMMYFUNCTION("""COMPUTED_VALUE"""),70724.31)</f>
        <v>70724.31</v>
      </c>
      <c r="D635" s="1">
        <f>IFERROR(__xludf.DUMMYFUNCTION("""COMPUTED_VALUE"""),69130.86)</f>
        <v>69130.86</v>
      </c>
      <c r="E635" s="1">
        <f>IFERROR(__xludf.DUMMYFUNCTION("""COMPUTED_VALUE"""),69376.01)</f>
        <v>69376.01</v>
      </c>
      <c r="F635" s="1">
        <f>IFERROR(__xludf.DUMMYFUNCTION("""COMPUTED_VALUE"""),189465.0)</f>
        <v>189465</v>
      </c>
    </row>
    <row r="636">
      <c r="A636" s="2">
        <f>IFERROR(__xludf.DUMMYFUNCTION("""COMPUTED_VALUE"""),41477.645833333336)</f>
        <v>41477.64583</v>
      </c>
      <c r="B636" s="1">
        <f>IFERROR(__xludf.DUMMYFUNCTION("""COMPUTED_VALUE"""),70111.44)</f>
        <v>70111.44</v>
      </c>
      <c r="C636" s="1">
        <f>IFERROR(__xludf.DUMMYFUNCTION("""COMPUTED_VALUE"""),70234.02)</f>
        <v>70234.02</v>
      </c>
      <c r="D636" s="1">
        <f>IFERROR(__xludf.DUMMYFUNCTION("""COMPUTED_VALUE"""),67905.14)</f>
        <v>67905.14</v>
      </c>
      <c r="E636" s="1">
        <f>IFERROR(__xludf.DUMMYFUNCTION("""COMPUTED_VALUE"""),68027.71)</f>
        <v>68027.71</v>
      </c>
      <c r="F636" s="1">
        <f>IFERROR(__xludf.DUMMYFUNCTION("""COMPUTED_VALUE"""),211980.0)</f>
        <v>211980</v>
      </c>
    </row>
    <row r="637">
      <c r="A637" s="2">
        <f>IFERROR(__xludf.DUMMYFUNCTION("""COMPUTED_VALUE"""),41478.645833333336)</f>
        <v>41478.64583</v>
      </c>
      <c r="B637" s="1">
        <f>IFERROR(__xludf.DUMMYFUNCTION("""COMPUTED_VALUE"""),68395.43)</f>
        <v>68395.43</v>
      </c>
      <c r="C637" s="1">
        <f>IFERROR(__xludf.DUMMYFUNCTION("""COMPUTED_VALUE"""),69988.87)</f>
        <v>69988.87</v>
      </c>
      <c r="D637" s="1">
        <f>IFERROR(__xludf.DUMMYFUNCTION("""COMPUTED_VALUE"""),68027.71)</f>
        <v>68027.71</v>
      </c>
      <c r="E637" s="1">
        <f>IFERROR(__xludf.DUMMYFUNCTION("""COMPUTED_VALUE"""),69498.58)</f>
        <v>69498.58</v>
      </c>
      <c r="F637" s="1">
        <f>IFERROR(__xludf.DUMMYFUNCTION("""COMPUTED_VALUE"""),238953.0)</f>
        <v>238953</v>
      </c>
    </row>
    <row r="638">
      <c r="A638" s="2">
        <f>IFERROR(__xludf.DUMMYFUNCTION("""COMPUTED_VALUE"""),41479.645833333336)</f>
        <v>41479.64583</v>
      </c>
      <c r="B638" s="1">
        <f>IFERROR(__xludf.DUMMYFUNCTION("""COMPUTED_VALUE"""),69866.3)</f>
        <v>69866.3</v>
      </c>
      <c r="C638" s="1">
        <f>IFERROR(__xludf.DUMMYFUNCTION("""COMPUTED_VALUE"""),70111.44)</f>
        <v>70111.44</v>
      </c>
      <c r="D638" s="1">
        <f>IFERROR(__xludf.DUMMYFUNCTION("""COMPUTED_VALUE"""),66434.27)</f>
        <v>66434.27</v>
      </c>
      <c r="E638" s="1">
        <f>IFERROR(__xludf.DUMMYFUNCTION("""COMPUTED_VALUE"""),67659.99)</f>
        <v>67659.99</v>
      </c>
      <c r="F638" s="1">
        <f>IFERROR(__xludf.DUMMYFUNCTION("""COMPUTED_VALUE"""),379031.0)</f>
        <v>379031</v>
      </c>
    </row>
    <row r="639">
      <c r="A639" s="2">
        <f>IFERROR(__xludf.DUMMYFUNCTION("""COMPUTED_VALUE"""),41480.645833333336)</f>
        <v>41480.64583</v>
      </c>
      <c r="B639" s="1">
        <f>IFERROR(__xludf.DUMMYFUNCTION("""COMPUTED_VALUE"""),68150.28)</f>
        <v>68150.28</v>
      </c>
      <c r="C639" s="1">
        <f>IFERROR(__xludf.DUMMYFUNCTION("""COMPUTED_VALUE"""),69866.3)</f>
        <v>69866.3</v>
      </c>
      <c r="D639" s="1">
        <f>IFERROR(__xludf.DUMMYFUNCTION("""COMPUTED_VALUE"""),67782.57)</f>
        <v>67782.57</v>
      </c>
      <c r="E639" s="1">
        <f>IFERROR(__xludf.DUMMYFUNCTION("""COMPUTED_VALUE"""),68640.57)</f>
        <v>68640.57</v>
      </c>
      <c r="F639" s="1">
        <f>IFERROR(__xludf.DUMMYFUNCTION("""COMPUTED_VALUE"""),388462.0)</f>
        <v>388462</v>
      </c>
    </row>
    <row r="640">
      <c r="A640" s="2">
        <f>IFERROR(__xludf.DUMMYFUNCTION("""COMPUTED_VALUE"""),41481.645833333336)</f>
        <v>41481.64583</v>
      </c>
      <c r="B640" s="1">
        <f>IFERROR(__xludf.DUMMYFUNCTION("""COMPUTED_VALUE"""),70724.31)</f>
        <v>70724.31</v>
      </c>
      <c r="C640" s="1">
        <f>IFERROR(__xludf.DUMMYFUNCTION("""COMPUTED_VALUE"""),74278.91)</f>
        <v>74278.91</v>
      </c>
      <c r="D640" s="1">
        <f>IFERROR(__xludf.DUMMYFUNCTION("""COMPUTED_VALUE"""),70234.02)</f>
        <v>70234.02</v>
      </c>
      <c r="E640" s="1">
        <f>IFERROR(__xludf.DUMMYFUNCTION("""COMPUTED_VALUE"""),73788.62)</f>
        <v>73788.62</v>
      </c>
      <c r="F640" s="1">
        <f>IFERROR(__xludf.DUMMYFUNCTION("""COMPUTED_VALUE"""),679772.0)</f>
        <v>679772</v>
      </c>
    </row>
    <row r="641">
      <c r="A641" s="2">
        <f>IFERROR(__xludf.DUMMYFUNCTION("""COMPUTED_VALUE"""),41484.645833333336)</f>
        <v>41484.64583</v>
      </c>
      <c r="B641" s="1">
        <f>IFERROR(__xludf.DUMMYFUNCTION("""COMPUTED_VALUE"""),73543.47)</f>
        <v>73543.47</v>
      </c>
      <c r="C641" s="1">
        <f>IFERROR(__xludf.DUMMYFUNCTION("""COMPUTED_VALUE"""),74156.33)</f>
        <v>74156.33</v>
      </c>
      <c r="D641" s="1">
        <f>IFERROR(__xludf.DUMMYFUNCTION("""COMPUTED_VALUE"""),70601.73)</f>
        <v>70601.73</v>
      </c>
      <c r="E641" s="1">
        <f>IFERROR(__xludf.DUMMYFUNCTION("""COMPUTED_VALUE"""),71950.03)</f>
        <v>71950.03</v>
      </c>
      <c r="F641" s="1">
        <f>IFERROR(__xludf.DUMMYFUNCTION("""COMPUTED_VALUE"""),1249690.0)</f>
        <v>1249690</v>
      </c>
    </row>
    <row r="642">
      <c r="A642" s="2">
        <f>IFERROR(__xludf.DUMMYFUNCTION("""COMPUTED_VALUE"""),41515.645833333336)</f>
        <v>41515.64583</v>
      </c>
      <c r="B642" s="1">
        <f>IFERROR(__xludf.DUMMYFUNCTION("""COMPUTED_VALUE"""),92000.0)</f>
        <v>92000</v>
      </c>
      <c r="C642" s="1">
        <f>IFERROR(__xludf.DUMMYFUNCTION("""COMPUTED_VALUE"""),98300.0)</f>
        <v>98300</v>
      </c>
      <c r="D642" s="1">
        <f>IFERROR(__xludf.DUMMYFUNCTION("""COMPUTED_VALUE"""),86200.0)</f>
        <v>86200</v>
      </c>
      <c r="E642" s="1">
        <f>IFERROR(__xludf.DUMMYFUNCTION("""COMPUTED_VALUE"""),96000.0)</f>
        <v>96000</v>
      </c>
      <c r="F642" s="1">
        <f>IFERROR(__xludf.DUMMYFUNCTION("""COMPUTED_VALUE"""),2021372.0)</f>
        <v>2021372</v>
      </c>
    </row>
    <row r="643">
      <c r="A643" s="2">
        <f>IFERROR(__xludf.DUMMYFUNCTION("""COMPUTED_VALUE"""),41516.645833333336)</f>
        <v>41516.64583</v>
      </c>
      <c r="B643" s="1">
        <f>IFERROR(__xludf.DUMMYFUNCTION("""COMPUTED_VALUE"""),94800.0)</f>
        <v>94800</v>
      </c>
      <c r="C643" s="1">
        <f>IFERROR(__xludf.DUMMYFUNCTION("""COMPUTED_VALUE"""),94800.0)</f>
        <v>94800</v>
      </c>
      <c r="D643" s="1">
        <f>IFERROR(__xludf.DUMMYFUNCTION("""COMPUTED_VALUE"""),89300.0)</f>
        <v>89300</v>
      </c>
      <c r="E643" s="1">
        <f>IFERROR(__xludf.DUMMYFUNCTION("""COMPUTED_VALUE"""),89300.0)</f>
        <v>89300</v>
      </c>
      <c r="F643" s="1">
        <f>IFERROR(__xludf.DUMMYFUNCTION("""COMPUTED_VALUE"""),752698.0)</f>
        <v>752698</v>
      </c>
    </row>
    <row r="644">
      <c r="A644" s="2">
        <f>IFERROR(__xludf.DUMMYFUNCTION("""COMPUTED_VALUE"""),41519.645833333336)</f>
        <v>41519.64583</v>
      </c>
      <c r="B644" s="1">
        <f>IFERROR(__xludf.DUMMYFUNCTION("""COMPUTED_VALUE"""),89300.0)</f>
        <v>89300</v>
      </c>
      <c r="C644" s="1">
        <f>IFERROR(__xludf.DUMMYFUNCTION("""COMPUTED_VALUE"""),91700.0)</f>
        <v>91700</v>
      </c>
      <c r="D644" s="1">
        <f>IFERROR(__xludf.DUMMYFUNCTION("""COMPUTED_VALUE"""),89300.0)</f>
        <v>89300</v>
      </c>
      <c r="E644" s="1">
        <f>IFERROR(__xludf.DUMMYFUNCTION("""COMPUTED_VALUE"""),89900.0)</f>
        <v>89900</v>
      </c>
      <c r="F644" s="1">
        <f>IFERROR(__xludf.DUMMYFUNCTION("""COMPUTED_VALUE"""),329233.0)</f>
        <v>329233</v>
      </c>
    </row>
    <row r="645">
      <c r="A645" s="2">
        <f>IFERROR(__xludf.DUMMYFUNCTION("""COMPUTED_VALUE"""),41520.645833333336)</f>
        <v>41520.64583</v>
      </c>
      <c r="B645" s="1">
        <f>IFERROR(__xludf.DUMMYFUNCTION("""COMPUTED_VALUE"""),89500.0)</f>
        <v>89500</v>
      </c>
      <c r="C645" s="1">
        <f>IFERROR(__xludf.DUMMYFUNCTION("""COMPUTED_VALUE"""),90400.0)</f>
        <v>90400</v>
      </c>
      <c r="D645" s="1">
        <f>IFERROR(__xludf.DUMMYFUNCTION("""COMPUTED_VALUE"""),88600.0)</f>
        <v>88600</v>
      </c>
      <c r="E645" s="1">
        <f>IFERROR(__xludf.DUMMYFUNCTION("""COMPUTED_VALUE"""),88600.0)</f>
        <v>88600</v>
      </c>
      <c r="F645" s="1">
        <f>IFERROR(__xludf.DUMMYFUNCTION("""COMPUTED_VALUE"""),257085.0)</f>
        <v>257085</v>
      </c>
    </row>
    <row r="646">
      <c r="A646" s="2">
        <f>IFERROR(__xludf.DUMMYFUNCTION("""COMPUTED_VALUE"""),41521.645833333336)</f>
        <v>41521.64583</v>
      </c>
      <c r="B646" s="1">
        <f>IFERROR(__xludf.DUMMYFUNCTION("""COMPUTED_VALUE"""),88400.0)</f>
        <v>88400</v>
      </c>
      <c r="C646" s="1">
        <f>IFERROR(__xludf.DUMMYFUNCTION("""COMPUTED_VALUE"""),89700.0)</f>
        <v>89700</v>
      </c>
      <c r="D646" s="1">
        <f>IFERROR(__xludf.DUMMYFUNCTION("""COMPUTED_VALUE"""),86500.0)</f>
        <v>86500</v>
      </c>
      <c r="E646" s="1">
        <f>IFERROR(__xludf.DUMMYFUNCTION("""COMPUTED_VALUE"""),87400.0)</f>
        <v>87400</v>
      </c>
      <c r="F646" s="1">
        <f>IFERROR(__xludf.DUMMYFUNCTION("""COMPUTED_VALUE"""),278622.0)</f>
        <v>278622</v>
      </c>
    </row>
    <row r="647">
      <c r="A647" s="2">
        <f>IFERROR(__xludf.DUMMYFUNCTION("""COMPUTED_VALUE"""),41522.645833333336)</f>
        <v>41522.64583</v>
      </c>
      <c r="B647" s="1">
        <f>IFERROR(__xludf.DUMMYFUNCTION("""COMPUTED_VALUE"""),88200.0)</f>
        <v>88200</v>
      </c>
      <c r="C647" s="1">
        <f>IFERROR(__xludf.DUMMYFUNCTION("""COMPUTED_VALUE"""),91900.0)</f>
        <v>91900</v>
      </c>
      <c r="D647" s="1">
        <f>IFERROR(__xludf.DUMMYFUNCTION("""COMPUTED_VALUE"""),88100.0)</f>
        <v>88100</v>
      </c>
      <c r="E647" s="1">
        <f>IFERROR(__xludf.DUMMYFUNCTION("""COMPUTED_VALUE"""),91300.0)</f>
        <v>91300</v>
      </c>
      <c r="F647" s="1">
        <f>IFERROR(__xludf.DUMMYFUNCTION("""COMPUTED_VALUE"""),292076.0)</f>
        <v>292076</v>
      </c>
    </row>
    <row r="648">
      <c r="A648" s="2">
        <f>IFERROR(__xludf.DUMMYFUNCTION("""COMPUTED_VALUE"""),41523.645833333336)</f>
        <v>41523.64583</v>
      </c>
      <c r="B648" s="1">
        <f>IFERROR(__xludf.DUMMYFUNCTION("""COMPUTED_VALUE"""),92000.0)</f>
        <v>92000</v>
      </c>
      <c r="C648" s="1">
        <f>IFERROR(__xludf.DUMMYFUNCTION("""COMPUTED_VALUE"""),92600.0)</f>
        <v>92600</v>
      </c>
      <c r="D648" s="1">
        <f>IFERROR(__xludf.DUMMYFUNCTION("""COMPUTED_VALUE"""),89600.0)</f>
        <v>89600</v>
      </c>
      <c r="E648" s="1">
        <f>IFERROR(__xludf.DUMMYFUNCTION("""COMPUTED_VALUE"""),91300.0)</f>
        <v>91300</v>
      </c>
      <c r="F648" s="1">
        <f>IFERROR(__xludf.DUMMYFUNCTION("""COMPUTED_VALUE"""),156276.0)</f>
        <v>156276</v>
      </c>
    </row>
    <row r="649">
      <c r="A649" s="2">
        <f>IFERROR(__xludf.DUMMYFUNCTION("""COMPUTED_VALUE"""),41526.645833333336)</f>
        <v>41526.64583</v>
      </c>
      <c r="B649" s="1">
        <f>IFERROR(__xludf.DUMMYFUNCTION("""COMPUTED_VALUE"""),92000.0)</f>
        <v>92000</v>
      </c>
      <c r="C649" s="1">
        <f>IFERROR(__xludf.DUMMYFUNCTION("""COMPUTED_VALUE"""),98800.0)</f>
        <v>98800</v>
      </c>
      <c r="D649" s="1">
        <f>IFERROR(__xludf.DUMMYFUNCTION("""COMPUTED_VALUE"""),92000.0)</f>
        <v>92000</v>
      </c>
      <c r="E649" s="1">
        <f>IFERROR(__xludf.DUMMYFUNCTION("""COMPUTED_VALUE"""),97200.0)</f>
        <v>97200</v>
      </c>
      <c r="F649" s="1">
        <f>IFERROR(__xludf.DUMMYFUNCTION("""COMPUTED_VALUE"""),400716.0)</f>
        <v>400716</v>
      </c>
    </row>
    <row r="650">
      <c r="A650" s="2">
        <f>IFERROR(__xludf.DUMMYFUNCTION("""COMPUTED_VALUE"""),41527.645833333336)</f>
        <v>41527.64583</v>
      </c>
      <c r="B650" s="1">
        <f>IFERROR(__xludf.DUMMYFUNCTION("""COMPUTED_VALUE"""),100000.0)</f>
        <v>100000</v>
      </c>
      <c r="C650" s="1">
        <f>IFERROR(__xludf.DUMMYFUNCTION("""COMPUTED_VALUE"""),104000.0)</f>
        <v>104000</v>
      </c>
      <c r="D650" s="1">
        <f>IFERROR(__xludf.DUMMYFUNCTION("""COMPUTED_VALUE"""),98300.0)</f>
        <v>98300</v>
      </c>
      <c r="E650" s="1">
        <f>IFERROR(__xludf.DUMMYFUNCTION("""COMPUTED_VALUE"""),104000.0)</f>
        <v>104000</v>
      </c>
      <c r="F650" s="1">
        <f>IFERROR(__xludf.DUMMYFUNCTION("""COMPUTED_VALUE"""),368758.0)</f>
        <v>368758</v>
      </c>
    </row>
    <row r="651">
      <c r="A651" s="2">
        <f>IFERROR(__xludf.DUMMYFUNCTION("""COMPUTED_VALUE"""),41528.645833333336)</f>
        <v>41528.64583</v>
      </c>
      <c r="B651" s="1">
        <f>IFERROR(__xludf.DUMMYFUNCTION("""COMPUTED_VALUE"""),102600.0)</f>
        <v>102600</v>
      </c>
      <c r="C651" s="1">
        <f>IFERROR(__xludf.DUMMYFUNCTION("""COMPUTED_VALUE"""),104000.0)</f>
        <v>104000</v>
      </c>
      <c r="D651" s="1">
        <f>IFERROR(__xludf.DUMMYFUNCTION("""COMPUTED_VALUE"""),100400.0)</f>
        <v>100400</v>
      </c>
      <c r="E651" s="1">
        <f>IFERROR(__xludf.DUMMYFUNCTION("""COMPUTED_VALUE"""),102400.0)</f>
        <v>102400</v>
      </c>
      <c r="F651" s="1">
        <f>IFERROR(__xludf.DUMMYFUNCTION("""COMPUTED_VALUE"""),370812.0)</f>
        <v>370812</v>
      </c>
    </row>
    <row r="652">
      <c r="A652" s="2">
        <f>IFERROR(__xludf.DUMMYFUNCTION("""COMPUTED_VALUE"""),41529.645833333336)</f>
        <v>41529.64583</v>
      </c>
      <c r="B652" s="1">
        <f>IFERROR(__xludf.DUMMYFUNCTION("""COMPUTED_VALUE"""),104600.0)</f>
        <v>104600</v>
      </c>
      <c r="C652" s="1">
        <f>IFERROR(__xludf.DUMMYFUNCTION("""COMPUTED_VALUE"""),107000.0)</f>
        <v>107000</v>
      </c>
      <c r="D652" s="1">
        <f>IFERROR(__xludf.DUMMYFUNCTION("""COMPUTED_VALUE"""),104400.0)</f>
        <v>104400</v>
      </c>
      <c r="E652" s="1">
        <f>IFERROR(__xludf.DUMMYFUNCTION("""COMPUTED_VALUE"""),105000.0)</f>
        <v>105000</v>
      </c>
      <c r="F652" s="1">
        <f>IFERROR(__xludf.DUMMYFUNCTION("""COMPUTED_VALUE"""),574147.0)</f>
        <v>574147</v>
      </c>
    </row>
    <row r="653">
      <c r="A653" s="2">
        <f>IFERROR(__xludf.DUMMYFUNCTION("""COMPUTED_VALUE"""),41530.645833333336)</f>
        <v>41530.64583</v>
      </c>
      <c r="B653" s="1">
        <f>IFERROR(__xludf.DUMMYFUNCTION("""COMPUTED_VALUE"""),104200.0)</f>
        <v>104200</v>
      </c>
      <c r="C653" s="1">
        <f>IFERROR(__xludf.DUMMYFUNCTION("""COMPUTED_VALUE"""),106200.0)</f>
        <v>106200</v>
      </c>
      <c r="D653" s="1">
        <f>IFERROR(__xludf.DUMMYFUNCTION("""COMPUTED_VALUE"""),102600.0)</f>
        <v>102600</v>
      </c>
      <c r="E653" s="1">
        <f>IFERROR(__xludf.DUMMYFUNCTION("""COMPUTED_VALUE"""),104200.0)</f>
        <v>104200</v>
      </c>
      <c r="F653" s="1">
        <f>IFERROR(__xludf.DUMMYFUNCTION("""COMPUTED_VALUE"""),198641.0)</f>
        <v>198641</v>
      </c>
    </row>
    <row r="654">
      <c r="A654" s="2">
        <f>IFERROR(__xludf.DUMMYFUNCTION("""COMPUTED_VALUE"""),41533.645833333336)</f>
        <v>41533.64583</v>
      </c>
      <c r="B654" s="1">
        <f>IFERROR(__xludf.DUMMYFUNCTION("""COMPUTED_VALUE"""),107600.0)</f>
        <v>107600</v>
      </c>
      <c r="C654" s="1">
        <f>IFERROR(__xludf.DUMMYFUNCTION("""COMPUTED_VALUE"""),108400.0)</f>
        <v>108400</v>
      </c>
      <c r="D654" s="1">
        <f>IFERROR(__xludf.DUMMYFUNCTION("""COMPUTED_VALUE"""),103600.0)</f>
        <v>103600</v>
      </c>
      <c r="E654" s="1">
        <f>IFERROR(__xludf.DUMMYFUNCTION("""COMPUTED_VALUE"""),105800.0)</f>
        <v>105800</v>
      </c>
      <c r="F654" s="1">
        <f>IFERROR(__xludf.DUMMYFUNCTION("""COMPUTED_VALUE"""),198212.0)</f>
        <v>198212</v>
      </c>
    </row>
    <row r="655">
      <c r="A655" s="2">
        <f>IFERROR(__xludf.DUMMYFUNCTION("""COMPUTED_VALUE"""),41534.645833333336)</f>
        <v>41534.64583</v>
      </c>
      <c r="B655" s="1">
        <f>IFERROR(__xludf.DUMMYFUNCTION("""COMPUTED_VALUE"""),104200.0)</f>
        <v>104200</v>
      </c>
      <c r="C655" s="1">
        <f>IFERROR(__xludf.DUMMYFUNCTION("""COMPUTED_VALUE"""),106000.0)</f>
        <v>106000</v>
      </c>
      <c r="D655" s="1">
        <f>IFERROR(__xludf.DUMMYFUNCTION("""COMPUTED_VALUE"""),104000.0)</f>
        <v>104000</v>
      </c>
      <c r="E655" s="1">
        <f>IFERROR(__xludf.DUMMYFUNCTION("""COMPUTED_VALUE"""),104800.0)</f>
        <v>104800</v>
      </c>
      <c r="F655" s="1">
        <f>IFERROR(__xludf.DUMMYFUNCTION("""COMPUTED_VALUE"""),175903.0)</f>
        <v>175903</v>
      </c>
    </row>
    <row r="656">
      <c r="A656" s="2">
        <f>IFERROR(__xludf.DUMMYFUNCTION("""COMPUTED_VALUE"""),41540.645833333336)</f>
        <v>41540.64583</v>
      </c>
      <c r="B656" s="1">
        <f>IFERROR(__xludf.DUMMYFUNCTION("""COMPUTED_VALUE"""),106200.0)</f>
        <v>106200</v>
      </c>
      <c r="C656" s="1">
        <f>IFERROR(__xludf.DUMMYFUNCTION("""COMPUTED_VALUE"""),108000.0)</f>
        <v>108000</v>
      </c>
      <c r="D656" s="1">
        <f>IFERROR(__xludf.DUMMYFUNCTION("""COMPUTED_VALUE"""),106200.0)</f>
        <v>106200</v>
      </c>
      <c r="E656" s="1">
        <f>IFERROR(__xludf.DUMMYFUNCTION("""COMPUTED_VALUE"""),108000.0)</f>
        <v>108000</v>
      </c>
      <c r="F656" s="1">
        <f>IFERROR(__xludf.DUMMYFUNCTION("""COMPUTED_VALUE"""),340548.0)</f>
        <v>340548</v>
      </c>
    </row>
    <row r="657">
      <c r="A657" s="2">
        <f>IFERROR(__xludf.DUMMYFUNCTION("""COMPUTED_VALUE"""),41541.645833333336)</f>
        <v>41541.64583</v>
      </c>
      <c r="B657" s="1">
        <f>IFERROR(__xludf.DUMMYFUNCTION("""COMPUTED_VALUE"""),108000.0)</f>
        <v>108000</v>
      </c>
      <c r="C657" s="1">
        <f>IFERROR(__xludf.DUMMYFUNCTION("""COMPUTED_VALUE"""),108800.0)</f>
        <v>108800</v>
      </c>
      <c r="D657" s="1">
        <f>IFERROR(__xludf.DUMMYFUNCTION("""COMPUTED_VALUE"""),107000.0)</f>
        <v>107000</v>
      </c>
      <c r="E657" s="1">
        <f>IFERROR(__xludf.DUMMYFUNCTION("""COMPUTED_VALUE"""),108600.0)</f>
        <v>108600</v>
      </c>
      <c r="F657" s="1">
        <f>IFERROR(__xludf.DUMMYFUNCTION("""COMPUTED_VALUE"""),240406.0)</f>
        <v>240406</v>
      </c>
    </row>
    <row r="658">
      <c r="A658" s="2">
        <f>IFERROR(__xludf.DUMMYFUNCTION("""COMPUTED_VALUE"""),41542.645833333336)</f>
        <v>41542.64583</v>
      </c>
      <c r="B658" s="1">
        <f>IFERROR(__xludf.DUMMYFUNCTION("""COMPUTED_VALUE"""),111000.0)</f>
        <v>111000</v>
      </c>
      <c r="C658" s="1">
        <f>IFERROR(__xludf.DUMMYFUNCTION("""COMPUTED_VALUE"""),112200.0)</f>
        <v>112200</v>
      </c>
      <c r="D658" s="1">
        <f>IFERROR(__xludf.DUMMYFUNCTION("""COMPUTED_VALUE"""),109800.0)</f>
        <v>109800</v>
      </c>
      <c r="E658" s="1">
        <f>IFERROR(__xludf.DUMMYFUNCTION("""COMPUTED_VALUE"""),111000.0)</f>
        <v>111000</v>
      </c>
      <c r="F658" s="1">
        <f>IFERROR(__xludf.DUMMYFUNCTION("""COMPUTED_VALUE"""),276352.0)</f>
        <v>276352</v>
      </c>
    </row>
    <row r="659">
      <c r="A659" s="2">
        <f>IFERROR(__xludf.DUMMYFUNCTION("""COMPUTED_VALUE"""),41543.645833333336)</f>
        <v>41543.64583</v>
      </c>
      <c r="B659" s="1">
        <f>IFERROR(__xludf.DUMMYFUNCTION("""COMPUTED_VALUE"""),110000.0)</f>
        <v>110000</v>
      </c>
      <c r="C659" s="1">
        <f>IFERROR(__xludf.DUMMYFUNCTION("""COMPUTED_VALUE"""),111400.0)</f>
        <v>111400</v>
      </c>
      <c r="D659" s="1">
        <f>IFERROR(__xludf.DUMMYFUNCTION("""COMPUTED_VALUE"""),107200.0)</f>
        <v>107200</v>
      </c>
      <c r="E659" s="1">
        <f>IFERROR(__xludf.DUMMYFUNCTION("""COMPUTED_VALUE"""),110600.0)</f>
        <v>110600</v>
      </c>
      <c r="F659" s="1">
        <f>IFERROR(__xludf.DUMMYFUNCTION("""COMPUTED_VALUE"""),221180.0)</f>
        <v>221180</v>
      </c>
    </row>
    <row r="660">
      <c r="A660" s="2">
        <f>IFERROR(__xludf.DUMMYFUNCTION("""COMPUTED_VALUE"""),41544.645833333336)</f>
        <v>41544.64583</v>
      </c>
      <c r="B660" s="1">
        <f>IFERROR(__xludf.DUMMYFUNCTION("""COMPUTED_VALUE"""),110400.0)</f>
        <v>110400</v>
      </c>
      <c r="C660" s="1">
        <f>IFERROR(__xludf.DUMMYFUNCTION("""COMPUTED_VALUE"""),111600.0)</f>
        <v>111600</v>
      </c>
      <c r="D660" s="1">
        <f>IFERROR(__xludf.DUMMYFUNCTION("""COMPUTED_VALUE"""),110000.0)</f>
        <v>110000</v>
      </c>
      <c r="E660" s="1">
        <f>IFERROR(__xludf.DUMMYFUNCTION("""COMPUTED_VALUE"""),111000.0)</f>
        <v>111000</v>
      </c>
      <c r="F660" s="1">
        <f>IFERROR(__xludf.DUMMYFUNCTION("""COMPUTED_VALUE"""),126677.0)</f>
        <v>126677</v>
      </c>
    </row>
    <row r="661">
      <c r="A661" s="2">
        <f>IFERROR(__xludf.DUMMYFUNCTION("""COMPUTED_VALUE"""),41547.645833333336)</f>
        <v>41547.64583</v>
      </c>
      <c r="B661" s="1">
        <f>IFERROR(__xludf.DUMMYFUNCTION("""COMPUTED_VALUE"""),110000.0)</f>
        <v>110000</v>
      </c>
      <c r="C661" s="1">
        <f>IFERROR(__xludf.DUMMYFUNCTION("""COMPUTED_VALUE"""),112000.0)</f>
        <v>112000</v>
      </c>
      <c r="D661" s="1">
        <f>IFERROR(__xludf.DUMMYFUNCTION("""COMPUTED_VALUE"""),109600.0)</f>
        <v>109600</v>
      </c>
      <c r="E661" s="1">
        <f>IFERROR(__xludf.DUMMYFUNCTION("""COMPUTED_VALUE"""),111400.0)</f>
        <v>111400</v>
      </c>
      <c r="F661" s="1">
        <f>IFERROR(__xludf.DUMMYFUNCTION("""COMPUTED_VALUE"""),159608.0)</f>
        <v>159608</v>
      </c>
    </row>
    <row r="662">
      <c r="A662" s="2">
        <f>IFERROR(__xludf.DUMMYFUNCTION("""COMPUTED_VALUE"""),41548.645833333336)</f>
        <v>41548.64583</v>
      </c>
      <c r="B662" s="1">
        <f>IFERROR(__xludf.DUMMYFUNCTION("""COMPUTED_VALUE"""),111000.0)</f>
        <v>111000</v>
      </c>
      <c r="C662" s="1">
        <f>IFERROR(__xludf.DUMMYFUNCTION("""COMPUTED_VALUE"""),112800.0)</f>
        <v>112800</v>
      </c>
      <c r="D662" s="1">
        <f>IFERROR(__xludf.DUMMYFUNCTION("""COMPUTED_VALUE"""),110400.0)</f>
        <v>110400</v>
      </c>
      <c r="E662" s="1">
        <f>IFERROR(__xludf.DUMMYFUNCTION("""COMPUTED_VALUE"""),111400.0)</f>
        <v>111400</v>
      </c>
      <c r="F662" s="1">
        <f>IFERROR(__xludf.DUMMYFUNCTION("""COMPUTED_VALUE"""),151553.0)</f>
        <v>151553</v>
      </c>
    </row>
    <row r="663">
      <c r="A663" s="2">
        <f>IFERROR(__xludf.DUMMYFUNCTION("""COMPUTED_VALUE"""),41549.645833333336)</f>
        <v>41549.64583</v>
      </c>
      <c r="B663" s="1">
        <f>IFERROR(__xludf.DUMMYFUNCTION("""COMPUTED_VALUE"""),111400.0)</f>
        <v>111400</v>
      </c>
      <c r="C663" s="1">
        <f>IFERROR(__xludf.DUMMYFUNCTION("""COMPUTED_VALUE"""),111800.0)</f>
        <v>111800</v>
      </c>
      <c r="D663" s="1">
        <f>IFERROR(__xludf.DUMMYFUNCTION("""COMPUTED_VALUE"""),109400.0)</f>
        <v>109400</v>
      </c>
      <c r="E663" s="1">
        <f>IFERROR(__xludf.DUMMYFUNCTION("""COMPUTED_VALUE"""),110800.0)</f>
        <v>110800</v>
      </c>
      <c r="F663" s="1">
        <f>IFERROR(__xludf.DUMMYFUNCTION("""COMPUTED_VALUE"""),184024.0)</f>
        <v>184024</v>
      </c>
    </row>
    <row r="664">
      <c r="A664" s="2">
        <f>IFERROR(__xludf.DUMMYFUNCTION("""COMPUTED_VALUE"""),41551.645833333336)</f>
        <v>41551.64583</v>
      </c>
      <c r="B664" s="1">
        <f>IFERROR(__xludf.DUMMYFUNCTION("""COMPUTED_VALUE"""),109400.0)</f>
        <v>109400</v>
      </c>
      <c r="C664" s="1">
        <f>IFERROR(__xludf.DUMMYFUNCTION("""COMPUTED_VALUE"""),110600.0)</f>
        <v>110600</v>
      </c>
      <c r="D664" s="1">
        <f>IFERROR(__xludf.DUMMYFUNCTION("""COMPUTED_VALUE"""),106800.0)</f>
        <v>106800</v>
      </c>
      <c r="E664" s="1">
        <f>IFERROR(__xludf.DUMMYFUNCTION("""COMPUTED_VALUE"""),109400.0)</f>
        <v>109400</v>
      </c>
      <c r="F664" s="1">
        <f>IFERROR(__xludf.DUMMYFUNCTION("""COMPUTED_VALUE"""),236514.0)</f>
        <v>236514</v>
      </c>
    </row>
    <row r="665">
      <c r="A665" s="2">
        <f>IFERROR(__xludf.DUMMYFUNCTION("""COMPUTED_VALUE"""),41554.645833333336)</f>
        <v>41554.64583</v>
      </c>
      <c r="B665" s="1">
        <f>IFERROR(__xludf.DUMMYFUNCTION("""COMPUTED_VALUE"""),110000.0)</f>
        <v>110000</v>
      </c>
      <c r="C665" s="1">
        <f>IFERROR(__xludf.DUMMYFUNCTION("""COMPUTED_VALUE"""),112200.0)</f>
        <v>112200</v>
      </c>
      <c r="D665" s="1">
        <f>IFERROR(__xludf.DUMMYFUNCTION("""COMPUTED_VALUE"""),108800.0)</f>
        <v>108800</v>
      </c>
      <c r="E665" s="1">
        <f>IFERROR(__xludf.DUMMYFUNCTION("""COMPUTED_VALUE"""),109600.0)</f>
        <v>109600</v>
      </c>
      <c r="F665" s="1">
        <f>IFERROR(__xludf.DUMMYFUNCTION("""COMPUTED_VALUE"""),183850.0)</f>
        <v>183850</v>
      </c>
    </row>
    <row r="666">
      <c r="A666" s="2">
        <f>IFERROR(__xludf.DUMMYFUNCTION("""COMPUTED_VALUE"""),41555.645833333336)</f>
        <v>41555.64583</v>
      </c>
      <c r="B666" s="1">
        <f>IFERROR(__xludf.DUMMYFUNCTION("""COMPUTED_VALUE"""),110600.0)</f>
        <v>110600</v>
      </c>
      <c r="C666" s="1">
        <f>IFERROR(__xludf.DUMMYFUNCTION("""COMPUTED_VALUE"""),114400.0)</f>
        <v>114400</v>
      </c>
      <c r="D666" s="1">
        <f>IFERROR(__xludf.DUMMYFUNCTION("""COMPUTED_VALUE"""),108600.0)</f>
        <v>108600</v>
      </c>
      <c r="E666" s="1">
        <f>IFERROR(__xludf.DUMMYFUNCTION("""COMPUTED_VALUE"""),114400.0)</f>
        <v>114400</v>
      </c>
      <c r="F666" s="1">
        <f>IFERROR(__xludf.DUMMYFUNCTION("""COMPUTED_VALUE"""),179651.0)</f>
        <v>179651</v>
      </c>
    </row>
    <row r="667">
      <c r="A667" s="2">
        <f>IFERROR(__xludf.DUMMYFUNCTION("""COMPUTED_VALUE"""),41557.645833333336)</f>
        <v>41557.64583</v>
      </c>
      <c r="B667" s="1">
        <f>IFERROR(__xludf.DUMMYFUNCTION("""COMPUTED_VALUE"""),113800.0)</f>
        <v>113800</v>
      </c>
      <c r="C667" s="1">
        <f>IFERROR(__xludf.DUMMYFUNCTION("""COMPUTED_VALUE"""),114400.0)</f>
        <v>114400</v>
      </c>
      <c r="D667" s="1">
        <f>IFERROR(__xludf.DUMMYFUNCTION("""COMPUTED_VALUE"""),112200.0)</f>
        <v>112200</v>
      </c>
      <c r="E667" s="1">
        <f>IFERROR(__xludf.DUMMYFUNCTION("""COMPUTED_VALUE"""),113600.0)</f>
        <v>113600</v>
      </c>
      <c r="F667" s="1">
        <f>IFERROR(__xludf.DUMMYFUNCTION("""COMPUTED_VALUE"""),431058.0)</f>
        <v>431058</v>
      </c>
    </row>
    <row r="668">
      <c r="A668" s="2">
        <f>IFERROR(__xludf.DUMMYFUNCTION("""COMPUTED_VALUE"""),41558.645833333336)</f>
        <v>41558.64583</v>
      </c>
      <c r="B668" s="1">
        <f>IFERROR(__xludf.DUMMYFUNCTION("""COMPUTED_VALUE"""),115400.0)</f>
        <v>115400</v>
      </c>
      <c r="C668" s="1">
        <f>IFERROR(__xludf.DUMMYFUNCTION("""COMPUTED_VALUE"""),117000.0)</f>
        <v>117000</v>
      </c>
      <c r="D668" s="1">
        <f>IFERROR(__xludf.DUMMYFUNCTION("""COMPUTED_VALUE"""),114400.0)</f>
        <v>114400</v>
      </c>
      <c r="E668" s="1">
        <f>IFERROR(__xludf.DUMMYFUNCTION("""COMPUTED_VALUE"""),116400.0)</f>
        <v>116400</v>
      </c>
      <c r="F668" s="1">
        <f>IFERROR(__xludf.DUMMYFUNCTION("""COMPUTED_VALUE"""),325979.0)</f>
        <v>325979</v>
      </c>
    </row>
    <row r="669">
      <c r="A669" s="2">
        <f>IFERROR(__xludf.DUMMYFUNCTION("""COMPUTED_VALUE"""),41561.645833333336)</f>
        <v>41561.64583</v>
      </c>
      <c r="B669" s="1">
        <f>IFERROR(__xludf.DUMMYFUNCTION("""COMPUTED_VALUE"""),116000.0)</f>
        <v>116000</v>
      </c>
      <c r="C669" s="1">
        <f>IFERROR(__xludf.DUMMYFUNCTION("""COMPUTED_VALUE"""),118000.0)</f>
        <v>118000</v>
      </c>
      <c r="D669" s="1">
        <f>IFERROR(__xludf.DUMMYFUNCTION("""COMPUTED_VALUE"""),115400.0)</f>
        <v>115400</v>
      </c>
      <c r="E669" s="1">
        <f>IFERROR(__xludf.DUMMYFUNCTION("""COMPUTED_VALUE"""),116000.0)</f>
        <v>116000</v>
      </c>
      <c r="F669" s="1">
        <f>IFERROR(__xludf.DUMMYFUNCTION("""COMPUTED_VALUE"""),191530.0)</f>
        <v>191530</v>
      </c>
    </row>
    <row r="670">
      <c r="A670" s="2">
        <f>IFERROR(__xludf.DUMMYFUNCTION("""COMPUTED_VALUE"""),41562.645833333336)</f>
        <v>41562.64583</v>
      </c>
      <c r="B670" s="1">
        <f>IFERROR(__xludf.DUMMYFUNCTION("""COMPUTED_VALUE"""),119000.0)</f>
        <v>119000</v>
      </c>
      <c r="C670" s="1">
        <f>IFERROR(__xludf.DUMMYFUNCTION("""COMPUTED_VALUE"""),127800.0)</f>
        <v>127800</v>
      </c>
      <c r="D670" s="1">
        <f>IFERROR(__xludf.DUMMYFUNCTION("""COMPUTED_VALUE"""),119000.0)</f>
        <v>119000</v>
      </c>
      <c r="E670" s="1">
        <f>IFERROR(__xludf.DUMMYFUNCTION("""COMPUTED_VALUE"""),126400.0)</f>
        <v>126400</v>
      </c>
      <c r="F670" s="1">
        <f>IFERROR(__xludf.DUMMYFUNCTION("""COMPUTED_VALUE"""),317347.0)</f>
        <v>317347</v>
      </c>
    </row>
    <row r="671">
      <c r="A671" s="2">
        <f>IFERROR(__xludf.DUMMYFUNCTION("""COMPUTED_VALUE"""),41563.645833333336)</f>
        <v>41563.64583</v>
      </c>
      <c r="B671" s="1">
        <f>IFERROR(__xludf.DUMMYFUNCTION("""COMPUTED_VALUE"""),125400.0)</f>
        <v>125400</v>
      </c>
      <c r="C671" s="1">
        <f>IFERROR(__xludf.DUMMYFUNCTION("""COMPUTED_VALUE"""),126000.0)</f>
        <v>126000</v>
      </c>
      <c r="D671" s="1">
        <f>IFERROR(__xludf.DUMMYFUNCTION("""COMPUTED_VALUE"""),118800.0)</f>
        <v>118800</v>
      </c>
      <c r="E671" s="1">
        <f>IFERROR(__xludf.DUMMYFUNCTION("""COMPUTED_VALUE"""),119000.0)</f>
        <v>119000</v>
      </c>
      <c r="F671" s="1">
        <f>IFERROR(__xludf.DUMMYFUNCTION("""COMPUTED_VALUE"""),479503.0)</f>
        <v>479503</v>
      </c>
    </row>
    <row r="672">
      <c r="A672" s="2">
        <f>IFERROR(__xludf.DUMMYFUNCTION("""COMPUTED_VALUE"""),41564.645833333336)</f>
        <v>41564.64583</v>
      </c>
      <c r="B672" s="1">
        <f>IFERROR(__xludf.DUMMYFUNCTION("""COMPUTED_VALUE"""),121000.0)</f>
        <v>121000</v>
      </c>
      <c r="C672" s="1">
        <f>IFERROR(__xludf.DUMMYFUNCTION("""COMPUTED_VALUE"""),123200.0)</f>
        <v>123200</v>
      </c>
      <c r="D672" s="1">
        <f>IFERROR(__xludf.DUMMYFUNCTION("""COMPUTED_VALUE"""),118400.0)</f>
        <v>118400</v>
      </c>
      <c r="E672" s="1">
        <f>IFERROR(__xludf.DUMMYFUNCTION("""COMPUTED_VALUE"""),122000.0)</f>
        <v>122000</v>
      </c>
      <c r="F672" s="1">
        <f>IFERROR(__xludf.DUMMYFUNCTION("""COMPUTED_VALUE"""),306522.0)</f>
        <v>306522</v>
      </c>
    </row>
    <row r="673">
      <c r="A673" s="2">
        <f>IFERROR(__xludf.DUMMYFUNCTION("""COMPUTED_VALUE"""),41565.645833333336)</f>
        <v>41565.64583</v>
      </c>
      <c r="B673" s="1">
        <f>IFERROR(__xludf.DUMMYFUNCTION("""COMPUTED_VALUE"""),124000.0)</f>
        <v>124000</v>
      </c>
      <c r="C673" s="1">
        <f>IFERROR(__xludf.DUMMYFUNCTION("""COMPUTED_VALUE"""),131600.0)</f>
        <v>131600</v>
      </c>
      <c r="D673" s="1">
        <f>IFERROR(__xludf.DUMMYFUNCTION("""COMPUTED_VALUE"""),123800.0)</f>
        <v>123800</v>
      </c>
      <c r="E673" s="1">
        <f>IFERROR(__xludf.DUMMYFUNCTION("""COMPUTED_VALUE"""),128000.0)</f>
        <v>128000</v>
      </c>
      <c r="F673" s="1">
        <f>IFERROR(__xludf.DUMMYFUNCTION("""COMPUTED_VALUE"""),405828.0)</f>
        <v>405828</v>
      </c>
    </row>
    <row r="674">
      <c r="A674" s="2">
        <f>IFERROR(__xludf.DUMMYFUNCTION("""COMPUTED_VALUE"""),41568.645833333336)</f>
        <v>41568.64583</v>
      </c>
      <c r="B674" s="1">
        <f>IFERROR(__xludf.DUMMYFUNCTION("""COMPUTED_VALUE"""),131000.0)</f>
        <v>131000</v>
      </c>
      <c r="C674" s="1">
        <f>IFERROR(__xludf.DUMMYFUNCTION("""COMPUTED_VALUE"""),137400.0)</f>
        <v>137400</v>
      </c>
      <c r="D674" s="1">
        <f>IFERROR(__xludf.DUMMYFUNCTION("""COMPUTED_VALUE"""),130200.0)</f>
        <v>130200</v>
      </c>
      <c r="E674" s="1">
        <f>IFERROR(__xludf.DUMMYFUNCTION("""COMPUTED_VALUE"""),133000.0)</f>
        <v>133000</v>
      </c>
      <c r="F674" s="1">
        <f>IFERROR(__xludf.DUMMYFUNCTION("""COMPUTED_VALUE"""),404139.0)</f>
        <v>404139</v>
      </c>
    </row>
    <row r="675">
      <c r="A675" s="2">
        <f>IFERROR(__xludf.DUMMYFUNCTION("""COMPUTED_VALUE"""),41569.645833333336)</f>
        <v>41569.64583</v>
      </c>
      <c r="B675" s="1">
        <f>IFERROR(__xludf.DUMMYFUNCTION("""COMPUTED_VALUE"""),133400.0)</f>
        <v>133400</v>
      </c>
      <c r="C675" s="1">
        <f>IFERROR(__xludf.DUMMYFUNCTION("""COMPUTED_VALUE"""),133600.0)</f>
        <v>133600</v>
      </c>
      <c r="D675" s="1">
        <f>IFERROR(__xludf.DUMMYFUNCTION("""COMPUTED_VALUE"""),129200.0)</f>
        <v>129200</v>
      </c>
      <c r="E675" s="1">
        <f>IFERROR(__xludf.DUMMYFUNCTION("""COMPUTED_VALUE"""),131000.0)</f>
        <v>131000</v>
      </c>
      <c r="F675" s="1">
        <f>IFERROR(__xludf.DUMMYFUNCTION("""COMPUTED_VALUE"""),222701.0)</f>
        <v>222701</v>
      </c>
    </row>
    <row r="676">
      <c r="A676" s="2">
        <f>IFERROR(__xludf.DUMMYFUNCTION("""COMPUTED_VALUE"""),41570.645833333336)</f>
        <v>41570.64583</v>
      </c>
      <c r="B676" s="1">
        <f>IFERROR(__xludf.DUMMYFUNCTION("""COMPUTED_VALUE"""),130000.0)</f>
        <v>130000</v>
      </c>
      <c r="C676" s="1">
        <f>IFERROR(__xludf.DUMMYFUNCTION("""COMPUTED_VALUE"""),130600.0)</f>
        <v>130600</v>
      </c>
      <c r="D676" s="1">
        <f>IFERROR(__xludf.DUMMYFUNCTION("""COMPUTED_VALUE"""),122200.0)</f>
        <v>122200</v>
      </c>
      <c r="E676" s="1">
        <f>IFERROR(__xludf.DUMMYFUNCTION("""COMPUTED_VALUE"""),123600.0)</f>
        <v>123600</v>
      </c>
      <c r="F676" s="1">
        <f>IFERROR(__xludf.DUMMYFUNCTION("""COMPUTED_VALUE"""),351174.0)</f>
        <v>351174</v>
      </c>
    </row>
    <row r="677">
      <c r="A677" s="2">
        <f>IFERROR(__xludf.DUMMYFUNCTION("""COMPUTED_VALUE"""),41571.645833333336)</f>
        <v>41571.64583</v>
      </c>
      <c r="B677" s="1">
        <f>IFERROR(__xludf.DUMMYFUNCTION("""COMPUTED_VALUE"""),123600.0)</f>
        <v>123600</v>
      </c>
      <c r="C677" s="1">
        <f>IFERROR(__xludf.DUMMYFUNCTION("""COMPUTED_VALUE"""),126200.0)</f>
        <v>126200</v>
      </c>
      <c r="D677" s="1">
        <f>IFERROR(__xludf.DUMMYFUNCTION("""COMPUTED_VALUE"""),121600.0)</f>
        <v>121600</v>
      </c>
      <c r="E677" s="1">
        <f>IFERROR(__xludf.DUMMYFUNCTION("""COMPUTED_VALUE"""),123600.0)</f>
        <v>123600</v>
      </c>
      <c r="F677" s="1">
        <f>IFERROR(__xludf.DUMMYFUNCTION("""COMPUTED_VALUE"""),232384.0)</f>
        <v>232384</v>
      </c>
    </row>
    <row r="678">
      <c r="A678" s="2">
        <f>IFERROR(__xludf.DUMMYFUNCTION("""COMPUTED_VALUE"""),41572.645833333336)</f>
        <v>41572.64583</v>
      </c>
      <c r="B678" s="1">
        <f>IFERROR(__xludf.DUMMYFUNCTION("""COMPUTED_VALUE"""),125000.0)</f>
        <v>125000</v>
      </c>
      <c r="C678" s="1">
        <f>IFERROR(__xludf.DUMMYFUNCTION("""COMPUTED_VALUE"""),126800.0)</f>
        <v>126800</v>
      </c>
      <c r="D678" s="1">
        <f>IFERROR(__xludf.DUMMYFUNCTION("""COMPUTED_VALUE"""),120200.0)</f>
        <v>120200</v>
      </c>
      <c r="E678" s="1">
        <f>IFERROR(__xludf.DUMMYFUNCTION("""COMPUTED_VALUE"""),121400.0)</f>
        <v>121400</v>
      </c>
      <c r="F678" s="1">
        <f>IFERROR(__xludf.DUMMYFUNCTION("""COMPUTED_VALUE"""),278875.0)</f>
        <v>278875</v>
      </c>
    </row>
    <row r="679">
      <c r="A679" s="2">
        <f>IFERROR(__xludf.DUMMYFUNCTION("""COMPUTED_VALUE"""),41575.645833333336)</f>
        <v>41575.64583</v>
      </c>
      <c r="B679" s="1">
        <f>IFERROR(__xludf.DUMMYFUNCTION("""COMPUTED_VALUE"""),122200.0)</f>
        <v>122200</v>
      </c>
      <c r="C679" s="1">
        <f>IFERROR(__xludf.DUMMYFUNCTION("""COMPUTED_VALUE"""),127600.0)</f>
        <v>127600</v>
      </c>
      <c r="D679" s="1">
        <f>IFERROR(__xludf.DUMMYFUNCTION("""COMPUTED_VALUE"""),121200.0)</f>
        <v>121200</v>
      </c>
      <c r="E679" s="1">
        <f>IFERROR(__xludf.DUMMYFUNCTION("""COMPUTED_VALUE"""),127600.0)</f>
        <v>127600</v>
      </c>
      <c r="F679" s="1">
        <f>IFERROR(__xludf.DUMMYFUNCTION("""COMPUTED_VALUE"""),215861.0)</f>
        <v>215861</v>
      </c>
    </row>
    <row r="680">
      <c r="A680" s="2">
        <f>IFERROR(__xludf.DUMMYFUNCTION("""COMPUTED_VALUE"""),41576.645833333336)</f>
        <v>41576.64583</v>
      </c>
      <c r="B680" s="1">
        <f>IFERROR(__xludf.DUMMYFUNCTION("""COMPUTED_VALUE"""),127000.0)</f>
        <v>127000</v>
      </c>
      <c r="C680" s="1">
        <f>IFERROR(__xludf.DUMMYFUNCTION("""COMPUTED_VALUE"""),127000.0)</f>
        <v>127000</v>
      </c>
      <c r="D680" s="1">
        <f>IFERROR(__xludf.DUMMYFUNCTION("""COMPUTED_VALUE"""),123600.0)</f>
        <v>123600</v>
      </c>
      <c r="E680" s="1">
        <f>IFERROR(__xludf.DUMMYFUNCTION("""COMPUTED_VALUE"""),126000.0)</f>
        <v>126000</v>
      </c>
      <c r="F680" s="1">
        <f>IFERROR(__xludf.DUMMYFUNCTION("""COMPUTED_VALUE"""),197043.0)</f>
        <v>197043</v>
      </c>
    </row>
    <row r="681">
      <c r="A681" s="2">
        <f>IFERROR(__xludf.DUMMYFUNCTION("""COMPUTED_VALUE"""),41577.645833333336)</f>
        <v>41577.64583</v>
      </c>
      <c r="B681" s="1">
        <f>IFERROR(__xludf.DUMMYFUNCTION("""COMPUTED_VALUE"""),125800.0)</f>
        <v>125800</v>
      </c>
      <c r="C681" s="1">
        <f>IFERROR(__xludf.DUMMYFUNCTION("""COMPUTED_VALUE"""),126000.0)</f>
        <v>126000</v>
      </c>
      <c r="D681" s="1">
        <f>IFERROR(__xludf.DUMMYFUNCTION("""COMPUTED_VALUE"""),121600.0)</f>
        <v>121600</v>
      </c>
      <c r="E681" s="1">
        <f>IFERROR(__xludf.DUMMYFUNCTION("""COMPUTED_VALUE"""),126000.0)</f>
        <v>126000</v>
      </c>
      <c r="F681" s="1">
        <f>IFERROR(__xludf.DUMMYFUNCTION("""COMPUTED_VALUE"""),195459.0)</f>
        <v>195459</v>
      </c>
    </row>
    <row r="682">
      <c r="A682" s="2">
        <f>IFERROR(__xludf.DUMMYFUNCTION("""COMPUTED_VALUE"""),41578.645833333336)</f>
        <v>41578.64583</v>
      </c>
      <c r="B682" s="1">
        <f>IFERROR(__xludf.DUMMYFUNCTION("""COMPUTED_VALUE"""),124000.0)</f>
        <v>124000</v>
      </c>
      <c r="C682" s="1">
        <f>IFERROR(__xludf.DUMMYFUNCTION("""COMPUTED_VALUE"""),124600.0)</f>
        <v>124600</v>
      </c>
      <c r="D682" s="1">
        <f>IFERROR(__xludf.DUMMYFUNCTION("""COMPUTED_VALUE"""),118000.0)</f>
        <v>118000</v>
      </c>
      <c r="E682" s="1">
        <f>IFERROR(__xludf.DUMMYFUNCTION("""COMPUTED_VALUE"""),119400.0)</f>
        <v>119400</v>
      </c>
      <c r="F682" s="1">
        <f>IFERROR(__xludf.DUMMYFUNCTION("""COMPUTED_VALUE"""),452214.0)</f>
        <v>452214</v>
      </c>
    </row>
    <row r="683">
      <c r="A683" s="2">
        <f>IFERROR(__xludf.DUMMYFUNCTION("""COMPUTED_VALUE"""),41579.645833333336)</f>
        <v>41579.64583</v>
      </c>
      <c r="B683" s="1">
        <f>IFERROR(__xludf.DUMMYFUNCTION("""COMPUTED_VALUE"""),118000.0)</f>
        <v>118000</v>
      </c>
      <c r="C683" s="1">
        <f>IFERROR(__xludf.DUMMYFUNCTION("""COMPUTED_VALUE"""),122600.0)</f>
        <v>122600</v>
      </c>
      <c r="D683" s="1">
        <f>IFERROR(__xludf.DUMMYFUNCTION("""COMPUTED_VALUE"""),117400.0)</f>
        <v>117400</v>
      </c>
      <c r="E683" s="1">
        <f>IFERROR(__xludf.DUMMYFUNCTION("""COMPUTED_VALUE"""),121000.0)</f>
        <v>121000</v>
      </c>
      <c r="F683" s="1">
        <f>IFERROR(__xludf.DUMMYFUNCTION("""COMPUTED_VALUE"""),172568.0)</f>
        <v>172568</v>
      </c>
    </row>
    <row r="684">
      <c r="A684" s="2">
        <f>IFERROR(__xludf.DUMMYFUNCTION("""COMPUTED_VALUE"""),41582.645833333336)</f>
        <v>41582.64583</v>
      </c>
      <c r="B684" s="1">
        <f>IFERROR(__xludf.DUMMYFUNCTION("""COMPUTED_VALUE"""),121200.0)</f>
        <v>121200</v>
      </c>
      <c r="C684" s="1">
        <f>IFERROR(__xludf.DUMMYFUNCTION("""COMPUTED_VALUE"""),122000.0)</f>
        <v>122000</v>
      </c>
      <c r="D684" s="1">
        <f>IFERROR(__xludf.DUMMYFUNCTION("""COMPUTED_VALUE"""),117200.0)</f>
        <v>117200</v>
      </c>
      <c r="E684" s="1">
        <f>IFERROR(__xludf.DUMMYFUNCTION("""COMPUTED_VALUE"""),117200.0)</f>
        <v>117200</v>
      </c>
      <c r="F684" s="1">
        <f>IFERROR(__xludf.DUMMYFUNCTION("""COMPUTED_VALUE"""),152787.0)</f>
        <v>152787</v>
      </c>
    </row>
    <row r="685">
      <c r="A685" s="2">
        <f>IFERROR(__xludf.DUMMYFUNCTION("""COMPUTED_VALUE"""),41583.645833333336)</f>
        <v>41583.64583</v>
      </c>
      <c r="B685" s="1">
        <f>IFERROR(__xludf.DUMMYFUNCTION("""COMPUTED_VALUE"""),117400.0)</f>
        <v>117400</v>
      </c>
      <c r="C685" s="1">
        <f>IFERROR(__xludf.DUMMYFUNCTION("""COMPUTED_VALUE"""),120800.0)</f>
        <v>120800</v>
      </c>
      <c r="D685" s="1">
        <f>IFERROR(__xludf.DUMMYFUNCTION("""COMPUTED_VALUE"""),117400.0)</f>
        <v>117400</v>
      </c>
      <c r="E685" s="1">
        <f>IFERROR(__xludf.DUMMYFUNCTION("""COMPUTED_VALUE"""),119400.0)</f>
        <v>119400</v>
      </c>
      <c r="F685" s="1">
        <f>IFERROR(__xludf.DUMMYFUNCTION("""COMPUTED_VALUE"""),163233.0)</f>
        <v>163233</v>
      </c>
    </row>
    <row r="686">
      <c r="A686" s="2">
        <f>IFERROR(__xludf.DUMMYFUNCTION("""COMPUTED_VALUE"""),41584.645833333336)</f>
        <v>41584.64583</v>
      </c>
      <c r="B686" s="1">
        <f>IFERROR(__xludf.DUMMYFUNCTION("""COMPUTED_VALUE"""),120000.0)</f>
        <v>120000</v>
      </c>
      <c r="C686" s="1">
        <f>IFERROR(__xludf.DUMMYFUNCTION("""COMPUTED_VALUE"""),120800.0)</f>
        <v>120800</v>
      </c>
      <c r="D686" s="1">
        <f>IFERROR(__xludf.DUMMYFUNCTION("""COMPUTED_VALUE"""),115600.0)</f>
        <v>115600</v>
      </c>
      <c r="E686" s="1">
        <f>IFERROR(__xludf.DUMMYFUNCTION("""COMPUTED_VALUE"""),116000.0)</f>
        <v>116000</v>
      </c>
      <c r="F686" s="1">
        <f>IFERROR(__xludf.DUMMYFUNCTION("""COMPUTED_VALUE"""),185984.0)</f>
        <v>185984</v>
      </c>
    </row>
    <row r="687">
      <c r="A687" s="2">
        <f>IFERROR(__xludf.DUMMYFUNCTION("""COMPUTED_VALUE"""),41585.645833333336)</f>
        <v>41585.64583</v>
      </c>
      <c r="B687" s="1">
        <f>IFERROR(__xludf.DUMMYFUNCTION("""COMPUTED_VALUE"""),116000.0)</f>
        <v>116000</v>
      </c>
      <c r="C687" s="1">
        <f>IFERROR(__xludf.DUMMYFUNCTION("""COMPUTED_VALUE"""),118400.0)</f>
        <v>118400</v>
      </c>
      <c r="D687" s="1">
        <f>IFERROR(__xludf.DUMMYFUNCTION("""COMPUTED_VALUE"""),113200.0)</f>
        <v>113200</v>
      </c>
      <c r="E687" s="1">
        <f>IFERROR(__xludf.DUMMYFUNCTION("""COMPUTED_VALUE"""),116600.0)</f>
        <v>116600</v>
      </c>
      <c r="F687" s="1">
        <f>IFERROR(__xludf.DUMMYFUNCTION("""COMPUTED_VALUE"""),305956.0)</f>
        <v>305956</v>
      </c>
    </row>
    <row r="688">
      <c r="A688" s="2">
        <f>IFERROR(__xludf.DUMMYFUNCTION("""COMPUTED_VALUE"""),41586.645833333336)</f>
        <v>41586.64583</v>
      </c>
      <c r="B688" s="1">
        <f>IFERROR(__xludf.DUMMYFUNCTION("""COMPUTED_VALUE"""),118600.0)</f>
        <v>118600</v>
      </c>
      <c r="C688" s="1">
        <f>IFERROR(__xludf.DUMMYFUNCTION("""COMPUTED_VALUE"""),119200.0)</f>
        <v>119200</v>
      </c>
      <c r="D688" s="1">
        <f>IFERROR(__xludf.DUMMYFUNCTION("""COMPUTED_VALUE"""),112000.0)</f>
        <v>112000</v>
      </c>
      <c r="E688" s="1">
        <f>IFERROR(__xludf.DUMMYFUNCTION("""COMPUTED_VALUE"""),112000.0)</f>
        <v>112000</v>
      </c>
      <c r="F688" s="1">
        <f>IFERROR(__xludf.DUMMYFUNCTION("""COMPUTED_VALUE"""),260888.0)</f>
        <v>260888</v>
      </c>
    </row>
    <row r="689">
      <c r="A689" s="2">
        <f>IFERROR(__xludf.DUMMYFUNCTION("""COMPUTED_VALUE"""),41589.645833333336)</f>
        <v>41589.64583</v>
      </c>
      <c r="B689" s="1">
        <f>IFERROR(__xludf.DUMMYFUNCTION("""COMPUTED_VALUE"""),114400.0)</f>
        <v>114400</v>
      </c>
      <c r="C689" s="1">
        <f>IFERROR(__xludf.DUMMYFUNCTION("""COMPUTED_VALUE"""),116600.0)</f>
        <v>116600</v>
      </c>
      <c r="D689" s="1">
        <f>IFERROR(__xludf.DUMMYFUNCTION("""COMPUTED_VALUE"""),112400.0)</f>
        <v>112400</v>
      </c>
      <c r="E689" s="1">
        <f>IFERROR(__xludf.DUMMYFUNCTION("""COMPUTED_VALUE"""),116000.0)</f>
        <v>116000</v>
      </c>
      <c r="F689" s="1">
        <f>IFERROR(__xludf.DUMMYFUNCTION("""COMPUTED_VALUE"""),186469.0)</f>
        <v>186469</v>
      </c>
    </row>
    <row r="690">
      <c r="A690" s="2">
        <f>IFERROR(__xludf.DUMMYFUNCTION("""COMPUTED_VALUE"""),41590.645833333336)</f>
        <v>41590.64583</v>
      </c>
      <c r="B690" s="1">
        <f>IFERROR(__xludf.DUMMYFUNCTION("""COMPUTED_VALUE"""),117400.0)</f>
        <v>117400</v>
      </c>
      <c r="C690" s="1">
        <f>IFERROR(__xludf.DUMMYFUNCTION("""COMPUTED_VALUE"""),123400.0)</f>
        <v>123400</v>
      </c>
      <c r="D690" s="1">
        <f>IFERROR(__xludf.DUMMYFUNCTION("""COMPUTED_VALUE"""),115800.0)</f>
        <v>115800</v>
      </c>
      <c r="E690" s="1">
        <f>IFERROR(__xludf.DUMMYFUNCTION("""COMPUTED_VALUE"""),122800.0)</f>
        <v>122800</v>
      </c>
      <c r="F690" s="1">
        <f>IFERROR(__xludf.DUMMYFUNCTION("""COMPUTED_VALUE"""),198410.0)</f>
        <v>198410</v>
      </c>
    </row>
    <row r="691">
      <c r="A691" s="2">
        <f>IFERROR(__xludf.DUMMYFUNCTION("""COMPUTED_VALUE"""),41591.645833333336)</f>
        <v>41591.64583</v>
      </c>
      <c r="B691" s="1">
        <f>IFERROR(__xludf.DUMMYFUNCTION("""COMPUTED_VALUE"""),122400.0)</f>
        <v>122400</v>
      </c>
      <c r="C691" s="1">
        <f>IFERROR(__xludf.DUMMYFUNCTION("""COMPUTED_VALUE"""),123800.0)</f>
        <v>123800</v>
      </c>
      <c r="D691" s="1">
        <f>IFERROR(__xludf.DUMMYFUNCTION("""COMPUTED_VALUE"""),118000.0)</f>
        <v>118000</v>
      </c>
      <c r="E691" s="1">
        <f>IFERROR(__xludf.DUMMYFUNCTION("""COMPUTED_VALUE"""),120000.0)</f>
        <v>120000</v>
      </c>
      <c r="F691" s="1">
        <f>IFERROR(__xludf.DUMMYFUNCTION("""COMPUTED_VALUE"""),147703.0)</f>
        <v>147703</v>
      </c>
    </row>
    <row r="692">
      <c r="A692" s="2">
        <f>IFERROR(__xludf.DUMMYFUNCTION("""COMPUTED_VALUE"""),41592.645833333336)</f>
        <v>41592.64583</v>
      </c>
      <c r="B692" s="1">
        <f>IFERROR(__xludf.DUMMYFUNCTION("""COMPUTED_VALUE"""),122600.0)</f>
        <v>122600</v>
      </c>
      <c r="C692" s="1">
        <f>IFERROR(__xludf.DUMMYFUNCTION("""COMPUTED_VALUE"""),125400.0)</f>
        <v>125400</v>
      </c>
      <c r="D692" s="1">
        <f>IFERROR(__xludf.DUMMYFUNCTION("""COMPUTED_VALUE"""),121400.0)</f>
        <v>121400</v>
      </c>
      <c r="E692" s="1">
        <f>IFERROR(__xludf.DUMMYFUNCTION("""COMPUTED_VALUE"""),124000.0)</f>
        <v>124000</v>
      </c>
      <c r="F692" s="1">
        <f>IFERROR(__xludf.DUMMYFUNCTION("""COMPUTED_VALUE"""),178801.0)</f>
        <v>178801</v>
      </c>
    </row>
    <row r="693">
      <c r="A693" s="2">
        <f>IFERROR(__xludf.DUMMYFUNCTION("""COMPUTED_VALUE"""),41593.645833333336)</f>
        <v>41593.64583</v>
      </c>
      <c r="B693" s="1">
        <f>IFERROR(__xludf.DUMMYFUNCTION("""COMPUTED_VALUE"""),125400.0)</f>
        <v>125400</v>
      </c>
      <c r="C693" s="1">
        <f>IFERROR(__xludf.DUMMYFUNCTION("""COMPUTED_VALUE"""),125400.0)</f>
        <v>125400</v>
      </c>
      <c r="D693" s="1">
        <f>IFERROR(__xludf.DUMMYFUNCTION("""COMPUTED_VALUE"""),122400.0)</f>
        <v>122400</v>
      </c>
      <c r="E693" s="1">
        <f>IFERROR(__xludf.DUMMYFUNCTION("""COMPUTED_VALUE"""),125400.0)</f>
        <v>125400</v>
      </c>
      <c r="F693" s="1">
        <f>IFERROR(__xludf.DUMMYFUNCTION("""COMPUTED_VALUE"""),141299.0)</f>
        <v>141299</v>
      </c>
    </row>
    <row r="694">
      <c r="A694" s="2">
        <f>IFERROR(__xludf.DUMMYFUNCTION("""COMPUTED_VALUE"""),41596.645833333336)</f>
        <v>41596.64583</v>
      </c>
      <c r="B694" s="1">
        <f>IFERROR(__xludf.DUMMYFUNCTION("""COMPUTED_VALUE"""),126000.0)</f>
        <v>126000</v>
      </c>
      <c r="C694" s="1">
        <f>IFERROR(__xludf.DUMMYFUNCTION("""COMPUTED_VALUE"""),126200.0)</f>
        <v>126200</v>
      </c>
      <c r="D694" s="1">
        <f>IFERROR(__xludf.DUMMYFUNCTION("""COMPUTED_VALUE"""),123400.0)</f>
        <v>123400</v>
      </c>
      <c r="E694" s="1">
        <f>IFERROR(__xludf.DUMMYFUNCTION("""COMPUTED_VALUE"""),125000.0)</f>
        <v>125000</v>
      </c>
      <c r="F694" s="1">
        <f>IFERROR(__xludf.DUMMYFUNCTION("""COMPUTED_VALUE"""),88570.0)</f>
        <v>88570</v>
      </c>
    </row>
    <row r="695">
      <c r="A695" s="2">
        <f>IFERROR(__xludf.DUMMYFUNCTION("""COMPUTED_VALUE"""),41597.645833333336)</f>
        <v>41597.64583</v>
      </c>
      <c r="B695" s="1">
        <f>IFERROR(__xludf.DUMMYFUNCTION("""COMPUTED_VALUE"""),121800.0)</f>
        <v>121800</v>
      </c>
      <c r="C695" s="1">
        <f>IFERROR(__xludf.DUMMYFUNCTION("""COMPUTED_VALUE"""),123600.0)</f>
        <v>123600</v>
      </c>
      <c r="D695" s="1">
        <f>IFERROR(__xludf.DUMMYFUNCTION("""COMPUTED_VALUE"""),121400.0)</f>
        <v>121400</v>
      </c>
      <c r="E695" s="1">
        <f>IFERROR(__xludf.DUMMYFUNCTION("""COMPUTED_VALUE"""),123600.0)</f>
        <v>123600</v>
      </c>
      <c r="F695" s="1">
        <f>IFERROR(__xludf.DUMMYFUNCTION("""COMPUTED_VALUE"""),186171.0)</f>
        <v>186171</v>
      </c>
    </row>
    <row r="696">
      <c r="A696" s="2">
        <f>IFERROR(__xludf.DUMMYFUNCTION("""COMPUTED_VALUE"""),41598.645833333336)</f>
        <v>41598.64583</v>
      </c>
      <c r="B696" s="1">
        <f>IFERROR(__xludf.DUMMYFUNCTION("""COMPUTED_VALUE"""),129400.0)</f>
        <v>129400</v>
      </c>
      <c r="C696" s="1">
        <f>IFERROR(__xludf.DUMMYFUNCTION("""COMPUTED_VALUE"""),129400.0)</f>
        <v>129400</v>
      </c>
      <c r="D696" s="1">
        <f>IFERROR(__xludf.DUMMYFUNCTION("""COMPUTED_VALUE"""),124400.0)</f>
        <v>124400</v>
      </c>
      <c r="E696" s="1">
        <f>IFERROR(__xludf.DUMMYFUNCTION("""COMPUTED_VALUE"""),126000.0)</f>
        <v>126000</v>
      </c>
      <c r="F696" s="1">
        <f>IFERROR(__xludf.DUMMYFUNCTION("""COMPUTED_VALUE"""),220581.0)</f>
        <v>220581</v>
      </c>
    </row>
    <row r="697">
      <c r="A697" s="2">
        <f>IFERROR(__xludf.DUMMYFUNCTION("""COMPUTED_VALUE"""),41599.645833333336)</f>
        <v>41599.64583</v>
      </c>
      <c r="B697" s="1">
        <f>IFERROR(__xludf.DUMMYFUNCTION("""COMPUTED_VALUE"""),126000.0)</f>
        <v>126000</v>
      </c>
      <c r="C697" s="1">
        <f>IFERROR(__xludf.DUMMYFUNCTION("""COMPUTED_VALUE"""),127200.0)</f>
        <v>127200</v>
      </c>
      <c r="D697" s="1">
        <f>IFERROR(__xludf.DUMMYFUNCTION("""COMPUTED_VALUE"""),123800.0)</f>
        <v>123800</v>
      </c>
      <c r="E697" s="1">
        <f>IFERROR(__xludf.DUMMYFUNCTION("""COMPUTED_VALUE"""),125000.0)</f>
        <v>125000</v>
      </c>
      <c r="F697" s="1">
        <f>IFERROR(__xludf.DUMMYFUNCTION("""COMPUTED_VALUE"""),118269.0)</f>
        <v>118269</v>
      </c>
    </row>
    <row r="698">
      <c r="A698" s="2">
        <f>IFERROR(__xludf.DUMMYFUNCTION("""COMPUTED_VALUE"""),41600.645833333336)</f>
        <v>41600.64583</v>
      </c>
      <c r="B698" s="1">
        <f>IFERROR(__xludf.DUMMYFUNCTION("""COMPUTED_VALUE"""),126200.0)</f>
        <v>126200</v>
      </c>
      <c r="C698" s="1">
        <f>IFERROR(__xludf.DUMMYFUNCTION("""COMPUTED_VALUE"""),127800.0)</f>
        <v>127800</v>
      </c>
      <c r="D698" s="1">
        <f>IFERROR(__xludf.DUMMYFUNCTION("""COMPUTED_VALUE"""),124200.0)</f>
        <v>124200</v>
      </c>
      <c r="E698" s="1">
        <f>IFERROR(__xludf.DUMMYFUNCTION("""COMPUTED_VALUE"""),127200.0)</f>
        <v>127200</v>
      </c>
      <c r="F698" s="1">
        <f>IFERROR(__xludf.DUMMYFUNCTION("""COMPUTED_VALUE"""),115473.0)</f>
        <v>115473</v>
      </c>
    </row>
    <row r="699">
      <c r="A699" s="2">
        <f>IFERROR(__xludf.DUMMYFUNCTION("""COMPUTED_VALUE"""),41603.645833333336)</f>
        <v>41603.64583</v>
      </c>
      <c r="B699" s="1">
        <f>IFERROR(__xludf.DUMMYFUNCTION("""COMPUTED_VALUE"""),127800.0)</f>
        <v>127800</v>
      </c>
      <c r="C699" s="1">
        <f>IFERROR(__xludf.DUMMYFUNCTION("""COMPUTED_VALUE"""),129600.0)</f>
        <v>129600</v>
      </c>
      <c r="D699" s="1">
        <f>IFERROR(__xludf.DUMMYFUNCTION("""COMPUTED_VALUE"""),127200.0)</f>
        <v>127200</v>
      </c>
      <c r="E699" s="1">
        <f>IFERROR(__xludf.DUMMYFUNCTION("""COMPUTED_VALUE"""),127200.0)</f>
        <v>127200</v>
      </c>
      <c r="F699" s="1">
        <f>IFERROR(__xludf.DUMMYFUNCTION("""COMPUTED_VALUE"""),127479.0)</f>
        <v>127479</v>
      </c>
    </row>
    <row r="700">
      <c r="A700" s="2">
        <f>IFERROR(__xludf.DUMMYFUNCTION("""COMPUTED_VALUE"""),41604.645833333336)</f>
        <v>41604.64583</v>
      </c>
      <c r="B700" s="1">
        <f>IFERROR(__xludf.DUMMYFUNCTION("""COMPUTED_VALUE"""),127600.0)</f>
        <v>127600</v>
      </c>
      <c r="C700" s="1">
        <f>IFERROR(__xludf.DUMMYFUNCTION("""COMPUTED_VALUE"""),130200.0)</f>
        <v>130200</v>
      </c>
      <c r="D700" s="1">
        <f>IFERROR(__xludf.DUMMYFUNCTION("""COMPUTED_VALUE"""),126200.0)</f>
        <v>126200</v>
      </c>
      <c r="E700" s="1">
        <f>IFERROR(__xludf.DUMMYFUNCTION("""COMPUTED_VALUE"""),127000.0)</f>
        <v>127000</v>
      </c>
      <c r="F700" s="1">
        <f>IFERROR(__xludf.DUMMYFUNCTION("""COMPUTED_VALUE"""),177117.0)</f>
        <v>177117</v>
      </c>
    </row>
    <row r="701">
      <c r="A701" s="2">
        <f>IFERROR(__xludf.DUMMYFUNCTION("""COMPUTED_VALUE"""),41605.645833333336)</f>
        <v>41605.64583</v>
      </c>
      <c r="B701" s="1">
        <f>IFERROR(__xludf.DUMMYFUNCTION("""COMPUTED_VALUE"""),127600.0)</f>
        <v>127600</v>
      </c>
      <c r="C701" s="1">
        <f>IFERROR(__xludf.DUMMYFUNCTION("""COMPUTED_VALUE"""),132600.0)</f>
        <v>132600</v>
      </c>
      <c r="D701" s="1">
        <f>IFERROR(__xludf.DUMMYFUNCTION("""COMPUTED_VALUE"""),125400.0)</f>
        <v>125400</v>
      </c>
      <c r="E701" s="1">
        <f>IFERROR(__xludf.DUMMYFUNCTION("""COMPUTED_VALUE"""),132600.0)</f>
        <v>132600</v>
      </c>
      <c r="F701" s="1">
        <f>IFERROR(__xludf.DUMMYFUNCTION("""COMPUTED_VALUE"""),173092.0)</f>
        <v>173092</v>
      </c>
    </row>
    <row r="702">
      <c r="A702" s="2">
        <f>IFERROR(__xludf.DUMMYFUNCTION("""COMPUTED_VALUE"""),41606.645833333336)</f>
        <v>41606.64583</v>
      </c>
      <c r="B702" s="1">
        <f>IFERROR(__xludf.DUMMYFUNCTION("""COMPUTED_VALUE"""),135400.0)</f>
        <v>135400</v>
      </c>
      <c r="C702" s="1">
        <f>IFERROR(__xludf.DUMMYFUNCTION("""COMPUTED_VALUE"""),141600.0)</f>
        <v>141600</v>
      </c>
      <c r="D702" s="1">
        <f>IFERROR(__xludf.DUMMYFUNCTION("""COMPUTED_VALUE"""),135000.0)</f>
        <v>135000</v>
      </c>
      <c r="E702" s="1">
        <f>IFERROR(__xludf.DUMMYFUNCTION("""COMPUTED_VALUE"""),139200.0)</f>
        <v>139200</v>
      </c>
      <c r="F702" s="1">
        <f>IFERROR(__xludf.DUMMYFUNCTION("""COMPUTED_VALUE"""),314991.0)</f>
        <v>314991</v>
      </c>
    </row>
    <row r="703">
      <c r="A703" s="2">
        <f>IFERROR(__xludf.DUMMYFUNCTION("""COMPUTED_VALUE"""),41607.645833333336)</f>
        <v>41607.64583</v>
      </c>
      <c r="B703" s="1">
        <f>IFERROR(__xludf.DUMMYFUNCTION("""COMPUTED_VALUE"""),140000.0)</f>
        <v>140000</v>
      </c>
      <c r="C703" s="1">
        <f>IFERROR(__xludf.DUMMYFUNCTION("""COMPUTED_VALUE"""),140400.0)</f>
        <v>140400</v>
      </c>
      <c r="D703" s="1">
        <f>IFERROR(__xludf.DUMMYFUNCTION("""COMPUTED_VALUE"""),136400.0)</f>
        <v>136400</v>
      </c>
      <c r="E703" s="1">
        <f>IFERROR(__xludf.DUMMYFUNCTION("""COMPUTED_VALUE"""),138400.0)</f>
        <v>138400</v>
      </c>
      <c r="F703" s="1">
        <f>IFERROR(__xludf.DUMMYFUNCTION("""COMPUTED_VALUE"""),118937.0)</f>
        <v>118937</v>
      </c>
    </row>
    <row r="704">
      <c r="A704" s="2">
        <f>IFERROR(__xludf.DUMMYFUNCTION("""COMPUTED_VALUE"""),41610.645833333336)</f>
        <v>41610.64583</v>
      </c>
      <c r="B704" s="1">
        <f>IFERROR(__xludf.DUMMYFUNCTION("""COMPUTED_VALUE"""),138400.0)</f>
        <v>138400</v>
      </c>
      <c r="C704" s="1">
        <f>IFERROR(__xludf.DUMMYFUNCTION("""COMPUTED_VALUE"""),139800.0)</f>
        <v>139800</v>
      </c>
      <c r="D704" s="1">
        <f>IFERROR(__xludf.DUMMYFUNCTION("""COMPUTED_VALUE"""),136600.0)</f>
        <v>136600</v>
      </c>
      <c r="E704" s="1">
        <f>IFERROR(__xludf.DUMMYFUNCTION("""COMPUTED_VALUE"""),137400.0)</f>
        <v>137400</v>
      </c>
      <c r="F704" s="1">
        <f>IFERROR(__xludf.DUMMYFUNCTION("""COMPUTED_VALUE"""),91407.0)</f>
        <v>91407</v>
      </c>
    </row>
    <row r="705">
      <c r="A705" s="2">
        <f>IFERROR(__xludf.DUMMYFUNCTION("""COMPUTED_VALUE"""),41611.645833333336)</f>
        <v>41611.64583</v>
      </c>
      <c r="B705" s="1">
        <f>IFERROR(__xludf.DUMMYFUNCTION("""COMPUTED_VALUE"""),137200.0)</f>
        <v>137200</v>
      </c>
      <c r="C705" s="1">
        <f>IFERROR(__xludf.DUMMYFUNCTION("""COMPUTED_VALUE"""),141200.0)</f>
        <v>141200</v>
      </c>
      <c r="D705" s="1">
        <f>IFERROR(__xludf.DUMMYFUNCTION("""COMPUTED_VALUE"""),136600.0)</f>
        <v>136600</v>
      </c>
      <c r="E705" s="1">
        <f>IFERROR(__xludf.DUMMYFUNCTION("""COMPUTED_VALUE"""),137200.0)</f>
        <v>137200</v>
      </c>
      <c r="F705" s="1">
        <f>IFERROR(__xludf.DUMMYFUNCTION("""COMPUTED_VALUE"""),155123.0)</f>
        <v>155123</v>
      </c>
    </row>
    <row r="706">
      <c r="A706" s="2">
        <f>IFERROR(__xludf.DUMMYFUNCTION("""COMPUTED_VALUE"""),41612.645833333336)</f>
        <v>41612.64583</v>
      </c>
      <c r="B706" s="1">
        <f>IFERROR(__xludf.DUMMYFUNCTION("""COMPUTED_VALUE"""),136800.0)</f>
        <v>136800</v>
      </c>
      <c r="C706" s="1">
        <f>IFERROR(__xludf.DUMMYFUNCTION("""COMPUTED_VALUE"""),138800.0)</f>
        <v>138800</v>
      </c>
      <c r="D706" s="1">
        <f>IFERROR(__xludf.DUMMYFUNCTION("""COMPUTED_VALUE"""),133400.0)</f>
        <v>133400</v>
      </c>
      <c r="E706" s="1">
        <f>IFERROR(__xludf.DUMMYFUNCTION("""COMPUTED_VALUE"""),134600.0)</f>
        <v>134600</v>
      </c>
      <c r="F706" s="1">
        <f>IFERROR(__xludf.DUMMYFUNCTION("""COMPUTED_VALUE"""),132496.0)</f>
        <v>132496</v>
      </c>
    </row>
    <row r="707">
      <c r="A707" s="2">
        <f>IFERROR(__xludf.DUMMYFUNCTION("""COMPUTED_VALUE"""),41613.645833333336)</f>
        <v>41613.64583</v>
      </c>
      <c r="B707" s="1">
        <f>IFERROR(__xludf.DUMMYFUNCTION("""COMPUTED_VALUE"""),136200.0)</f>
        <v>136200</v>
      </c>
      <c r="C707" s="1">
        <f>IFERROR(__xludf.DUMMYFUNCTION("""COMPUTED_VALUE"""),137800.0)</f>
        <v>137800</v>
      </c>
      <c r="D707" s="1">
        <f>IFERROR(__xludf.DUMMYFUNCTION("""COMPUTED_VALUE"""),134400.0)</f>
        <v>134400</v>
      </c>
      <c r="E707" s="1">
        <f>IFERROR(__xludf.DUMMYFUNCTION("""COMPUTED_VALUE"""),135200.0)</f>
        <v>135200</v>
      </c>
      <c r="F707" s="1">
        <f>IFERROR(__xludf.DUMMYFUNCTION("""COMPUTED_VALUE"""),168092.0)</f>
        <v>168092</v>
      </c>
    </row>
    <row r="708">
      <c r="A708" s="2">
        <f>IFERROR(__xludf.DUMMYFUNCTION("""COMPUTED_VALUE"""),41614.645833333336)</f>
        <v>41614.64583</v>
      </c>
      <c r="B708" s="1">
        <f>IFERROR(__xludf.DUMMYFUNCTION("""COMPUTED_VALUE"""),136200.0)</f>
        <v>136200</v>
      </c>
      <c r="C708" s="1">
        <f>IFERROR(__xludf.DUMMYFUNCTION("""COMPUTED_VALUE"""),143800.0)</f>
        <v>143800</v>
      </c>
      <c r="D708" s="1">
        <f>IFERROR(__xludf.DUMMYFUNCTION("""COMPUTED_VALUE"""),136000.0)</f>
        <v>136000</v>
      </c>
      <c r="E708" s="1">
        <f>IFERROR(__xludf.DUMMYFUNCTION("""COMPUTED_VALUE"""),142000.0)</f>
        <v>142000</v>
      </c>
      <c r="F708" s="1">
        <f>IFERROR(__xludf.DUMMYFUNCTION("""COMPUTED_VALUE"""),185636.0)</f>
        <v>185636</v>
      </c>
    </row>
    <row r="709">
      <c r="A709" s="2">
        <f>IFERROR(__xludf.DUMMYFUNCTION("""COMPUTED_VALUE"""),41617.645833333336)</f>
        <v>41617.64583</v>
      </c>
      <c r="B709" s="1">
        <f>IFERROR(__xludf.DUMMYFUNCTION("""COMPUTED_VALUE"""),142400.0)</f>
        <v>142400</v>
      </c>
      <c r="C709" s="1">
        <f>IFERROR(__xludf.DUMMYFUNCTION("""COMPUTED_VALUE"""),143800.0)</f>
        <v>143800</v>
      </c>
      <c r="D709" s="1">
        <f>IFERROR(__xludf.DUMMYFUNCTION("""COMPUTED_VALUE"""),141000.0)</f>
        <v>141000</v>
      </c>
      <c r="E709" s="1">
        <f>IFERROR(__xludf.DUMMYFUNCTION("""COMPUTED_VALUE"""),141800.0)</f>
        <v>141800</v>
      </c>
      <c r="F709" s="1">
        <f>IFERROR(__xludf.DUMMYFUNCTION("""COMPUTED_VALUE"""),155213.0)</f>
        <v>155213</v>
      </c>
    </row>
    <row r="710">
      <c r="A710" s="2">
        <f>IFERROR(__xludf.DUMMYFUNCTION("""COMPUTED_VALUE"""),41618.645833333336)</f>
        <v>41618.64583</v>
      </c>
      <c r="B710" s="1">
        <f>IFERROR(__xludf.DUMMYFUNCTION("""COMPUTED_VALUE"""),142600.0)</f>
        <v>142600</v>
      </c>
      <c r="C710" s="1">
        <f>IFERROR(__xludf.DUMMYFUNCTION("""COMPUTED_VALUE"""),145600.0)</f>
        <v>145600</v>
      </c>
      <c r="D710" s="1">
        <f>IFERROR(__xludf.DUMMYFUNCTION("""COMPUTED_VALUE"""),140600.0)</f>
        <v>140600</v>
      </c>
      <c r="E710" s="1">
        <f>IFERROR(__xludf.DUMMYFUNCTION("""COMPUTED_VALUE"""),141800.0)</f>
        <v>141800</v>
      </c>
      <c r="F710" s="1">
        <f>IFERROR(__xludf.DUMMYFUNCTION("""COMPUTED_VALUE"""),165716.0)</f>
        <v>165716</v>
      </c>
    </row>
    <row r="711">
      <c r="A711" s="2">
        <f>IFERROR(__xludf.DUMMYFUNCTION("""COMPUTED_VALUE"""),41619.645833333336)</f>
        <v>41619.64583</v>
      </c>
      <c r="B711" s="1">
        <f>IFERROR(__xludf.DUMMYFUNCTION("""COMPUTED_VALUE"""),144000.0)</f>
        <v>144000</v>
      </c>
      <c r="C711" s="1">
        <f>IFERROR(__xludf.DUMMYFUNCTION("""COMPUTED_VALUE"""),144400.0)</f>
        <v>144400</v>
      </c>
      <c r="D711" s="1">
        <f>IFERROR(__xludf.DUMMYFUNCTION("""COMPUTED_VALUE"""),141800.0)</f>
        <v>141800</v>
      </c>
      <c r="E711" s="1">
        <f>IFERROR(__xludf.DUMMYFUNCTION("""COMPUTED_VALUE"""),143400.0)</f>
        <v>143400</v>
      </c>
      <c r="F711" s="1">
        <f>IFERROR(__xludf.DUMMYFUNCTION("""COMPUTED_VALUE"""),97273.0)</f>
        <v>97273</v>
      </c>
    </row>
    <row r="712">
      <c r="A712" s="2">
        <f>IFERROR(__xludf.DUMMYFUNCTION("""COMPUTED_VALUE"""),41620.645833333336)</f>
        <v>41620.64583</v>
      </c>
      <c r="B712" s="1">
        <f>IFERROR(__xludf.DUMMYFUNCTION("""COMPUTED_VALUE"""),143600.0)</f>
        <v>143600</v>
      </c>
      <c r="C712" s="1">
        <f>IFERROR(__xludf.DUMMYFUNCTION("""COMPUTED_VALUE"""),144800.0)</f>
        <v>144800</v>
      </c>
      <c r="D712" s="1">
        <f>IFERROR(__xludf.DUMMYFUNCTION("""COMPUTED_VALUE"""),141000.0)</f>
        <v>141000</v>
      </c>
      <c r="E712" s="1">
        <f>IFERROR(__xludf.DUMMYFUNCTION("""COMPUTED_VALUE"""),142800.0)</f>
        <v>142800</v>
      </c>
      <c r="F712" s="1">
        <f>IFERROR(__xludf.DUMMYFUNCTION("""COMPUTED_VALUE"""),106611.0)</f>
        <v>106611</v>
      </c>
    </row>
    <row r="713">
      <c r="A713" s="2">
        <f>IFERROR(__xludf.DUMMYFUNCTION("""COMPUTED_VALUE"""),41621.645833333336)</f>
        <v>41621.64583</v>
      </c>
      <c r="B713" s="1">
        <f>IFERROR(__xludf.DUMMYFUNCTION("""COMPUTED_VALUE"""),144400.0)</f>
        <v>144400</v>
      </c>
      <c r="C713" s="1">
        <f>IFERROR(__xludf.DUMMYFUNCTION("""COMPUTED_VALUE"""),145600.0)</f>
        <v>145600</v>
      </c>
      <c r="D713" s="1">
        <f>IFERROR(__xludf.DUMMYFUNCTION("""COMPUTED_VALUE"""),140000.0)</f>
        <v>140000</v>
      </c>
      <c r="E713" s="1">
        <f>IFERROR(__xludf.DUMMYFUNCTION("""COMPUTED_VALUE"""),140600.0)</f>
        <v>140600</v>
      </c>
      <c r="F713" s="1">
        <f>IFERROR(__xludf.DUMMYFUNCTION("""COMPUTED_VALUE"""),199074.0)</f>
        <v>199074</v>
      </c>
    </row>
    <row r="714">
      <c r="A714" s="2">
        <f>IFERROR(__xludf.DUMMYFUNCTION("""COMPUTED_VALUE"""),41624.645833333336)</f>
        <v>41624.64583</v>
      </c>
      <c r="B714" s="1">
        <f>IFERROR(__xludf.DUMMYFUNCTION("""COMPUTED_VALUE"""),141600.0)</f>
        <v>141600</v>
      </c>
      <c r="C714" s="1">
        <f>IFERROR(__xludf.DUMMYFUNCTION("""COMPUTED_VALUE"""),143000.0)</f>
        <v>143000</v>
      </c>
      <c r="D714" s="1">
        <f>IFERROR(__xludf.DUMMYFUNCTION("""COMPUTED_VALUE"""),140200.0)</f>
        <v>140200</v>
      </c>
      <c r="E714" s="1">
        <f>IFERROR(__xludf.DUMMYFUNCTION("""COMPUTED_VALUE"""),141600.0)</f>
        <v>141600</v>
      </c>
      <c r="F714" s="1">
        <f>IFERROR(__xludf.DUMMYFUNCTION("""COMPUTED_VALUE"""),129241.0)</f>
        <v>129241</v>
      </c>
    </row>
    <row r="715">
      <c r="A715" s="2">
        <f>IFERROR(__xludf.DUMMYFUNCTION("""COMPUTED_VALUE"""),41625.645833333336)</f>
        <v>41625.64583</v>
      </c>
      <c r="B715" s="1">
        <f>IFERROR(__xludf.DUMMYFUNCTION("""COMPUTED_VALUE"""),142800.0)</f>
        <v>142800</v>
      </c>
      <c r="C715" s="1">
        <f>IFERROR(__xludf.DUMMYFUNCTION("""COMPUTED_VALUE"""),148000.0)</f>
        <v>148000</v>
      </c>
      <c r="D715" s="1">
        <f>IFERROR(__xludf.DUMMYFUNCTION("""COMPUTED_VALUE"""),142400.0)</f>
        <v>142400</v>
      </c>
      <c r="E715" s="1">
        <f>IFERROR(__xludf.DUMMYFUNCTION("""COMPUTED_VALUE"""),146400.0)</f>
        <v>146400</v>
      </c>
      <c r="F715" s="1">
        <f>IFERROR(__xludf.DUMMYFUNCTION("""COMPUTED_VALUE"""),173970.0)</f>
        <v>173970</v>
      </c>
    </row>
    <row r="716">
      <c r="A716" s="2">
        <f>IFERROR(__xludf.DUMMYFUNCTION("""COMPUTED_VALUE"""),41626.645833333336)</f>
        <v>41626.64583</v>
      </c>
      <c r="B716" s="1">
        <f>IFERROR(__xludf.DUMMYFUNCTION("""COMPUTED_VALUE"""),146400.0)</f>
        <v>146400</v>
      </c>
      <c r="C716" s="1">
        <f>IFERROR(__xludf.DUMMYFUNCTION("""COMPUTED_VALUE"""),147000.0)</f>
        <v>147000</v>
      </c>
      <c r="D716" s="1">
        <f>IFERROR(__xludf.DUMMYFUNCTION("""COMPUTED_VALUE"""),141200.0)</f>
        <v>141200</v>
      </c>
      <c r="E716" s="1">
        <f>IFERROR(__xludf.DUMMYFUNCTION("""COMPUTED_VALUE"""),142000.0)</f>
        <v>142000</v>
      </c>
      <c r="F716" s="1">
        <f>IFERROR(__xludf.DUMMYFUNCTION("""COMPUTED_VALUE"""),236337.0)</f>
        <v>236337</v>
      </c>
    </row>
    <row r="717">
      <c r="A717" s="2">
        <f>IFERROR(__xludf.DUMMYFUNCTION("""COMPUTED_VALUE"""),41627.645833333336)</f>
        <v>41627.64583</v>
      </c>
      <c r="B717" s="1">
        <f>IFERROR(__xludf.DUMMYFUNCTION("""COMPUTED_VALUE"""),144400.0)</f>
        <v>144400</v>
      </c>
      <c r="C717" s="1">
        <f>IFERROR(__xludf.DUMMYFUNCTION("""COMPUTED_VALUE"""),147200.0)</f>
        <v>147200</v>
      </c>
      <c r="D717" s="1">
        <f>IFERROR(__xludf.DUMMYFUNCTION("""COMPUTED_VALUE"""),142200.0)</f>
        <v>142200</v>
      </c>
      <c r="E717" s="1">
        <f>IFERROR(__xludf.DUMMYFUNCTION("""COMPUTED_VALUE"""),146000.0)</f>
        <v>146000</v>
      </c>
      <c r="F717" s="1">
        <f>IFERROR(__xludf.DUMMYFUNCTION("""COMPUTED_VALUE"""),167957.0)</f>
        <v>167957</v>
      </c>
    </row>
    <row r="718">
      <c r="A718" s="2">
        <f>IFERROR(__xludf.DUMMYFUNCTION("""COMPUTED_VALUE"""),41628.645833333336)</f>
        <v>41628.64583</v>
      </c>
      <c r="B718" s="1">
        <f>IFERROR(__xludf.DUMMYFUNCTION("""COMPUTED_VALUE"""),147800.0)</f>
        <v>147800</v>
      </c>
      <c r="C718" s="1">
        <f>IFERROR(__xludf.DUMMYFUNCTION("""COMPUTED_VALUE"""),148400.0)</f>
        <v>148400</v>
      </c>
      <c r="D718" s="1">
        <f>IFERROR(__xludf.DUMMYFUNCTION("""COMPUTED_VALUE"""),144200.0)</f>
        <v>144200</v>
      </c>
      <c r="E718" s="1">
        <f>IFERROR(__xludf.DUMMYFUNCTION("""COMPUTED_VALUE"""),147200.0)</f>
        <v>147200</v>
      </c>
      <c r="F718" s="1">
        <f>IFERROR(__xludf.DUMMYFUNCTION("""COMPUTED_VALUE"""),139824.0)</f>
        <v>139824</v>
      </c>
    </row>
    <row r="719">
      <c r="A719" s="2">
        <f>IFERROR(__xludf.DUMMYFUNCTION("""COMPUTED_VALUE"""),41631.645833333336)</f>
        <v>41631.64583</v>
      </c>
      <c r="B719" s="1">
        <f>IFERROR(__xludf.DUMMYFUNCTION("""COMPUTED_VALUE"""),148400.0)</f>
        <v>148400</v>
      </c>
      <c r="C719" s="1">
        <f>IFERROR(__xludf.DUMMYFUNCTION("""COMPUTED_VALUE"""),149000.0)</f>
        <v>149000</v>
      </c>
      <c r="D719" s="1">
        <f>IFERROR(__xludf.DUMMYFUNCTION("""COMPUTED_VALUE"""),146800.0)</f>
        <v>146800</v>
      </c>
      <c r="E719" s="1">
        <f>IFERROR(__xludf.DUMMYFUNCTION("""COMPUTED_VALUE"""),148000.0)</f>
        <v>148000</v>
      </c>
      <c r="F719" s="1">
        <f>IFERROR(__xludf.DUMMYFUNCTION("""COMPUTED_VALUE"""),127860.0)</f>
        <v>127860</v>
      </c>
    </row>
    <row r="720">
      <c r="A720" s="2">
        <f>IFERROR(__xludf.DUMMYFUNCTION("""COMPUTED_VALUE"""),41632.645833333336)</f>
        <v>41632.64583</v>
      </c>
      <c r="B720" s="1">
        <f>IFERROR(__xludf.DUMMYFUNCTION("""COMPUTED_VALUE"""),150000.0)</f>
        <v>150000</v>
      </c>
      <c r="C720" s="1">
        <f>IFERROR(__xludf.DUMMYFUNCTION("""COMPUTED_VALUE"""),150200.0)</f>
        <v>150200</v>
      </c>
      <c r="D720" s="1">
        <f>IFERROR(__xludf.DUMMYFUNCTION("""COMPUTED_VALUE"""),146800.0)</f>
        <v>146800</v>
      </c>
      <c r="E720" s="1">
        <f>IFERROR(__xludf.DUMMYFUNCTION("""COMPUTED_VALUE"""),146800.0)</f>
        <v>146800</v>
      </c>
      <c r="F720" s="1">
        <f>IFERROR(__xludf.DUMMYFUNCTION("""COMPUTED_VALUE"""),136578.0)</f>
        <v>136578</v>
      </c>
    </row>
    <row r="721">
      <c r="A721" s="2">
        <f>IFERROR(__xludf.DUMMYFUNCTION("""COMPUTED_VALUE"""),41634.645833333336)</f>
        <v>41634.64583</v>
      </c>
      <c r="B721" s="1">
        <f>IFERROR(__xludf.DUMMYFUNCTION("""COMPUTED_VALUE"""),146800.0)</f>
        <v>146800</v>
      </c>
      <c r="C721" s="1">
        <f>IFERROR(__xludf.DUMMYFUNCTION("""COMPUTED_VALUE"""),147000.0)</f>
        <v>147000</v>
      </c>
      <c r="D721" s="1">
        <f>IFERROR(__xludf.DUMMYFUNCTION("""COMPUTED_VALUE"""),142600.0)</f>
        <v>142600</v>
      </c>
      <c r="E721" s="1">
        <f>IFERROR(__xludf.DUMMYFUNCTION("""COMPUTED_VALUE"""),142800.0)</f>
        <v>142800</v>
      </c>
      <c r="F721" s="1">
        <f>IFERROR(__xludf.DUMMYFUNCTION("""COMPUTED_VALUE"""),168497.0)</f>
        <v>168497</v>
      </c>
    </row>
    <row r="722">
      <c r="A722" s="2">
        <f>IFERROR(__xludf.DUMMYFUNCTION("""COMPUTED_VALUE"""),41635.645833333336)</f>
        <v>41635.64583</v>
      </c>
      <c r="B722" s="1">
        <f>IFERROR(__xludf.DUMMYFUNCTION("""COMPUTED_VALUE"""),144600.0)</f>
        <v>144600</v>
      </c>
      <c r="C722" s="1">
        <f>IFERROR(__xludf.DUMMYFUNCTION("""COMPUTED_VALUE"""),148000.0)</f>
        <v>148000</v>
      </c>
      <c r="D722" s="1">
        <f>IFERROR(__xludf.DUMMYFUNCTION("""COMPUTED_VALUE"""),144200.0)</f>
        <v>144200</v>
      </c>
      <c r="E722" s="1">
        <f>IFERROR(__xludf.DUMMYFUNCTION("""COMPUTED_VALUE"""),146800.0)</f>
        <v>146800</v>
      </c>
      <c r="F722" s="1">
        <f>IFERROR(__xludf.DUMMYFUNCTION("""COMPUTED_VALUE"""),105659.0)</f>
        <v>105659</v>
      </c>
    </row>
    <row r="723">
      <c r="A723" s="2">
        <f>IFERROR(__xludf.DUMMYFUNCTION("""COMPUTED_VALUE"""),41638.645833333336)</f>
        <v>41638.64583</v>
      </c>
      <c r="B723" s="1">
        <f>IFERROR(__xludf.DUMMYFUNCTION("""COMPUTED_VALUE"""),143400.0)</f>
        <v>143400</v>
      </c>
      <c r="C723" s="1">
        <f>IFERROR(__xludf.DUMMYFUNCTION("""COMPUTED_VALUE"""),145400.0)</f>
        <v>145400</v>
      </c>
      <c r="D723" s="1">
        <f>IFERROR(__xludf.DUMMYFUNCTION("""COMPUTED_VALUE"""),143200.0)</f>
        <v>143200</v>
      </c>
      <c r="E723" s="1">
        <f>IFERROR(__xludf.DUMMYFUNCTION("""COMPUTED_VALUE"""),144800.0)</f>
        <v>144800</v>
      </c>
      <c r="F723" s="1">
        <f>IFERROR(__xludf.DUMMYFUNCTION("""COMPUTED_VALUE"""),117875.0)</f>
        <v>117875</v>
      </c>
    </row>
    <row r="724">
      <c r="A724" s="2">
        <f>IFERROR(__xludf.DUMMYFUNCTION("""COMPUTED_VALUE"""),41641.645833333336)</f>
        <v>41641.64583</v>
      </c>
      <c r="B724" s="1">
        <f>IFERROR(__xludf.DUMMYFUNCTION("""COMPUTED_VALUE"""),147800.0)</f>
        <v>147800</v>
      </c>
      <c r="C724" s="1">
        <f>IFERROR(__xludf.DUMMYFUNCTION("""COMPUTED_VALUE"""),148400.0)</f>
        <v>148400</v>
      </c>
      <c r="D724" s="1">
        <f>IFERROR(__xludf.DUMMYFUNCTION("""COMPUTED_VALUE"""),144800.0)</f>
        <v>144800</v>
      </c>
      <c r="E724" s="1">
        <f>IFERROR(__xludf.DUMMYFUNCTION("""COMPUTED_VALUE"""),145000.0)</f>
        <v>145000</v>
      </c>
      <c r="F724" s="1">
        <f>IFERROR(__xludf.DUMMYFUNCTION("""COMPUTED_VALUE"""),110009.0)</f>
        <v>110009</v>
      </c>
    </row>
    <row r="725">
      <c r="A725" s="2">
        <f>IFERROR(__xludf.DUMMYFUNCTION("""COMPUTED_VALUE"""),41642.645833333336)</f>
        <v>41642.64583</v>
      </c>
      <c r="B725" s="1">
        <f>IFERROR(__xludf.DUMMYFUNCTION("""COMPUTED_VALUE"""),145000.0)</f>
        <v>145000</v>
      </c>
      <c r="C725" s="1">
        <f>IFERROR(__xludf.DUMMYFUNCTION("""COMPUTED_VALUE"""),145000.0)</f>
        <v>145000</v>
      </c>
      <c r="D725" s="1">
        <f>IFERROR(__xludf.DUMMYFUNCTION("""COMPUTED_VALUE"""),138800.0)</f>
        <v>138800</v>
      </c>
      <c r="E725" s="1">
        <f>IFERROR(__xludf.DUMMYFUNCTION("""COMPUTED_VALUE"""),139800.0)</f>
        <v>139800</v>
      </c>
      <c r="F725" s="1">
        <f>IFERROR(__xludf.DUMMYFUNCTION("""COMPUTED_VALUE"""),220469.0)</f>
        <v>220469</v>
      </c>
    </row>
    <row r="726">
      <c r="A726" s="2">
        <f>IFERROR(__xludf.DUMMYFUNCTION("""COMPUTED_VALUE"""),41645.645833333336)</f>
        <v>41645.64583</v>
      </c>
      <c r="B726" s="1">
        <f>IFERROR(__xludf.DUMMYFUNCTION("""COMPUTED_VALUE"""),141000.0)</f>
        <v>141000</v>
      </c>
      <c r="C726" s="1">
        <f>IFERROR(__xludf.DUMMYFUNCTION("""COMPUTED_VALUE"""),142600.0)</f>
        <v>142600</v>
      </c>
      <c r="D726" s="1">
        <f>IFERROR(__xludf.DUMMYFUNCTION("""COMPUTED_VALUE"""),138200.0)</f>
        <v>138200</v>
      </c>
      <c r="E726" s="1">
        <f>IFERROR(__xludf.DUMMYFUNCTION("""COMPUTED_VALUE"""),139800.0)</f>
        <v>139800</v>
      </c>
      <c r="F726" s="1">
        <f>IFERROR(__xludf.DUMMYFUNCTION("""COMPUTED_VALUE"""),185826.0)</f>
        <v>185826</v>
      </c>
    </row>
    <row r="727">
      <c r="A727" s="2">
        <f>IFERROR(__xludf.DUMMYFUNCTION("""COMPUTED_VALUE"""),41646.645833333336)</f>
        <v>41646.64583</v>
      </c>
      <c r="B727" s="1">
        <f>IFERROR(__xludf.DUMMYFUNCTION("""COMPUTED_VALUE"""),140200.0)</f>
        <v>140200</v>
      </c>
      <c r="C727" s="1">
        <f>IFERROR(__xludf.DUMMYFUNCTION("""COMPUTED_VALUE"""),141600.0)</f>
        <v>141600</v>
      </c>
      <c r="D727" s="1">
        <f>IFERROR(__xludf.DUMMYFUNCTION("""COMPUTED_VALUE"""),139800.0)</f>
        <v>139800</v>
      </c>
      <c r="E727" s="1">
        <f>IFERROR(__xludf.DUMMYFUNCTION("""COMPUTED_VALUE"""),140000.0)</f>
        <v>140000</v>
      </c>
      <c r="F727" s="1">
        <f>IFERROR(__xludf.DUMMYFUNCTION("""COMPUTED_VALUE"""),144233.0)</f>
        <v>144233</v>
      </c>
    </row>
    <row r="728">
      <c r="A728" s="2">
        <f>IFERROR(__xludf.DUMMYFUNCTION("""COMPUTED_VALUE"""),41647.645833333336)</f>
        <v>41647.64583</v>
      </c>
      <c r="B728" s="1">
        <f>IFERROR(__xludf.DUMMYFUNCTION("""COMPUTED_VALUE"""),142800.0)</f>
        <v>142800</v>
      </c>
      <c r="C728" s="1">
        <f>IFERROR(__xludf.DUMMYFUNCTION("""COMPUTED_VALUE"""),145400.0)</f>
        <v>145400</v>
      </c>
      <c r="D728" s="1">
        <f>IFERROR(__xludf.DUMMYFUNCTION("""COMPUTED_VALUE"""),137200.0)</f>
        <v>137200</v>
      </c>
      <c r="E728" s="1">
        <f>IFERROR(__xludf.DUMMYFUNCTION("""COMPUTED_VALUE"""),140000.0)</f>
        <v>140000</v>
      </c>
      <c r="F728" s="1">
        <f>IFERROR(__xludf.DUMMYFUNCTION("""COMPUTED_VALUE"""),228388.0)</f>
        <v>228388</v>
      </c>
    </row>
    <row r="729">
      <c r="A729" s="2">
        <f>IFERROR(__xludf.DUMMYFUNCTION("""COMPUTED_VALUE"""),41648.645833333336)</f>
        <v>41648.64583</v>
      </c>
      <c r="B729" s="1">
        <f>IFERROR(__xludf.DUMMYFUNCTION("""COMPUTED_VALUE"""),139000.0)</f>
        <v>139000</v>
      </c>
      <c r="C729" s="1">
        <f>IFERROR(__xludf.DUMMYFUNCTION("""COMPUTED_VALUE"""),139600.0)</f>
        <v>139600</v>
      </c>
      <c r="D729" s="1">
        <f>IFERROR(__xludf.DUMMYFUNCTION("""COMPUTED_VALUE"""),134200.0)</f>
        <v>134200</v>
      </c>
      <c r="E729" s="1">
        <f>IFERROR(__xludf.DUMMYFUNCTION("""COMPUTED_VALUE"""),134200.0)</f>
        <v>134200</v>
      </c>
      <c r="F729" s="1">
        <f>IFERROR(__xludf.DUMMYFUNCTION("""COMPUTED_VALUE"""),213980.0)</f>
        <v>213980</v>
      </c>
    </row>
    <row r="730">
      <c r="A730" s="2">
        <f>IFERROR(__xludf.DUMMYFUNCTION("""COMPUTED_VALUE"""),41649.645833333336)</f>
        <v>41649.64583</v>
      </c>
      <c r="B730" s="1">
        <f>IFERROR(__xludf.DUMMYFUNCTION("""COMPUTED_VALUE"""),132400.0)</f>
        <v>132400</v>
      </c>
      <c r="C730" s="1">
        <f>IFERROR(__xludf.DUMMYFUNCTION("""COMPUTED_VALUE"""),138400.0)</f>
        <v>138400</v>
      </c>
      <c r="D730" s="1">
        <f>IFERROR(__xludf.DUMMYFUNCTION("""COMPUTED_VALUE"""),132400.0)</f>
        <v>132400</v>
      </c>
      <c r="E730" s="1">
        <f>IFERROR(__xludf.DUMMYFUNCTION("""COMPUTED_VALUE"""),138000.0)</f>
        <v>138000</v>
      </c>
      <c r="F730" s="1">
        <f>IFERROR(__xludf.DUMMYFUNCTION("""COMPUTED_VALUE"""),198161.0)</f>
        <v>198161</v>
      </c>
    </row>
    <row r="731">
      <c r="A731" s="2">
        <f>IFERROR(__xludf.DUMMYFUNCTION("""COMPUTED_VALUE"""),41652.645833333336)</f>
        <v>41652.64583</v>
      </c>
      <c r="B731" s="1">
        <f>IFERROR(__xludf.DUMMYFUNCTION("""COMPUTED_VALUE"""),139000.0)</f>
        <v>139000</v>
      </c>
      <c r="C731" s="1">
        <f>IFERROR(__xludf.DUMMYFUNCTION("""COMPUTED_VALUE"""),140200.0)</f>
        <v>140200</v>
      </c>
      <c r="D731" s="1">
        <f>IFERROR(__xludf.DUMMYFUNCTION("""COMPUTED_VALUE"""),132800.0)</f>
        <v>132800</v>
      </c>
      <c r="E731" s="1">
        <f>IFERROR(__xludf.DUMMYFUNCTION("""COMPUTED_VALUE"""),134000.0)</f>
        <v>134000</v>
      </c>
      <c r="F731" s="1">
        <f>IFERROR(__xludf.DUMMYFUNCTION("""COMPUTED_VALUE"""),189724.0)</f>
        <v>189724</v>
      </c>
    </row>
    <row r="732">
      <c r="A732" s="2">
        <f>IFERROR(__xludf.DUMMYFUNCTION("""COMPUTED_VALUE"""),41653.645833333336)</f>
        <v>41653.64583</v>
      </c>
      <c r="B732" s="1">
        <f>IFERROR(__xludf.DUMMYFUNCTION("""COMPUTED_VALUE"""),133600.0)</f>
        <v>133600</v>
      </c>
      <c r="C732" s="1">
        <f>IFERROR(__xludf.DUMMYFUNCTION("""COMPUTED_VALUE"""),137200.0)</f>
        <v>137200</v>
      </c>
      <c r="D732" s="1">
        <f>IFERROR(__xludf.DUMMYFUNCTION("""COMPUTED_VALUE"""),132400.0)</f>
        <v>132400</v>
      </c>
      <c r="E732" s="1">
        <f>IFERROR(__xludf.DUMMYFUNCTION("""COMPUTED_VALUE"""),133400.0)</f>
        <v>133400</v>
      </c>
      <c r="F732" s="1">
        <f>IFERROR(__xludf.DUMMYFUNCTION("""COMPUTED_VALUE"""),196391.0)</f>
        <v>196391</v>
      </c>
    </row>
    <row r="733">
      <c r="A733" s="2">
        <f>IFERROR(__xludf.DUMMYFUNCTION("""COMPUTED_VALUE"""),41654.645833333336)</f>
        <v>41654.64583</v>
      </c>
      <c r="B733" s="1">
        <f>IFERROR(__xludf.DUMMYFUNCTION("""COMPUTED_VALUE"""),134800.0)</f>
        <v>134800</v>
      </c>
      <c r="C733" s="1">
        <f>IFERROR(__xludf.DUMMYFUNCTION("""COMPUTED_VALUE"""),139000.0)</f>
        <v>139000</v>
      </c>
      <c r="D733" s="1">
        <f>IFERROR(__xludf.DUMMYFUNCTION("""COMPUTED_VALUE"""),133400.0)</f>
        <v>133400</v>
      </c>
      <c r="E733" s="1">
        <f>IFERROR(__xludf.DUMMYFUNCTION("""COMPUTED_VALUE"""),138600.0)</f>
        <v>138600</v>
      </c>
      <c r="F733" s="1">
        <f>IFERROR(__xludf.DUMMYFUNCTION("""COMPUTED_VALUE"""),157559.0)</f>
        <v>157559</v>
      </c>
    </row>
    <row r="734">
      <c r="A734" s="2">
        <f>IFERROR(__xludf.DUMMYFUNCTION("""COMPUTED_VALUE"""),41655.645833333336)</f>
        <v>41655.64583</v>
      </c>
      <c r="B734" s="1">
        <f>IFERROR(__xludf.DUMMYFUNCTION("""COMPUTED_VALUE"""),140800.0)</f>
        <v>140800</v>
      </c>
      <c r="C734" s="1">
        <f>IFERROR(__xludf.DUMMYFUNCTION("""COMPUTED_VALUE"""),144200.0)</f>
        <v>144200</v>
      </c>
      <c r="D734" s="1">
        <f>IFERROR(__xludf.DUMMYFUNCTION("""COMPUTED_VALUE"""),140200.0)</f>
        <v>140200</v>
      </c>
      <c r="E734" s="1">
        <f>IFERROR(__xludf.DUMMYFUNCTION("""COMPUTED_VALUE"""),144000.0)</f>
        <v>144000</v>
      </c>
      <c r="F734" s="1">
        <f>IFERROR(__xludf.DUMMYFUNCTION("""COMPUTED_VALUE"""),161840.0)</f>
        <v>161840</v>
      </c>
    </row>
    <row r="735">
      <c r="A735" s="2">
        <f>IFERROR(__xludf.DUMMYFUNCTION("""COMPUTED_VALUE"""),41656.645833333336)</f>
        <v>41656.64583</v>
      </c>
      <c r="B735" s="1">
        <f>IFERROR(__xludf.DUMMYFUNCTION("""COMPUTED_VALUE"""),144000.0)</f>
        <v>144000</v>
      </c>
      <c r="C735" s="1">
        <f>IFERROR(__xludf.DUMMYFUNCTION("""COMPUTED_VALUE"""),144200.0)</f>
        <v>144200</v>
      </c>
      <c r="D735" s="1">
        <f>IFERROR(__xludf.DUMMYFUNCTION("""COMPUTED_VALUE"""),141600.0)</f>
        <v>141600</v>
      </c>
      <c r="E735" s="1">
        <f>IFERROR(__xludf.DUMMYFUNCTION("""COMPUTED_VALUE"""),143000.0)</f>
        <v>143000</v>
      </c>
      <c r="F735" s="1">
        <f>IFERROR(__xludf.DUMMYFUNCTION("""COMPUTED_VALUE"""),93805.0)</f>
        <v>93805</v>
      </c>
    </row>
    <row r="736">
      <c r="A736" s="2">
        <f>IFERROR(__xludf.DUMMYFUNCTION("""COMPUTED_VALUE"""),41659.645833333336)</f>
        <v>41659.64583</v>
      </c>
      <c r="B736" s="1">
        <f>IFERROR(__xludf.DUMMYFUNCTION("""COMPUTED_VALUE"""),143000.0)</f>
        <v>143000</v>
      </c>
      <c r="C736" s="1">
        <f>IFERROR(__xludf.DUMMYFUNCTION("""COMPUTED_VALUE"""),145600.0)</f>
        <v>145600</v>
      </c>
      <c r="D736" s="1">
        <f>IFERROR(__xludf.DUMMYFUNCTION("""COMPUTED_VALUE"""),142800.0)</f>
        <v>142800</v>
      </c>
      <c r="E736" s="1">
        <f>IFERROR(__xludf.DUMMYFUNCTION("""COMPUTED_VALUE"""),143400.0)</f>
        <v>143400</v>
      </c>
      <c r="F736" s="1">
        <f>IFERROR(__xludf.DUMMYFUNCTION("""COMPUTED_VALUE"""),73545.0)</f>
        <v>73545</v>
      </c>
    </row>
    <row r="737">
      <c r="A737" s="2">
        <f>IFERROR(__xludf.DUMMYFUNCTION("""COMPUTED_VALUE"""),41660.645833333336)</f>
        <v>41660.64583</v>
      </c>
      <c r="B737" s="1">
        <f>IFERROR(__xludf.DUMMYFUNCTION("""COMPUTED_VALUE"""),143200.0)</f>
        <v>143200</v>
      </c>
      <c r="C737" s="1">
        <f>IFERROR(__xludf.DUMMYFUNCTION("""COMPUTED_VALUE"""),143200.0)</f>
        <v>143200</v>
      </c>
      <c r="D737" s="1">
        <f>IFERROR(__xludf.DUMMYFUNCTION("""COMPUTED_VALUE"""),139600.0)</f>
        <v>139600</v>
      </c>
      <c r="E737" s="1">
        <f>IFERROR(__xludf.DUMMYFUNCTION("""COMPUTED_VALUE"""),140000.0)</f>
        <v>140000</v>
      </c>
      <c r="F737" s="1">
        <f>IFERROR(__xludf.DUMMYFUNCTION("""COMPUTED_VALUE"""),111129.0)</f>
        <v>111129</v>
      </c>
    </row>
    <row r="738">
      <c r="A738" s="2">
        <f>IFERROR(__xludf.DUMMYFUNCTION("""COMPUTED_VALUE"""),41661.645833333336)</f>
        <v>41661.64583</v>
      </c>
      <c r="B738" s="1">
        <f>IFERROR(__xludf.DUMMYFUNCTION("""COMPUTED_VALUE"""),140000.0)</f>
        <v>140000</v>
      </c>
      <c r="C738" s="1">
        <f>IFERROR(__xludf.DUMMYFUNCTION("""COMPUTED_VALUE"""),141000.0)</f>
        <v>141000</v>
      </c>
      <c r="D738" s="1">
        <f>IFERROR(__xludf.DUMMYFUNCTION("""COMPUTED_VALUE"""),138600.0)</f>
        <v>138600</v>
      </c>
      <c r="E738" s="1">
        <f>IFERROR(__xludf.DUMMYFUNCTION("""COMPUTED_VALUE"""),140800.0)</f>
        <v>140800</v>
      </c>
      <c r="F738" s="1">
        <f>IFERROR(__xludf.DUMMYFUNCTION("""COMPUTED_VALUE"""),118586.0)</f>
        <v>118586</v>
      </c>
    </row>
    <row r="739">
      <c r="A739" s="2">
        <f>IFERROR(__xludf.DUMMYFUNCTION("""COMPUTED_VALUE"""),41662.645833333336)</f>
        <v>41662.64583</v>
      </c>
      <c r="B739" s="1">
        <f>IFERROR(__xludf.DUMMYFUNCTION("""COMPUTED_VALUE"""),140800.0)</f>
        <v>140800</v>
      </c>
      <c r="C739" s="1">
        <f>IFERROR(__xludf.DUMMYFUNCTION("""COMPUTED_VALUE"""),141800.0)</f>
        <v>141800</v>
      </c>
      <c r="D739" s="1">
        <f>IFERROR(__xludf.DUMMYFUNCTION("""COMPUTED_VALUE"""),139000.0)</f>
        <v>139000</v>
      </c>
      <c r="E739" s="1">
        <f>IFERROR(__xludf.DUMMYFUNCTION("""COMPUTED_VALUE"""),140000.0)</f>
        <v>140000</v>
      </c>
      <c r="F739" s="1">
        <f>IFERROR(__xludf.DUMMYFUNCTION("""COMPUTED_VALUE"""),62770.0)</f>
        <v>62770</v>
      </c>
    </row>
    <row r="740">
      <c r="A740" s="2">
        <f>IFERROR(__xludf.DUMMYFUNCTION("""COMPUTED_VALUE"""),41663.645833333336)</f>
        <v>41663.64583</v>
      </c>
      <c r="B740" s="1">
        <f>IFERROR(__xludf.DUMMYFUNCTION("""COMPUTED_VALUE"""),140800.0)</f>
        <v>140800</v>
      </c>
      <c r="C740" s="1">
        <f>IFERROR(__xludf.DUMMYFUNCTION("""COMPUTED_VALUE"""),140800.0)</f>
        <v>140800</v>
      </c>
      <c r="D740" s="1">
        <f>IFERROR(__xludf.DUMMYFUNCTION("""COMPUTED_VALUE"""),135000.0)</f>
        <v>135000</v>
      </c>
      <c r="E740" s="1">
        <f>IFERROR(__xludf.DUMMYFUNCTION("""COMPUTED_VALUE"""),135800.0)</f>
        <v>135800</v>
      </c>
      <c r="F740" s="1">
        <f>IFERROR(__xludf.DUMMYFUNCTION("""COMPUTED_VALUE"""),337903.0)</f>
        <v>337903</v>
      </c>
    </row>
    <row r="741">
      <c r="A741" s="2">
        <f>IFERROR(__xludf.DUMMYFUNCTION("""COMPUTED_VALUE"""),41666.645833333336)</f>
        <v>41666.64583</v>
      </c>
      <c r="B741" s="1">
        <f>IFERROR(__xludf.DUMMYFUNCTION("""COMPUTED_VALUE"""),130200.0)</f>
        <v>130200</v>
      </c>
      <c r="C741" s="1">
        <f>IFERROR(__xludf.DUMMYFUNCTION("""COMPUTED_VALUE"""),133800.0)</f>
        <v>133800</v>
      </c>
      <c r="D741" s="1">
        <f>IFERROR(__xludf.DUMMYFUNCTION("""COMPUTED_VALUE"""),128600.0)</f>
        <v>128600</v>
      </c>
      <c r="E741" s="1">
        <f>IFERROR(__xludf.DUMMYFUNCTION("""COMPUTED_VALUE"""),131800.0)</f>
        <v>131800</v>
      </c>
      <c r="F741" s="1">
        <f>IFERROR(__xludf.DUMMYFUNCTION("""COMPUTED_VALUE"""),284528.0)</f>
        <v>284528</v>
      </c>
    </row>
    <row r="742">
      <c r="A742" s="2">
        <f>IFERROR(__xludf.DUMMYFUNCTION("""COMPUTED_VALUE"""),41667.645833333336)</f>
        <v>41667.64583</v>
      </c>
      <c r="B742" s="1">
        <f>IFERROR(__xludf.DUMMYFUNCTION("""COMPUTED_VALUE"""),132000.0)</f>
        <v>132000</v>
      </c>
      <c r="C742" s="1">
        <f>IFERROR(__xludf.DUMMYFUNCTION("""COMPUTED_VALUE"""),135600.0)</f>
        <v>135600</v>
      </c>
      <c r="D742" s="1">
        <f>IFERROR(__xludf.DUMMYFUNCTION("""COMPUTED_VALUE"""),131600.0)</f>
        <v>131600</v>
      </c>
      <c r="E742" s="1">
        <f>IFERROR(__xludf.DUMMYFUNCTION("""COMPUTED_VALUE"""),135400.0)</f>
        <v>135400</v>
      </c>
      <c r="F742" s="1">
        <f>IFERROR(__xludf.DUMMYFUNCTION("""COMPUTED_VALUE"""),111497.0)</f>
        <v>111497</v>
      </c>
    </row>
    <row r="743">
      <c r="A743" s="2">
        <f>IFERROR(__xludf.DUMMYFUNCTION("""COMPUTED_VALUE"""),41668.645833333336)</f>
        <v>41668.64583</v>
      </c>
      <c r="B743" s="1">
        <f>IFERROR(__xludf.DUMMYFUNCTION("""COMPUTED_VALUE"""),136000.0)</f>
        <v>136000</v>
      </c>
      <c r="C743" s="1">
        <f>IFERROR(__xludf.DUMMYFUNCTION("""COMPUTED_VALUE"""),137200.0)</f>
        <v>137200</v>
      </c>
      <c r="D743" s="1">
        <f>IFERROR(__xludf.DUMMYFUNCTION("""COMPUTED_VALUE"""),134400.0)</f>
        <v>134400</v>
      </c>
      <c r="E743" s="1">
        <f>IFERROR(__xludf.DUMMYFUNCTION("""COMPUTED_VALUE"""),135000.0)</f>
        <v>135000</v>
      </c>
      <c r="F743" s="1">
        <f>IFERROR(__xludf.DUMMYFUNCTION("""COMPUTED_VALUE"""),137304.0)</f>
        <v>137304</v>
      </c>
    </row>
    <row r="744">
      <c r="A744" s="2">
        <f>IFERROR(__xludf.DUMMYFUNCTION("""COMPUTED_VALUE"""),41673.645833333336)</f>
        <v>41673.64583</v>
      </c>
      <c r="B744" s="1">
        <f>IFERROR(__xludf.DUMMYFUNCTION("""COMPUTED_VALUE"""),136400.0)</f>
        <v>136400</v>
      </c>
      <c r="C744" s="1">
        <f>IFERROR(__xludf.DUMMYFUNCTION("""COMPUTED_VALUE"""),138400.0)</f>
        <v>138400</v>
      </c>
      <c r="D744" s="1">
        <f>IFERROR(__xludf.DUMMYFUNCTION("""COMPUTED_VALUE"""),135000.0)</f>
        <v>135000</v>
      </c>
      <c r="E744" s="1">
        <f>IFERROR(__xludf.DUMMYFUNCTION("""COMPUTED_VALUE"""),135200.0)</f>
        <v>135200</v>
      </c>
      <c r="F744" s="1">
        <f>IFERROR(__xludf.DUMMYFUNCTION("""COMPUTED_VALUE"""),167725.0)</f>
        <v>167725</v>
      </c>
    </row>
    <row r="745">
      <c r="A745" s="2">
        <f>IFERROR(__xludf.DUMMYFUNCTION("""COMPUTED_VALUE"""),41674.645833333336)</f>
        <v>41674.64583</v>
      </c>
      <c r="B745" s="1">
        <f>IFERROR(__xludf.DUMMYFUNCTION("""COMPUTED_VALUE"""),132000.0)</f>
        <v>132000</v>
      </c>
      <c r="C745" s="1">
        <f>IFERROR(__xludf.DUMMYFUNCTION("""COMPUTED_VALUE"""),134600.0)</f>
        <v>134600</v>
      </c>
      <c r="D745" s="1">
        <f>IFERROR(__xludf.DUMMYFUNCTION("""COMPUTED_VALUE"""),131600.0)</f>
        <v>131600</v>
      </c>
      <c r="E745" s="1">
        <f>IFERROR(__xludf.DUMMYFUNCTION("""COMPUTED_VALUE"""),133200.0)</f>
        <v>133200</v>
      </c>
      <c r="F745" s="1">
        <f>IFERROR(__xludf.DUMMYFUNCTION("""COMPUTED_VALUE"""),135734.0)</f>
        <v>135734</v>
      </c>
    </row>
    <row r="746">
      <c r="A746" s="2">
        <f>IFERROR(__xludf.DUMMYFUNCTION("""COMPUTED_VALUE"""),41675.645833333336)</f>
        <v>41675.64583</v>
      </c>
      <c r="B746" s="1">
        <f>IFERROR(__xludf.DUMMYFUNCTION("""COMPUTED_VALUE"""),134800.0)</f>
        <v>134800</v>
      </c>
      <c r="C746" s="1">
        <f>IFERROR(__xludf.DUMMYFUNCTION("""COMPUTED_VALUE"""),138200.0)</f>
        <v>138200</v>
      </c>
      <c r="D746" s="1">
        <f>IFERROR(__xludf.DUMMYFUNCTION("""COMPUTED_VALUE"""),134000.0)</f>
        <v>134000</v>
      </c>
      <c r="E746" s="1">
        <f>IFERROR(__xludf.DUMMYFUNCTION("""COMPUTED_VALUE"""),137800.0)</f>
        <v>137800</v>
      </c>
      <c r="F746" s="1">
        <f>IFERROR(__xludf.DUMMYFUNCTION("""COMPUTED_VALUE"""),152309.0)</f>
        <v>152309</v>
      </c>
    </row>
    <row r="747">
      <c r="A747" s="2">
        <f>IFERROR(__xludf.DUMMYFUNCTION("""COMPUTED_VALUE"""),41676.645833333336)</f>
        <v>41676.64583</v>
      </c>
      <c r="B747" s="1">
        <f>IFERROR(__xludf.DUMMYFUNCTION("""COMPUTED_VALUE"""),144000.0)</f>
        <v>144000</v>
      </c>
      <c r="C747" s="1">
        <f>IFERROR(__xludf.DUMMYFUNCTION("""COMPUTED_VALUE"""),151800.0)</f>
        <v>151800</v>
      </c>
      <c r="D747" s="1">
        <f>IFERROR(__xludf.DUMMYFUNCTION("""COMPUTED_VALUE"""),143400.0)</f>
        <v>143400</v>
      </c>
      <c r="E747" s="1">
        <f>IFERROR(__xludf.DUMMYFUNCTION("""COMPUTED_VALUE"""),147800.0)</f>
        <v>147800</v>
      </c>
      <c r="F747" s="1">
        <f>IFERROR(__xludf.DUMMYFUNCTION("""COMPUTED_VALUE"""),428072.0)</f>
        <v>428072</v>
      </c>
    </row>
    <row r="748">
      <c r="A748" s="2">
        <f>IFERROR(__xludf.DUMMYFUNCTION("""COMPUTED_VALUE"""),41677.645833333336)</f>
        <v>41677.64583</v>
      </c>
      <c r="B748" s="1">
        <f>IFERROR(__xludf.DUMMYFUNCTION("""COMPUTED_VALUE"""),150200.0)</f>
        <v>150200</v>
      </c>
      <c r="C748" s="1">
        <f>IFERROR(__xludf.DUMMYFUNCTION("""COMPUTED_VALUE"""),151000.0)</f>
        <v>151000</v>
      </c>
      <c r="D748" s="1">
        <f>IFERROR(__xludf.DUMMYFUNCTION("""COMPUTED_VALUE"""),146200.0)</f>
        <v>146200</v>
      </c>
      <c r="E748" s="1">
        <f>IFERROR(__xludf.DUMMYFUNCTION("""COMPUTED_VALUE"""),150200.0)</f>
        <v>150200</v>
      </c>
      <c r="F748" s="1">
        <f>IFERROR(__xludf.DUMMYFUNCTION("""COMPUTED_VALUE"""),186951.0)</f>
        <v>186951</v>
      </c>
    </row>
    <row r="749">
      <c r="A749" s="2">
        <f>IFERROR(__xludf.DUMMYFUNCTION("""COMPUTED_VALUE"""),41680.645833333336)</f>
        <v>41680.64583</v>
      </c>
      <c r="B749" s="1">
        <f>IFERROR(__xludf.DUMMYFUNCTION("""COMPUTED_VALUE"""),149800.0)</f>
        <v>149800</v>
      </c>
      <c r="C749" s="1">
        <f>IFERROR(__xludf.DUMMYFUNCTION("""COMPUTED_VALUE"""),150600.0)</f>
        <v>150600</v>
      </c>
      <c r="D749" s="1">
        <f>IFERROR(__xludf.DUMMYFUNCTION("""COMPUTED_VALUE"""),146800.0)</f>
        <v>146800</v>
      </c>
      <c r="E749" s="1">
        <f>IFERROR(__xludf.DUMMYFUNCTION("""COMPUTED_VALUE"""),146800.0)</f>
        <v>146800</v>
      </c>
      <c r="F749" s="1">
        <f>IFERROR(__xludf.DUMMYFUNCTION("""COMPUTED_VALUE"""),132548.0)</f>
        <v>132548</v>
      </c>
    </row>
    <row r="750">
      <c r="A750" s="2">
        <f>IFERROR(__xludf.DUMMYFUNCTION("""COMPUTED_VALUE"""),41681.645833333336)</f>
        <v>41681.64583</v>
      </c>
      <c r="B750" s="1">
        <f>IFERROR(__xludf.DUMMYFUNCTION("""COMPUTED_VALUE"""),147600.0)</f>
        <v>147600</v>
      </c>
      <c r="C750" s="1">
        <f>IFERROR(__xludf.DUMMYFUNCTION("""COMPUTED_VALUE"""),149400.0)</f>
        <v>149400</v>
      </c>
      <c r="D750" s="1">
        <f>IFERROR(__xludf.DUMMYFUNCTION("""COMPUTED_VALUE"""),146400.0)</f>
        <v>146400</v>
      </c>
      <c r="E750" s="1">
        <f>IFERROR(__xludf.DUMMYFUNCTION("""COMPUTED_VALUE"""),147400.0)</f>
        <v>147400</v>
      </c>
      <c r="F750" s="1">
        <f>IFERROR(__xludf.DUMMYFUNCTION("""COMPUTED_VALUE"""),98646.0)</f>
        <v>98646</v>
      </c>
    </row>
    <row r="751">
      <c r="A751" s="2">
        <f>IFERROR(__xludf.DUMMYFUNCTION("""COMPUTED_VALUE"""),41682.645833333336)</f>
        <v>41682.64583</v>
      </c>
      <c r="B751" s="1">
        <f>IFERROR(__xludf.DUMMYFUNCTION("""COMPUTED_VALUE"""),148600.0)</f>
        <v>148600</v>
      </c>
      <c r="C751" s="1">
        <f>IFERROR(__xludf.DUMMYFUNCTION("""COMPUTED_VALUE"""),149000.0)</f>
        <v>149000</v>
      </c>
      <c r="D751" s="1">
        <f>IFERROR(__xludf.DUMMYFUNCTION("""COMPUTED_VALUE"""),146200.0)</f>
        <v>146200</v>
      </c>
      <c r="E751" s="1">
        <f>IFERROR(__xludf.DUMMYFUNCTION("""COMPUTED_VALUE"""),148200.0)</f>
        <v>148200</v>
      </c>
      <c r="F751" s="1">
        <f>IFERROR(__xludf.DUMMYFUNCTION("""COMPUTED_VALUE"""),68665.0)</f>
        <v>68665</v>
      </c>
    </row>
    <row r="752">
      <c r="A752" s="2">
        <f>IFERROR(__xludf.DUMMYFUNCTION("""COMPUTED_VALUE"""),41683.645833333336)</f>
        <v>41683.64583</v>
      </c>
      <c r="B752" s="1">
        <f>IFERROR(__xludf.DUMMYFUNCTION("""COMPUTED_VALUE"""),148200.0)</f>
        <v>148200</v>
      </c>
      <c r="C752" s="1">
        <f>IFERROR(__xludf.DUMMYFUNCTION("""COMPUTED_VALUE"""),149600.0)</f>
        <v>149600</v>
      </c>
      <c r="D752" s="1">
        <f>IFERROR(__xludf.DUMMYFUNCTION("""COMPUTED_VALUE"""),146200.0)</f>
        <v>146200</v>
      </c>
      <c r="E752" s="1">
        <f>IFERROR(__xludf.DUMMYFUNCTION("""COMPUTED_VALUE"""),149600.0)</f>
        <v>149600</v>
      </c>
      <c r="F752" s="1">
        <f>IFERROR(__xludf.DUMMYFUNCTION("""COMPUTED_VALUE"""),97347.0)</f>
        <v>97347</v>
      </c>
    </row>
    <row r="753">
      <c r="A753" s="2">
        <f>IFERROR(__xludf.DUMMYFUNCTION("""COMPUTED_VALUE"""),41684.645833333336)</f>
        <v>41684.64583</v>
      </c>
      <c r="B753" s="1">
        <f>IFERROR(__xludf.DUMMYFUNCTION("""COMPUTED_VALUE"""),149600.0)</f>
        <v>149600</v>
      </c>
      <c r="C753" s="1">
        <f>IFERROR(__xludf.DUMMYFUNCTION("""COMPUTED_VALUE"""),151200.0)</f>
        <v>151200</v>
      </c>
      <c r="D753" s="1">
        <f>IFERROR(__xludf.DUMMYFUNCTION("""COMPUTED_VALUE"""),148400.0)</f>
        <v>148400</v>
      </c>
      <c r="E753" s="1">
        <f>IFERROR(__xludf.DUMMYFUNCTION("""COMPUTED_VALUE"""),150000.0)</f>
        <v>150000</v>
      </c>
      <c r="F753" s="1">
        <f>IFERROR(__xludf.DUMMYFUNCTION("""COMPUTED_VALUE"""),104309.0)</f>
        <v>104309</v>
      </c>
    </row>
    <row r="754">
      <c r="A754" s="2">
        <f>IFERROR(__xludf.DUMMYFUNCTION("""COMPUTED_VALUE"""),41687.645833333336)</f>
        <v>41687.64583</v>
      </c>
      <c r="B754" s="1">
        <f>IFERROR(__xludf.DUMMYFUNCTION("""COMPUTED_VALUE"""),151600.0)</f>
        <v>151600</v>
      </c>
      <c r="C754" s="1">
        <f>IFERROR(__xludf.DUMMYFUNCTION("""COMPUTED_VALUE"""),153400.0)</f>
        <v>153400</v>
      </c>
      <c r="D754" s="1">
        <f>IFERROR(__xludf.DUMMYFUNCTION("""COMPUTED_VALUE"""),149400.0)</f>
        <v>149400</v>
      </c>
      <c r="E754" s="1">
        <f>IFERROR(__xludf.DUMMYFUNCTION("""COMPUTED_VALUE"""),149800.0)</f>
        <v>149800</v>
      </c>
      <c r="F754" s="1">
        <f>IFERROR(__xludf.DUMMYFUNCTION("""COMPUTED_VALUE"""),97916.0)</f>
        <v>97916</v>
      </c>
    </row>
    <row r="755">
      <c r="A755" s="2">
        <f>IFERROR(__xludf.DUMMYFUNCTION("""COMPUTED_VALUE"""),41688.645833333336)</f>
        <v>41688.64583</v>
      </c>
      <c r="B755" s="1">
        <f>IFERROR(__xludf.DUMMYFUNCTION("""COMPUTED_VALUE"""),150600.0)</f>
        <v>150600</v>
      </c>
      <c r="C755" s="1">
        <f>IFERROR(__xludf.DUMMYFUNCTION("""COMPUTED_VALUE"""),151000.0)</f>
        <v>151000</v>
      </c>
      <c r="D755" s="1">
        <f>IFERROR(__xludf.DUMMYFUNCTION("""COMPUTED_VALUE"""),148400.0)</f>
        <v>148400</v>
      </c>
      <c r="E755" s="1">
        <f>IFERROR(__xludf.DUMMYFUNCTION("""COMPUTED_VALUE"""),150400.0)</f>
        <v>150400</v>
      </c>
      <c r="F755" s="1">
        <f>IFERROR(__xludf.DUMMYFUNCTION("""COMPUTED_VALUE"""),52034.0)</f>
        <v>52034</v>
      </c>
    </row>
    <row r="756">
      <c r="A756" s="2">
        <f>IFERROR(__xludf.DUMMYFUNCTION("""COMPUTED_VALUE"""),41690.645833333336)</f>
        <v>41690.64583</v>
      </c>
      <c r="B756" s="1">
        <f>IFERROR(__xludf.DUMMYFUNCTION("""COMPUTED_VALUE"""),143600.0)</f>
        <v>143600</v>
      </c>
      <c r="C756" s="1">
        <f>IFERROR(__xludf.DUMMYFUNCTION("""COMPUTED_VALUE"""),146400.0)</f>
        <v>146400</v>
      </c>
      <c r="D756" s="1">
        <f>IFERROR(__xludf.DUMMYFUNCTION("""COMPUTED_VALUE"""),137400.0)</f>
        <v>137400</v>
      </c>
      <c r="E756" s="1">
        <f>IFERROR(__xludf.DUMMYFUNCTION("""COMPUTED_VALUE"""),137800.0)</f>
        <v>137800</v>
      </c>
      <c r="F756" s="1">
        <f>IFERROR(__xludf.DUMMYFUNCTION("""COMPUTED_VALUE"""),689602.0)</f>
        <v>689602</v>
      </c>
    </row>
    <row r="757">
      <c r="A757" s="2">
        <f>IFERROR(__xludf.DUMMYFUNCTION("""COMPUTED_VALUE"""),41691.645833333336)</f>
        <v>41691.64583</v>
      </c>
      <c r="B757" s="1">
        <f>IFERROR(__xludf.DUMMYFUNCTION("""COMPUTED_VALUE"""),137600.0)</f>
        <v>137600</v>
      </c>
      <c r="C757" s="1">
        <f>IFERROR(__xludf.DUMMYFUNCTION("""COMPUTED_VALUE"""),143800.0)</f>
        <v>143800</v>
      </c>
      <c r="D757" s="1">
        <f>IFERROR(__xludf.DUMMYFUNCTION("""COMPUTED_VALUE"""),137400.0)</f>
        <v>137400</v>
      </c>
      <c r="E757" s="1">
        <f>IFERROR(__xludf.DUMMYFUNCTION("""COMPUTED_VALUE"""),141000.0)</f>
        <v>141000</v>
      </c>
      <c r="F757" s="1">
        <f>IFERROR(__xludf.DUMMYFUNCTION("""COMPUTED_VALUE"""),482903.0)</f>
        <v>482903</v>
      </c>
    </row>
    <row r="758">
      <c r="A758" s="2">
        <f>IFERROR(__xludf.DUMMYFUNCTION("""COMPUTED_VALUE"""),41694.645833333336)</f>
        <v>41694.64583</v>
      </c>
      <c r="B758" s="1">
        <f>IFERROR(__xludf.DUMMYFUNCTION("""COMPUTED_VALUE"""),142600.0)</f>
        <v>142600</v>
      </c>
      <c r="C758" s="1">
        <f>IFERROR(__xludf.DUMMYFUNCTION("""COMPUTED_VALUE"""),142800.0)</f>
        <v>142800</v>
      </c>
      <c r="D758" s="1">
        <f>IFERROR(__xludf.DUMMYFUNCTION("""COMPUTED_VALUE"""),135000.0)</f>
        <v>135000</v>
      </c>
      <c r="E758" s="1">
        <f>IFERROR(__xludf.DUMMYFUNCTION("""COMPUTED_VALUE"""),136800.0)</f>
        <v>136800</v>
      </c>
      <c r="F758" s="1">
        <f>IFERROR(__xludf.DUMMYFUNCTION("""COMPUTED_VALUE"""),261609.0)</f>
        <v>261609</v>
      </c>
    </row>
    <row r="759">
      <c r="A759" s="2">
        <f>IFERROR(__xludf.DUMMYFUNCTION("""COMPUTED_VALUE"""),41695.645833333336)</f>
        <v>41695.64583</v>
      </c>
      <c r="B759" s="1">
        <f>IFERROR(__xludf.DUMMYFUNCTION("""COMPUTED_VALUE"""),138400.0)</f>
        <v>138400</v>
      </c>
      <c r="C759" s="1">
        <f>IFERROR(__xludf.DUMMYFUNCTION("""COMPUTED_VALUE"""),148800.0)</f>
        <v>148800</v>
      </c>
      <c r="D759" s="1">
        <f>IFERROR(__xludf.DUMMYFUNCTION("""COMPUTED_VALUE"""),137000.0)</f>
        <v>137000</v>
      </c>
      <c r="E759" s="1">
        <f>IFERROR(__xludf.DUMMYFUNCTION("""COMPUTED_VALUE"""),147000.0)</f>
        <v>147000</v>
      </c>
      <c r="F759" s="1">
        <f>IFERROR(__xludf.DUMMYFUNCTION("""COMPUTED_VALUE"""),481506.0)</f>
        <v>481506</v>
      </c>
    </row>
    <row r="760">
      <c r="A760" s="2">
        <f>IFERROR(__xludf.DUMMYFUNCTION("""COMPUTED_VALUE"""),41696.645833333336)</f>
        <v>41696.64583</v>
      </c>
      <c r="B760" s="1">
        <f>IFERROR(__xludf.DUMMYFUNCTION("""COMPUTED_VALUE"""),150400.0)</f>
        <v>150400</v>
      </c>
      <c r="C760" s="1">
        <f>IFERROR(__xludf.DUMMYFUNCTION("""COMPUTED_VALUE"""),152000.0)</f>
        <v>152000</v>
      </c>
      <c r="D760" s="1">
        <f>IFERROR(__xludf.DUMMYFUNCTION("""COMPUTED_VALUE"""),148600.0)</f>
        <v>148600</v>
      </c>
      <c r="E760" s="1">
        <f>IFERROR(__xludf.DUMMYFUNCTION("""COMPUTED_VALUE"""),152000.0)</f>
        <v>152000</v>
      </c>
      <c r="F760" s="1">
        <f>IFERROR(__xludf.DUMMYFUNCTION("""COMPUTED_VALUE"""),353521.0)</f>
        <v>353521</v>
      </c>
    </row>
    <row r="761">
      <c r="A761" s="2">
        <f>IFERROR(__xludf.DUMMYFUNCTION("""COMPUTED_VALUE"""),41697.645833333336)</f>
        <v>41697.64583</v>
      </c>
      <c r="B761" s="1">
        <f>IFERROR(__xludf.DUMMYFUNCTION("""COMPUTED_VALUE"""),152000.0)</f>
        <v>152000</v>
      </c>
      <c r="C761" s="1">
        <f>IFERROR(__xludf.DUMMYFUNCTION("""COMPUTED_VALUE"""),159800.0)</f>
        <v>159800</v>
      </c>
      <c r="D761" s="1">
        <f>IFERROR(__xludf.DUMMYFUNCTION("""COMPUTED_VALUE"""),149600.0)</f>
        <v>149600</v>
      </c>
      <c r="E761" s="1">
        <f>IFERROR(__xludf.DUMMYFUNCTION("""COMPUTED_VALUE"""),158400.0)</f>
        <v>158400</v>
      </c>
      <c r="F761" s="1">
        <f>IFERROR(__xludf.DUMMYFUNCTION("""COMPUTED_VALUE"""),279006.0)</f>
        <v>279006</v>
      </c>
    </row>
    <row r="762">
      <c r="A762" s="2">
        <f>IFERROR(__xludf.DUMMYFUNCTION("""COMPUTED_VALUE"""),41698.645833333336)</f>
        <v>41698.64583</v>
      </c>
      <c r="B762" s="1">
        <f>IFERROR(__xludf.DUMMYFUNCTION("""COMPUTED_VALUE"""),160800.0)</f>
        <v>160800</v>
      </c>
      <c r="C762" s="1">
        <f>IFERROR(__xludf.DUMMYFUNCTION("""COMPUTED_VALUE"""),164000.0)</f>
        <v>164000</v>
      </c>
      <c r="D762" s="1">
        <f>IFERROR(__xludf.DUMMYFUNCTION("""COMPUTED_VALUE"""),159600.0)</f>
        <v>159600</v>
      </c>
      <c r="E762" s="1">
        <f>IFERROR(__xludf.DUMMYFUNCTION("""COMPUTED_VALUE"""),163400.0)</f>
        <v>163400</v>
      </c>
      <c r="F762" s="1">
        <f>IFERROR(__xludf.DUMMYFUNCTION("""COMPUTED_VALUE"""),286484.0)</f>
        <v>286484</v>
      </c>
    </row>
    <row r="763">
      <c r="A763" s="2">
        <f>IFERROR(__xludf.DUMMYFUNCTION("""COMPUTED_VALUE"""),41701.645833333336)</f>
        <v>41701.64583</v>
      </c>
      <c r="B763" s="1">
        <f>IFERROR(__xludf.DUMMYFUNCTION("""COMPUTED_VALUE"""),162000.0)</f>
        <v>162000</v>
      </c>
      <c r="C763" s="1">
        <f>IFERROR(__xludf.DUMMYFUNCTION("""COMPUTED_VALUE"""),165400.0)</f>
        <v>165400</v>
      </c>
      <c r="D763" s="1">
        <f>IFERROR(__xludf.DUMMYFUNCTION("""COMPUTED_VALUE"""),158800.0)</f>
        <v>158800</v>
      </c>
      <c r="E763" s="1">
        <f>IFERROR(__xludf.DUMMYFUNCTION("""COMPUTED_VALUE"""),162600.0)</f>
        <v>162600</v>
      </c>
      <c r="F763" s="1">
        <f>IFERROR(__xludf.DUMMYFUNCTION("""COMPUTED_VALUE"""),266398.0)</f>
        <v>266398</v>
      </c>
    </row>
    <row r="764">
      <c r="A764" s="2">
        <f>IFERROR(__xludf.DUMMYFUNCTION("""COMPUTED_VALUE"""),41702.645833333336)</f>
        <v>41702.64583</v>
      </c>
      <c r="B764" s="1">
        <f>IFERROR(__xludf.DUMMYFUNCTION("""COMPUTED_VALUE"""),161600.0)</f>
        <v>161600</v>
      </c>
      <c r="C764" s="1">
        <f>IFERROR(__xludf.DUMMYFUNCTION("""COMPUTED_VALUE"""),165200.0)</f>
        <v>165200</v>
      </c>
      <c r="D764" s="1">
        <f>IFERROR(__xludf.DUMMYFUNCTION("""COMPUTED_VALUE"""),161400.0)</f>
        <v>161400</v>
      </c>
      <c r="E764" s="1">
        <f>IFERROR(__xludf.DUMMYFUNCTION("""COMPUTED_VALUE"""),164400.0)</f>
        <v>164400</v>
      </c>
      <c r="F764" s="1">
        <f>IFERROR(__xludf.DUMMYFUNCTION("""COMPUTED_VALUE"""),94149.0)</f>
        <v>94149</v>
      </c>
    </row>
    <row r="765">
      <c r="A765" s="2">
        <f>IFERROR(__xludf.DUMMYFUNCTION("""COMPUTED_VALUE"""),41703.645833333336)</f>
        <v>41703.64583</v>
      </c>
      <c r="B765" s="1">
        <f>IFERROR(__xludf.DUMMYFUNCTION("""COMPUTED_VALUE"""),166600.0)</f>
        <v>166600</v>
      </c>
      <c r="C765" s="1">
        <f>IFERROR(__xludf.DUMMYFUNCTION("""COMPUTED_VALUE"""),171400.0)</f>
        <v>171400</v>
      </c>
      <c r="D765" s="1">
        <f>IFERROR(__xludf.DUMMYFUNCTION("""COMPUTED_VALUE"""),166000.0)</f>
        <v>166000</v>
      </c>
      <c r="E765" s="1">
        <f>IFERROR(__xludf.DUMMYFUNCTION("""COMPUTED_VALUE"""),170400.0)</f>
        <v>170400</v>
      </c>
      <c r="F765" s="1">
        <f>IFERROR(__xludf.DUMMYFUNCTION("""COMPUTED_VALUE"""),149905.0)</f>
        <v>149905</v>
      </c>
    </row>
    <row r="766">
      <c r="A766" s="2">
        <f>IFERROR(__xludf.DUMMYFUNCTION("""COMPUTED_VALUE"""),41704.645833333336)</f>
        <v>41704.64583</v>
      </c>
      <c r="B766" s="1">
        <f>IFERROR(__xludf.DUMMYFUNCTION("""COMPUTED_VALUE"""),176000.0)</f>
        <v>176000</v>
      </c>
      <c r="C766" s="1">
        <f>IFERROR(__xludf.DUMMYFUNCTION("""COMPUTED_VALUE"""),176000.0)</f>
        <v>176000</v>
      </c>
      <c r="D766" s="1">
        <f>IFERROR(__xludf.DUMMYFUNCTION("""COMPUTED_VALUE"""),166400.0)</f>
        <v>166400</v>
      </c>
      <c r="E766" s="1">
        <f>IFERROR(__xludf.DUMMYFUNCTION("""COMPUTED_VALUE"""),167200.0)</f>
        <v>167200</v>
      </c>
      <c r="F766" s="1">
        <f>IFERROR(__xludf.DUMMYFUNCTION("""COMPUTED_VALUE"""),205735.0)</f>
        <v>205735</v>
      </c>
    </row>
    <row r="767">
      <c r="A767" s="2">
        <f>IFERROR(__xludf.DUMMYFUNCTION("""COMPUTED_VALUE"""),41705.645833333336)</f>
        <v>41705.64583</v>
      </c>
      <c r="B767" s="1">
        <f>IFERROR(__xludf.DUMMYFUNCTION("""COMPUTED_VALUE"""),168000.0)</f>
        <v>168000</v>
      </c>
      <c r="C767" s="1">
        <f>IFERROR(__xludf.DUMMYFUNCTION("""COMPUTED_VALUE"""),169800.0)</f>
        <v>169800</v>
      </c>
      <c r="D767" s="1">
        <f>IFERROR(__xludf.DUMMYFUNCTION("""COMPUTED_VALUE"""),164800.0)</f>
        <v>164800</v>
      </c>
      <c r="E767" s="1">
        <f>IFERROR(__xludf.DUMMYFUNCTION("""COMPUTED_VALUE"""),165200.0)</f>
        <v>165200</v>
      </c>
      <c r="F767" s="1">
        <f>IFERROR(__xludf.DUMMYFUNCTION("""COMPUTED_VALUE"""),122436.0)</f>
        <v>122436</v>
      </c>
    </row>
    <row r="768">
      <c r="A768" s="2">
        <f>IFERROR(__xludf.DUMMYFUNCTION("""COMPUTED_VALUE"""),41708.645833333336)</f>
        <v>41708.64583</v>
      </c>
      <c r="B768" s="1">
        <f>IFERROR(__xludf.DUMMYFUNCTION("""COMPUTED_VALUE"""),166600.0)</f>
        <v>166600</v>
      </c>
      <c r="C768" s="1">
        <f>IFERROR(__xludf.DUMMYFUNCTION("""COMPUTED_VALUE"""),171400.0)</f>
        <v>171400</v>
      </c>
      <c r="D768" s="1">
        <f>IFERROR(__xludf.DUMMYFUNCTION("""COMPUTED_VALUE"""),166000.0)</f>
        <v>166000</v>
      </c>
      <c r="E768" s="1">
        <f>IFERROR(__xludf.DUMMYFUNCTION("""COMPUTED_VALUE"""),170600.0)</f>
        <v>170600</v>
      </c>
      <c r="F768" s="1">
        <f>IFERROR(__xludf.DUMMYFUNCTION("""COMPUTED_VALUE"""),132318.0)</f>
        <v>132318</v>
      </c>
    </row>
    <row r="769">
      <c r="A769" s="2">
        <f>IFERROR(__xludf.DUMMYFUNCTION("""COMPUTED_VALUE"""),41709.645833333336)</f>
        <v>41709.64583</v>
      </c>
      <c r="B769" s="1">
        <f>IFERROR(__xludf.DUMMYFUNCTION("""COMPUTED_VALUE"""),172800.0)</f>
        <v>172800</v>
      </c>
      <c r="C769" s="1">
        <f>IFERROR(__xludf.DUMMYFUNCTION("""COMPUTED_VALUE"""),175400.0)</f>
        <v>175400</v>
      </c>
      <c r="D769" s="1">
        <f>IFERROR(__xludf.DUMMYFUNCTION("""COMPUTED_VALUE"""),168000.0)</f>
        <v>168000</v>
      </c>
      <c r="E769" s="1">
        <f>IFERROR(__xludf.DUMMYFUNCTION("""COMPUTED_VALUE"""),170000.0)</f>
        <v>170000</v>
      </c>
      <c r="F769" s="1">
        <f>IFERROR(__xludf.DUMMYFUNCTION("""COMPUTED_VALUE"""),110850.0)</f>
        <v>110850</v>
      </c>
    </row>
    <row r="770">
      <c r="A770" s="2">
        <f>IFERROR(__xludf.DUMMYFUNCTION("""COMPUTED_VALUE"""),41710.645833333336)</f>
        <v>41710.64583</v>
      </c>
      <c r="B770" s="1">
        <f>IFERROR(__xludf.DUMMYFUNCTION("""COMPUTED_VALUE"""),169200.0)</f>
        <v>169200</v>
      </c>
      <c r="C770" s="1">
        <f>IFERROR(__xludf.DUMMYFUNCTION("""COMPUTED_VALUE"""),170800.0)</f>
        <v>170800</v>
      </c>
      <c r="D770" s="1">
        <f>IFERROR(__xludf.DUMMYFUNCTION("""COMPUTED_VALUE"""),162400.0)</f>
        <v>162400</v>
      </c>
      <c r="E770" s="1">
        <f>IFERROR(__xludf.DUMMYFUNCTION("""COMPUTED_VALUE"""),162400.0)</f>
        <v>162400</v>
      </c>
      <c r="F770" s="1">
        <f>IFERROR(__xludf.DUMMYFUNCTION("""COMPUTED_VALUE"""),187692.0)</f>
        <v>187692</v>
      </c>
    </row>
    <row r="771">
      <c r="A771" s="2">
        <f>IFERROR(__xludf.DUMMYFUNCTION("""COMPUTED_VALUE"""),41711.645833333336)</f>
        <v>41711.64583</v>
      </c>
      <c r="B771" s="1">
        <f>IFERROR(__xludf.DUMMYFUNCTION("""COMPUTED_VALUE"""),162800.0)</f>
        <v>162800</v>
      </c>
      <c r="C771" s="1">
        <f>IFERROR(__xludf.DUMMYFUNCTION("""COMPUTED_VALUE"""),167800.0)</f>
        <v>167800</v>
      </c>
      <c r="D771" s="1">
        <f>IFERROR(__xludf.DUMMYFUNCTION("""COMPUTED_VALUE"""),162400.0)</f>
        <v>162400</v>
      </c>
      <c r="E771" s="1">
        <f>IFERROR(__xludf.DUMMYFUNCTION("""COMPUTED_VALUE"""),167400.0)</f>
        <v>167400</v>
      </c>
      <c r="F771" s="1">
        <f>IFERROR(__xludf.DUMMYFUNCTION("""COMPUTED_VALUE"""),157489.0)</f>
        <v>157489</v>
      </c>
    </row>
    <row r="772">
      <c r="A772" s="2">
        <f>IFERROR(__xludf.DUMMYFUNCTION("""COMPUTED_VALUE"""),41712.645833333336)</f>
        <v>41712.64583</v>
      </c>
      <c r="B772" s="1">
        <f>IFERROR(__xludf.DUMMYFUNCTION("""COMPUTED_VALUE"""),163600.0)</f>
        <v>163600</v>
      </c>
      <c r="C772" s="1">
        <f>IFERROR(__xludf.DUMMYFUNCTION("""COMPUTED_VALUE"""),166400.0)</f>
        <v>166400</v>
      </c>
      <c r="D772" s="1">
        <f>IFERROR(__xludf.DUMMYFUNCTION("""COMPUTED_VALUE"""),159800.0)</f>
        <v>159800</v>
      </c>
      <c r="E772" s="1">
        <f>IFERROR(__xludf.DUMMYFUNCTION("""COMPUTED_VALUE"""),162000.0)</f>
        <v>162000</v>
      </c>
      <c r="F772" s="1">
        <f>IFERROR(__xludf.DUMMYFUNCTION("""COMPUTED_VALUE"""),183126.0)</f>
        <v>183126</v>
      </c>
    </row>
    <row r="773">
      <c r="A773" s="2">
        <f>IFERROR(__xludf.DUMMYFUNCTION("""COMPUTED_VALUE"""),41715.645833333336)</f>
        <v>41715.64583</v>
      </c>
      <c r="B773" s="1">
        <f>IFERROR(__xludf.DUMMYFUNCTION("""COMPUTED_VALUE"""),160600.0)</f>
        <v>160600</v>
      </c>
      <c r="C773" s="1">
        <f>IFERROR(__xludf.DUMMYFUNCTION("""COMPUTED_VALUE"""),164400.0)</f>
        <v>164400</v>
      </c>
      <c r="D773" s="1">
        <f>IFERROR(__xludf.DUMMYFUNCTION("""COMPUTED_VALUE"""),158400.0)</f>
        <v>158400</v>
      </c>
      <c r="E773" s="1">
        <f>IFERROR(__xludf.DUMMYFUNCTION("""COMPUTED_VALUE"""),160200.0)</f>
        <v>160200</v>
      </c>
      <c r="F773" s="1">
        <f>IFERROR(__xludf.DUMMYFUNCTION("""COMPUTED_VALUE"""),131136.0)</f>
        <v>131136</v>
      </c>
    </row>
    <row r="774">
      <c r="A774" s="2">
        <f>IFERROR(__xludf.DUMMYFUNCTION("""COMPUTED_VALUE"""),41716.645833333336)</f>
        <v>41716.64583</v>
      </c>
      <c r="B774" s="1">
        <f>IFERROR(__xludf.DUMMYFUNCTION("""COMPUTED_VALUE"""),162600.0)</f>
        <v>162600</v>
      </c>
      <c r="C774" s="1">
        <f>IFERROR(__xludf.DUMMYFUNCTION("""COMPUTED_VALUE"""),165400.0)</f>
        <v>165400</v>
      </c>
      <c r="D774" s="1">
        <f>IFERROR(__xludf.DUMMYFUNCTION("""COMPUTED_VALUE"""),159200.0)</f>
        <v>159200</v>
      </c>
      <c r="E774" s="1">
        <f>IFERROR(__xludf.DUMMYFUNCTION("""COMPUTED_VALUE"""),163800.0)</f>
        <v>163800</v>
      </c>
      <c r="F774" s="1">
        <f>IFERROR(__xludf.DUMMYFUNCTION("""COMPUTED_VALUE"""),132649.0)</f>
        <v>132649</v>
      </c>
    </row>
    <row r="775">
      <c r="A775" s="2">
        <f>IFERROR(__xludf.DUMMYFUNCTION("""COMPUTED_VALUE"""),41717.645833333336)</f>
        <v>41717.64583</v>
      </c>
      <c r="B775" s="1">
        <f>IFERROR(__xludf.DUMMYFUNCTION("""COMPUTED_VALUE"""),166600.0)</f>
        <v>166600</v>
      </c>
      <c r="C775" s="1">
        <f>IFERROR(__xludf.DUMMYFUNCTION("""COMPUTED_VALUE"""),170000.0)</f>
        <v>170000</v>
      </c>
      <c r="D775" s="1">
        <f>IFERROR(__xludf.DUMMYFUNCTION("""COMPUTED_VALUE"""),165000.0)</f>
        <v>165000</v>
      </c>
      <c r="E775" s="1">
        <f>IFERROR(__xludf.DUMMYFUNCTION("""COMPUTED_VALUE"""),166600.0)</f>
        <v>166600</v>
      </c>
      <c r="F775" s="1">
        <f>IFERROR(__xludf.DUMMYFUNCTION("""COMPUTED_VALUE"""),130911.0)</f>
        <v>130911</v>
      </c>
    </row>
    <row r="776">
      <c r="A776" s="2">
        <f>IFERROR(__xludf.DUMMYFUNCTION("""COMPUTED_VALUE"""),41718.645833333336)</f>
        <v>41718.64583</v>
      </c>
      <c r="B776" s="1">
        <f>IFERROR(__xludf.DUMMYFUNCTION("""COMPUTED_VALUE"""),167600.0)</f>
        <v>167600</v>
      </c>
      <c r="C776" s="1">
        <f>IFERROR(__xludf.DUMMYFUNCTION("""COMPUTED_VALUE"""),168800.0)</f>
        <v>168800</v>
      </c>
      <c r="D776" s="1">
        <f>IFERROR(__xludf.DUMMYFUNCTION("""COMPUTED_VALUE"""),162400.0)</f>
        <v>162400</v>
      </c>
      <c r="E776" s="1">
        <f>IFERROR(__xludf.DUMMYFUNCTION("""COMPUTED_VALUE"""),163000.0)</f>
        <v>163000</v>
      </c>
      <c r="F776" s="1">
        <f>IFERROR(__xludf.DUMMYFUNCTION("""COMPUTED_VALUE"""),114445.0)</f>
        <v>114445</v>
      </c>
    </row>
    <row r="777">
      <c r="A777" s="2">
        <f>IFERROR(__xludf.DUMMYFUNCTION("""COMPUTED_VALUE"""),41719.645833333336)</f>
        <v>41719.64583</v>
      </c>
      <c r="B777" s="1">
        <f>IFERROR(__xludf.DUMMYFUNCTION("""COMPUTED_VALUE"""),163000.0)</f>
        <v>163000</v>
      </c>
      <c r="C777" s="1">
        <f>IFERROR(__xludf.DUMMYFUNCTION("""COMPUTED_VALUE"""),163800.0)</f>
        <v>163800</v>
      </c>
      <c r="D777" s="1">
        <f>IFERROR(__xludf.DUMMYFUNCTION("""COMPUTED_VALUE"""),158800.0)</f>
        <v>158800</v>
      </c>
      <c r="E777" s="1">
        <f>IFERROR(__xludf.DUMMYFUNCTION("""COMPUTED_VALUE"""),160800.0)</f>
        <v>160800</v>
      </c>
      <c r="F777" s="1">
        <f>IFERROR(__xludf.DUMMYFUNCTION("""COMPUTED_VALUE"""),123767.0)</f>
        <v>123767</v>
      </c>
    </row>
    <row r="778">
      <c r="A778" s="2">
        <f>IFERROR(__xludf.DUMMYFUNCTION("""COMPUTED_VALUE"""),41722.645833333336)</f>
        <v>41722.64583</v>
      </c>
      <c r="B778" s="1">
        <f>IFERROR(__xludf.DUMMYFUNCTION("""COMPUTED_VALUE"""),161000.0)</f>
        <v>161000</v>
      </c>
      <c r="C778" s="1">
        <f>IFERROR(__xludf.DUMMYFUNCTION("""COMPUTED_VALUE"""),167000.0)</f>
        <v>167000</v>
      </c>
      <c r="D778" s="1">
        <f>IFERROR(__xludf.DUMMYFUNCTION("""COMPUTED_VALUE"""),160800.0)</f>
        <v>160800</v>
      </c>
      <c r="E778" s="1">
        <f>IFERROR(__xludf.DUMMYFUNCTION("""COMPUTED_VALUE"""),166800.0)</f>
        <v>166800</v>
      </c>
      <c r="F778" s="1">
        <f>IFERROR(__xludf.DUMMYFUNCTION("""COMPUTED_VALUE"""),95084.0)</f>
        <v>95084</v>
      </c>
    </row>
    <row r="779">
      <c r="A779" s="2">
        <f>IFERROR(__xludf.DUMMYFUNCTION("""COMPUTED_VALUE"""),41723.645833333336)</f>
        <v>41723.64583</v>
      </c>
      <c r="B779" s="1">
        <f>IFERROR(__xludf.DUMMYFUNCTION("""COMPUTED_VALUE"""),162200.0)</f>
        <v>162200</v>
      </c>
      <c r="C779" s="1">
        <f>IFERROR(__xludf.DUMMYFUNCTION("""COMPUTED_VALUE"""),163800.0)</f>
        <v>163800</v>
      </c>
      <c r="D779" s="1">
        <f>IFERROR(__xludf.DUMMYFUNCTION("""COMPUTED_VALUE"""),157400.0)</f>
        <v>157400</v>
      </c>
      <c r="E779" s="1">
        <f>IFERROR(__xludf.DUMMYFUNCTION("""COMPUTED_VALUE"""),158400.0)</f>
        <v>158400</v>
      </c>
      <c r="F779" s="1">
        <f>IFERROR(__xludf.DUMMYFUNCTION("""COMPUTED_VALUE"""),255123.0)</f>
        <v>255123</v>
      </c>
    </row>
    <row r="780">
      <c r="A780" s="2">
        <f>IFERROR(__xludf.DUMMYFUNCTION("""COMPUTED_VALUE"""),41724.645833333336)</f>
        <v>41724.64583</v>
      </c>
      <c r="B780" s="1">
        <f>IFERROR(__xludf.DUMMYFUNCTION("""COMPUTED_VALUE"""),159400.0)</f>
        <v>159400</v>
      </c>
      <c r="C780" s="1">
        <f>IFERROR(__xludf.DUMMYFUNCTION("""COMPUTED_VALUE"""),160200.0)</f>
        <v>160200</v>
      </c>
      <c r="D780" s="1">
        <f>IFERROR(__xludf.DUMMYFUNCTION("""COMPUTED_VALUE"""),154000.0)</f>
        <v>154000</v>
      </c>
      <c r="E780" s="1">
        <f>IFERROR(__xludf.DUMMYFUNCTION("""COMPUTED_VALUE"""),159400.0)</f>
        <v>159400</v>
      </c>
      <c r="F780" s="1">
        <f>IFERROR(__xludf.DUMMYFUNCTION("""COMPUTED_VALUE"""),163658.0)</f>
        <v>163658</v>
      </c>
    </row>
    <row r="781">
      <c r="A781" s="2">
        <f>IFERROR(__xludf.DUMMYFUNCTION("""COMPUTED_VALUE"""),41725.645833333336)</f>
        <v>41725.64583</v>
      </c>
      <c r="B781" s="1">
        <f>IFERROR(__xludf.DUMMYFUNCTION("""COMPUTED_VALUE"""),153400.0)</f>
        <v>153400</v>
      </c>
      <c r="C781" s="1">
        <f>IFERROR(__xludf.DUMMYFUNCTION("""COMPUTED_VALUE"""),155800.0)</f>
        <v>155800</v>
      </c>
      <c r="D781" s="1">
        <f>IFERROR(__xludf.DUMMYFUNCTION("""COMPUTED_VALUE"""),151800.0)</f>
        <v>151800</v>
      </c>
      <c r="E781" s="1">
        <f>IFERROR(__xludf.DUMMYFUNCTION("""COMPUTED_VALUE"""),154600.0)</f>
        <v>154600</v>
      </c>
      <c r="F781" s="1">
        <f>IFERROR(__xludf.DUMMYFUNCTION("""COMPUTED_VALUE"""),309056.0)</f>
        <v>309056</v>
      </c>
    </row>
    <row r="782">
      <c r="A782" s="2">
        <f>IFERROR(__xludf.DUMMYFUNCTION("""COMPUTED_VALUE"""),41726.645833333336)</f>
        <v>41726.64583</v>
      </c>
      <c r="B782" s="1">
        <f>IFERROR(__xludf.DUMMYFUNCTION("""COMPUTED_VALUE"""),153600.0)</f>
        <v>153600</v>
      </c>
      <c r="C782" s="1">
        <f>IFERROR(__xludf.DUMMYFUNCTION("""COMPUTED_VALUE"""),157000.0)</f>
        <v>157000</v>
      </c>
      <c r="D782" s="1">
        <f>IFERROR(__xludf.DUMMYFUNCTION("""COMPUTED_VALUE"""),153000.0)</f>
        <v>153000</v>
      </c>
      <c r="E782" s="1">
        <f>IFERROR(__xludf.DUMMYFUNCTION("""COMPUTED_VALUE"""),156000.0)</f>
        <v>156000</v>
      </c>
      <c r="F782" s="1">
        <f>IFERROR(__xludf.DUMMYFUNCTION("""COMPUTED_VALUE"""),193305.0)</f>
        <v>193305</v>
      </c>
    </row>
    <row r="783">
      <c r="A783" s="2">
        <f>IFERROR(__xludf.DUMMYFUNCTION("""COMPUTED_VALUE"""),41729.645833333336)</f>
        <v>41729.64583</v>
      </c>
      <c r="B783" s="1">
        <f>IFERROR(__xludf.DUMMYFUNCTION("""COMPUTED_VALUE"""),156200.0)</f>
        <v>156200</v>
      </c>
      <c r="C783" s="1">
        <f>IFERROR(__xludf.DUMMYFUNCTION("""COMPUTED_VALUE"""),156800.0)</f>
        <v>156800</v>
      </c>
      <c r="D783" s="1">
        <f>IFERROR(__xludf.DUMMYFUNCTION("""COMPUTED_VALUE"""),153200.0)</f>
        <v>153200</v>
      </c>
      <c r="E783" s="1">
        <f>IFERROR(__xludf.DUMMYFUNCTION("""COMPUTED_VALUE"""),154800.0)</f>
        <v>154800</v>
      </c>
      <c r="F783" s="1">
        <f>IFERROR(__xludf.DUMMYFUNCTION("""COMPUTED_VALUE"""),158323.0)</f>
        <v>158323</v>
      </c>
    </row>
    <row r="784">
      <c r="A784" s="2">
        <f>IFERROR(__xludf.DUMMYFUNCTION("""COMPUTED_VALUE"""),41730.645833333336)</f>
        <v>41730.64583</v>
      </c>
      <c r="B784" s="1">
        <f>IFERROR(__xludf.DUMMYFUNCTION("""COMPUTED_VALUE"""),154000.0)</f>
        <v>154000</v>
      </c>
      <c r="C784" s="1">
        <f>IFERROR(__xludf.DUMMYFUNCTION("""COMPUTED_VALUE"""),156800.0)</f>
        <v>156800</v>
      </c>
      <c r="D784" s="1">
        <f>IFERROR(__xludf.DUMMYFUNCTION("""COMPUTED_VALUE"""),153600.0)</f>
        <v>153600</v>
      </c>
      <c r="E784" s="1">
        <f>IFERROR(__xludf.DUMMYFUNCTION("""COMPUTED_VALUE"""),156000.0)</f>
        <v>156000</v>
      </c>
      <c r="F784" s="1">
        <f>IFERROR(__xludf.DUMMYFUNCTION("""COMPUTED_VALUE"""),158804.0)</f>
        <v>158804</v>
      </c>
    </row>
    <row r="785">
      <c r="A785" s="2">
        <f>IFERROR(__xludf.DUMMYFUNCTION("""COMPUTED_VALUE"""),41731.645833333336)</f>
        <v>41731.64583</v>
      </c>
      <c r="B785" s="1">
        <f>IFERROR(__xludf.DUMMYFUNCTION("""COMPUTED_VALUE"""),158600.0)</f>
        <v>158600</v>
      </c>
      <c r="C785" s="1">
        <f>IFERROR(__xludf.DUMMYFUNCTION("""COMPUTED_VALUE"""),162200.0)</f>
        <v>162200</v>
      </c>
      <c r="D785" s="1">
        <f>IFERROR(__xludf.DUMMYFUNCTION("""COMPUTED_VALUE"""),157800.0)</f>
        <v>157800</v>
      </c>
      <c r="E785" s="1">
        <f>IFERROR(__xludf.DUMMYFUNCTION("""COMPUTED_VALUE"""),161000.0)</f>
        <v>161000</v>
      </c>
      <c r="F785" s="1">
        <f>IFERROR(__xludf.DUMMYFUNCTION("""COMPUTED_VALUE"""),209329.0)</f>
        <v>209329</v>
      </c>
    </row>
    <row r="786">
      <c r="A786" s="2">
        <f>IFERROR(__xludf.DUMMYFUNCTION("""COMPUTED_VALUE"""),41732.645833333336)</f>
        <v>41732.64583</v>
      </c>
      <c r="B786" s="1">
        <f>IFERROR(__xludf.DUMMYFUNCTION("""COMPUTED_VALUE"""),161400.0)</f>
        <v>161400</v>
      </c>
      <c r="C786" s="1">
        <f>IFERROR(__xludf.DUMMYFUNCTION("""COMPUTED_VALUE"""),163000.0)</f>
        <v>163000</v>
      </c>
      <c r="D786" s="1">
        <f>IFERROR(__xludf.DUMMYFUNCTION("""COMPUTED_VALUE"""),159600.0)</f>
        <v>159600</v>
      </c>
      <c r="E786" s="1">
        <f>IFERROR(__xludf.DUMMYFUNCTION("""COMPUTED_VALUE"""),160600.0)</f>
        <v>160600</v>
      </c>
      <c r="F786" s="1">
        <f>IFERROR(__xludf.DUMMYFUNCTION("""COMPUTED_VALUE"""),123499.0)</f>
        <v>123499</v>
      </c>
    </row>
    <row r="787">
      <c r="A787" s="2">
        <f>IFERROR(__xludf.DUMMYFUNCTION("""COMPUTED_VALUE"""),41733.645833333336)</f>
        <v>41733.64583</v>
      </c>
      <c r="B787" s="1">
        <f>IFERROR(__xludf.DUMMYFUNCTION("""COMPUTED_VALUE"""),155800.0)</f>
        <v>155800</v>
      </c>
      <c r="C787" s="1">
        <f>IFERROR(__xludf.DUMMYFUNCTION("""COMPUTED_VALUE"""),159200.0)</f>
        <v>159200</v>
      </c>
      <c r="D787" s="1">
        <f>IFERROR(__xludf.DUMMYFUNCTION("""COMPUTED_VALUE"""),155800.0)</f>
        <v>155800</v>
      </c>
      <c r="E787" s="1">
        <f>IFERROR(__xludf.DUMMYFUNCTION("""COMPUTED_VALUE"""),158000.0)</f>
        <v>158000</v>
      </c>
      <c r="F787" s="1">
        <f>IFERROR(__xludf.DUMMYFUNCTION("""COMPUTED_VALUE"""),161559.0)</f>
        <v>161559</v>
      </c>
    </row>
    <row r="788">
      <c r="A788" s="2">
        <f>IFERROR(__xludf.DUMMYFUNCTION("""COMPUTED_VALUE"""),41736.645833333336)</f>
        <v>41736.64583</v>
      </c>
      <c r="B788" s="1">
        <f>IFERROR(__xludf.DUMMYFUNCTION("""COMPUTED_VALUE"""),152800.0)</f>
        <v>152800</v>
      </c>
      <c r="C788" s="1">
        <f>IFERROR(__xludf.DUMMYFUNCTION("""COMPUTED_VALUE"""),153800.0)</f>
        <v>153800</v>
      </c>
      <c r="D788" s="1">
        <f>IFERROR(__xludf.DUMMYFUNCTION("""COMPUTED_VALUE"""),147200.0)</f>
        <v>147200</v>
      </c>
      <c r="E788" s="1">
        <f>IFERROR(__xludf.DUMMYFUNCTION("""COMPUTED_VALUE"""),147800.0)</f>
        <v>147800</v>
      </c>
      <c r="F788" s="1">
        <f>IFERROR(__xludf.DUMMYFUNCTION("""COMPUTED_VALUE"""),443232.0)</f>
        <v>443232</v>
      </c>
    </row>
    <row r="789">
      <c r="A789" s="2">
        <f>IFERROR(__xludf.DUMMYFUNCTION("""COMPUTED_VALUE"""),41737.645833333336)</f>
        <v>41737.64583</v>
      </c>
      <c r="B789" s="1">
        <f>IFERROR(__xludf.DUMMYFUNCTION("""COMPUTED_VALUE"""),144600.0)</f>
        <v>144600</v>
      </c>
      <c r="C789" s="1">
        <f>IFERROR(__xludf.DUMMYFUNCTION("""COMPUTED_VALUE"""),149800.0)</f>
        <v>149800</v>
      </c>
      <c r="D789" s="1">
        <f>IFERROR(__xludf.DUMMYFUNCTION("""COMPUTED_VALUE"""),144000.0)</f>
        <v>144000</v>
      </c>
      <c r="E789" s="1">
        <f>IFERROR(__xludf.DUMMYFUNCTION("""COMPUTED_VALUE"""),148400.0)</f>
        <v>148400</v>
      </c>
      <c r="F789" s="1">
        <f>IFERROR(__xludf.DUMMYFUNCTION("""COMPUTED_VALUE"""),275706.0)</f>
        <v>275706</v>
      </c>
    </row>
    <row r="790">
      <c r="A790" s="2">
        <f>IFERROR(__xludf.DUMMYFUNCTION("""COMPUTED_VALUE"""),41738.645833333336)</f>
        <v>41738.64583</v>
      </c>
      <c r="B790" s="1">
        <f>IFERROR(__xludf.DUMMYFUNCTION("""COMPUTED_VALUE"""),151800.0)</f>
        <v>151800</v>
      </c>
      <c r="C790" s="1">
        <f>IFERROR(__xludf.DUMMYFUNCTION("""COMPUTED_VALUE"""),152200.0)</f>
        <v>152200</v>
      </c>
      <c r="D790" s="1">
        <f>IFERROR(__xludf.DUMMYFUNCTION("""COMPUTED_VALUE"""),149600.0)</f>
        <v>149600</v>
      </c>
      <c r="E790" s="1">
        <f>IFERROR(__xludf.DUMMYFUNCTION("""COMPUTED_VALUE"""),149600.0)</f>
        <v>149600</v>
      </c>
      <c r="F790" s="1">
        <f>IFERROR(__xludf.DUMMYFUNCTION("""COMPUTED_VALUE"""),158217.0)</f>
        <v>158217</v>
      </c>
    </row>
    <row r="791">
      <c r="A791" s="2">
        <f>IFERROR(__xludf.DUMMYFUNCTION("""COMPUTED_VALUE"""),41739.645833333336)</f>
        <v>41739.64583</v>
      </c>
      <c r="B791" s="1">
        <f>IFERROR(__xludf.DUMMYFUNCTION("""COMPUTED_VALUE"""),155000.0)</f>
        <v>155000</v>
      </c>
      <c r="C791" s="1">
        <f>IFERROR(__xludf.DUMMYFUNCTION("""COMPUTED_VALUE"""),155400.0)</f>
        <v>155400</v>
      </c>
      <c r="D791" s="1">
        <f>IFERROR(__xludf.DUMMYFUNCTION("""COMPUTED_VALUE"""),151200.0)</f>
        <v>151200</v>
      </c>
      <c r="E791" s="1">
        <f>IFERROR(__xludf.DUMMYFUNCTION("""COMPUTED_VALUE"""),153000.0)</f>
        <v>153000</v>
      </c>
      <c r="F791" s="1">
        <f>IFERROR(__xludf.DUMMYFUNCTION("""COMPUTED_VALUE"""),193150.0)</f>
        <v>193150</v>
      </c>
    </row>
    <row r="792">
      <c r="A792" s="2">
        <f>IFERROR(__xludf.DUMMYFUNCTION("""COMPUTED_VALUE"""),41740.645833333336)</f>
        <v>41740.64583</v>
      </c>
      <c r="B792" s="1">
        <f>IFERROR(__xludf.DUMMYFUNCTION("""COMPUTED_VALUE"""),147000.0)</f>
        <v>147000</v>
      </c>
      <c r="C792" s="1">
        <f>IFERROR(__xludf.DUMMYFUNCTION("""COMPUTED_VALUE"""),148800.0)</f>
        <v>148800</v>
      </c>
      <c r="D792" s="1">
        <f>IFERROR(__xludf.DUMMYFUNCTION("""COMPUTED_VALUE"""),146800.0)</f>
        <v>146800</v>
      </c>
      <c r="E792" s="1">
        <f>IFERROR(__xludf.DUMMYFUNCTION("""COMPUTED_VALUE"""),148200.0)</f>
        <v>148200</v>
      </c>
      <c r="F792" s="1">
        <f>IFERROR(__xludf.DUMMYFUNCTION("""COMPUTED_VALUE"""),172831.0)</f>
        <v>172831</v>
      </c>
    </row>
    <row r="793">
      <c r="A793" s="2">
        <f>IFERROR(__xludf.DUMMYFUNCTION("""COMPUTED_VALUE"""),41743.645833333336)</f>
        <v>41743.64583</v>
      </c>
      <c r="B793" s="1">
        <f>IFERROR(__xludf.DUMMYFUNCTION("""COMPUTED_VALUE"""),147600.0)</f>
        <v>147600</v>
      </c>
      <c r="C793" s="1">
        <f>IFERROR(__xludf.DUMMYFUNCTION("""COMPUTED_VALUE"""),150400.0)</f>
        <v>150400</v>
      </c>
      <c r="D793" s="1">
        <f>IFERROR(__xludf.DUMMYFUNCTION("""COMPUTED_VALUE"""),147000.0)</f>
        <v>147000</v>
      </c>
      <c r="E793" s="1">
        <f>IFERROR(__xludf.DUMMYFUNCTION("""COMPUTED_VALUE"""),148600.0)</f>
        <v>148600</v>
      </c>
      <c r="F793" s="1">
        <f>IFERROR(__xludf.DUMMYFUNCTION("""COMPUTED_VALUE"""),99708.0)</f>
        <v>99708</v>
      </c>
    </row>
    <row r="794">
      <c r="A794" s="2">
        <f>IFERROR(__xludf.DUMMYFUNCTION("""COMPUTED_VALUE"""),41744.645833333336)</f>
        <v>41744.64583</v>
      </c>
      <c r="B794" s="1">
        <f>IFERROR(__xludf.DUMMYFUNCTION("""COMPUTED_VALUE"""),149600.0)</f>
        <v>149600</v>
      </c>
      <c r="C794" s="1">
        <f>IFERROR(__xludf.DUMMYFUNCTION("""COMPUTED_VALUE"""),150200.0)</f>
        <v>150200</v>
      </c>
      <c r="D794" s="1">
        <f>IFERROR(__xludf.DUMMYFUNCTION("""COMPUTED_VALUE"""),146200.0)</f>
        <v>146200</v>
      </c>
      <c r="E794" s="1">
        <f>IFERROR(__xludf.DUMMYFUNCTION("""COMPUTED_VALUE"""),146800.0)</f>
        <v>146800</v>
      </c>
      <c r="F794" s="1">
        <f>IFERROR(__xludf.DUMMYFUNCTION("""COMPUTED_VALUE"""),114950.0)</f>
        <v>114950</v>
      </c>
    </row>
    <row r="795">
      <c r="A795" s="2">
        <f>IFERROR(__xludf.DUMMYFUNCTION("""COMPUTED_VALUE"""),41745.645833333336)</f>
        <v>41745.64583</v>
      </c>
      <c r="B795" s="1">
        <f>IFERROR(__xludf.DUMMYFUNCTION("""COMPUTED_VALUE"""),148000.0)</f>
        <v>148000</v>
      </c>
      <c r="C795" s="1">
        <f>IFERROR(__xludf.DUMMYFUNCTION("""COMPUTED_VALUE"""),150600.0)</f>
        <v>150600</v>
      </c>
      <c r="D795" s="1">
        <f>IFERROR(__xludf.DUMMYFUNCTION("""COMPUTED_VALUE"""),147600.0)</f>
        <v>147600</v>
      </c>
      <c r="E795" s="1">
        <f>IFERROR(__xludf.DUMMYFUNCTION("""COMPUTED_VALUE"""),150000.0)</f>
        <v>150000</v>
      </c>
      <c r="F795" s="1">
        <f>IFERROR(__xludf.DUMMYFUNCTION("""COMPUTED_VALUE"""),124110.0)</f>
        <v>124110</v>
      </c>
    </row>
    <row r="796">
      <c r="A796" s="2">
        <f>IFERROR(__xludf.DUMMYFUNCTION("""COMPUTED_VALUE"""),41746.645833333336)</f>
        <v>41746.64583</v>
      </c>
      <c r="B796" s="1">
        <f>IFERROR(__xludf.DUMMYFUNCTION("""COMPUTED_VALUE"""),150000.0)</f>
        <v>150000</v>
      </c>
      <c r="C796" s="1">
        <f>IFERROR(__xludf.DUMMYFUNCTION("""COMPUTED_VALUE"""),150000.0)</f>
        <v>150000</v>
      </c>
      <c r="D796" s="1">
        <f>IFERROR(__xludf.DUMMYFUNCTION("""COMPUTED_VALUE"""),146000.0)</f>
        <v>146000</v>
      </c>
      <c r="E796" s="1">
        <f>IFERROR(__xludf.DUMMYFUNCTION("""COMPUTED_VALUE"""),147400.0)</f>
        <v>147400</v>
      </c>
      <c r="F796" s="1">
        <f>IFERROR(__xludf.DUMMYFUNCTION("""COMPUTED_VALUE"""),144491.0)</f>
        <v>144491</v>
      </c>
    </row>
    <row r="797">
      <c r="A797" s="2">
        <f>IFERROR(__xludf.DUMMYFUNCTION("""COMPUTED_VALUE"""),41747.645833333336)</f>
        <v>41747.64583</v>
      </c>
      <c r="B797" s="1">
        <f>IFERROR(__xludf.DUMMYFUNCTION("""COMPUTED_VALUE"""),147800.0)</f>
        <v>147800</v>
      </c>
      <c r="C797" s="1">
        <f>IFERROR(__xludf.DUMMYFUNCTION("""COMPUTED_VALUE"""),151000.0)</f>
        <v>151000</v>
      </c>
      <c r="D797" s="1">
        <f>IFERROR(__xludf.DUMMYFUNCTION("""COMPUTED_VALUE"""),147600.0)</f>
        <v>147600</v>
      </c>
      <c r="E797" s="1">
        <f>IFERROR(__xludf.DUMMYFUNCTION("""COMPUTED_VALUE"""),150000.0)</f>
        <v>150000</v>
      </c>
      <c r="F797" s="1">
        <f>IFERROR(__xludf.DUMMYFUNCTION("""COMPUTED_VALUE"""),120779.0)</f>
        <v>120779</v>
      </c>
    </row>
    <row r="798">
      <c r="A798" s="2">
        <f>IFERROR(__xludf.DUMMYFUNCTION("""COMPUTED_VALUE"""),41750.645833333336)</f>
        <v>41750.64583</v>
      </c>
      <c r="B798" s="1">
        <f>IFERROR(__xludf.DUMMYFUNCTION("""COMPUTED_VALUE"""),150400.0)</f>
        <v>150400</v>
      </c>
      <c r="C798" s="1">
        <f>IFERROR(__xludf.DUMMYFUNCTION("""COMPUTED_VALUE"""),151800.0)</f>
        <v>151800</v>
      </c>
      <c r="D798" s="1">
        <f>IFERROR(__xludf.DUMMYFUNCTION("""COMPUTED_VALUE"""),149800.0)</f>
        <v>149800</v>
      </c>
      <c r="E798" s="1">
        <f>IFERROR(__xludf.DUMMYFUNCTION("""COMPUTED_VALUE"""),151400.0)</f>
        <v>151400</v>
      </c>
      <c r="F798" s="1">
        <f>IFERROR(__xludf.DUMMYFUNCTION("""COMPUTED_VALUE"""),48567.0)</f>
        <v>48567</v>
      </c>
    </row>
    <row r="799">
      <c r="A799" s="2">
        <f>IFERROR(__xludf.DUMMYFUNCTION("""COMPUTED_VALUE"""),41751.645833333336)</f>
        <v>41751.64583</v>
      </c>
      <c r="B799" s="1">
        <f>IFERROR(__xludf.DUMMYFUNCTION("""COMPUTED_VALUE"""),154800.0)</f>
        <v>154800</v>
      </c>
      <c r="C799" s="1">
        <f>IFERROR(__xludf.DUMMYFUNCTION("""COMPUTED_VALUE"""),158600.0)</f>
        <v>158600</v>
      </c>
      <c r="D799" s="1">
        <f>IFERROR(__xludf.DUMMYFUNCTION("""COMPUTED_VALUE"""),153400.0)</f>
        <v>153400</v>
      </c>
      <c r="E799" s="1">
        <f>IFERROR(__xludf.DUMMYFUNCTION("""COMPUTED_VALUE"""),158600.0)</f>
        <v>158600</v>
      </c>
      <c r="F799" s="1">
        <f>IFERROR(__xludf.DUMMYFUNCTION("""COMPUTED_VALUE"""),196086.0)</f>
        <v>196086</v>
      </c>
    </row>
    <row r="800">
      <c r="A800" s="2">
        <f>IFERROR(__xludf.DUMMYFUNCTION("""COMPUTED_VALUE"""),41752.645833333336)</f>
        <v>41752.64583</v>
      </c>
      <c r="B800" s="1">
        <f>IFERROR(__xludf.DUMMYFUNCTION("""COMPUTED_VALUE"""),159600.0)</f>
        <v>159600</v>
      </c>
      <c r="C800" s="1">
        <f>IFERROR(__xludf.DUMMYFUNCTION("""COMPUTED_VALUE"""),159600.0)</f>
        <v>159600</v>
      </c>
      <c r="D800" s="1">
        <f>IFERROR(__xludf.DUMMYFUNCTION("""COMPUTED_VALUE"""),156000.0)</f>
        <v>156000</v>
      </c>
      <c r="E800" s="1">
        <f>IFERROR(__xludf.DUMMYFUNCTION("""COMPUTED_VALUE"""),156000.0)</f>
        <v>156000</v>
      </c>
      <c r="F800" s="1">
        <f>IFERROR(__xludf.DUMMYFUNCTION("""COMPUTED_VALUE"""),92763.0)</f>
        <v>92763</v>
      </c>
    </row>
    <row r="801">
      <c r="A801" s="2">
        <f>IFERROR(__xludf.DUMMYFUNCTION("""COMPUTED_VALUE"""),41753.645833333336)</f>
        <v>41753.64583</v>
      </c>
      <c r="B801" s="1">
        <f>IFERROR(__xludf.DUMMYFUNCTION("""COMPUTED_VALUE"""),158000.0)</f>
        <v>158000</v>
      </c>
      <c r="C801" s="1">
        <f>IFERROR(__xludf.DUMMYFUNCTION("""COMPUTED_VALUE"""),159400.0)</f>
        <v>159400</v>
      </c>
      <c r="D801" s="1">
        <f>IFERROR(__xludf.DUMMYFUNCTION("""COMPUTED_VALUE"""),155000.0)</f>
        <v>155000</v>
      </c>
      <c r="E801" s="1">
        <f>IFERROR(__xludf.DUMMYFUNCTION("""COMPUTED_VALUE"""),155400.0)</f>
        <v>155400</v>
      </c>
      <c r="F801" s="1">
        <f>IFERROR(__xludf.DUMMYFUNCTION("""COMPUTED_VALUE"""),118003.0)</f>
        <v>118003</v>
      </c>
    </row>
    <row r="802">
      <c r="A802" s="2">
        <f>IFERROR(__xludf.DUMMYFUNCTION("""COMPUTED_VALUE"""),41754.645833333336)</f>
        <v>41754.64583</v>
      </c>
      <c r="B802" s="1">
        <f>IFERROR(__xludf.DUMMYFUNCTION("""COMPUTED_VALUE"""),154000.0)</f>
        <v>154000</v>
      </c>
      <c r="C802" s="1">
        <f>IFERROR(__xludf.DUMMYFUNCTION("""COMPUTED_VALUE"""),155200.0)</f>
        <v>155200</v>
      </c>
      <c r="D802" s="1">
        <f>IFERROR(__xludf.DUMMYFUNCTION("""COMPUTED_VALUE"""),148800.0)</f>
        <v>148800</v>
      </c>
      <c r="E802" s="1">
        <f>IFERROR(__xludf.DUMMYFUNCTION("""COMPUTED_VALUE"""),149600.0)</f>
        <v>149600</v>
      </c>
      <c r="F802" s="1">
        <f>IFERROR(__xludf.DUMMYFUNCTION("""COMPUTED_VALUE"""),157838.0)</f>
        <v>157838</v>
      </c>
    </row>
    <row r="803">
      <c r="A803" s="2">
        <f>IFERROR(__xludf.DUMMYFUNCTION("""COMPUTED_VALUE"""),41757.645833333336)</f>
        <v>41757.64583</v>
      </c>
      <c r="B803" s="1">
        <f>IFERROR(__xludf.DUMMYFUNCTION("""COMPUTED_VALUE"""),147400.0)</f>
        <v>147400</v>
      </c>
      <c r="C803" s="1">
        <f>IFERROR(__xludf.DUMMYFUNCTION("""COMPUTED_VALUE"""),148000.0)</f>
        <v>148000</v>
      </c>
      <c r="D803" s="1">
        <f>IFERROR(__xludf.DUMMYFUNCTION("""COMPUTED_VALUE"""),145400.0)</f>
        <v>145400</v>
      </c>
      <c r="E803" s="1">
        <f>IFERROR(__xludf.DUMMYFUNCTION("""COMPUTED_VALUE"""),146800.0)</f>
        <v>146800</v>
      </c>
      <c r="F803" s="1">
        <f>IFERROR(__xludf.DUMMYFUNCTION("""COMPUTED_VALUE"""),134655.0)</f>
        <v>134655</v>
      </c>
    </row>
    <row r="804">
      <c r="A804" s="2">
        <f>IFERROR(__xludf.DUMMYFUNCTION("""COMPUTED_VALUE"""),41758.645833333336)</f>
        <v>41758.64583</v>
      </c>
      <c r="B804" s="1">
        <f>IFERROR(__xludf.DUMMYFUNCTION("""COMPUTED_VALUE"""),145400.0)</f>
        <v>145400</v>
      </c>
      <c r="C804" s="1">
        <f>IFERROR(__xludf.DUMMYFUNCTION("""COMPUTED_VALUE"""),147800.0)</f>
        <v>147800</v>
      </c>
      <c r="D804" s="1">
        <f>IFERROR(__xludf.DUMMYFUNCTION("""COMPUTED_VALUE"""),145200.0)</f>
        <v>145200</v>
      </c>
      <c r="E804" s="1">
        <f>IFERROR(__xludf.DUMMYFUNCTION("""COMPUTED_VALUE"""),146000.0)</f>
        <v>146000</v>
      </c>
      <c r="F804" s="1">
        <f>IFERROR(__xludf.DUMMYFUNCTION("""COMPUTED_VALUE"""),99445.0)</f>
        <v>99445</v>
      </c>
    </row>
    <row r="805">
      <c r="A805" s="2">
        <f>IFERROR(__xludf.DUMMYFUNCTION("""COMPUTED_VALUE"""),41759.645833333336)</f>
        <v>41759.64583</v>
      </c>
      <c r="B805" s="1">
        <f>IFERROR(__xludf.DUMMYFUNCTION("""COMPUTED_VALUE"""),146800.0)</f>
        <v>146800</v>
      </c>
      <c r="C805" s="1">
        <f>IFERROR(__xludf.DUMMYFUNCTION("""COMPUTED_VALUE"""),148600.0)</f>
        <v>148600</v>
      </c>
      <c r="D805" s="1">
        <f>IFERROR(__xludf.DUMMYFUNCTION("""COMPUTED_VALUE"""),146000.0)</f>
        <v>146000</v>
      </c>
      <c r="E805" s="1">
        <f>IFERROR(__xludf.DUMMYFUNCTION("""COMPUTED_VALUE"""),147600.0)</f>
        <v>147600</v>
      </c>
      <c r="F805" s="1">
        <f>IFERROR(__xludf.DUMMYFUNCTION("""COMPUTED_VALUE"""),121174.0)</f>
        <v>121174</v>
      </c>
    </row>
    <row r="806">
      <c r="A806" s="2">
        <f>IFERROR(__xludf.DUMMYFUNCTION("""COMPUTED_VALUE"""),41761.645833333336)</f>
        <v>41761.64583</v>
      </c>
      <c r="B806" s="1">
        <f>IFERROR(__xludf.DUMMYFUNCTION("""COMPUTED_VALUE"""),149400.0)</f>
        <v>149400</v>
      </c>
      <c r="C806" s="1">
        <f>IFERROR(__xludf.DUMMYFUNCTION("""COMPUTED_VALUE"""),150200.0)</f>
        <v>150200</v>
      </c>
      <c r="D806" s="1">
        <f>IFERROR(__xludf.DUMMYFUNCTION("""COMPUTED_VALUE"""),147800.0)</f>
        <v>147800</v>
      </c>
      <c r="E806" s="1">
        <f>IFERROR(__xludf.DUMMYFUNCTION("""COMPUTED_VALUE"""),147800.0)</f>
        <v>147800</v>
      </c>
      <c r="F806" s="1">
        <f>IFERROR(__xludf.DUMMYFUNCTION("""COMPUTED_VALUE"""),114257.0)</f>
        <v>114257</v>
      </c>
    </row>
    <row r="807">
      <c r="A807" s="2">
        <f>IFERROR(__xludf.DUMMYFUNCTION("""COMPUTED_VALUE"""),41766.645833333336)</f>
        <v>41766.64583</v>
      </c>
      <c r="B807" s="1">
        <f>IFERROR(__xludf.DUMMYFUNCTION("""COMPUTED_VALUE"""),145200.0)</f>
        <v>145200</v>
      </c>
      <c r="C807" s="1">
        <f>IFERROR(__xludf.DUMMYFUNCTION("""COMPUTED_VALUE"""),147000.0)</f>
        <v>147000</v>
      </c>
      <c r="D807" s="1">
        <f>IFERROR(__xludf.DUMMYFUNCTION("""COMPUTED_VALUE"""),142000.0)</f>
        <v>142000</v>
      </c>
      <c r="E807" s="1">
        <f>IFERROR(__xludf.DUMMYFUNCTION("""COMPUTED_VALUE"""),146200.0)</f>
        <v>146200</v>
      </c>
      <c r="F807" s="1">
        <f>IFERROR(__xludf.DUMMYFUNCTION("""COMPUTED_VALUE"""),154821.0)</f>
        <v>154821</v>
      </c>
    </row>
    <row r="808">
      <c r="A808" s="2">
        <f>IFERROR(__xludf.DUMMYFUNCTION("""COMPUTED_VALUE"""),41767.645833333336)</f>
        <v>41767.64583</v>
      </c>
      <c r="B808" s="1">
        <f>IFERROR(__xludf.DUMMYFUNCTION("""COMPUTED_VALUE"""),146400.0)</f>
        <v>146400</v>
      </c>
      <c r="C808" s="1">
        <f>IFERROR(__xludf.DUMMYFUNCTION("""COMPUTED_VALUE"""),148000.0)</f>
        <v>148000</v>
      </c>
      <c r="D808" s="1">
        <f>IFERROR(__xludf.DUMMYFUNCTION("""COMPUTED_VALUE"""),141000.0)</f>
        <v>141000</v>
      </c>
      <c r="E808" s="1">
        <f>IFERROR(__xludf.DUMMYFUNCTION("""COMPUTED_VALUE"""),141000.0)</f>
        <v>141000</v>
      </c>
      <c r="F808" s="1">
        <f>IFERROR(__xludf.DUMMYFUNCTION("""COMPUTED_VALUE"""),292020.0)</f>
        <v>292020</v>
      </c>
    </row>
    <row r="809">
      <c r="A809" s="2">
        <f>IFERROR(__xludf.DUMMYFUNCTION("""COMPUTED_VALUE"""),41768.645833333336)</f>
        <v>41768.64583</v>
      </c>
      <c r="B809" s="1">
        <f>IFERROR(__xludf.DUMMYFUNCTION("""COMPUTED_VALUE"""),139800.0)</f>
        <v>139800</v>
      </c>
      <c r="C809" s="1">
        <f>IFERROR(__xludf.DUMMYFUNCTION("""COMPUTED_VALUE"""),141600.0)</f>
        <v>141600</v>
      </c>
      <c r="D809" s="1">
        <f>IFERROR(__xludf.DUMMYFUNCTION("""COMPUTED_VALUE"""),135000.0)</f>
        <v>135000</v>
      </c>
      <c r="E809" s="1">
        <f>IFERROR(__xludf.DUMMYFUNCTION("""COMPUTED_VALUE"""),138200.0)</f>
        <v>138200</v>
      </c>
      <c r="F809" s="1">
        <f>IFERROR(__xludf.DUMMYFUNCTION("""COMPUTED_VALUE"""),410148.0)</f>
        <v>410148</v>
      </c>
    </row>
    <row r="810">
      <c r="A810" s="2">
        <f>IFERROR(__xludf.DUMMYFUNCTION("""COMPUTED_VALUE"""),41771.645833333336)</f>
        <v>41771.64583</v>
      </c>
      <c r="B810" s="1">
        <f>IFERROR(__xludf.DUMMYFUNCTION("""COMPUTED_VALUE"""),138600.0)</f>
        <v>138600</v>
      </c>
      <c r="C810" s="1">
        <f>IFERROR(__xludf.DUMMYFUNCTION("""COMPUTED_VALUE"""),144600.0)</f>
        <v>144600</v>
      </c>
      <c r="D810" s="1">
        <f>IFERROR(__xludf.DUMMYFUNCTION("""COMPUTED_VALUE"""),138600.0)</f>
        <v>138600</v>
      </c>
      <c r="E810" s="1">
        <f>IFERROR(__xludf.DUMMYFUNCTION("""COMPUTED_VALUE"""),143800.0)</f>
        <v>143800</v>
      </c>
      <c r="F810" s="1">
        <f>IFERROR(__xludf.DUMMYFUNCTION("""COMPUTED_VALUE"""),195021.0)</f>
        <v>195021</v>
      </c>
    </row>
    <row r="811">
      <c r="A811" s="2">
        <f>IFERROR(__xludf.DUMMYFUNCTION("""COMPUTED_VALUE"""),41772.645833333336)</f>
        <v>41772.64583</v>
      </c>
      <c r="B811" s="1">
        <f>IFERROR(__xludf.DUMMYFUNCTION("""COMPUTED_VALUE"""),148000.0)</f>
        <v>148000</v>
      </c>
      <c r="C811" s="1">
        <f>IFERROR(__xludf.DUMMYFUNCTION("""COMPUTED_VALUE"""),150000.0)</f>
        <v>150000</v>
      </c>
      <c r="D811" s="1">
        <f>IFERROR(__xludf.DUMMYFUNCTION("""COMPUTED_VALUE"""),146400.0)</f>
        <v>146400</v>
      </c>
      <c r="E811" s="1">
        <f>IFERROR(__xludf.DUMMYFUNCTION("""COMPUTED_VALUE"""),149800.0)</f>
        <v>149800</v>
      </c>
      <c r="F811" s="1">
        <f>IFERROR(__xludf.DUMMYFUNCTION("""COMPUTED_VALUE"""),205812.0)</f>
        <v>205812</v>
      </c>
    </row>
    <row r="812">
      <c r="A812" s="2">
        <f>IFERROR(__xludf.DUMMYFUNCTION("""COMPUTED_VALUE"""),41773.645833333336)</f>
        <v>41773.64583</v>
      </c>
      <c r="B812" s="1">
        <f>IFERROR(__xludf.DUMMYFUNCTION("""COMPUTED_VALUE"""),148600.0)</f>
        <v>148600</v>
      </c>
      <c r="C812" s="1">
        <f>IFERROR(__xludf.DUMMYFUNCTION("""COMPUTED_VALUE"""),151600.0)</f>
        <v>151600</v>
      </c>
      <c r="D812" s="1">
        <f>IFERROR(__xludf.DUMMYFUNCTION("""COMPUTED_VALUE"""),147800.0)</f>
        <v>147800</v>
      </c>
      <c r="E812" s="1">
        <f>IFERROR(__xludf.DUMMYFUNCTION("""COMPUTED_VALUE"""),151600.0)</f>
        <v>151600</v>
      </c>
      <c r="F812" s="1">
        <f>IFERROR(__xludf.DUMMYFUNCTION("""COMPUTED_VALUE"""),158199.0)</f>
        <v>158199</v>
      </c>
    </row>
    <row r="813">
      <c r="A813" s="2">
        <f>IFERROR(__xludf.DUMMYFUNCTION("""COMPUTED_VALUE"""),41774.645833333336)</f>
        <v>41774.64583</v>
      </c>
      <c r="B813" s="1">
        <f>IFERROR(__xludf.DUMMYFUNCTION("""COMPUTED_VALUE"""),152200.0)</f>
        <v>152200</v>
      </c>
      <c r="C813" s="1">
        <f>IFERROR(__xludf.DUMMYFUNCTION("""COMPUTED_VALUE"""),155200.0)</f>
        <v>155200</v>
      </c>
      <c r="D813" s="1">
        <f>IFERROR(__xludf.DUMMYFUNCTION("""COMPUTED_VALUE"""),151400.0)</f>
        <v>151400</v>
      </c>
      <c r="E813" s="1">
        <f>IFERROR(__xludf.DUMMYFUNCTION("""COMPUTED_VALUE"""),152400.0)</f>
        <v>152400</v>
      </c>
      <c r="F813" s="1">
        <f>IFERROR(__xludf.DUMMYFUNCTION("""COMPUTED_VALUE"""),211820.0)</f>
        <v>211820</v>
      </c>
    </row>
    <row r="814">
      <c r="A814" s="2">
        <f>IFERROR(__xludf.DUMMYFUNCTION("""COMPUTED_VALUE"""),41775.645833333336)</f>
        <v>41775.64583</v>
      </c>
      <c r="B814" s="1">
        <f>IFERROR(__xludf.DUMMYFUNCTION("""COMPUTED_VALUE"""),151400.0)</f>
        <v>151400</v>
      </c>
      <c r="C814" s="1">
        <f>IFERROR(__xludf.DUMMYFUNCTION("""COMPUTED_VALUE"""),153000.0)</f>
        <v>153000</v>
      </c>
      <c r="D814" s="1">
        <f>IFERROR(__xludf.DUMMYFUNCTION("""COMPUTED_VALUE"""),148800.0)</f>
        <v>148800</v>
      </c>
      <c r="E814" s="1">
        <f>IFERROR(__xludf.DUMMYFUNCTION("""COMPUTED_VALUE"""),150400.0)</f>
        <v>150400</v>
      </c>
      <c r="F814" s="1">
        <f>IFERROR(__xludf.DUMMYFUNCTION("""COMPUTED_VALUE"""),158975.0)</f>
        <v>158975</v>
      </c>
    </row>
    <row r="815">
      <c r="A815" s="2">
        <f>IFERROR(__xludf.DUMMYFUNCTION("""COMPUTED_VALUE"""),41778.645833333336)</f>
        <v>41778.64583</v>
      </c>
      <c r="B815" s="1">
        <f>IFERROR(__xludf.DUMMYFUNCTION("""COMPUTED_VALUE"""),149600.0)</f>
        <v>149600</v>
      </c>
      <c r="C815" s="1">
        <f>IFERROR(__xludf.DUMMYFUNCTION("""COMPUTED_VALUE"""),151000.0)</f>
        <v>151000</v>
      </c>
      <c r="D815" s="1">
        <f>IFERROR(__xludf.DUMMYFUNCTION("""COMPUTED_VALUE"""),145400.0)</f>
        <v>145400</v>
      </c>
      <c r="E815" s="1">
        <f>IFERROR(__xludf.DUMMYFUNCTION("""COMPUTED_VALUE"""),147000.0)</f>
        <v>147000</v>
      </c>
      <c r="F815" s="1">
        <f>IFERROR(__xludf.DUMMYFUNCTION("""COMPUTED_VALUE"""),142060.0)</f>
        <v>142060</v>
      </c>
    </row>
    <row r="816">
      <c r="A816" s="2">
        <f>IFERROR(__xludf.DUMMYFUNCTION("""COMPUTED_VALUE"""),41779.645833333336)</f>
        <v>41779.64583</v>
      </c>
      <c r="B816" s="1">
        <f>IFERROR(__xludf.DUMMYFUNCTION("""COMPUTED_VALUE"""),147200.0)</f>
        <v>147200</v>
      </c>
      <c r="C816" s="1">
        <f>IFERROR(__xludf.DUMMYFUNCTION("""COMPUTED_VALUE"""),151400.0)</f>
        <v>151400</v>
      </c>
      <c r="D816" s="1">
        <f>IFERROR(__xludf.DUMMYFUNCTION("""COMPUTED_VALUE"""),147200.0)</f>
        <v>147200</v>
      </c>
      <c r="E816" s="1">
        <f>IFERROR(__xludf.DUMMYFUNCTION("""COMPUTED_VALUE"""),151200.0)</f>
        <v>151200</v>
      </c>
      <c r="F816" s="1">
        <f>IFERROR(__xludf.DUMMYFUNCTION("""COMPUTED_VALUE"""),114076.0)</f>
        <v>114076</v>
      </c>
    </row>
    <row r="817">
      <c r="A817" s="2">
        <f>IFERROR(__xludf.DUMMYFUNCTION("""COMPUTED_VALUE"""),41780.645833333336)</f>
        <v>41780.64583</v>
      </c>
      <c r="B817" s="1">
        <f>IFERROR(__xludf.DUMMYFUNCTION("""COMPUTED_VALUE"""),150000.0)</f>
        <v>150000</v>
      </c>
      <c r="C817" s="1">
        <f>IFERROR(__xludf.DUMMYFUNCTION("""COMPUTED_VALUE"""),155800.0)</f>
        <v>155800</v>
      </c>
      <c r="D817" s="1">
        <f>IFERROR(__xludf.DUMMYFUNCTION("""COMPUTED_VALUE"""),149800.0)</f>
        <v>149800</v>
      </c>
      <c r="E817" s="1">
        <f>IFERROR(__xludf.DUMMYFUNCTION("""COMPUTED_VALUE"""),154600.0)</f>
        <v>154600</v>
      </c>
      <c r="F817" s="1">
        <f>IFERROR(__xludf.DUMMYFUNCTION("""COMPUTED_VALUE"""),171725.0)</f>
        <v>171725</v>
      </c>
    </row>
    <row r="818">
      <c r="A818" s="2">
        <f>IFERROR(__xludf.DUMMYFUNCTION("""COMPUTED_VALUE"""),41781.645833333336)</f>
        <v>41781.64583</v>
      </c>
      <c r="B818" s="1">
        <f>IFERROR(__xludf.DUMMYFUNCTION("""COMPUTED_VALUE"""),156000.0)</f>
        <v>156000</v>
      </c>
      <c r="C818" s="1">
        <f>IFERROR(__xludf.DUMMYFUNCTION("""COMPUTED_VALUE"""),157600.0)</f>
        <v>157600</v>
      </c>
      <c r="D818" s="1">
        <f>IFERROR(__xludf.DUMMYFUNCTION("""COMPUTED_VALUE"""),154400.0)</f>
        <v>154400</v>
      </c>
      <c r="E818" s="1">
        <f>IFERROR(__xludf.DUMMYFUNCTION("""COMPUTED_VALUE"""),155600.0)</f>
        <v>155600</v>
      </c>
      <c r="F818" s="1">
        <f>IFERROR(__xludf.DUMMYFUNCTION("""COMPUTED_VALUE"""),131424.0)</f>
        <v>131424</v>
      </c>
    </row>
    <row r="819">
      <c r="A819" s="2">
        <f>IFERROR(__xludf.DUMMYFUNCTION("""COMPUTED_VALUE"""),41782.645833333336)</f>
        <v>41782.64583</v>
      </c>
      <c r="B819" s="1">
        <f>IFERROR(__xludf.DUMMYFUNCTION("""COMPUTED_VALUE"""),155600.0)</f>
        <v>155600</v>
      </c>
      <c r="C819" s="1">
        <f>IFERROR(__xludf.DUMMYFUNCTION("""COMPUTED_VALUE"""),156000.0)</f>
        <v>156000</v>
      </c>
      <c r="D819" s="1">
        <f>IFERROR(__xludf.DUMMYFUNCTION("""COMPUTED_VALUE"""),154400.0)</f>
        <v>154400</v>
      </c>
      <c r="E819" s="1">
        <f>IFERROR(__xludf.DUMMYFUNCTION("""COMPUTED_VALUE"""),155200.0)</f>
        <v>155200</v>
      </c>
      <c r="F819" s="1">
        <f>IFERROR(__xludf.DUMMYFUNCTION("""COMPUTED_VALUE"""),53916.0)</f>
        <v>53916</v>
      </c>
    </row>
    <row r="820">
      <c r="A820" s="2">
        <f>IFERROR(__xludf.DUMMYFUNCTION("""COMPUTED_VALUE"""),41785.645833333336)</f>
        <v>41785.64583</v>
      </c>
      <c r="B820" s="1">
        <f>IFERROR(__xludf.DUMMYFUNCTION("""COMPUTED_VALUE"""),149800.0)</f>
        <v>149800</v>
      </c>
      <c r="C820" s="1">
        <f>IFERROR(__xludf.DUMMYFUNCTION("""COMPUTED_VALUE"""),153200.0)</f>
        <v>153200</v>
      </c>
      <c r="D820" s="1">
        <f>IFERROR(__xludf.DUMMYFUNCTION("""COMPUTED_VALUE"""),148400.0)</f>
        <v>148400</v>
      </c>
      <c r="E820" s="1">
        <f>IFERROR(__xludf.DUMMYFUNCTION("""COMPUTED_VALUE"""),149000.0)</f>
        <v>149000</v>
      </c>
      <c r="F820" s="1">
        <f>IFERROR(__xludf.DUMMYFUNCTION("""COMPUTED_VALUE"""),209440.0)</f>
        <v>209440</v>
      </c>
    </row>
    <row r="821">
      <c r="A821" s="2">
        <f>IFERROR(__xludf.DUMMYFUNCTION("""COMPUTED_VALUE"""),41786.645833333336)</f>
        <v>41786.64583</v>
      </c>
      <c r="B821" s="1">
        <f>IFERROR(__xludf.DUMMYFUNCTION("""COMPUTED_VALUE"""),148800.0)</f>
        <v>148800</v>
      </c>
      <c r="C821" s="1">
        <f>IFERROR(__xludf.DUMMYFUNCTION("""COMPUTED_VALUE"""),152200.0)</f>
        <v>152200</v>
      </c>
      <c r="D821" s="1">
        <f>IFERROR(__xludf.DUMMYFUNCTION("""COMPUTED_VALUE"""),148400.0)</f>
        <v>148400</v>
      </c>
      <c r="E821" s="1">
        <f>IFERROR(__xludf.DUMMYFUNCTION("""COMPUTED_VALUE"""),151000.0)</f>
        <v>151000</v>
      </c>
      <c r="F821" s="1">
        <f>IFERROR(__xludf.DUMMYFUNCTION("""COMPUTED_VALUE"""),134968.0)</f>
        <v>134968</v>
      </c>
    </row>
    <row r="822">
      <c r="A822" s="2">
        <f>IFERROR(__xludf.DUMMYFUNCTION("""COMPUTED_VALUE"""),41787.645833333336)</f>
        <v>41787.64583</v>
      </c>
      <c r="B822" s="1">
        <f>IFERROR(__xludf.DUMMYFUNCTION("""COMPUTED_VALUE"""),151600.0)</f>
        <v>151600</v>
      </c>
      <c r="C822" s="1">
        <f>IFERROR(__xludf.DUMMYFUNCTION("""COMPUTED_VALUE"""),155600.0)</f>
        <v>155600</v>
      </c>
      <c r="D822" s="1">
        <f>IFERROR(__xludf.DUMMYFUNCTION("""COMPUTED_VALUE"""),151000.0)</f>
        <v>151000</v>
      </c>
      <c r="E822" s="1">
        <f>IFERROR(__xludf.DUMMYFUNCTION("""COMPUTED_VALUE"""),155600.0)</f>
        <v>155600</v>
      </c>
      <c r="F822" s="1">
        <f>IFERROR(__xludf.DUMMYFUNCTION("""COMPUTED_VALUE"""),121774.0)</f>
        <v>121774</v>
      </c>
    </row>
    <row r="823">
      <c r="A823" s="2">
        <f>IFERROR(__xludf.DUMMYFUNCTION("""COMPUTED_VALUE"""),41788.645833333336)</f>
        <v>41788.64583</v>
      </c>
      <c r="B823" s="1">
        <f>IFERROR(__xludf.DUMMYFUNCTION("""COMPUTED_VALUE"""),155600.0)</f>
        <v>155600</v>
      </c>
      <c r="C823" s="1">
        <f>IFERROR(__xludf.DUMMYFUNCTION("""COMPUTED_VALUE"""),156800.0)</f>
        <v>156800</v>
      </c>
      <c r="D823" s="1">
        <f>IFERROR(__xludf.DUMMYFUNCTION("""COMPUTED_VALUE"""),153600.0)</f>
        <v>153600</v>
      </c>
      <c r="E823" s="1">
        <f>IFERROR(__xludf.DUMMYFUNCTION("""COMPUTED_VALUE"""),154400.0)</f>
        <v>154400</v>
      </c>
      <c r="F823" s="1">
        <f>IFERROR(__xludf.DUMMYFUNCTION("""COMPUTED_VALUE"""),106209.0)</f>
        <v>106209</v>
      </c>
    </row>
    <row r="824">
      <c r="A824" s="2">
        <f>IFERROR(__xludf.DUMMYFUNCTION("""COMPUTED_VALUE"""),41789.645833333336)</f>
        <v>41789.64583</v>
      </c>
      <c r="B824" s="1">
        <f>IFERROR(__xludf.DUMMYFUNCTION("""COMPUTED_VALUE"""),154800.0)</f>
        <v>154800</v>
      </c>
      <c r="C824" s="1">
        <f>IFERROR(__xludf.DUMMYFUNCTION("""COMPUTED_VALUE"""),156600.0)</f>
        <v>156600</v>
      </c>
      <c r="D824" s="1">
        <f>IFERROR(__xludf.DUMMYFUNCTION("""COMPUTED_VALUE"""),151600.0)</f>
        <v>151600</v>
      </c>
      <c r="E824" s="1">
        <f>IFERROR(__xludf.DUMMYFUNCTION("""COMPUTED_VALUE"""),151600.0)</f>
        <v>151600</v>
      </c>
      <c r="F824" s="1">
        <f>IFERROR(__xludf.DUMMYFUNCTION("""COMPUTED_VALUE"""),113376.0)</f>
        <v>113376</v>
      </c>
    </row>
    <row r="825">
      <c r="A825" s="2">
        <f>IFERROR(__xludf.DUMMYFUNCTION("""COMPUTED_VALUE"""),41792.645833333336)</f>
        <v>41792.64583</v>
      </c>
      <c r="B825" s="1">
        <f>IFERROR(__xludf.DUMMYFUNCTION("""COMPUTED_VALUE"""),151800.0)</f>
        <v>151800</v>
      </c>
      <c r="C825" s="1">
        <f>IFERROR(__xludf.DUMMYFUNCTION("""COMPUTED_VALUE"""),153200.0)</f>
        <v>153200</v>
      </c>
      <c r="D825" s="1">
        <f>IFERROR(__xludf.DUMMYFUNCTION("""COMPUTED_VALUE"""),151200.0)</f>
        <v>151200</v>
      </c>
      <c r="E825" s="1">
        <f>IFERROR(__xludf.DUMMYFUNCTION("""COMPUTED_VALUE"""),152400.0)</f>
        <v>152400</v>
      </c>
      <c r="F825" s="1">
        <f>IFERROR(__xludf.DUMMYFUNCTION("""COMPUTED_VALUE"""),50439.0)</f>
        <v>50439</v>
      </c>
    </row>
    <row r="826">
      <c r="A826" s="2">
        <f>IFERROR(__xludf.DUMMYFUNCTION("""COMPUTED_VALUE"""),41793.645833333336)</f>
        <v>41793.64583</v>
      </c>
      <c r="B826" s="1">
        <f>IFERROR(__xludf.DUMMYFUNCTION("""COMPUTED_VALUE"""),151600.0)</f>
        <v>151600</v>
      </c>
      <c r="C826" s="1">
        <f>IFERROR(__xludf.DUMMYFUNCTION("""COMPUTED_VALUE"""),152200.0)</f>
        <v>152200</v>
      </c>
      <c r="D826" s="1">
        <f>IFERROR(__xludf.DUMMYFUNCTION("""COMPUTED_VALUE"""),148400.0)</f>
        <v>148400</v>
      </c>
      <c r="E826" s="1">
        <f>IFERROR(__xludf.DUMMYFUNCTION("""COMPUTED_VALUE"""),151000.0)</f>
        <v>151000</v>
      </c>
      <c r="F826" s="1">
        <f>IFERROR(__xludf.DUMMYFUNCTION("""COMPUTED_VALUE"""),112910.0)</f>
        <v>112910</v>
      </c>
    </row>
    <row r="827">
      <c r="A827" s="2">
        <f>IFERROR(__xludf.DUMMYFUNCTION("""COMPUTED_VALUE"""),41795.645833333336)</f>
        <v>41795.64583</v>
      </c>
      <c r="B827" s="1">
        <f>IFERROR(__xludf.DUMMYFUNCTION("""COMPUTED_VALUE"""),154800.0)</f>
        <v>154800</v>
      </c>
      <c r="C827" s="1">
        <f>IFERROR(__xludf.DUMMYFUNCTION("""COMPUTED_VALUE"""),155000.0)</f>
        <v>155000</v>
      </c>
      <c r="D827" s="1">
        <f>IFERROR(__xludf.DUMMYFUNCTION("""COMPUTED_VALUE"""),148200.0)</f>
        <v>148200</v>
      </c>
      <c r="E827" s="1">
        <f>IFERROR(__xludf.DUMMYFUNCTION("""COMPUTED_VALUE"""),148600.0)</f>
        <v>148600</v>
      </c>
      <c r="F827" s="1">
        <f>IFERROR(__xludf.DUMMYFUNCTION("""COMPUTED_VALUE"""),106172.0)</f>
        <v>106172</v>
      </c>
    </row>
    <row r="828">
      <c r="A828" s="2">
        <f>IFERROR(__xludf.DUMMYFUNCTION("""COMPUTED_VALUE"""),41799.645833333336)</f>
        <v>41799.64583</v>
      </c>
      <c r="B828" s="1">
        <f>IFERROR(__xludf.DUMMYFUNCTION("""COMPUTED_VALUE"""),151400.0)</f>
        <v>151400</v>
      </c>
      <c r="C828" s="1">
        <f>IFERROR(__xludf.DUMMYFUNCTION("""COMPUTED_VALUE"""),154800.0)</f>
        <v>154800</v>
      </c>
      <c r="D828" s="1">
        <f>IFERROR(__xludf.DUMMYFUNCTION("""COMPUTED_VALUE"""),150400.0)</f>
        <v>150400</v>
      </c>
      <c r="E828" s="1">
        <f>IFERROR(__xludf.DUMMYFUNCTION("""COMPUTED_VALUE"""),153600.0)</f>
        <v>153600</v>
      </c>
      <c r="F828" s="1">
        <f>IFERROR(__xludf.DUMMYFUNCTION("""COMPUTED_VALUE"""),134714.0)</f>
        <v>134714</v>
      </c>
    </row>
    <row r="829">
      <c r="A829" s="2">
        <f>IFERROR(__xludf.DUMMYFUNCTION("""COMPUTED_VALUE"""),41800.645833333336)</f>
        <v>41800.64583</v>
      </c>
      <c r="B829" s="1">
        <f>IFERROR(__xludf.DUMMYFUNCTION("""COMPUTED_VALUE"""),153200.0)</f>
        <v>153200</v>
      </c>
      <c r="C829" s="1">
        <f>IFERROR(__xludf.DUMMYFUNCTION("""COMPUTED_VALUE"""),157600.0)</f>
        <v>157600</v>
      </c>
      <c r="D829" s="1">
        <f>IFERROR(__xludf.DUMMYFUNCTION("""COMPUTED_VALUE"""),151400.0)</f>
        <v>151400</v>
      </c>
      <c r="E829" s="1">
        <f>IFERROR(__xludf.DUMMYFUNCTION("""COMPUTED_VALUE"""),156600.0)</f>
        <v>156600</v>
      </c>
      <c r="F829" s="1">
        <f>IFERROR(__xludf.DUMMYFUNCTION("""COMPUTED_VALUE"""),145162.0)</f>
        <v>145162</v>
      </c>
    </row>
    <row r="830">
      <c r="A830" s="2">
        <f>IFERROR(__xludf.DUMMYFUNCTION("""COMPUTED_VALUE"""),41801.645833333336)</f>
        <v>41801.64583</v>
      </c>
      <c r="B830" s="1">
        <f>IFERROR(__xludf.DUMMYFUNCTION("""COMPUTED_VALUE"""),157600.0)</f>
        <v>157600</v>
      </c>
      <c r="C830" s="1">
        <f>IFERROR(__xludf.DUMMYFUNCTION("""COMPUTED_VALUE"""),160000.0)</f>
        <v>160000</v>
      </c>
      <c r="D830" s="1">
        <f>IFERROR(__xludf.DUMMYFUNCTION("""COMPUTED_VALUE"""),156000.0)</f>
        <v>156000</v>
      </c>
      <c r="E830" s="1">
        <f>IFERROR(__xludf.DUMMYFUNCTION("""COMPUTED_VALUE"""),157200.0)</f>
        <v>157200</v>
      </c>
      <c r="F830" s="1">
        <f>IFERROR(__xludf.DUMMYFUNCTION("""COMPUTED_VALUE"""),149648.0)</f>
        <v>149648</v>
      </c>
    </row>
    <row r="831">
      <c r="A831" s="2">
        <f>IFERROR(__xludf.DUMMYFUNCTION("""COMPUTED_VALUE"""),41802.645833333336)</f>
        <v>41802.64583</v>
      </c>
      <c r="B831" s="1">
        <f>IFERROR(__xludf.DUMMYFUNCTION("""COMPUTED_VALUE"""),158600.0)</f>
        <v>158600</v>
      </c>
      <c r="C831" s="1">
        <f>IFERROR(__xludf.DUMMYFUNCTION("""COMPUTED_VALUE"""),160600.0)</f>
        <v>160600</v>
      </c>
      <c r="D831" s="1">
        <f>IFERROR(__xludf.DUMMYFUNCTION("""COMPUTED_VALUE"""),157600.0)</f>
        <v>157600</v>
      </c>
      <c r="E831" s="1">
        <f>IFERROR(__xludf.DUMMYFUNCTION("""COMPUTED_VALUE"""),159000.0)</f>
        <v>159000</v>
      </c>
      <c r="F831" s="1">
        <f>IFERROR(__xludf.DUMMYFUNCTION("""COMPUTED_VALUE"""),118596.0)</f>
        <v>118596</v>
      </c>
    </row>
    <row r="832">
      <c r="A832" s="2">
        <f>IFERROR(__xludf.DUMMYFUNCTION("""COMPUTED_VALUE"""),41803.645833333336)</f>
        <v>41803.64583</v>
      </c>
      <c r="B832" s="1">
        <f>IFERROR(__xludf.DUMMYFUNCTION("""COMPUTED_VALUE"""),158600.0)</f>
        <v>158600</v>
      </c>
      <c r="C832" s="1">
        <f>IFERROR(__xludf.DUMMYFUNCTION("""COMPUTED_VALUE"""),158600.0)</f>
        <v>158600</v>
      </c>
      <c r="D832" s="1">
        <f>IFERROR(__xludf.DUMMYFUNCTION("""COMPUTED_VALUE"""),156000.0)</f>
        <v>156000</v>
      </c>
      <c r="E832" s="1">
        <f>IFERROR(__xludf.DUMMYFUNCTION("""COMPUTED_VALUE"""),157000.0)</f>
        <v>157000</v>
      </c>
      <c r="F832" s="1">
        <f>IFERROR(__xludf.DUMMYFUNCTION("""COMPUTED_VALUE"""),57578.0)</f>
        <v>57578</v>
      </c>
    </row>
    <row r="833">
      <c r="A833" s="2">
        <f>IFERROR(__xludf.DUMMYFUNCTION("""COMPUTED_VALUE"""),41806.645833333336)</f>
        <v>41806.64583</v>
      </c>
      <c r="B833" s="1">
        <f>IFERROR(__xludf.DUMMYFUNCTION("""COMPUTED_VALUE"""),155600.0)</f>
        <v>155600</v>
      </c>
      <c r="C833" s="1">
        <f>IFERROR(__xludf.DUMMYFUNCTION("""COMPUTED_VALUE"""),158800.0)</f>
        <v>158800</v>
      </c>
      <c r="D833" s="1">
        <f>IFERROR(__xludf.DUMMYFUNCTION("""COMPUTED_VALUE"""),154400.0)</f>
        <v>154400</v>
      </c>
      <c r="E833" s="1">
        <f>IFERROR(__xludf.DUMMYFUNCTION("""COMPUTED_VALUE"""),158800.0)</f>
        <v>158800</v>
      </c>
      <c r="F833" s="1">
        <f>IFERROR(__xludf.DUMMYFUNCTION("""COMPUTED_VALUE"""),54346.0)</f>
        <v>54346</v>
      </c>
    </row>
    <row r="834">
      <c r="A834" s="2">
        <f>IFERROR(__xludf.DUMMYFUNCTION("""COMPUTED_VALUE"""),41807.645833333336)</f>
        <v>41807.64583</v>
      </c>
      <c r="B834" s="1">
        <f>IFERROR(__xludf.DUMMYFUNCTION("""COMPUTED_VALUE"""),158800.0)</f>
        <v>158800</v>
      </c>
      <c r="C834" s="1">
        <f>IFERROR(__xludf.DUMMYFUNCTION("""COMPUTED_VALUE"""),158800.0)</f>
        <v>158800</v>
      </c>
      <c r="D834" s="1">
        <f>IFERROR(__xludf.DUMMYFUNCTION("""COMPUTED_VALUE"""),155400.0)</f>
        <v>155400</v>
      </c>
      <c r="E834" s="1">
        <f>IFERROR(__xludf.DUMMYFUNCTION("""COMPUTED_VALUE"""),156000.0)</f>
        <v>156000</v>
      </c>
      <c r="F834" s="1">
        <f>IFERROR(__xludf.DUMMYFUNCTION("""COMPUTED_VALUE"""),74952.0)</f>
        <v>74952</v>
      </c>
    </row>
    <row r="835">
      <c r="A835" s="2">
        <f>IFERROR(__xludf.DUMMYFUNCTION("""COMPUTED_VALUE"""),41808.645833333336)</f>
        <v>41808.64583</v>
      </c>
      <c r="B835" s="1">
        <f>IFERROR(__xludf.DUMMYFUNCTION("""COMPUTED_VALUE"""),155000.0)</f>
        <v>155000</v>
      </c>
      <c r="C835" s="1">
        <f>IFERROR(__xludf.DUMMYFUNCTION("""COMPUTED_VALUE"""),155800.0)</f>
        <v>155800</v>
      </c>
      <c r="D835" s="1">
        <f>IFERROR(__xludf.DUMMYFUNCTION("""COMPUTED_VALUE"""),152600.0)</f>
        <v>152600</v>
      </c>
      <c r="E835" s="1">
        <f>IFERROR(__xludf.DUMMYFUNCTION("""COMPUTED_VALUE"""),155000.0)</f>
        <v>155000</v>
      </c>
      <c r="F835" s="1">
        <f>IFERROR(__xludf.DUMMYFUNCTION("""COMPUTED_VALUE"""),74605.0)</f>
        <v>74605</v>
      </c>
    </row>
    <row r="836">
      <c r="A836" s="2">
        <f>IFERROR(__xludf.DUMMYFUNCTION("""COMPUTED_VALUE"""),41809.645833333336)</f>
        <v>41809.64583</v>
      </c>
      <c r="B836" s="1">
        <f>IFERROR(__xludf.DUMMYFUNCTION("""COMPUTED_VALUE"""),155800.0)</f>
        <v>155800</v>
      </c>
      <c r="C836" s="1">
        <f>IFERROR(__xludf.DUMMYFUNCTION("""COMPUTED_VALUE"""),157400.0)</f>
        <v>157400</v>
      </c>
      <c r="D836" s="1">
        <f>IFERROR(__xludf.DUMMYFUNCTION("""COMPUTED_VALUE"""),153800.0)</f>
        <v>153800</v>
      </c>
      <c r="E836" s="1">
        <f>IFERROR(__xludf.DUMMYFUNCTION("""COMPUTED_VALUE"""),155400.0)</f>
        <v>155400</v>
      </c>
      <c r="F836" s="1">
        <f>IFERROR(__xludf.DUMMYFUNCTION("""COMPUTED_VALUE"""),74778.0)</f>
        <v>74778</v>
      </c>
    </row>
    <row r="837">
      <c r="A837" s="2">
        <f>IFERROR(__xludf.DUMMYFUNCTION("""COMPUTED_VALUE"""),41810.645833333336)</f>
        <v>41810.64583</v>
      </c>
      <c r="B837" s="1">
        <f>IFERROR(__xludf.DUMMYFUNCTION("""COMPUTED_VALUE"""),155000.0)</f>
        <v>155000</v>
      </c>
      <c r="C837" s="1">
        <f>IFERROR(__xludf.DUMMYFUNCTION("""COMPUTED_VALUE"""),157400.0)</f>
        <v>157400</v>
      </c>
      <c r="D837" s="1">
        <f>IFERROR(__xludf.DUMMYFUNCTION("""COMPUTED_VALUE"""),155000.0)</f>
        <v>155000</v>
      </c>
      <c r="E837" s="1">
        <f>IFERROR(__xludf.DUMMYFUNCTION("""COMPUTED_VALUE"""),157400.0)</f>
        <v>157400</v>
      </c>
      <c r="F837" s="1">
        <f>IFERROR(__xludf.DUMMYFUNCTION("""COMPUTED_VALUE"""),99910.0)</f>
        <v>99910</v>
      </c>
    </row>
    <row r="838">
      <c r="A838" s="2">
        <f>IFERROR(__xludf.DUMMYFUNCTION("""COMPUTED_VALUE"""),41813.645833333336)</f>
        <v>41813.64583</v>
      </c>
      <c r="B838" s="1">
        <f>IFERROR(__xludf.DUMMYFUNCTION("""COMPUTED_VALUE"""),158400.0)</f>
        <v>158400</v>
      </c>
      <c r="C838" s="1">
        <f>IFERROR(__xludf.DUMMYFUNCTION("""COMPUTED_VALUE"""),165200.0)</f>
        <v>165200</v>
      </c>
      <c r="D838" s="1">
        <f>IFERROR(__xludf.DUMMYFUNCTION("""COMPUTED_VALUE"""),157400.0)</f>
        <v>157400</v>
      </c>
      <c r="E838" s="1">
        <f>IFERROR(__xludf.DUMMYFUNCTION("""COMPUTED_VALUE"""),165200.0)</f>
        <v>165200</v>
      </c>
      <c r="F838" s="1">
        <f>IFERROR(__xludf.DUMMYFUNCTION("""COMPUTED_VALUE"""),211054.0)</f>
        <v>211054</v>
      </c>
    </row>
    <row r="839">
      <c r="A839" s="2">
        <f>IFERROR(__xludf.DUMMYFUNCTION("""COMPUTED_VALUE"""),41814.645833333336)</f>
        <v>41814.64583</v>
      </c>
      <c r="B839" s="1">
        <f>IFERROR(__xludf.DUMMYFUNCTION("""COMPUTED_VALUE"""),164400.0)</f>
        <v>164400</v>
      </c>
      <c r="C839" s="1">
        <f>IFERROR(__xludf.DUMMYFUNCTION("""COMPUTED_VALUE"""),166600.0)</f>
        <v>166600</v>
      </c>
      <c r="D839" s="1">
        <f>IFERROR(__xludf.DUMMYFUNCTION("""COMPUTED_VALUE"""),164000.0)</f>
        <v>164000</v>
      </c>
      <c r="E839" s="1">
        <f>IFERROR(__xludf.DUMMYFUNCTION("""COMPUTED_VALUE"""),165000.0)</f>
        <v>165000</v>
      </c>
      <c r="F839" s="1">
        <f>IFERROR(__xludf.DUMMYFUNCTION("""COMPUTED_VALUE"""),112720.0)</f>
        <v>112720</v>
      </c>
    </row>
    <row r="840">
      <c r="A840" s="2">
        <f>IFERROR(__xludf.DUMMYFUNCTION("""COMPUTED_VALUE"""),41815.645833333336)</f>
        <v>41815.64583</v>
      </c>
      <c r="B840" s="1">
        <f>IFERROR(__xludf.DUMMYFUNCTION("""COMPUTED_VALUE"""),165600.0)</f>
        <v>165600</v>
      </c>
      <c r="C840" s="1">
        <f>IFERROR(__xludf.DUMMYFUNCTION("""COMPUTED_VALUE"""),168000.0)</f>
        <v>168000</v>
      </c>
      <c r="D840" s="1">
        <f>IFERROR(__xludf.DUMMYFUNCTION("""COMPUTED_VALUE"""),163400.0)</f>
        <v>163400</v>
      </c>
      <c r="E840" s="1">
        <f>IFERROR(__xludf.DUMMYFUNCTION("""COMPUTED_VALUE"""),164400.0)</f>
        <v>164400</v>
      </c>
      <c r="F840" s="1">
        <f>IFERROR(__xludf.DUMMYFUNCTION("""COMPUTED_VALUE"""),60800.0)</f>
        <v>60800</v>
      </c>
    </row>
    <row r="841">
      <c r="A841" s="2">
        <f>IFERROR(__xludf.DUMMYFUNCTION("""COMPUTED_VALUE"""),41816.645833333336)</f>
        <v>41816.64583</v>
      </c>
      <c r="B841" s="1">
        <f>IFERROR(__xludf.DUMMYFUNCTION("""COMPUTED_VALUE"""),165000.0)</f>
        <v>165000</v>
      </c>
      <c r="C841" s="1">
        <f>IFERROR(__xludf.DUMMYFUNCTION("""COMPUTED_VALUE"""),170000.0)</f>
        <v>170000</v>
      </c>
      <c r="D841" s="1">
        <f>IFERROR(__xludf.DUMMYFUNCTION("""COMPUTED_VALUE"""),165000.0)</f>
        <v>165000</v>
      </c>
      <c r="E841" s="1">
        <f>IFERROR(__xludf.DUMMYFUNCTION("""COMPUTED_VALUE"""),169800.0)</f>
        <v>169800</v>
      </c>
      <c r="F841" s="1">
        <f>IFERROR(__xludf.DUMMYFUNCTION("""COMPUTED_VALUE"""),122850.0)</f>
        <v>122850</v>
      </c>
    </row>
    <row r="842">
      <c r="A842" s="2">
        <f>IFERROR(__xludf.DUMMYFUNCTION("""COMPUTED_VALUE"""),41817.645833333336)</f>
        <v>41817.64583</v>
      </c>
      <c r="B842" s="1">
        <f>IFERROR(__xludf.DUMMYFUNCTION("""COMPUTED_VALUE"""),168000.0)</f>
        <v>168000</v>
      </c>
      <c r="C842" s="1">
        <f>IFERROR(__xludf.DUMMYFUNCTION("""COMPUTED_VALUE"""),168800.0)</f>
        <v>168800</v>
      </c>
      <c r="D842" s="1">
        <f>IFERROR(__xludf.DUMMYFUNCTION("""COMPUTED_VALUE"""),165600.0)</f>
        <v>165600</v>
      </c>
      <c r="E842" s="1">
        <f>IFERROR(__xludf.DUMMYFUNCTION("""COMPUTED_VALUE"""),166400.0)</f>
        <v>166400</v>
      </c>
      <c r="F842" s="1">
        <f>IFERROR(__xludf.DUMMYFUNCTION("""COMPUTED_VALUE"""),74199.0)</f>
        <v>74199</v>
      </c>
    </row>
    <row r="843">
      <c r="A843" s="2">
        <f>IFERROR(__xludf.DUMMYFUNCTION("""COMPUTED_VALUE"""),41820.645833333336)</f>
        <v>41820.64583</v>
      </c>
      <c r="B843" s="1">
        <f>IFERROR(__xludf.DUMMYFUNCTION("""COMPUTED_VALUE"""),168400.0)</f>
        <v>168400</v>
      </c>
      <c r="C843" s="1">
        <f>IFERROR(__xludf.DUMMYFUNCTION("""COMPUTED_VALUE"""),168400.0)</f>
        <v>168400</v>
      </c>
      <c r="D843" s="1">
        <f>IFERROR(__xludf.DUMMYFUNCTION("""COMPUTED_VALUE"""),164800.0)</f>
        <v>164800</v>
      </c>
      <c r="E843" s="1">
        <f>IFERROR(__xludf.DUMMYFUNCTION("""COMPUTED_VALUE"""),167000.0)</f>
        <v>167000</v>
      </c>
      <c r="F843" s="1">
        <f>IFERROR(__xludf.DUMMYFUNCTION("""COMPUTED_VALUE"""),74129.0)</f>
        <v>74129</v>
      </c>
    </row>
    <row r="844">
      <c r="A844" s="2">
        <f>IFERROR(__xludf.DUMMYFUNCTION("""COMPUTED_VALUE"""),41821.645833333336)</f>
        <v>41821.64583</v>
      </c>
      <c r="B844" s="1">
        <f>IFERROR(__xludf.DUMMYFUNCTION("""COMPUTED_VALUE"""),165600.0)</f>
        <v>165600</v>
      </c>
      <c r="C844" s="1">
        <f>IFERROR(__xludf.DUMMYFUNCTION("""COMPUTED_VALUE"""),169800.0)</f>
        <v>169800</v>
      </c>
      <c r="D844" s="1">
        <f>IFERROR(__xludf.DUMMYFUNCTION("""COMPUTED_VALUE"""),164800.0)</f>
        <v>164800</v>
      </c>
      <c r="E844" s="1">
        <f>IFERROR(__xludf.DUMMYFUNCTION("""COMPUTED_VALUE"""),168800.0)</f>
        <v>168800</v>
      </c>
      <c r="F844" s="1">
        <f>IFERROR(__xludf.DUMMYFUNCTION("""COMPUTED_VALUE"""),60261.0)</f>
        <v>60261</v>
      </c>
    </row>
    <row r="845">
      <c r="A845" s="2">
        <f>IFERROR(__xludf.DUMMYFUNCTION("""COMPUTED_VALUE"""),41822.645833333336)</f>
        <v>41822.64583</v>
      </c>
      <c r="B845" s="1">
        <f>IFERROR(__xludf.DUMMYFUNCTION("""COMPUTED_VALUE"""),170600.0)</f>
        <v>170600</v>
      </c>
      <c r="C845" s="1">
        <f>IFERROR(__xludf.DUMMYFUNCTION("""COMPUTED_VALUE"""),173000.0)</f>
        <v>173000</v>
      </c>
      <c r="D845" s="1">
        <f>IFERROR(__xludf.DUMMYFUNCTION("""COMPUTED_VALUE"""),168600.0)</f>
        <v>168600</v>
      </c>
      <c r="E845" s="1">
        <f>IFERROR(__xludf.DUMMYFUNCTION("""COMPUTED_VALUE"""),169400.0)</f>
        <v>169400</v>
      </c>
      <c r="F845" s="1">
        <f>IFERROR(__xludf.DUMMYFUNCTION("""COMPUTED_VALUE"""),86204.0)</f>
        <v>86204</v>
      </c>
    </row>
    <row r="846">
      <c r="A846" s="2">
        <f>IFERROR(__xludf.DUMMYFUNCTION("""COMPUTED_VALUE"""),41823.645833333336)</f>
        <v>41823.64583</v>
      </c>
      <c r="B846" s="1">
        <f>IFERROR(__xludf.DUMMYFUNCTION("""COMPUTED_VALUE"""),168000.0)</f>
        <v>168000</v>
      </c>
      <c r="C846" s="1">
        <f>IFERROR(__xludf.DUMMYFUNCTION("""COMPUTED_VALUE"""),168000.0)</f>
        <v>168000</v>
      </c>
      <c r="D846" s="1">
        <f>IFERROR(__xludf.DUMMYFUNCTION("""COMPUTED_VALUE"""),165400.0)</f>
        <v>165400</v>
      </c>
      <c r="E846" s="1">
        <f>IFERROR(__xludf.DUMMYFUNCTION("""COMPUTED_VALUE"""),166000.0)</f>
        <v>166000</v>
      </c>
      <c r="F846" s="1">
        <f>IFERROR(__xludf.DUMMYFUNCTION("""COMPUTED_VALUE"""),96000.0)</f>
        <v>96000</v>
      </c>
    </row>
    <row r="847">
      <c r="A847" s="2">
        <f>IFERROR(__xludf.DUMMYFUNCTION("""COMPUTED_VALUE"""),41824.645833333336)</f>
        <v>41824.64583</v>
      </c>
      <c r="B847" s="1">
        <f>IFERROR(__xludf.DUMMYFUNCTION("""COMPUTED_VALUE"""),167000.0)</f>
        <v>167000</v>
      </c>
      <c r="C847" s="1">
        <f>IFERROR(__xludf.DUMMYFUNCTION("""COMPUTED_VALUE"""),167400.0)</f>
        <v>167400</v>
      </c>
      <c r="D847" s="1">
        <f>IFERROR(__xludf.DUMMYFUNCTION("""COMPUTED_VALUE"""),162000.0)</f>
        <v>162000</v>
      </c>
      <c r="E847" s="1">
        <f>IFERROR(__xludf.DUMMYFUNCTION("""COMPUTED_VALUE"""),163800.0)</f>
        <v>163800</v>
      </c>
      <c r="F847" s="1">
        <f>IFERROR(__xludf.DUMMYFUNCTION("""COMPUTED_VALUE"""),115476.0)</f>
        <v>115476</v>
      </c>
    </row>
    <row r="848">
      <c r="A848" s="2">
        <f>IFERROR(__xludf.DUMMYFUNCTION("""COMPUTED_VALUE"""),41827.645833333336)</f>
        <v>41827.64583</v>
      </c>
      <c r="B848" s="1">
        <f>IFERROR(__xludf.DUMMYFUNCTION("""COMPUTED_VALUE"""),164000.0)</f>
        <v>164000</v>
      </c>
      <c r="C848" s="1">
        <f>IFERROR(__xludf.DUMMYFUNCTION("""COMPUTED_VALUE"""),166200.0)</f>
        <v>166200</v>
      </c>
      <c r="D848" s="1">
        <f>IFERROR(__xludf.DUMMYFUNCTION("""COMPUTED_VALUE"""),163200.0)</f>
        <v>163200</v>
      </c>
      <c r="E848" s="1">
        <f>IFERROR(__xludf.DUMMYFUNCTION("""COMPUTED_VALUE"""),166200.0)</f>
        <v>166200</v>
      </c>
      <c r="F848" s="1">
        <f>IFERROR(__xludf.DUMMYFUNCTION("""COMPUTED_VALUE"""),39327.0)</f>
        <v>39327</v>
      </c>
    </row>
    <row r="849">
      <c r="A849" s="2">
        <f>IFERROR(__xludf.DUMMYFUNCTION("""COMPUTED_VALUE"""),41828.645833333336)</f>
        <v>41828.64583</v>
      </c>
      <c r="B849" s="1">
        <f>IFERROR(__xludf.DUMMYFUNCTION("""COMPUTED_VALUE"""),166200.0)</f>
        <v>166200</v>
      </c>
      <c r="C849" s="1">
        <f>IFERROR(__xludf.DUMMYFUNCTION("""COMPUTED_VALUE"""),166400.0)</f>
        <v>166400</v>
      </c>
      <c r="D849" s="1">
        <f>IFERROR(__xludf.DUMMYFUNCTION("""COMPUTED_VALUE"""),163000.0)</f>
        <v>163000</v>
      </c>
      <c r="E849" s="1">
        <f>IFERROR(__xludf.DUMMYFUNCTION("""COMPUTED_VALUE"""),166200.0)</f>
        <v>166200</v>
      </c>
      <c r="F849" s="1">
        <f>IFERROR(__xludf.DUMMYFUNCTION("""COMPUTED_VALUE"""),55028.0)</f>
        <v>55028</v>
      </c>
    </row>
    <row r="850">
      <c r="A850" s="2">
        <f>IFERROR(__xludf.DUMMYFUNCTION("""COMPUTED_VALUE"""),41829.645833333336)</f>
        <v>41829.64583</v>
      </c>
      <c r="B850" s="1">
        <f>IFERROR(__xludf.DUMMYFUNCTION("""COMPUTED_VALUE"""),163000.0)</f>
        <v>163000</v>
      </c>
      <c r="C850" s="1">
        <f>IFERROR(__xludf.DUMMYFUNCTION("""COMPUTED_VALUE"""),164000.0)</f>
        <v>164000</v>
      </c>
      <c r="D850" s="1">
        <f>IFERROR(__xludf.DUMMYFUNCTION("""COMPUTED_VALUE"""),160600.0)</f>
        <v>160600</v>
      </c>
      <c r="E850" s="1">
        <f>IFERROR(__xludf.DUMMYFUNCTION("""COMPUTED_VALUE"""),161000.0)</f>
        <v>161000</v>
      </c>
      <c r="F850" s="1">
        <f>IFERROR(__xludf.DUMMYFUNCTION("""COMPUTED_VALUE"""),100753.0)</f>
        <v>100753</v>
      </c>
    </row>
    <row r="851">
      <c r="A851" s="2">
        <f>IFERROR(__xludf.DUMMYFUNCTION("""COMPUTED_VALUE"""),41830.645833333336)</f>
        <v>41830.64583</v>
      </c>
      <c r="B851" s="1">
        <f>IFERROR(__xludf.DUMMYFUNCTION("""COMPUTED_VALUE"""),162400.0)</f>
        <v>162400</v>
      </c>
      <c r="C851" s="1">
        <f>IFERROR(__xludf.DUMMYFUNCTION("""COMPUTED_VALUE"""),163600.0)</f>
        <v>163600</v>
      </c>
      <c r="D851" s="1">
        <f>IFERROR(__xludf.DUMMYFUNCTION("""COMPUTED_VALUE"""),161000.0)</f>
        <v>161000</v>
      </c>
      <c r="E851" s="1">
        <f>IFERROR(__xludf.DUMMYFUNCTION("""COMPUTED_VALUE"""),161400.0)</f>
        <v>161400</v>
      </c>
      <c r="F851" s="1">
        <f>IFERROR(__xludf.DUMMYFUNCTION("""COMPUTED_VALUE"""),56395.0)</f>
        <v>56395</v>
      </c>
    </row>
    <row r="852">
      <c r="A852" s="2">
        <f>IFERROR(__xludf.DUMMYFUNCTION("""COMPUTED_VALUE"""),41831.645833333336)</f>
        <v>41831.64583</v>
      </c>
      <c r="B852" s="1">
        <f>IFERROR(__xludf.DUMMYFUNCTION("""COMPUTED_VALUE"""),159800.0)</f>
        <v>159800</v>
      </c>
      <c r="C852" s="1">
        <f>IFERROR(__xludf.DUMMYFUNCTION("""COMPUTED_VALUE"""),161400.0)</f>
        <v>161400</v>
      </c>
      <c r="D852" s="1">
        <f>IFERROR(__xludf.DUMMYFUNCTION("""COMPUTED_VALUE"""),157600.0)</f>
        <v>157600</v>
      </c>
      <c r="E852" s="1">
        <f>IFERROR(__xludf.DUMMYFUNCTION("""COMPUTED_VALUE"""),158600.0)</f>
        <v>158600</v>
      </c>
      <c r="F852" s="1">
        <f>IFERROR(__xludf.DUMMYFUNCTION("""COMPUTED_VALUE"""),81023.0)</f>
        <v>81023</v>
      </c>
    </row>
    <row r="853">
      <c r="A853" s="2">
        <f>IFERROR(__xludf.DUMMYFUNCTION("""COMPUTED_VALUE"""),41834.645833333336)</f>
        <v>41834.64583</v>
      </c>
      <c r="B853" s="1">
        <f>IFERROR(__xludf.DUMMYFUNCTION("""COMPUTED_VALUE"""),159200.0)</f>
        <v>159200</v>
      </c>
      <c r="C853" s="1">
        <f>IFERROR(__xludf.DUMMYFUNCTION("""COMPUTED_VALUE"""),162200.0)</f>
        <v>162200</v>
      </c>
      <c r="D853" s="1">
        <f>IFERROR(__xludf.DUMMYFUNCTION("""COMPUTED_VALUE"""),158600.0)</f>
        <v>158600</v>
      </c>
      <c r="E853" s="1">
        <f>IFERROR(__xludf.DUMMYFUNCTION("""COMPUTED_VALUE"""),161600.0)</f>
        <v>161600</v>
      </c>
      <c r="F853" s="1">
        <f>IFERROR(__xludf.DUMMYFUNCTION("""COMPUTED_VALUE"""),52160.0)</f>
        <v>52160</v>
      </c>
    </row>
    <row r="854">
      <c r="A854" s="2">
        <f>IFERROR(__xludf.DUMMYFUNCTION("""COMPUTED_VALUE"""),41835.645833333336)</f>
        <v>41835.64583</v>
      </c>
      <c r="B854" s="1">
        <f>IFERROR(__xludf.DUMMYFUNCTION("""COMPUTED_VALUE"""),162800.0)</f>
        <v>162800</v>
      </c>
      <c r="C854" s="1">
        <f>IFERROR(__xludf.DUMMYFUNCTION("""COMPUTED_VALUE"""),165600.0)</f>
        <v>165600</v>
      </c>
      <c r="D854" s="1">
        <f>IFERROR(__xludf.DUMMYFUNCTION("""COMPUTED_VALUE"""),162400.0)</f>
        <v>162400</v>
      </c>
      <c r="E854" s="1">
        <f>IFERROR(__xludf.DUMMYFUNCTION("""COMPUTED_VALUE"""),165400.0)</f>
        <v>165400</v>
      </c>
      <c r="F854" s="1">
        <f>IFERROR(__xludf.DUMMYFUNCTION("""COMPUTED_VALUE"""),77728.0)</f>
        <v>77728</v>
      </c>
    </row>
    <row r="855">
      <c r="A855" s="2">
        <f>IFERROR(__xludf.DUMMYFUNCTION("""COMPUTED_VALUE"""),41836.645833333336)</f>
        <v>41836.64583</v>
      </c>
      <c r="B855" s="1">
        <f>IFERROR(__xludf.DUMMYFUNCTION("""COMPUTED_VALUE"""),168600.0)</f>
        <v>168600</v>
      </c>
      <c r="C855" s="1">
        <f>IFERROR(__xludf.DUMMYFUNCTION("""COMPUTED_VALUE"""),168600.0)</f>
        <v>168600</v>
      </c>
      <c r="D855" s="1">
        <f>IFERROR(__xludf.DUMMYFUNCTION("""COMPUTED_VALUE"""),159000.0)</f>
        <v>159000</v>
      </c>
      <c r="E855" s="1">
        <f>IFERROR(__xludf.DUMMYFUNCTION("""COMPUTED_VALUE"""),159800.0)</f>
        <v>159800</v>
      </c>
      <c r="F855" s="1">
        <f>IFERROR(__xludf.DUMMYFUNCTION("""COMPUTED_VALUE"""),199405.0)</f>
        <v>199405</v>
      </c>
    </row>
    <row r="856">
      <c r="A856" s="2">
        <f>IFERROR(__xludf.DUMMYFUNCTION("""COMPUTED_VALUE"""),41837.645833333336)</f>
        <v>41837.64583</v>
      </c>
      <c r="B856" s="1">
        <f>IFERROR(__xludf.DUMMYFUNCTION("""COMPUTED_VALUE"""),160200.0)</f>
        <v>160200</v>
      </c>
      <c r="C856" s="1">
        <f>IFERROR(__xludf.DUMMYFUNCTION("""COMPUTED_VALUE"""),161000.0)</f>
        <v>161000</v>
      </c>
      <c r="D856" s="1">
        <f>IFERROR(__xludf.DUMMYFUNCTION("""COMPUTED_VALUE"""),156000.0)</f>
        <v>156000</v>
      </c>
      <c r="E856" s="1">
        <f>IFERROR(__xludf.DUMMYFUNCTION("""COMPUTED_VALUE"""),156400.0)</f>
        <v>156400</v>
      </c>
      <c r="F856" s="1">
        <f>IFERROR(__xludf.DUMMYFUNCTION("""COMPUTED_VALUE"""),181944.0)</f>
        <v>181944</v>
      </c>
    </row>
    <row r="857">
      <c r="A857" s="2">
        <f>IFERROR(__xludf.DUMMYFUNCTION("""COMPUTED_VALUE"""),41838.645833333336)</f>
        <v>41838.64583</v>
      </c>
      <c r="B857" s="1">
        <f>IFERROR(__xludf.DUMMYFUNCTION("""COMPUTED_VALUE"""),156000.0)</f>
        <v>156000</v>
      </c>
      <c r="C857" s="1">
        <f>IFERROR(__xludf.DUMMYFUNCTION("""COMPUTED_VALUE"""),157000.0)</f>
        <v>157000</v>
      </c>
      <c r="D857" s="1">
        <f>IFERROR(__xludf.DUMMYFUNCTION("""COMPUTED_VALUE"""),152200.0)</f>
        <v>152200</v>
      </c>
      <c r="E857" s="1">
        <f>IFERROR(__xludf.DUMMYFUNCTION("""COMPUTED_VALUE"""),156600.0)</f>
        <v>156600</v>
      </c>
      <c r="F857" s="1">
        <f>IFERROR(__xludf.DUMMYFUNCTION("""COMPUTED_VALUE"""),146542.0)</f>
        <v>146542</v>
      </c>
    </row>
    <row r="858">
      <c r="A858" s="2">
        <f>IFERROR(__xludf.DUMMYFUNCTION("""COMPUTED_VALUE"""),41841.645833333336)</f>
        <v>41841.64583</v>
      </c>
      <c r="B858" s="1">
        <f>IFERROR(__xludf.DUMMYFUNCTION("""COMPUTED_VALUE"""),158400.0)</f>
        <v>158400</v>
      </c>
      <c r="C858" s="1">
        <f>IFERROR(__xludf.DUMMYFUNCTION("""COMPUTED_VALUE"""),158600.0)</f>
        <v>158600</v>
      </c>
      <c r="D858" s="1">
        <f>IFERROR(__xludf.DUMMYFUNCTION("""COMPUTED_VALUE"""),152600.0)</f>
        <v>152600</v>
      </c>
      <c r="E858" s="1">
        <f>IFERROR(__xludf.DUMMYFUNCTION("""COMPUTED_VALUE"""),153200.0)</f>
        <v>153200</v>
      </c>
      <c r="F858" s="1">
        <f>IFERROR(__xludf.DUMMYFUNCTION("""COMPUTED_VALUE"""),145569.0)</f>
        <v>145569</v>
      </c>
    </row>
    <row r="859">
      <c r="A859" s="2">
        <f>IFERROR(__xludf.DUMMYFUNCTION("""COMPUTED_VALUE"""),41842.645833333336)</f>
        <v>41842.64583</v>
      </c>
      <c r="B859" s="1">
        <f>IFERROR(__xludf.DUMMYFUNCTION("""COMPUTED_VALUE"""),154000.0)</f>
        <v>154000</v>
      </c>
      <c r="C859" s="1">
        <f>IFERROR(__xludf.DUMMYFUNCTION("""COMPUTED_VALUE"""),156600.0)</f>
        <v>156600</v>
      </c>
      <c r="D859" s="1">
        <f>IFERROR(__xludf.DUMMYFUNCTION("""COMPUTED_VALUE"""),153400.0)</f>
        <v>153400</v>
      </c>
      <c r="E859" s="1">
        <f>IFERROR(__xludf.DUMMYFUNCTION("""COMPUTED_VALUE"""),156600.0)</f>
        <v>156600</v>
      </c>
      <c r="F859" s="1">
        <f>IFERROR(__xludf.DUMMYFUNCTION("""COMPUTED_VALUE"""),82320.0)</f>
        <v>82320</v>
      </c>
    </row>
    <row r="860">
      <c r="A860" s="2">
        <f>IFERROR(__xludf.DUMMYFUNCTION("""COMPUTED_VALUE"""),41843.645833333336)</f>
        <v>41843.64583</v>
      </c>
      <c r="B860" s="1">
        <f>IFERROR(__xludf.DUMMYFUNCTION("""COMPUTED_VALUE"""),156600.0)</f>
        <v>156600</v>
      </c>
      <c r="C860" s="1">
        <f>IFERROR(__xludf.DUMMYFUNCTION("""COMPUTED_VALUE"""),157400.0)</f>
        <v>157400</v>
      </c>
      <c r="D860" s="1">
        <f>IFERROR(__xludf.DUMMYFUNCTION("""COMPUTED_VALUE"""),150600.0)</f>
        <v>150600</v>
      </c>
      <c r="E860" s="1">
        <f>IFERROR(__xludf.DUMMYFUNCTION("""COMPUTED_VALUE"""),151800.0)</f>
        <v>151800</v>
      </c>
      <c r="F860" s="1">
        <f>IFERROR(__xludf.DUMMYFUNCTION("""COMPUTED_VALUE"""),189601.0)</f>
        <v>189601</v>
      </c>
    </row>
    <row r="861">
      <c r="A861" s="2">
        <f>IFERROR(__xludf.DUMMYFUNCTION("""COMPUTED_VALUE"""),41844.645833333336)</f>
        <v>41844.64583</v>
      </c>
      <c r="B861" s="1">
        <f>IFERROR(__xludf.DUMMYFUNCTION("""COMPUTED_VALUE"""),151000.0)</f>
        <v>151000</v>
      </c>
      <c r="C861" s="1">
        <f>IFERROR(__xludf.DUMMYFUNCTION("""COMPUTED_VALUE"""),153600.0)</f>
        <v>153600</v>
      </c>
      <c r="D861" s="1">
        <f>IFERROR(__xludf.DUMMYFUNCTION("""COMPUTED_VALUE"""),150000.0)</f>
        <v>150000</v>
      </c>
      <c r="E861" s="1">
        <f>IFERROR(__xludf.DUMMYFUNCTION("""COMPUTED_VALUE"""),150800.0)</f>
        <v>150800</v>
      </c>
      <c r="F861" s="1">
        <f>IFERROR(__xludf.DUMMYFUNCTION("""COMPUTED_VALUE"""),162223.0)</f>
        <v>162223</v>
      </c>
    </row>
    <row r="862">
      <c r="A862" s="2">
        <f>IFERROR(__xludf.DUMMYFUNCTION("""COMPUTED_VALUE"""),41845.645833333336)</f>
        <v>41845.64583</v>
      </c>
      <c r="B862" s="1">
        <f>IFERROR(__xludf.DUMMYFUNCTION("""COMPUTED_VALUE"""),151600.0)</f>
        <v>151600</v>
      </c>
      <c r="C862" s="1">
        <f>IFERROR(__xludf.DUMMYFUNCTION("""COMPUTED_VALUE"""),153800.0)</f>
        <v>153800</v>
      </c>
      <c r="D862" s="1">
        <f>IFERROR(__xludf.DUMMYFUNCTION("""COMPUTED_VALUE"""),150800.0)</f>
        <v>150800</v>
      </c>
      <c r="E862" s="1">
        <f>IFERROR(__xludf.DUMMYFUNCTION("""COMPUTED_VALUE"""),151400.0)</f>
        <v>151400</v>
      </c>
      <c r="F862" s="1">
        <f>IFERROR(__xludf.DUMMYFUNCTION("""COMPUTED_VALUE"""),140486.0)</f>
        <v>140486</v>
      </c>
    </row>
    <row r="863">
      <c r="A863" s="2">
        <f>IFERROR(__xludf.DUMMYFUNCTION("""COMPUTED_VALUE"""),41848.645833333336)</f>
        <v>41848.64583</v>
      </c>
      <c r="B863" s="1">
        <f>IFERROR(__xludf.DUMMYFUNCTION("""COMPUTED_VALUE"""),151800.0)</f>
        <v>151800</v>
      </c>
      <c r="C863" s="1">
        <f>IFERROR(__xludf.DUMMYFUNCTION("""COMPUTED_VALUE"""),153400.0)</f>
        <v>153400</v>
      </c>
      <c r="D863" s="1">
        <f>IFERROR(__xludf.DUMMYFUNCTION("""COMPUTED_VALUE"""),151400.0)</f>
        <v>151400</v>
      </c>
      <c r="E863" s="1">
        <f>IFERROR(__xludf.DUMMYFUNCTION("""COMPUTED_VALUE"""),152800.0)</f>
        <v>152800</v>
      </c>
      <c r="F863" s="1">
        <f>IFERROR(__xludf.DUMMYFUNCTION("""COMPUTED_VALUE"""),97017.0)</f>
        <v>97017</v>
      </c>
    </row>
    <row r="864">
      <c r="A864" s="2">
        <f>IFERROR(__xludf.DUMMYFUNCTION("""COMPUTED_VALUE"""),41849.645833333336)</f>
        <v>41849.64583</v>
      </c>
      <c r="B864" s="1">
        <f>IFERROR(__xludf.DUMMYFUNCTION("""COMPUTED_VALUE"""),151600.0)</f>
        <v>151600</v>
      </c>
      <c r="C864" s="1">
        <f>IFERROR(__xludf.DUMMYFUNCTION("""COMPUTED_VALUE"""),152000.0)</f>
        <v>152000</v>
      </c>
      <c r="D864" s="1">
        <f>IFERROR(__xludf.DUMMYFUNCTION("""COMPUTED_VALUE"""),145800.0)</f>
        <v>145800</v>
      </c>
      <c r="E864" s="1">
        <f>IFERROR(__xludf.DUMMYFUNCTION("""COMPUTED_VALUE"""),146800.0)</f>
        <v>146800</v>
      </c>
      <c r="F864" s="1">
        <f>IFERROR(__xludf.DUMMYFUNCTION("""COMPUTED_VALUE"""),202253.0)</f>
        <v>202253</v>
      </c>
    </row>
    <row r="865">
      <c r="A865" s="2">
        <f>IFERROR(__xludf.DUMMYFUNCTION("""COMPUTED_VALUE"""),41850.645833333336)</f>
        <v>41850.64583</v>
      </c>
      <c r="B865" s="1">
        <f>IFERROR(__xludf.DUMMYFUNCTION("""COMPUTED_VALUE"""),149000.0)</f>
        <v>149000</v>
      </c>
      <c r="C865" s="1">
        <f>IFERROR(__xludf.DUMMYFUNCTION("""COMPUTED_VALUE"""),155800.0)</f>
        <v>155800</v>
      </c>
      <c r="D865" s="1">
        <f>IFERROR(__xludf.DUMMYFUNCTION("""COMPUTED_VALUE"""),146600.0)</f>
        <v>146600</v>
      </c>
      <c r="E865" s="1">
        <f>IFERROR(__xludf.DUMMYFUNCTION("""COMPUTED_VALUE"""),153800.0)</f>
        <v>153800</v>
      </c>
      <c r="F865" s="1">
        <f>IFERROR(__xludf.DUMMYFUNCTION("""COMPUTED_VALUE"""),261185.0)</f>
        <v>261185</v>
      </c>
    </row>
    <row r="866">
      <c r="A866" s="2">
        <f>IFERROR(__xludf.DUMMYFUNCTION("""COMPUTED_VALUE"""),41851.645833333336)</f>
        <v>41851.64583</v>
      </c>
      <c r="B866" s="1">
        <f>IFERROR(__xludf.DUMMYFUNCTION("""COMPUTED_VALUE"""),155800.0)</f>
        <v>155800</v>
      </c>
      <c r="C866" s="1">
        <f>IFERROR(__xludf.DUMMYFUNCTION("""COMPUTED_VALUE"""),157000.0)</f>
        <v>157000</v>
      </c>
      <c r="D866" s="1">
        <f>IFERROR(__xludf.DUMMYFUNCTION("""COMPUTED_VALUE"""),147400.0)</f>
        <v>147400</v>
      </c>
      <c r="E866" s="1">
        <f>IFERROR(__xludf.DUMMYFUNCTION("""COMPUTED_VALUE"""),149800.0)</f>
        <v>149800</v>
      </c>
      <c r="F866" s="1">
        <f>IFERROR(__xludf.DUMMYFUNCTION("""COMPUTED_VALUE"""),311071.0)</f>
        <v>311071</v>
      </c>
    </row>
    <row r="867">
      <c r="A867" s="2">
        <f>IFERROR(__xludf.DUMMYFUNCTION("""COMPUTED_VALUE"""),41852.645833333336)</f>
        <v>41852.64583</v>
      </c>
      <c r="B867" s="1">
        <f>IFERROR(__xludf.DUMMYFUNCTION("""COMPUTED_VALUE"""),147600.0)</f>
        <v>147600</v>
      </c>
      <c r="C867" s="1">
        <f>IFERROR(__xludf.DUMMYFUNCTION("""COMPUTED_VALUE"""),155000.0)</f>
        <v>155000</v>
      </c>
      <c r="D867" s="1">
        <f>IFERROR(__xludf.DUMMYFUNCTION("""COMPUTED_VALUE"""),147200.0)</f>
        <v>147200</v>
      </c>
      <c r="E867" s="1">
        <f>IFERROR(__xludf.DUMMYFUNCTION("""COMPUTED_VALUE"""),152800.0)</f>
        <v>152800</v>
      </c>
      <c r="F867" s="1">
        <f>IFERROR(__xludf.DUMMYFUNCTION("""COMPUTED_VALUE"""),146637.0)</f>
        <v>146637</v>
      </c>
    </row>
    <row r="868">
      <c r="A868" s="2">
        <f>IFERROR(__xludf.DUMMYFUNCTION("""COMPUTED_VALUE"""),41855.645833333336)</f>
        <v>41855.64583</v>
      </c>
      <c r="B868" s="1">
        <f>IFERROR(__xludf.DUMMYFUNCTION("""COMPUTED_VALUE"""),154600.0)</f>
        <v>154600</v>
      </c>
      <c r="C868" s="1">
        <f>IFERROR(__xludf.DUMMYFUNCTION("""COMPUTED_VALUE"""),156800.0)</f>
        <v>156800</v>
      </c>
      <c r="D868" s="1">
        <f>IFERROR(__xludf.DUMMYFUNCTION("""COMPUTED_VALUE"""),154000.0)</f>
        <v>154000</v>
      </c>
      <c r="E868" s="1">
        <f>IFERROR(__xludf.DUMMYFUNCTION("""COMPUTED_VALUE"""),156600.0)</f>
        <v>156600</v>
      </c>
      <c r="F868" s="1">
        <f>IFERROR(__xludf.DUMMYFUNCTION("""COMPUTED_VALUE"""),118708.0)</f>
        <v>118708</v>
      </c>
    </row>
    <row r="869">
      <c r="A869" s="2">
        <f>IFERROR(__xludf.DUMMYFUNCTION("""COMPUTED_VALUE"""),41856.645833333336)</f>
        <v>41856.64583</v>
      </c>
      <c r="B869" s="1">
        <f>IFERROR(__xludf.DUMMYFUNCTION("""COMPUTED_VALUE"""),157600.0)</f>
        <v>157600</v>
      </c>
      <c r="C869" s="1">
        <f>IFERROR(__xludf.DUMMYFUNCTION("""COMPUTED_VALUE"""),157800.0)</f>
        <v>157800</v>
      </c>
      <c r="D869" s="1">
        <f>IFERROR(__xludf.DUMMYFUNCTION("""COMPUTED_VALUE"""),150600.0)</f>
        <v>150600</v>
      </c>
      <c r="E869" s="1">
        <f>IFERROR(__xludf.DUMMYFUNCTION("""COMPUTED_VALUE"""),152400.0)</f>
        <v>152400</v>
      </c>
      <c r="F869" s="1">
        <f>IFERROR(__xludf.DUMMYFUNCTION("""COMPUTED_VALUE"""),148673.0)</f>
        <v>148673</v>
      </c>
    </row>
    <row r="870">
      <c r="A870" s="2">
        <f>IFERROR(__xludf.DUMMYFUNCTION("""COMPUTED_VALUE"""),41857.645833333336)</f>
        <v>41857.64583</v>
      </c>
      <c r="B870" s="1">
        <f>IFERROR(__xludf.DUMMYFUNCTION("""COMPUTED_VALUE"""),152000.0)</f>
        <v>152000</v>
      </c>
      <c r="C870" s="1">
        <f>IFERROR(__xludf.DUMMYFUNCTION("""COMPUTED_VALUE"""),152000.0)</f>
        <v>152000</v>
      </c>
      <c r="D870" s="1">
        <f>IFERROR(__xludf.DUMMYFUNCTION("""COMPUTED_VALUE"""),149200.0)</f>
        <v>149200</v>
      </c>
      <c r="E870" s="1">
        <f>IFERROR(__xludf.DUMMYFUNCTION("""COMPUTED_VALUE"""),151400.0)</f>
        <v>151400</v>
      </c>
      <c r="F870" s="1">
        <f>IFERROR(__xludf.DUMMYFUNCTION("""COMPUTED_VALUE"""),97729.0)</f>
        <v>97729</v>
      </c>
    </row>
    <row r="871">
      <c r="A871" s="2">
        <f>IFERROR(__xludf.DUMMYFUNCTION("""COMPUTED_VALUE"""),41858.645833333336)</f>
        <v>41858.64583</v>
      </c>
      <c r="B871" s="1">
        <f>IFERROR(__xludf.DUMMYFUNCTION("""COMPUTED_VALUE"""),150600.0)</f>
        <v>150600</v>
      </c>
      <c r="C871" s="1">
        <f>IFERROR(__xludf.DUMMYFUNCTION("""COMPUTED_VALUE"""),151400.0)</f>
        <v>151400</v>
      </c>
      <c r="D871" s="1">
        <f>IFERROR(__xludf.DUMMYFUNCTION("""COMPUTED_VALUE"""),147200.0)</f>
        <v>147200</v>
      </c>
      <c r="E871" s="1">
        <f>IFERROR(__xludf.DUMMYFUNCTION("""COMPUTED_VALUE"""),149000.0)</f>
        <v>149000</v>
      </c>
      <c r="F871" s="1">
        <f>IFERROR(__xludf.DUMMYFUNCTION("""COMPUTED_VALUE"""),85897.0)</f>
        <v>85897</v>
      </c>
    </row>
    <row r="872">
      <c r="A872" s="2">
        <f>IFERROR(__xludf.DUMMYFUNCTION("""COMPUTED_VALUE"""),41859.645833333336)</f>
        <v>41859.64583</v>
      </c>
      <c r="B872" s="1">
        <f>IFERROR(__xludf.DUMMYFUNCTION("""COMPUTED_VALUE"""),151000.0)</f>
        <v>151000</v>
      </c>
      <c r="C872" s="1">
        <f>IFERROR(__xludf.DUMMYFUNCTION("""COMPUTED_VALUE"""),154000.0)</f>
        <v>154000</v>
      </c>
      <c r="D872" s="1">
        <f>IFERROR(__xludf.DUMMYFUNCTION("""COMPUTED_VALUE"""),150200.0)</f>
        <v>150200</v>
      </c>
      <c r="E872" s="1">
        <f>IFERROR(__xludf.DUMMYFUNCTION("""COMPUTED_VALUE"""),153800.0)</f>
        <v>153800</v>
      </c>
      <c r="F872" s="1">
        <f>IFERROR(__xludf.DUMMYFUNCTION("""COMPUTED_VALUE"""),142744.0)</f>
        <v>142744</v>
      </c>
    </row>
    <row r="873">
      <c r="A873" s="2">
        <f>IFERROR(__xludf.DUMMYFUNCTION("""COMPUTED_VALUE"""),41862.645833333336)</f>
        <v>41862.64583</v>
      </c>
      <c r="B873" s="1">
        <f>IFERROR(__xludf.DUMMYFUNCTION("""COMPUTED_VALUE"""),156000.0)</f>
        <v>156000</v>
      </c>
      <c r="C873" s="1">
        <f>IFERROR(__xludf.DUMMYFUNCTION("""COMPUTED_VALUE"""),156000.0)</f>
        <v>156000</v>
      </c>
      <c r="D873" s="1">
        <f>IFERROR(__xludf.DUMMYFUNCTION("""COMPUTED_VALUE"""),151000.0)</f>
        <v>151000</v>
      </c>
      <c r="E873" s="1">
        <f>IFERROR(__xludf.DUMMYFUNCTION("""COMPUTED_VALUE"""),152000.0)</f>
        <v>152000</v>
      </c>
      <c r="F873" s="1">
        <f>IFERROR(__xludf.DUMMYFUNCTION("""COMPUTED_VALUE"""),75513.0)</f>
        <v>75513</v>
      </c>
    </row>
    <row r="874">
      <c r="A874" s="2">
        <f>IFERROR(__xludf.DUMMYFUNCTION("""COMPUTED_VALUE"""),41863.645833333336)</f>
        <v>41863.64583</v>
      </c>
      <c r="B874" s="1">
        <f>IFERROR(__xludf.DUMMYFUNCTION("""COMPUTED_VALUE"""),153400.0)</f>
        <v>153400</v>
      </c>
      <c r="C874" s="1">
        <f>IFERROR(__xludf.DUMMYFUNCTION("""COMPUTED_VALUE"""),156400.0)</f>
        <v>156400</v>
      </c>
      <c r="D874" s="1">
        <f>IFERROR(__xludf.DUMMYFUNCTION("""COMPUTED_VALUE"""),152400.0)</f>
        <v>152400</v>
      </c>
      <c r="E874" s="1">
        <f>IFERROR(__xludf.DUMMYFUNCTION("""COMPUTED_VALUE"""),154200.0)</f>
        <v>154200</v>
      </c>
      <c r="F874" s="1">
        <f>IFERROR(__xludf.DUMMYFUNCTION("""COMPUTED_VALUE"""),115761.0)</f>
        <v>115761</v>
      </c>
    </row>
    <row r="875">
      <c r="A875" s="2">
        <f>IFERROR(__xludf.DUMMYFUNCTION("""COMPUTED_VALUE"""),41864.645833333336)</f>
        <v>41864.64583</v>
      </c>
      <c r="B875" s="1">
        <f>IFERROR(__xludf.DUMMYFUNCTION("""COMPUTED_VALUE"""),154200.0)</f>
        <v>154200</v>
      </c>
      <c r="C875" s="1">
        <f>IFERROR(__xludf.DUMMYFUNCTION("""COMPUTED_VALUE"""),160200.0)</f>
        <v>160200</v>
      </c>
      <c r="D875" s="1">
        <f>IFERROR(__xludf.DUMMYFUNCTION("""COMPUTED_VALUE"""),154000.0)</f>
        <v>154000</v>
      </c>
      <c r="E875" s="1">
        <f>IFERROR(__xludf.DUMMYFUNCTION("""COMPUTED_VALUE"""),160000.0)</f>
        <v>160000</v>
      </c>
      <c r="F875" s="1">
        <f>IFERROR(__xludf.DUMMYFUNCTION("""COMPUTED_VALUE"""),205384.0)</f>
        <v>205384</v>
      </c>
    </row>
    <row r="876">
      <c r="A876" s="2">
        <f>IFERROR(__xludf.DUMMYFUNCTION("""COMPUTED_VALUE"""),41865.645833333336)</f>
        <v>41865.64583</v>
      </c>
      <c r="B876" s="1">
        <f>IFERROR(__xludf.DUMMYFUNCTION("""COMPUTED_VALUE"""),160000.0)</f>
        <v>160000</v>
      </c>
      <c r="C876" s="1">
        <f>IFERROR(__xludf.DUMMYFUNCTION("""COMPUTED_VALUE"""),161000.0)</f>
        <v>161000</v>
      </c>
      <c r="D876" s="1">
        <f>IFERROR(__xludf.DUMMYFUNCTION("""COMPUTED_VALUE"""),157000.0)</f>
        <v>157000</v>
      </c>
      <c r="E876" s="1">
        <f>IFERROR(__xludf.DUMMYFUNCTION("""COMPUTED_VALUE"""),158800.0)</f>
        <v>158800</v>
      </c>
      <c r="F876" s="1">
        <f>IFERROR(__xludf.DUMMYFUNCTION("""COMPUTED_VALUE"""),91178.0)</f>
        <v>91178</v>
      </c>
    </row>
    <row r="877">
      <c r="A877" s="2">
        <f>IFERROR(__xludf.DUMMYFUNCTION("""COMPUTED_VALUE"""),41869.645833333336)</f>
        <v>41869.64583</v>
      </c>
      <c r="B877" s="1">
        <f>IFERROR(__xludf.DUMMYFUNCTION("""COMPUTED_VALUE"""),160000.0)</f>
        <v>160000</v>
      </c>
      <c r="C877" s="1">
        <f>IFERROR(__xludf.DUMMYFUNCTION("""COMPUTED_VALUE"""),160600.0)</f>
        <v>160600</v>
      </c>
      <c r="D877" s="1">
        <f>IFERROR(__xludf.DUMMYFUNCTION("""COMPUTED_VALUE"""),157800.0)</f>
        <v>157800</v>
      </c>
      <c r="E877" s="1">
        <f>IFERROR(__xludf.DUMMYFUNCTION("""COMPUTED_VALUE"""),158800.0)</f>
        <v>158800</v>
      </c>
      <c r="F877" s="1">
        <f>IFERROR(__xludf.DUMMYFUNCTION("""COMPUTED_VALUE"""),75004.0)</f>
        <v>75004</v>
      </c>
    </row>
    <row r="878">
      <c r="A878" s="2">
        <f>IFERROR(__xludf.DUMMYFUNCTION("""COMPUTED_VALUE"""),41870.645833333336)</f>
        <v>41870.64583</v>
      </c>
      <c r="B878" s="1">
        <f>IFERROR(__xludf.DUMMYFUNCTION("""COMPUTED_VALUE"""),160800.0)</f>
        <v>160800</v>
      </c>
      <c r="C878" s="1">
        <f>IFERROR(__xludf.DUMMYFUNCTION("""COMPUTED_VALUE"""),162200.0)</f>
        <v>162200</v>
      </c>
      <c r="D878" s="1">
        <f>IFERROR(__xludf.DUMMYFUNCTION("""COMPUTED_VALUE"""),158800.0)</f>
        <v>158800</v>
      </c>
      <c r="E878" s="1">
        <f>IFERROR(__xludf.DUMMYFUNCTION("""COMPUTED_VALUE"""),160000.0)</f>
        <v>160000</v>
      </c>
      <c r="F878" s="1">
        <f>IFERROR(__xludf.DUMMYFUNCTION("""COMPUTED_VALUE"""),95305.0)</f>
        <v>95305</v>
      </c>
    </row>
    <row r="879">
      <c r="A879" s="2">
        <f>IFERROR(__xludf.DUMMYFUNCTION("""COMPUTED_VALUE"""),41871.645833333336)</f>
        <v>41871.64583</v>
      </c>
      <c r="B879" s="1">
        <f>IFERROR(__xludf.DUMMYFUNCTION("""COMPUTED_VALUE"""),160800.0)</f>
        <v>160800</v>
      </c>
      <c r="C879" s="1">
        <f>IFERROR(__xludf.DUMMYFUNCTION("""COMPUTED_VALUE"""),161400.0)</f>
        <v>161400</v>
      </c>
      <c r="D879" s="1">
        <f>IFERROR(__xludf.DUMMYFUNCTION("""COMPUTED_VALUE"""),156800.0)</f>
        <v>156800</v>
      </c>
      <c r="E879" s="1">
        <f>IFERROR(__xludf.DUMMYFUNCTION("""COMPUTED_VALUE"""),157800.0)</f>
        <v>157800</v>
      </c>
      <c r="F879" s="1">
        <f>IFERROR(__xludf.DUMMYFUNCTION("""COMPUTED_VALUE"""),77670.0)</f>
        <v>77670</v>
      </c>
    </row>
    <row r="880">
      <c r="A880" s="2">
        <f>IFERROR(__xludf.DUMMYFUNCTION("""COMPUTED_VALUE"""),41872.645833333336)</f>
        <v>41872.64583</v>
      </c>
      <c r="B880" s="1">
        <f>IFERROR(__xludf.DUMMYFUNCTION("""COMPUTED_VALUE"""),156000.0)</f>
        <v>156000</v>
      </c>
      <c r="C880" s="1">
        <f>IFERROR(__xludf.DUMMYFUNCTION("""COMPUTED_VALUE"""),156600.0)</f>
        <v>156600</v>
      </c>
      <c r="D880" s="1">
        <f>IFERROR(__xludf.DUMMYFUNCTION("""COMPUTED_VALUE"""),151600.0)</f>
        <v>151600</v>
      </c>
      <c r="E880" s="1">
        <f>IFERROR(__xludf.DUMMYFUNCTION("""COMPUTED_VALUE"""),151800.0)</f>
        <v>151800</v>
      </c>
      <c r="F880" s="1">
        <f>IFERROR(__xludf.DUMMYFUNCTION("""COMPUTED_VALUE"""),129827.0)</f>
        <v>129827</v>
      </c>
    </row>
    <row r="881">
      <c r="A881" s="2">
        <f>IFERROR(__xludf.DUMMYFUNCTION("""COMPUTED_VALUE"""),41873.645833333336)</f>
        <v>41873.64583</v>
      </c>
      <c r="B881" s="1">
        <f>IFERROR(__xludf.DUMMYFUNCTION("""COMPUTED_VALUE"""),151800.0)</f>
        <v>151800</v>
      </c>
      <c r="C881" s="1">
        <f>IFERROR(__xludf.DUMMYFUNCTION("""COMPUTED_VALUE"""),155400.0)</f>
        <v>155400</v>
      </c>
      <c r="D881" s="1">
        <f>IFERROR(__xludf.DUMMYFUNCTION("""COMPUTED_VALUE"""),151800.0)</f>
        <v>151800</v>
      </c>
      <c r="E881" s="1">
        <f>IFERROR(__xludf.DUMMYFUNCTION("""COMPUTED_VALUE"""),154800.0)</f>
        <v>154800</v>
      </c>
      <c r="F881" s="1">
        <f>IFERROR(__xludf.DUMMYFUNCTION("""COMPUTED_VALUE"""),48959.0)</f>
        <v>48959</v>
      </c>
    </row>
    <row r="882">
      <c r="A882" s="2">
        <f>IFERROR(__xludf.DUMMYFUNCTION("""COMPUTED_VALUE"""),41876.645833333336)</f>
        <v>41876.64583</v>
      </c>
      <c r="B882" s="1">
        <f>IFERROR(__xludf.DUMMYFUNCTION("""COMPUTED_VALUE"""),156000.0)</f>
        <v>156000</v>
      </c>
      <c r="C882" s="1">
        <f>IFERROR(__xludf.DUMMYFUNCTION("""COMPUTED_VALUE"""),156600.0)</f>
        <v>156600</v>
      </c>
      <c r="D882" s="1">
        <f>IFERROR(__xludf.DUMMYFUNCTION("""COMPUTED_VALUE"""),153800.0)</f>
        <v>153800</v>
      </c>
      <c r="E882" s="1">
        <f>IFERROR(__xludf.DUMMYFUNCTION("""COMPUTED_VALUE"""),155400.0)</f>
        <v>155400</v>
      </c>
      <c r="F882" s="1">
        <f>IFERROR(__xludf.DUMMYFUNCTION("""COMPUTED_VALUE"""),46589.0)</f>
        <v>46589</v>
      </c>
    </row>
    <row r="883">
      <c r="A883" s="2">
        <f>IFERROR(__xludf.DUMMYFUNCTION("""COMPUTED_VALUE"""),41877.645833333336)</f>
        <v>41877.64583</v>
      </c>
      <c r="B883" s="1">
        <f>IFERROR(__xludf.DUMMYFUNCTION("""COMPUTED_VALUE"""),156800.0)</f>
        <v>156800</v>
      </c>
      <c r="C883" s="1">
        <f>IFERROR(__xludf.DUMMYFUNCTION("""COMPUTED_VALUE"""),157200.0)</f>
        <v>157200</v>
      </c>
      <c r="D883" s="1">
        <f>IFERROR(__xludf.DUMMYFUNCTION("""COMPUTED_VALUE"""),154400.0)</f>
        <v>154400</v>
      </c>
      <c r="E883" s="1">
        <f>IFERROR(__xludf.DUMMYFUNCTION("""COMPUTED_VALUE"""),155800.0)</f>
        <v>155800</v>
      </c>
      <c r="F883" s="1">
        <f>IFERROR(__xludf.DUMMYFUNCTION("""COMPUTED_VALUE"""),52850.0)</f>
        <v>52850</v>
      </c>
    </row>
    <row r="884">
      <c r="A884" s="2">
        <f>IFERROR(__xludf.DUMMYFUNCTION("""COMPUTED_VALUE"""),41878.645833333336)</f>
        <v>41878.64583</v>
      </c>
      <c r="B884" s="1">
        <f>IFERROR(__xludf.DUMMYFUNCTION("""COMPUTED_VALUE"""),155400.0)</f>
        <v>155400</v>
      </c>
      <c r="C884" s="1">
        <f>IFERROR(__xludf.DUMMYFUNCTION("""COMPUTED_VALUE"""),159200.0)</f>
        <v>159200</v>
      </c>
      <c r="D884" s="1">
        <f>IFERROR(__xludf.DUMMYFUNCTION("""COMPUTED_VALUE"""),154400.0)</f>
        <v>154400</v>
      </c>
      <c r="E884" s="1">
        <f>IFERROR(__xludf.DUMMYFUNCTION("""COMPUTED_VALUE"""),156000.0)</f>
        <v>156000</v>
      </c>
      <c r="F884" s="1">
        <f>IFERROR(__xludf.DUMMYFUNCTION("""COMPUTED_VALUE"""),70426.0)</f>
        <v>70426</v>
      </c>
    </row>
    <row r="885">
      <c r="A885" s="2">
        <f>IFERROR(__xludf.DUMMYFUNCTION("""COMPUTED_VALUE"""),41879.645833333336)</f>
        <v>41879.64583</v>
      </c>
      <c r="B885" s="1">
        <f>IFERROR(__xludf.DUMMYFUNCTION("""COMPUTED_VALUE"""),156000.0)</f>
        <v>156000</v>
      </c>
      <c r="C885" s="1">
        <f>IFERROR(__xludf.DUMMYFUNCTION("""COMPUTED_VALUE"""),156600.0)</f>
        <v>156600</v>
      </c>
      <c r="D885" s="1">
        <f>IFERROR(__xludf.DUMMYFUNCTION("""COMPUTED_VALUE"""),153000.0)</f>
        <v>153000</v>
      </c>
      <c r="E885" s="1">
        <f>IFERROR(__xludf.DUMMYFUNCTION("""COMPUTED_VALUE"""),153000.0)</f>
        <v>153000</v>
      </c>
      <c r="F885" s="1">
        <f>IFERROR(__xludf.DUMMYFUNCTION("""COMPUTED_VALUE"""),64869.0)</f>
        <v>64869</v>
      </c>
    </row>
    <row r="886">
      <c r="A886" s="2">
        <f>IFERROR(__xludf.DUMMYFUNCTION("""COMPUTED_VALUE"""),41880.645833333336)</f>
        <v>41880.64583</v>
      </c>
      <c r="B886" s="1">
        <f>IFERROR(__xludf.DUMMYFUNCTION("""COMPUTED_VALUE"""),153800.0)</f>
        <v>153800</v>
      </c>
      <c r="C886" s="1">
        <f>IFERROR(__xludf.DUMMYFUNCTION("""COMPUTED_VALUE"""),155600.0)</f>
        <v>155600</v>
      </c>
      <c r="D886" s="1">
        <f>IFERROR(__xludf.DUMMYFUNCTION("""COMPUTED_VALUE"""),152800.0)</f>
        <v>152800</v>
      </c>
      <c r="E886" s="1">
        <f>IFERROR(__xludf.DUMMYFUNCTION("""COMPUTED_VALUE"""),153600.0)</f>
        <v>153600</v>
      </c>
      <c r="F886" s="1">
        <f>IFERROR(__xludf.DUMMYFUNCTION("""COMPUTED_VALUE"""),69184.0)</f>
        <v>69184</v>
      </c>
    </row>
    <row r="887">
      <c r="A887" s="2">
        <f>IFERROR(__xludf.DUMMYFUNCTION("""COMPUTED_VALUE"""),41883.645833333336)</f>
        <v>41883.64583</v>
      </c>
      <c r="B887" s="1">
        <f>IFERROR(__xludf.DUMMYFUNCTION("""COMPUTED_VALUE"""),153600.0)</f>
        <v>153600</v>
      </c>
      <c r="C887" s="1">
        <f>IFERROR(__xludf.DUMMYFUNCTION("""COMPUTED_VALUE"""),155200.0)</f>
        <v>155200</v>
      </c>
      <c r="D887" s="1">
        <f>IFERROR(__xludf.DUMMYFUNCTION("""COMPUTED_VALUE"""),152600.0)</f>
        <v>152600</v>
      </c>
      <c r="E887" s="1">
        <f>IFERROR(__xludf.DUMMYFUNCTION("""COMPUTED_VALUE"""),153000.0)</f>
        <v>153000</v>
      </c>
      <c r="F887" s="1">
        <f>IFERROR(__xludf.DUMMYFUNCTION("""COMPUTED_VALUE"""),26696.0)</f>
        <v>26696</v>
      </c>
    </row>
    <row r="888">
      <c r="A888" s="2">
        <f>IFERROR(__xludf.DUMMYFUNCTION("""COMPUTED_VALUE"""),41884.645833333336)</f>
        <v>41884.64583</v>
      </c>
      <c r="B888" s="1">
        <f>IFERROR(__xludf.DUMMYFUNCTION("""COMPUTED_VALUE"""),152600.0)</f>
        <v>152600</v>
      </c>
      <c r="C888" s="1">
        <f>IFERROR(__xludf.DUMMYFUNCTION("""COMPUTED_VALUE"""),154200.0)</f>
        <v>154200</v>
      </c>
      <c r="D888" s="1">
        <f>IFERROR(__xludf.DUMMYFUNCTION("""COMPUTED_VALUE"""),152200.0)</f>
        <v>152200</v>
      </c>
      <c r="E888" s="1">
        <f>IFERROR(__xludf.DUMMYFUNCTION("""COMPUTED_VALUE"""),152600.0)</f>
        <v>152600</v>
      </c>
      <c r="F888" s="1">
        <f>IFERROR(__xludf.DUMMYFUNCTION("""COMPUTED_VALUE"""),51547.0)</f>
        <v>51547</v>
      </c>
    </row>
    <row r="889">
      <c r="A889" s="2">
        <f>IFERROR(__xludf.DUMMYFUNCTION("""COMPUTED_VALUE"""),41885.645833333336)</f>
        <v>41885.64583</v>
      </c>
      <c r="B889" s="1">
        <f>IFERROR(__xludf.DUMMYFUNCTION("""COMPUTED_VALUE"""),152600.0)</f>
        <v>152600</v>
      </c>
      <c r="C889" s="1">
        <f>IFERROR(__xludf.DUMMYFUNCTION("""COMPUTED_VALUE"""),153000.0)</f>
        <v>153000</v>
      </c>
      <c r="D889" s="1">
        <f>IFERROR(__xludf.DUMMYFUNCTION("""COMPUTED_VALUE"""),150000.0)</f>
        <v>150000</v>
      </c>
      <c r="E889" s="1">
        <f>IFERROR(__xludf.DUMMYFUNCTION("""COMPUTED_VALUE"""),150000.0)</f>
        <v>150000</v>
      </c>
      <c r="F889" s="1">
        <f>IFERROR(__xludf.DUMMYFUNCTION("""COMPUTED_VALUE"""),86429.0)</f>
        <v>86429</v>
      </c>
    </row>
    <row r="890">
      <c r="A890" s="2">
        <f>IFERROR(__xludf.DUMMYFUNCTION("""COMPUTED_VALUE"""),41886.645833333336)</f>
        <v>41886.64583</v>
      </c>
      <c r="B890" s="1">
        <f>IFERROR(__xludf.DUMMYFUNCTION("""COMPUTED_VALUE"""),150000.0)</f>
        <v>150000</v>
      </c>
      <c r="C890" s="1">
        <f>IFERROR(__xludf.DUMMYFUNCTION("""COMPUTED_VALUE"""),151000.0)</f>
        <v>151000</v>
      </c>
      <c r="D890" s="1">
        <f>IFERROR(__xludf.DUMMYFUNCTION("""COMPUTED_VALUE"""),149200.0)</f>
        <v>149200</v>
      </c>
      <c r="E890" s="1">
        <f>IFERROR(__xludf.DUMMYFUNCTION("""COMPUTED_VALUE"""),150000.0)</f>
        <v>150000</v>
      </c>
      <c r="F890" s="1">
        <f>IFERROR(__xludf.DUMMYFUNCTION("""COMPUTED_VALUE"""),86155.0)</f>
        <v>86155</v>
      </c>
    </row>
    <row r="891">
      <c r="A891" s="2">
        <f>IFERROR(__xludf.DUMMYFUNCTION("""COMPUTED_VALUE"""),41887.645833333336)</f>
        <v>41887.64583</v>
      </c>
      <c r="B891" s="1">
        <f>IFERROR(__xludf.DUMMYFUNCTION("""COMPUTED_VALUE"""),150000.0)</f>
        <v>150000</v>
      </c>
      <c r="C891" s="1">
        <f>IFERROR(__xludf.DUMMYFUNCTION("""COMPUTED_VALUE"""),150800.0)</f>
        <v>150800</v>
      </c>
      <c r="D891" s="1">
        <f>IFERROR(__xludf.DUMMYFUNCTION("""COMPUTED_VALUE"""),143800.0)</f>
        <v>143800</v>
      </c>
      <c r="E891" s="1">
        <f>IFERROR(__xludf.DUMMYFUNCTION("""COMPUTED_VALUE"""),145000.0)</f>
        <v>145000</v>
      </c>
      <c r="F891" s="1">
        <f>IFERROR(__xludf.DUMMYFUNCTION("""COMPUTED_VALUE"""),155529.0)</f>
        <v>155529</v>
      </c>
    </row>
    <row r="892">
      <c r="A892" s="2">
        <f>IFERROR(__xludf.DUMMYFUNCTION("""COMPUTED_VALUE"""),41893.645833333336)</f>
        <v>41893.64583</v>
      </c>
      <c r="B892" s="1">
        <f>IFERROR(__xludf.DUMMYFUNCTION("""COMPUTED_VALUE"""),144000.0)</f>
        <v>144000</v>
      </c>
      <c r="C892" s="1">
        <f>IFERROR(__xludf.DUMMYFUNCTION("""COMPUTED_VALUE"""),144600.0)</f>
        <v>144600</v>
      </c>
      <c r="D892" s="1">
        <f>IFERROR(__xludf.DUMMYFUNCTION("""COMPUTED_VALUE"""),139600.0)</f>
        <v>139600</v>
      </c>
      <c r="E892" s="1">
        <f>IFERROR(__xludf.DUMMYFUNCTION("""COMPUTED_VALUE"""),139800.0)</f>
        <v>139800</v>
      </c>
      <c r="F892" s="1">
        <f>IFERROR(__xludf.DUMMYFUNCTION("""COMPUTED_VALUE"""),266115.0)</f>
        <v>266115</v>
      </c>
    </row>
    <row r="893">
      <c r="A893" s="2">
        <f>IFERROR(__xludf.DUMMYFUNCTION("""COMPUTED_VALUE"""),41894.645833333336)</f>
        <v>41894.64583</v>
      </c>
      <c r="B893" s="1">
        <f>IFERROR(__xludf.DUMMYFUNCTION("""COMPUTED_VALUE"""),141000.0)</f>
        <v>141000</v>
      </c>
      <c r="C893" s="1">
        <f>IFERROR(__xludf.DUMMYFUNCTION("""COMPUTED_VALUE"""),145600.0)</f>
        <v>145600</v>
      </c>
      <c r="D893" s="1">
        <f>IFERROR(__xludf.DUMMYFUNCTION("""COMPUTED_VALUE"""),140400.0)</f>
        <v>140400</v>
      </c>
      <c r="E893" s="1">
        <f>IFERROR(__xludf.DUMMYFUNCTION("""COMPUTED_VALUE"""),141600.0)</f>
        <v>141600</v>
      </c>
      <c r="F893" s="1">
        <f>IFERROR(__xludf.DUMMYFUNCTION("""COMPUTED_VALUE"""),179026.0)</f>
        <v>179026</v>
      </c>
    </row>
    <row r="894">
      <c r="A894" s="2">
        <f>IFERROR(__xludf.DUMMYFUNCTION("""COMPUTED_VALUE"""),41897.645833333336)</f>
        <v>41897.64583</v>
      </c>
      <c r="B894" s="1">
        <f>IFERROR(__xludf.DUMMYFUNCTION("""COMPUTED_VALUE"""),141200.0)</f>
        <v>141200</v>
      </c>
      <c r="C894" s="1">
        <f>IFERROR(__xludf.DUMMYFUNCTION("""COMPUTED_VALUE"""),144000.0)</f>
        <v>144000</v>
      </c>
      <c r="D894" s="1">
        <f>IFERROR(__xludf.DUMMYFUNCTION("""COMPUTED_VALUE"""),141000.0)</f>
        <v>141000</v>
      </c>
      <c r="E894" s="1">
        <f>IFERROR(__xludf.DUMMYFUNCTION("""COMPUTED_VALUE"""),142000.0)</f>
        <v>142000</v>
      </c>
      <c r="F894" s="1">
        <f>IFERROR(__xludf.DUMMYFUNCTION("""COMPUTED_VALUE"""),63734.0)</f>
        <v>63734</v>
      </c>
    </row>
    <row r="895">
      <c r="A895" s="2">
        <f>IFERROR(__xludf.DUMMYFUNCTION("""COMPUTED_VALUE"""),41898.645833333336)</f>
        <v>41898.64583</v>
      </c>
      <c r="B895" s="1">
        <f>IFERROR(__xludf.DUMMYFUNCTION("""COMPUTED_VALUE"""),142000.0)</f>
        <v>142000</v>
      </c>
      <c r="C895" s="1">
        <f>IFERROR(__xludf.DUMMYFUNCTION("""COMPUTED_VALUE"""),146800.0)</f>
        <v>146800</v>
      </c>
      <c r="D895" s="1">
        <f>IFERROR(__xludf.DUMMYFUNCTION("""COMPUTED_VALUE"""),141600.0)</f>
        <v>141600</v>
      </c>
      <c r="E895" s="1">
        <f>IFERROR(__xludf.DUMMYFUNCTION("""COMPUTED_VALUE"""),145400.0)</f>
        <v>145400</v>
      </c>
      <c r="F895" s="1">
        <f>IFERROR(__xludf.DUMMYFUNCTION("""COMPUTED_VALUE"""),118741.0)</f>
        <v>118741</v>
      </c>
    </row>
    <row r="896">
      <c r="A896" s="2">
        <f>IFERROR(__xludf.DUMMYFUNCTION("""COMPUTED_VALUE"""),41899.645833333336)</f>
        <v>41899.64583</v>
      </c>
      <c r="B896" s="1">
        <f>IFERROR(__xludf.DUMMYFUNCTION("""COMPUTED_VALUE"""),149800.0)</f>
        <v>149800</v>
      </c>
      <c r="C896" s="1">
        <f>IFERROR(__xludf.DUMMYFUNCTION("""COMPUTED_VALUE"""),150000.0)</f>
        <v>150000</v>
      </c>
      <c r="D896" s="1">
        <f>IFERROR(__xludf.DUMMYFUNCTION("""COMPUTED_VALUE"""),147200.0)</f>
        <v>147200</v>
      </c>
      <c r="E896" s="1">
        <f>IFERROR(__xludf.DUMMYFUNCTION("""COMPUTED_VALUE"""),148600.0)</f>
        <v>148600</v>
      </c>
      <c r="F896" s="1">
        <f>IFERROR(__xludf.DUMMYFUNCTION("""COMPUTED_VALUE"""),104565.0)</f>
        <v>104565</v>
      </c>
    </row>
    <row r="897">
      <c r="A897" s="2">
        <f>IFERROR(__xludf.DUMMYFUNCTION("""COMPUTED_VALUE"""),41900.645833333336)</f>
        <v>41900.64583</v>
      </c>
      <c r="B897" s="1">
        <f>IFERROR(__xludf.DUMMYFUNCTION("""COMPUTED_VALUE"""),160200.0)</f>
        <v>160200</v>
      </c>
      <c r="C897" s="1">
        <f>IFERROR(__xludf.DUMMYFUNCTION("""COMPUTED_VALUE"""),161000.0)</f>
        <v>161000</v>
      </c>
      <c r="D897" s="1">
        <f>IFERROR(__xludf.DUMMYFUNCTION("""COMPUTED_VALUE"""),153200.0)</f>
        <v>153200</v>
      </c>
      <c r="E897" s="1">
        <f>IFERROR(__xludf.DUMMYFUNCTION("""COMPUTED_VALUE"""),158000.0)</f>
        <v>158000</v>
      </c>
      <c r="F897" s="1">
        <f>IFERROR(__xludf.DUMMYFUNCTION("""COMPUTED_VALUE"""),417288.0)</f>
        <v>417288</v>
      </c>
    </row>
    <row r="898">
      <c r="A898" s="2">
        <f>IFERROR(__xludf.DUMMYFUNCTION("""COMPUTED_VALUE"""),41901.645833333336)</f>
        <v>41901.64583</v>
      </c>
      <c r="B898" s="1">
        <f>IFERROR(__xludf.DUMMYFUNCTION("""COMPUTED_VALUE"""),157200.0)</f>
        <v>157200</v>
      </c>
      <c r="C898" s="1">
        <f>IFERROR(__xludf.DUMMYFUNCTION("""COMPUTED_VALUE"""),160000.0)</f>
        <v>160000</v>
      </c>
      <c r="D898" s="1">
        <f>IFERROR(__xludf.DUMMYFUNCTION("""COMPUTED_VALUE"""),156600.0)</f>
        <v>156600</v>
      </c>
      <c r="E898" s="1">
        <f>IFERROR(__xludf.DUMMYFUNCTION("""COMPUTED_VALUE"""),158400.0)</f>
        <v>158400</v>
      </c>
      <c r="F898" s="1">
        <f>IFERROR(__xludf.DUMMYFUNCTION("""COMPUTED_VALUE"""),144178.0)</f>
        <v>144178</v>
      </c>
    </row>
    <row r="899">
      <c r="A899" s="2">
        <f>IFERROR(__xludf.DUMMYFUNCTION("""COMPUTED_VALUE"""),41904.645833333336)</f>
        <v>41904.64583</v>
      </c>
      <c r="B899" s="1">
        <f>IFERROR(__xludf.DUMMYFUNCTION("""COMPUTED_VALUE"""),157000.0)</f>
        <v>157000</v>
      </c>
      <c r="C899" s="1">
        <f>IFERROR(__xludf.DUMMYFUNCTION("""COMPUTED_VALUE"""),159200.0)</f>
        <v>159200</v>
      </c>
      <c r="D899" s="1">
        <f>IFERROR(__xludf.DUMMYFUNCTION("""COMPUTED_VALUE"""),153000.0)</f>
        <v>153000</v>
      </c>
      <c r="E899" s="1">
        <f>IFERROR(__xludf.DUMMYFUNCTION("""COMPUTED_VALUE"""),158000.0)</f>
        <v>158000</v>
      </c>
      <c r="F899" s="1">
        <f>IFERROR(__xludf.DUMMYFUNCTION("""COMPUTED_VALUE"""),150178.0)</f>
        <v>150178</v>
      </c>
    </row>
    <row r="900">
      <c r="A900" s="2">
        <f>IFERROR(__xludf.DUMMYFUNCTION("""COMPUTED_VALUE"""),41905.645833333336)</f>
        <v>41905.64583</v>
      </c>
      <c r="B900" s="1">
        <f>IFERROR(__xludf.DUMMYFUNCTION("""COMPUTED_VALUE"""),153800.0)</f>
        <v>153800</v>
      </c>
      <c r="C900" s="1">
        <f>IFERROR(__xludf.DUMMYFUNCTION("""COMPUTED_VALUE"""),166800.0)</f>
        <v>166800</v>
      </c>
      <c r="D900" s="1">
        <f>IFERROR(__xludf.DUMMYFUNCTION("""COMPUTED_VALUE"""),153400.0)</f>
        <v>153400</v>
      </c>
      <c r="E900" s="1">
        <f>IFERROR(__xludf.DUMMYFUNCTION("""COMPUTED_VALUE"""),166800.0)</f>
        <v>166800</v>
      </c>
      <c r="F900" s="1">
        <f>IFERROR(__xludf.DUMMYFUNCTION("""COMPUTED_VALUE"""),347351.0)</f>
        <v>347351</v>
      </c>
    </row>
    <row r="901">
      <c r="A901" s="2">
        <f>IFERROR(__xludf.DUMMYFUNCTION("""COMPUTED_VALUE"""),41906.645833333336)</f>
        <v>41906.64583</v>
      </c>
      <c r="B901" s="1">
        <f>IFERROR(__xludf.DUMMYFUNCTION("""COMPUTED_VALUE"""),164800.0)</f>
        <v>164800</v>
      </c>
      <c r="C901" s="1">
        <f>IFERROR(__xludf.DUMMYFUNCTION("""COMPUTED_VALUE"""),168400.0)</f>
        <v>168400</v>
      </c>
      <c r="D901" s="1">
        <f>IFERROR(__xludf.DUMMYFUNCTION("""COMPUTED_VALUE"""),163400.0)</f>
        <v>163400</v>
      </c>
      <c r="E901" s="1">
        <f>IFERROR(__xludf.DUMMYFUNCTION("""COMPUTED_VALUE"""),166600.0)</f>
        <v>166600</v>
      </c>
      <c r="F901" s="1">
        <f>IFERROR(__xludf.DUMMYFUNCTION("""COMPUTED_VALUE"""),220027.0)</f>
        <v>220027</v>
      </c>
    </row>
    <row r="902">
      <c r="A902" s="2">
        <f>IFERROR(__xludf.DUMMYFUNCTION("""COMPUTED_VALUE"""),41907.645833333336)</f>
        <v>41907.64583</v>
      </c>
      <c r="B902" s="1">
        <f>IFERROR(__xludf.DUMMYFUNCTION("""COMPUTED_VALUE"""),165600.0)</f>
        <v>165600</v>
      </c>
      <c r="C902" s="1">
        <f>IFERROR(__xludf.DUMMYFUNCTION("""COMPUTED_VALUE"""),166800.0)</f>
        <v>166800</v>
      </c>
      <c r="D902" s="1">
        <f>IFERROR(__xludf.DUMMYFUNCTION("""COMPUTED_VALUE"""),161600.0)</f>
        <v>161600</v>
      </c>
      <c r="E902" s="1">
        <f>IFERROR(__xludf.DUMMYFUNCTION("""COMPUTED_VALUE"""),161600.0)</f>
        <v>161600</v>
      </c>
      <c r="F902" s="1">
        <f>IFERROR(__xludf.DUMMYFUNCTION("""COMPUTED_VALUE"""),131697.0)</f>
        <v>131697</v>
      </c>
    </row>
    <row r="903">
      <c r="A903" s="2">
        <f>IFERROR(__xludf.DUMMYFUNCTION("""COMPUTED_VALUE"""),41908.645833333336)</f>
        <v>41908.64583</v>
      </c>
      <c r="B903" s="1">
        <f>IFERROR(__xludf.DUMMYFUNCTION("""COMPUTED_VALUE"""),160000.0)</f>
        <v>160000</v>
      </c>
      <c r="C903" s="1">
        <f>IFERROR(__xludf.DUMMYFUNCTION("""COMPUTED_VALUE"""),165600.0)</f>
        <v>165600</v>
      </c>
      <c r="D903" s="1">
        <f>IFERROR(__xludf.DUMMYFUNCTION("""COMPUTED_VALUE"""),159600.0)</f>
        <v>159600</v>
      </c>
      <c r="E903" s="1">
        <f>IFERROR(__xludf.DUMMYFUNCTION("""COMPUTED_VALUE"""),164200.0)</f>
        <v>164200</v>
      </c>
      <c r="F903" s="1">
        <f>IFERROR(__xludf.DUMMYFUNCTION("""COMPUTED_VALUE"""),100326.0)</f>
        <v>100326</v>
      </c>
    </row>
    <row r="904">
      <c r="A904" s="2">
        <f>IFERROR(__xludf.DUMMYFUNCTION("""COMPUTED_VALUE"""),41911.645833333336)</f>
        <v>41911.64583</v>
      </c>
      <c r="B904" s="1">
        <f>IFERROR(__xludf.DUMMYFUNCTION("""COMPUTED_VALUE"""),164200.0)</f>
        <v>164200</v>
      </c>
      <c r="C904" s="1">
        <f>IFERROR(__xludf.DUMMYFUNCTION("""COMPUTED_VALUE"""),170000.0)</f>
        <v>170000</v>
      </c>
      <c r="D904" s="1">
        <f>IFERROR(__xludf.DUMMYFUNCTION("""COMPUTED_VALUE"""),163000.0)</f>
        <v>163000</v>
      </c>
      <c r="E904" s="1">
        <f>IFERROR(__xludf.DUMMYFUNCTION("""COMPUTED_VALUE"""),166000.0)</f>
        <v>166000</v>
      </c>
      <c r="F904" s="1">
        <f>IFERROR(__xludf.DUMMYFUNCTION("""COMPUTED_VALUE"""),156267.0)</f>
        <v>156267</v>
      </c>
    </row>
    <row r="905">
      <c r="A905" s="2">
        <f>IFERROR(__xludf.DUMMYFUNCTION("""COMPUTED_VALUE"""),41912.645833333336)</f>
        <v>41912.64583</v>
      </c>
      <c r="B905" s="1">
        <f>IFERROR(__xludf.DUMMYFUNCTION("""COMPUTED_VALUE"""),162600.0)</f>
        <v>162600</v>
      </c>
      <c r="C905" s="1">
        <f>IFERROR(__xludf.DUMMYFUNCTION("""COMPUTED_VALUE"""),163800.0)</f>
        <v>163800</v>
      </c>
      <c r="D905" s="1">
        <f>IFERROR(__xludf.DUMMYFUNCTION("""COMPUTED_VALUE"""),161000.0)</f>
        <v>161000</v>
      </c>
      <c r="E905" s="1">
        <f>IFERROR(__xludf.DUMMYFUNCTION("""COMPUTED_VALUE"""),161400.0)</f>
        <v>161400</v>
      </c>
      <c r="F905" s="1">
        <f>IFERROR(__xludf.DUMMYFUNCTION("""COMPUTED_VALUE"""),515075.0)</f>
        <v>515075</v>
      </c>
    </row>
    <row r="906">
      <c r="A906" s="2">
        <f>IFERROR(__xludf.DUMMYFUNCTION("""COMPUTED_VALUE"""),41913.645833333336)</f>
        <v>41913.64583</v>
      </c>
      <c r="B906" s="1">
        <f>IFERROR(__xludf.DUMMYFUNCTION("""COMPUTED_VALUE"""),160600.0)</f>
        <v>160600</v>
      </c>
      <c r="C906" s="1">
        <f>IFERROR(__xludf.DUMMYFUNCTION("""COMPUTED_VALUE"""),164000.0)</f>
        <v>164000</v>
      </c>
      <c r="D906" s="1">
        <f>IFERROR(__xludf.DUMMYFUNCTION("""COMPUTED_VALUE"""),156600.0)</f>
        <v>156600</v>
      </c>
      <c r="E906" s="1">
        <f>IFERROR(__xludf.DUMMYFUNCTION("""COMPUTED_VALUE"""),160800.0)</f>
        <v>160800</v>
      </c>
      <c r="F906" s="1">
        <f>IFERROR(__xludf.DUMMYFUNCTION("""COMPUTED_VALUE"""),144274.0)</f>
        <v>144274</v>
      </c>
    </row>
    <row r="907">
      <c r="A907" s="2">
        <f>IFERROR(__xludf.DUMMYFUNCTION("""COMPUTED_VALUE"""),41914.645833333336)</f>
        <v>41914.64583</v>
      </c>
      <c r="B907" s="1">
        <f>IFERROR(__xludf.DUMMYFUNCTION("""COMPUTED_VALUE"""),158400.0)</f>
        <v>158400</v>
      </c>
      <c r="C907" s="1">
        <f>IFERROR(__xludf.DUMMYFUNCTION("""COMPUTED_VALUE"""),162800.0)</f>
        <v>162800</v>
      </c>
      <c r="D907" s="1">
        <f>IFERROR(__xludf.DUMMYFUNCTION("""COMPUTED_VALUE"""),158200.0)</f>
        <v>158200</v>
      </c>
      <c r="E907" s="1">
        <f>IFERROR(__xludf.DUMMYFUNCTION("""COMPUTED_VALUE"""),158400.0)</f>
        <v>158400</v>
      </c>
      <c r="F907" s="1">
        <f>IFERROR(__xludf.DUMMYFUNCTION("""COMPUTED_VALUE"""),104218.0)</f>
        <v>104218</v>
      </c>
    </row>
    <row r="908">
      <c r="A908" s="2">
        <f>IFERROR(__xludf.DUMMYFUNCTION("""COMPUTED_VALUE"""),41918.645833333336)</f>
        <v>41918.64583</v>
      </c>
      <c r="B908" s="1">
        <f>IFERROR(__xludf.DUMMYFUNCTION("""COMPUTED_VALUE"""),158600.0)</f>
        <v>158600</v>
      </c>
      <c r="C908" s="1">
        <f>IFERROR(__xludf.DUMMYFUNCTION("""COMPUTED_VALUE"""),159800.0)</f>
        <v>159800</v>
      </c>
      <c r="D908" s="1">
        <f>IFERROR(__xludf.DUMMYFUNCTION("""COMPUTED_VALUE"""),155000.0)</f>
        <v>155000</v>
      </c>
      <c r="E908" s="1">
        <f>IFERROR(__xludf.DUMMYFUNCTION("""COMPUTED_VALUE"""),155800.0)</f>
        <v>155800</v>
      </c>
      <c r="F908" s="1">
        <f>IFERROR(__xludf.DUMMYFUNCTION("""COMPUTED_VALUE"""),102026.0)</f>
        <v>102026</v>
      </c>
    </row>
    <row r="909">
      <c r="A909" s="2">
        <f>IFERROR(__xludf.DUMMYFUNCTION("""COMPUTED_VALUE"""),41919.645833333336)</f>
        <v>41919.64583</v>
      </c>
      <c r="B909" s="1">
        <f>IFERROR(__xludf.DUMMYFUNCTION("""COMPUTED_VALUE"""),155800.0)</f>
        <v>155800</v>
      </c>
      <c r="C909" s="1">
        <f>IFERROR(__xludf.DUMMYFUNCTION("""COMPUTED_VALUE"""),157600.0)</f>
        <v>157600</v>
      </c>
      <c r="D909" s="1">
        <f>IFERROR(__xludf.DUMMYFUNCTION("""COMPUTED_VALUE"""),152600.0)</f>
        <v>152600</v>
      </c>
      <c r="E909" s="1">
        <f>IFERROR(__xludf.DUMMYFUNCTION("""COMPUTED_VALUE"""),154000.0)</f>
        <v>154000</v>
      </c>
      <c r="F909" s="1">
        <f>IFERROR(__xludf.DUMMYFUNCTION("""COMPUTED_VALUE"""),74280.0)</f>
        <v>74280</v>
      </c>
    </row>
    <row r="910">
      <c r="A910" s="2">
        <f>IFERROR(__xludf.DUMMYFUNCTION("""COMPUTED_VALUE"""),41920.645833333336)</f>
        <v>41920.64583</v>
      </c>
      <c r="B910" s="1">
        <f>IFERROR(__xludf.DUMMYFUNCTION("""COMPUTED_VALUE"""),153800.0)</f>
        <v>153800</v>
      </c>
      <c r="C910" s="1">
        <f>IFERROR(__xludf.DUMMYFUNCTION("""COMPUTED_VALUE"""),157800.0)</f>
        <v>157800</v>
      </c>
      <c r="D910" s="1">
        <f>IFERROR(__xludf.DUMMYFUNCTION("""COMPUTED_VALUE"""),153600.0)</f>
        <v>153600</v>
      </c>
      <c r="E910" s="1">
        <f>IFERROR(__xludf.DUMMYFUNCTION("""COMPUTED_VALUE"""),156800.0)</f>
        <v>156800</v>
      </c>
      <c r="F910" s="1">
        <f>IFERROR(__xludf.DUMMYFUNCTION("""COMPUTED_VALUE"""),99421.0)</f>
        <v>99421</v>
      </c>
    </row>
    <row r="911">
      <c r="A911" s="2">
        <f>IFERROR(__xludf.DUMMYFUNCTION("""COMPUTED_VALUE"""),41922.645833333336)</f>
        <v>41922.64583</v>
      </c>
      <c r="B911" s="1">
        <f>IFERROR(__xludf.DUMMYFUNCTION("""COMPUTED_VALUE"""),154600.0)</f>
        <v>154600</v>
      </c>
      <c r="C911" s="1">
        <f>IFERROR(__xludf.DUMMYFUNCTION("""COMPUTED_VALUE"""),155200.0)</f>
        <v>155200</v>
      </c>
      <c r="D911" s="1">
        <f>IFERROR(__xludf.DUMMYFUNCTION("""COMPUTED_VALUE"""),147000.0)</f>
        <v>147000</v>
      </c>
      <c r="E911" s="1">
        <f>IFERROR(__xludf.DUMMYFUNCTION("""COMPUTED_VALUE"""),148000.0)</f>
        <v>148000</v>
      </c>
      <c r="F911" s="1">
        <f>IFERROR(__xludf.DUMMYFUNCTION("""COMPUTED_VALUE"""),205304.0)</f>
        <v>205304</v>
      </c>
    </row>
    <row r="912">
      <c r="A912" s="2">
        <f>IFERROR(__xludf.DUMMYFUNCTION("""COMPUTED_VALUE"""),41925.645833333336)</f>
        <v>41925.64583</v>
      </c>
      <c r="B912" s="1">
        <f>IFERROR(__xludf.DUMMYFUNCTION("""COMPUTED_VALUE"""),147800.0)</f>
        <v>147800</v>
      </c>
      <c r="C912" s="1">
        <f>IFERROR(__xludf.DUMMYFUNCTION("""COMPUTED_VALUE"""),154000.0)</f>
        <v>154000</v>
      </c>
      <c r="D912" s="1">
        <f>IFERROR(__xludf.DUMMYFUNCTION("""COMPUTED_VALUE"""),144600.0)</f>
        <v>144600</v>
      </c>
      <c r="E912" s="1">
        <f>IFERROR(__xludf.DUMMYFUNCTION("""COMPUTED_VALUE"""),151200.0)</f>
        <v>151200</v>
      </c>
      <c r="F912" s="1">
        <f>IFERROR(__xludf.DUMMYFUNCTION("""COMPUTED_VALUE"""),143556.0)</f>
        <v>143556</v>
      </c>
    </row>
    <row r="913">
      <c r="A913" s="2">
        <f>IFERROR(__xludf.DUMMYFUNCTION("""COMPUTED_VALUE"""),41926.645833333336)</f>
        <v>41926.64583</v>
      </c>
      <c r="B913" s="1">
        <f>IFERROR(__xludf.DUMMYFUNCTION("""COMPUTED_VALUE"""),151200.0)</f>
        <v>151200</v>
      </c>
      <c r="C913" s="1">
        <f>IFERROR(__xludf.DUMMYFUNCTION("""COMPUTED_VALUE"""),151800.0)</f>
        <v>151800</v>
      </c>
      <c r="D913" s="1">
        <f>IFERROR(__xludf.DUMMYFUNCTION("""COMPUTED_VALUE"""),147000.0)</f>
        <v>147000</v>
      </c>
      <c r="E913" s="1">
        <f>IFERROR(__xludf.DUMMYFUNCTION("""COMPUTED_VALUE"""),151600.0)</f>
        <v>151600</v>
      </c>
      <c r="F913" s="1">
        <f>IFERROR(__xludf.DUMMYFUNCTION("""COMPUTED_VALUE"""),133571.0)</f>
        <v>133571</v>
      </c>
    </row>
    <row r="914">
      <c r="A914" s="2">
        <f>IFERROR(__xludf.DUMMYFUNCTION("""COMPUTED_VALUE"""),41927.645833333336)</f>
        <v>41927.64583</v>
      </c>
      <c r="B914" s="1">
        <f>IFERROR(__xludf.DUMMYFUNCTION("""COMPUTED_VALUE"""),151400.0)</f>
        <v>151400</v>
      </c>
      <c r="C914" s="1">
        <f>IFERROR(__xludf.DUMMYFUNCTION("""COMPUTED_VALUE"""),156400.0)</f>
        <v>156400</v>
      </c>
      <c r="D914" s="1">
        <f>IFERROR(__xludf.DUMMYFUNCTION("""COMPUTED_VALUE"""),149600.0)</f>
        <v>149600</v>
      </c>
      <c r="E914" s="1">
        <f>IFERROR(__xludf.DUMMYFUNCTION("""COMPUTED_VALUE"""),156400.0)</f>
        <v>156400</v>
      </c>
      <c r="F914" s="1">
        <f>IFERROR(__xludf.DUMMYFUNCTION("""COMPUTED_VALUE"""),113563.0)</f>
        <v>113563</v>
      </c>
    </row>
    <row r="915">
      <c r="A915" s="2">
        <f>IFERROR(__xludf.DUMMYFUNCTION("""COMPUTED_VALUE"""),41928.645833333336)</f>
        <v>41928.64583</v>
      </c>
      <c r="B915" s="1">
        <f>IFERROR(__xludf.DUMMYFUNCTION("""COMPUTED_VALUE"""),153000.0)</f>
        <v>153000</v>
      </c>
      <c r="C915" s="1">
        <f>IFERROR(__xludf.DUMMYFUNCTION("""COMPUTED_VALUE"""),159000.0)</f>
        <v>159000</v>
      </c>
      <c r="D915" s="1">
        <f>IFERROR(__xludf.DUMMYFUNCTION("""COMPUTED_VALUE"""),153000.0)</f>
        <v>153000</v>
      </c>
      <c r="E915" s="1">
        <f>IFERROR(__xludf.DUMMYFUNCTION("""COMPUTED_VALUE"""),157000.0)</f>
        <v>157000</v>
      </c>
      <c r="F915" s="1">
        <f>IFERROR(__xludf.DUMMYFUNCTION("""COMPUTED_VALUE"""),115895.0)</f>
        <v>115895</v>
      </c>
    </row>
    <row r="916">
      <c r="A916" s="2">
        <f>IFERROR(__xludf.DUMMYFUNCTION("""COMPUTED_VALUE"""),41929.645833333336)</f>
        <v>41929.64583</v>
      </c>
      <c r="B916" s="1">
        <f>IFERROR(__xludf.DUMMYFUNCTION("""COMPUTED_VALUE"""),157000.0)</f>
        <v>157000</v>
      </c>
      <c r="C916" s="1">
        <f>IFERROR(__xludf.DUMMYFUNCTION("""COMPUTED_VALUE"""),159600.0)</f>
        <v>159600</v>
      </c>
      <c r="D916" s="1">
        <f>IFERROR(__xludf.DUMMYFUNCTION("""COMPUTED_VALUE"""),153200.0)</f>
        <v>153200</v>
      </c>
      <c r="E916" s="1">
        <f>IFERROR(__xludf.DUMMYFUNCTION("""COMPUTED_VALUE"""),153200.0)</f>
        <v>153200</v>
      </c>
      <c r="F916" s="1">
        <f>IFERROR(__xludf.DUMMYFUNCTION("""COMPUTED_VALUE"""),73099.0)</f>
        <v>73099</v>
      </c>
    </row>
    <row r="917">
      <c r="A917" s="2">
        <f>IFERROR(__xludf.DUMMYFUNCTION("""COMPUTED_VALUE"""),41932.645833333336)</f>
        <v>41932.64583</v>
      </c>
      <c r="B917" s="1">
        <f>IFERROR(__xludf.DUMMYFUNCTION("""COMPUTED_VALUE"""),154200.0)</f>
        <v>154200</v>
      </c>
      <c r="C917" s="1">
        <f>IFERROR(__xludf.DUMMYFUNCTION("""COMPUTED_VALUE"""),158800.0)</f>
        <v>158800</v>
      </c>
      <c r="D917" s="1">
        <f>IFERROR(__xludf.DUMMYFUNCTION("""COMPUTED_VALUE"""),153200.0)</f>
        <v>153200</v>
      </c>
      <c r="E917" s="1">
        <f>IFERROR(__xludf.DUMMYFUNCTION("""COMPUTED_VALUE"""),156800.0)</f>
        <v>156800</v>
      </c>
      <c r="F917" s="1">
        <f>IFERROR(__xludf.DUMMYFUNCTION("""COMPUTED_VALUE"""),48156.0)</f>
        <v>48156</v>
      </c>
    </row>
    <row r="918">
      <c r="A918" s="2">
        <f>IFERROR(__xludf.DUMMYFUNCTION("""COMPUTED_VALUE"""),41933.645833333336)</f>
        <v>41933.64583</v>
      </c>
      <c r="B918" s="1">
        <f>IFERROR(__xludf.DUMMYFUNCTION("""COMPUTED_VALUE"""),156000.0)</f>
        <v>156000</v>
      </c>
      <c r="C918" s="1">
        <f>IFERROR(__xludf.DUMMYFUNCTION("""COMPUTED_VALUE"""),160000.0)</f>
        <v>160000</v>
      </c>
      <c r="D918" s="1">
        <f>IFERROR(__xludf.DUMMYFUNCTION("""COMPUTED_VALUE"""),155200.0)</f>
        <v>155200</v>
      </c>
      <c r="E918" s="1">
        <f>IFERROR(__xludf.DUMMYFUNCTION("""COMPUTED_VALUE"""),159200.0)</f>
        <v>159200</v>
      </c>
      <c r="F918" s="1">
        <f>IFERROR(__xludf.DUMMYFUNCTION("""COMPUTED_VALUE"""),72054.0)</f>
        <v>72054</v>
      </c>
    </row>
    <row r="919">
      <c r="A919" s="2">
        <f>IFERROR(__xludf.DUMMYFUNCTION("""COMPUTED_VALUE"""),41934.645833333336)</f>
        <v>41934.64583</v>
      </c>
      <c r="B919" s="1">
        <f>IFERROR(__xludf.DUMMYFUNCTION("""COMPUTED_VALUE"""),159800.0)</f>
        <v>159800</v>
      </c>
      <c r="C919" s="1">
        <f>IFERROR(__xludf.DUMMYFUNCTION("""COMPUTED_VALUE"""),162400.0)</f>
        <v>162400</v>
      </c>
      <c r="D919" s="1">
        <f>IFERROR(__xludf.DUMMYFUNCTION("""COMPUTED_VALUE"""),158600.0)</f>
        <v>158600</v>
      </c>
      <c r="E919" s="1">
        <f>IFERROR(__xludf.DUMMYFUNCTION("""COMPUTED_VALUE"""),159600.0)</f>
        <v>159600</v>
      </c>
      <c r="F919" s="1">
        <f>IFERROR(__xludf.DUMMYFUNCTION("""COMPUTED_VALUE"""),94322.0)</f>
        <v>94322</v>
      </c>
    </row>
    <row r="920">
      <c r="A920" s="2">
        <f>IFERROR(__xludf.DUMMYFUNCTION("""COMPUTED_VALUE"""),41935.645833333336)</f>
        <v>41935.64583</v>
      </c>
      <c r="B920" s="1">
        <f>IFERROR(__xludf.DUMMYFUNCTION("""COMPUTED_VALUE"""),160000.0)</f>
        <v>160000</v>
      </c>
      <c r="C920" s="1">
        <f>IFERROR(__xludf.DUMMYFUNCTION("""COMPUTED_VALUE"""),161600.0)</f>
        <v>161600</v>
      </c>
      <c r="D920" s="1">
        <f>IFERROR(__xludf.DUMMYFUNCTION("""COMPUTED_VALUE"""),157200.0)</f>
        <v>157200</v>
      </c>
      <c r="E920" s="1">
        <f>IFERROR(__xludf.DUMMYFUNCTION("""COMPUTED_VALUE"""),158800.0)</f>
        <v>158800</v>
      </c>
      <c r="F920" s="1">
        <f>IFERROR(__xludf.DUMMYFUNCTION("""COMPUTED_VALUE"""),57991.0)</f>
        <v>57991</v>
      </c>
    </row>
    <row r="921">
      <c r="A921" s="2">
        <f>IFERROR(__xludf.DUMMYFUNCTION("""COMPUTED_VALUE"""),41936.645833333336)</f>
        <v>41936.64583</v>
      </c>
      <c r="B921" s="1">
        <f>IFERROR(__xludf.DUMMYFUNCTION("""COMPUTED_VALUE"""),158800.0)</f>
        <v>158800</v>
      </c>
      <c r="C921" s="1">
        <f>IFERROR(__xludf.DUMMYFUNCTION("""COMPUTED_VALUE"""),159600.0)</f>
        <v>159600</v>
      </c>
      <c r="D921" s="1">
        <f>IFERROR(__xludf.DUMMYFUNCTION("""COMPUTED_VALUE"""),153400.0)</f>
        <v>153400</v>
      </c>
      <c r="E921" s="1">
        <f>IFERROR(__xludf.DUMMYFUNCTION("""COMPUTED_VALUE"""),156000.0)</f>
        <v>156000</v>
      </c>
      <c r="F921" s="1">
        <f>IFERROR(__xludf.DUMMYFUNCTION("""COMPUTED_VALUE"""),50995.0)</f>
        <v>50995</v>
      </c>
    </row>
    <row r="922">
      <c r="A922" s="2">
        <f>IFERROR(__xludf.DUMMYFUNCTION("""COMPUTED_VALUE"""),41939.645833333336)</f>
        <v>41939.64583</v>
      </c>
      <c r="B922" s="1">
        <f>IFERROR(__xludf.DUMMYFUNCTION("""COMPUTED_VALUE"""),156200.0)</f>
        <v>156200</v>
      </c>
      <c r="C922" s="1">
        <f>IFERROR(__xludf.DUMMYFUNCTION("""COMPUTED_VALUE"""),157000.0)</f>
        <v>157000</v>
      </c>
      <c r="D922" s="1">
        <f>IFERROR(__xludf.DUMMYFUNCTION("""COMPUTED_VALUE"""),154600.0)</f>
        <v>154600</v>
      </c>
      <c r="E922" s="1">
        <f>IFERROR(__xludf.DUMMYFUNCTION("""COMPUTED_VALUE"""),155400.0)</f>
        <v>155400</v>
      </c>
      <c r="F922" s="1">
        <f>IFERROR(__xludf.DUMMYFUNCTION("""COMPUTED_VALUE"""),46736.0)</f>
        <v>46736</v>
      </c>
    </row>
    <row r="923">
      <c r="A923" s="2">
        <f>IFERROR(__xludf.DUMMYFUNCTION("""COMPUTED_VALUE"""),41940.645833333336)</f>
        <v>41940.64583</v>
      </c>
      <c r="B923" s="1">
        <f>IFERROR(__xludf.DUMMYFUNCTION("""COMPUTED_VALUE"""),156400.0)</f>
        <v>156400</v>
      </c>
      <c r="C923" s="1">
        <f>IFERROR(__xludf.DUMMYFUNCTION("""COMPUTED_VALUE"""),161200.0)</f>
        <v>161200</v>
      </c>
      <c r="D923" s="1">
        <f>IFERROR(__xludf.DUMMYFUNCTION("""COMPUTED_VALUE"""),155000.0)</f>
        <v>155000</v>
      </c>
      <c r="E923" s="1">
        <f>IFERROR(__xludf.DUMMYFUNCTION("""COMPUTED_VALUE"""),160800.0)</f>
        <v>160800</v>
      </c>
      <c r="F923" s="1">
        <f>IFERROR(__xludf.DUMMYFUNCTION("""COMPUTED_VALUE"""),63796.0)</f>
        <v>63796</v>
      </c>
    </row>
    <row r="924">
      <c r="A924" s="2">
        <f>IFERROR(__xludf.DUMMYFUNCTION("""COMPUTED_VALUE"""),41941.645833333336)</f>
        <v>41941.64583</v>
      </c>
      <c r="B924" s="1">
        <f>IFERROR(__xludf.DUMMYFUNCTION("""COMPUTED_VALUE"""),162200.0)</f>
        <v>162200</v>
      </c>
      <c r="C924" s="1">
        <f>IFERROR(__xludf.DUMMYFUNCTION("""COMPUTED_VALUE"""),162200.0)</f>
        <v>162200</v>
      </c>
      <c r="D924" s="1">
        <f>IFERROR(__xludf.DUMMYFUNCTION("""COMPUTED_VALUE"""),154600.0)</f>
        <v>154600</v>
      </c>
      <c r="E924" s="1">
        <f>IFERROR(__xludf.DUMMYFUNCTION("""COMPUTED_VALUE"""),155600.0)</f>
        <v>155600</v>
      </c>
      <c r="F924" s="1">
        <f>IFERROR(__xludf.DUMMYFUNCTION("""COMPUTED_VALUE"""),120100.0)</f>
        <v>120100</v>
      </c>
    </row>
    <row r="925">
      <c r="A925" s="2">
        <f>IFERROR(__xludf.DUMMYFUNCTION("""COMPUTED_VALUE"""),41942.645833333336)</f>
        <v>41942.64583</v>
      </c>
      <c r="B925" s="1">
        <f>IFERROR(__xludf.DUMMYFUNCTION("""COMPUTED_VALUE"""),156000.0)</f>
        <v>156000</v>
      </c>
      <c r="C925" s="1">
        <f>IFERROR(__xludf.DUMMYFUNCTION("""COMPUTED_VALUE"""),157800.0)</f>
        <v>157800</v>
      </c>
      <c r="D925" s="1">
        <f>IFERROR(__xludf.DUMMYFUNCTION("""COMPUTED_VALUE"""),147200.0)</f>
        <v>147200</v>
      </c>
      <c r="E925" s="1">
        <f>IFERROR(__xludf.DUMMYFUNCTION("""COMPUTED_VALUE"""),150000.0)</f>
        <v>150000</v>
      </c>
      <c r="F925" s="1">
        <f>IFERROR(__xludf.DUMMYFUNCTION("""COMPUTED_VALUE"""),254595.0)</f>
        <v>254595</v>
      </c>
    </row>
    <row r="926">
      <c r="A926" s="2">
        <f>IFERROR(__xludf.DUMMYFUNCTION("""COMPUTED_VALUE"""),41943.645833333336)</f>
        <v>41943.64583</v>
      </c>
      <c r="B926" s="1">
        <f>IFERROR(__xludf.DUMMYFUNCTION("""COMPUTED_VALUE"""),151000.0)</f>
        <v>151000</v>
      </c>
      <c r="C926" s="1">
        <f>IFERROR(__xludf.DUMMYFUNCTION("""COMPUTED_VALUE"""),152000.0)</f>
        <v>152000</v>
      </c>
      <c r="D926" s="1">
        <f>IFERROR(__xludf.DUMMYFUNCTION("""COMPUTED_VALUE"""),149400.0)</f>
        <v>149400</v>
      </c>
      <c r="E926" s="1">
        <f>IFERROR(__xludf.DUMMYFUNCTION("""COMPUTED_VALUE"""),150800.0)</f>
        <v>150800</v>
      </c>
      <c r="F926" s="1">
        <f>IFERROR(__xludf.DUMMYFUNCTION("""COMPUTED_VALUE"""),140379.0)</f>
        <v>140379</v>
      </c>
    </row>
    <row r="927">
      <c r="A927" s="2">
        <f>IFERROR(__xludf.DUMMYFUNCTION("""COMPUTED_VALUE"""),41946.645833333336)</f>
        <v>41946.64583</v>
      </c>
      <c r="B927" s="1">
        <f>IFERROR(__xludf.DUMMYFUNCTION("""COMPUTED_VALUE"""),149000.0)</f>
        <v>149000</v>
      </c>
      <c r="C927" s="1">
        <f>IFERROR(__xludf.DUMMYFUNCTION("""COMPUTED_VALUE"""),151800.0)</f>
        <v>151800</v>
      </c>
      <c r="D927" s="1">
        <f>IFERROR(__xludf.DUMMYFUNCTION("""COMPUTED_VALUE"""),148800.0)</f>
        <v>148800</v>
      </c>
      <c r="E927" s="1">
        <f>IFERROR(__xludf.DUMMYFUNCTION("""COMPUTED_VALUE"""),149800.0)</f>
        <v>149800</v>
      </c>
      <c r="F927" s="1">
        <f>IFERROR(__xludf.DUMMYFUNCTION("""COMPUTED_VALUE"""),115640.0)</f>
        <v>115640</v>
      </c>
    </row>
    <row r="928">
      <c r="A928" s="2">
        <f>IFERROR(__xludf.DUMMYFUNCTION("""COMPUTED_VALUE"""),41947.645833333336)</f>
        <v>41947.64583</v>
      </c>
      <c r="B928" s="1">
        <f>IFERROR(__xludf.DUMMYFUNCTION("""COMPUTED_VALUE"""),149800.0)</f>
        <v>149800</v>
      </c>
      <c r="C928" s="1">
        <f>IFERROR(__xludf.DUMMYFUNCTION("""COMPUTED_VALUE"""),151800.0)</f>
        <v>151800</v>
      </c>
      <c r="D928" s="1">
        <f>IFERROR(__xludf.DUMMYFUNCTION("""COMPUTED_VALUE"""),148200.0)</f>
        <v>148200</v>
      </c>
      <c r="E928" s="1">
        <f>IFERROR(__xludf.DUMMYFUNCTION("""COMPUTED_VALUE"""),150200.0)</f>
        <v>150200</v>
      </c>
      <c r="F928" s="1">
        <f>IFERROR(__xludf.DUMMYFUNCTION("""COMPUTED_VALUE"""),124990.0)</f>
        <v>124990</v>
      </c>
    </row>
    <row r="929">
      <c r="A929" s="2">
        <f>IFERROR(__xludf.DUMMYFUNCTION("""COMPUTED_VALUE"""),41948.645833333336)</f>
        <v>41948.64583</v>
      </c>
      <c r="B929" s="1">
        <f>IFERROR(__xludf.DUMMYFUNCTION("""COMPUTED_VALUE"""),151600.0)</f>
        <v>151600</v>
      </c>
      <c r="C929" s="1">
        <f>IFERROR(__xludf.DUMMYFUNCTION("""COMPUTED_VALUE"""),153400.0)</f>
        <v>153400</v>
      </c>
      <c r="D929" s="1">
        <f>IFERROR(__xludf.DUMMYFUNCTION("""COMPUTED_VALUE"""),149200.0)</f>
        <v>149200</v>
      </c>
      <c r="E929" s="1">
        <f>IFERROR(__xludf.DUMMYFUNCTION("""COMPUTED_VALUE"""),153000.0)</f>
        <v>153000</v>
      </c>
      <c r="F929" s="1">
        <f>IFERROR(__xludf.DUMMYFUNCTION("""COMPUTED_VALUE"""),92243.0)</f>
        <v>92243</v>
      </c>
    </row>
    <row r="930">
      <c r="A930" s="2">
        <f>IFERROR(__xludf.DUMMYFUNCTION("""COMPUTED_VALUE"""),41949.645833333336)</f>
        <v>41949.64583</v>
      </c>
      <c r="B930" s="1">
        <f>IFERROR(__xludf.DUMMYFUNCTION("""COMPUTED_VALUE"""),153200.0)</f>
        <v>153200</v>
      </c>
      <c r="C930" s="1">
        <f>IFERROR(__xludf.DUMMYFUNCTION("""COMPUTED_VALUE"""),153200.0)</f>
        <v>153200</v>
      </c>
      <c r="D930" s="1">
        <f>IFERROR(__xludf.DUMMYFUNCTION("""COMPUTED_VALUE"""),148400.0)</f>
        <v>148400</v>
      </c>
      <c r="E930" s="1">
        <f>IFERROR(__xludf.DUMMYFUNCTION("""COMPUTED_VALUE"""),149200.0)</f>
        <v>149200</v>
      </c>
      <c r="F930" s="1">
        <f>IFERROR(__xludf.DUMMYFUNCTION("""COMPUTED_VALUE"""),91563.0)</f>
        <v>91563</v>
      </c>
    </row>
    <row r="931">
      <c r="A931" s="2">
        <f>IFERROR(__xludf.DUMMYFUNCTION("""COMPUTED_VALUE"""),41950.645833333336)</f>
        <v>41950.64583</v>
      </c>
      <c r="B931" s="1">
        <f>IFERROR(__xludf.DUMMYFUNCTION("""COMPUTED_VALUE"""),148000.0)</f>
        <v>148000</v>
      </c>
      <c r="C931" s="1">
        <f>IFERROR(__xludf.DUMMYFUNCTION("""COMPUTED_VALUE"""),150000.0)</f>
        <v>150000</v>
      </c>
      <c r="D931" s="1">
        <f>IFERROR(__xludf.DUMMYFUNCTION("""COMPUTED_VALUE"""),146200.0)</f>
        <v>146200</v>
      </c>
      <c r="E931" s="1">
        <f>IFERROR(__xludf.DUMMYFUNCTION("""COMPUTED_VALUE"""),148600.0)</f>
        <v>148600</v>
      </c>
      <c r="F931" s="1">
        <f>IFERROR(__xludf.DUMMYFUNCTION("""COMPUTED_VALUE"""),103613.0)</f>
        <v>103613</v>
      </c>
    </row>
    <row r="932">
      <c r="A932" s="2">
        <f>IFERROR(__xludf.DUMMYFUNCTION("""COMPUTED_VALUE"""),41953.64583333333)</f>
        <v>41953.64583</v>
      </c>
      <c r="B932" s="1">
        <f>IFERROR(__xludf.DUMMYFUNCTION("""COMPUTED_VALUE"""),147400.0)</f>
        <v>147400</v>
      </c>
      <c r="C932" s="1">
        <f>IFERROR(__xludf.DUMMYFUNCTION("""COMPUTED_VALUE"""),150000.0)</f>
        <v>150000</v>
      </c>
      <c r="D932" s="1">
        <f>IFERROR(__xludf.DUMMYFUNCTION("""COMPUTED_VALUE"""),147400.0)</f>
        <v>147400</v>
      </c>
      <c r="E932" s="1">
        <f>IFERROR(__xludf.DUMMYFUNCTION("""COMPUTED_VALUE"""),148600.0)</f>
        <v>148600</v>
      </c>
      <c r="F932" s="1">
        <f>IFERROR(__xludf.DUMMYFUNCTION("""COMPUTED_VALUE"""),87479.0)</f>
        <v>87479</v>
      </c>
    </row>
    <row r="933">
      <c r="A933" s="2">
        <f>IFERROR(__xludf.DUMMYFUNCTION("""COMPUTED_VALUE"""),41954.64583333333)</f>
        <v>41954.64583</v>
      </c>
      <c r="B933" s="1">
        <f>IFERROR(__xludf.DUMMYFUNCTION("""COMPUTED_VALUE"""),148000.0)</f>
        <v>148000</v>
      </c>
      <c r="C933" s="1">
        <f>IFERROR(__xludf.DUMMYFUNCTION("""COMPUTED_VALUE"""),150200.0)</f>
        <v>150200</v>
      </c>
      <c r="D933" s="1">
        <f>IFERROR(__xludf.DUMMYFUNCTION("""COMPUTED_VALUE"""),147800.0)</f>
        <v>147800</v>
      </c>
      <c r="E933" s="1">
        <f>IFERROR(__xludf.DUMMYFUNCTION("""COMPUTED_VALUE"""),148400.0)</f>
        <v>148400</v>
      </c>
      <c r="F933" s="1">
        <f>IFERROR(__xludf.DUMMYFUNCTION("""COMPUTED_VALUE"""),117817.0)</f>
        <v>117817</v>
      </c>
    </row>
    <row r="934">
      <c r="A934" s="2">
        <f>IFERROR(__xludf.DUMMYFUNCTION("""COMPUTED_VALUE"""),41955.64583333333)</f>
        <v>41955.64583</v>
      </c>
      <c r="B934" s="1">
        <f>IFERROR(__xludf.DUMMYFUNCTION("""COMPUTED_VALUE"""),150000.0)</f>
        <v>150000</v>
      </c>
      <c r="C934" s="1">
        <f>IFERROR(__xludf.DUMMYFUNCTION("""COMPUTED_VALUE"""),151600.0)</f>
        <v>151600</v>
      </c>
      <c r="D934" s="1">
        <f>IFERROR(__xludf.DUMMYFUNCTION("""COMPUTED_VALUE"""),147600.0)</f>
        <v>147600</v>
      </c>
      <c r="E934" s="1">
        <f>IFERROR(__xludf.DUMMYFUNCTION("""COMPUTED_VALUE"""),149800.0)</f>
        <v>149800</v>
      </c>
      <c r="F934" s="1">
        <f>IFERROR(__xludf.DUMMYFUNCTION("""COMPUTED_VALUE"""),128975.0)</f>
        <v>128975</v>
      </c>
    </row>
    <row r="935">
      <c r="A935" s="2">
        <f>IFERROR(__xludf.DUMMYFUNCTION("""COMPUTED_VALUE"""),41956.64583333333)</f>
        <v>41956.64583</v>
      </c>
      <c r="B935" s="1">
        <f>IFERROR(__xludf.DUMMYFUNCTION("""COMPUTED_VALUE"""),149000.0)</f>
        <v>149000</v>
      </c>
      <c r="C935" s="1">
        <f>IFERROR(__xludf.DUMMYFUNCTION("""COMPUTED_VALUE"""),153000.0)</f>
        <v>153000</v>
      </c>
      <c r="D935" s="1">
        <f>IFERROR(__xludf.DUMMYFUNCTION("""COMPUTED_VALUE"""),149000.0)</f>
        <v>149000</v>
      </c>
      <c r="E935" s="1">
        <f>IFERROR(__xludf.DUMMYFUNCTION("""COMPUTED_VALUE"""),152600.0)</f>
        <v>152600</v>
      </c>
      <c r="F935" s="1">
        <f>IFERROR(__xludf.DUMMYFUNCTION("""COMPUTED_VALUE"""),97441.0)</f>
        <v>97441</v>
      </c>
    </row>
    <row r="936">
      <c r="A936" s="2">
        <f>IFERROR(__xludf.DUMMYFUNCTION("""COMPUTED_VALUE"""),41957.64583333333)</f>
        <v>41957.64583</v>
      </c>
      <c r="B936" s="1">
        <f>IFERROR(__xludf.DUMMYFUNCTION("""COMPUTED_VALUE"""),152400.0)</f>
        <v>152400</v>
      </c>
      <c r="C936" s="1">
        <f>IFERROR(__xludf.DUMMYFUNCTION("""COMPUTED_VALUE"""),154800.0)</f>
        <v>154800</v>
      </c>
      <c r="D936" s="1">
        <f>IFERROR(__xludf.DUMMYFUNCTION("""COMPUTED_VALUE"""),150800.0)</f>
        <v>150800</v>
      </c>
      <c r="E936" s="1">
        <f>IFERROR(__xludf.DUMMYFUNCTION("""COMPUTED_VALUE"""),152200.0)</f>
        <v>152200</v>
      </c>
      <c r="F936" s="1">
        <f>IFERROR(__xludf.DUMMYFUNCTION("""COMPUTED_VALUE"""),71797.0)</f>
        <v>71797</v>
      </c>
    </row>
    <row r="937">
      <c r="A937" s="2">
        <f>IFERROR(__xludf.DUMMYFUNCTION("""COMPUTED_VALUE"""),41960.64583333333)</f>
        <v>41960.64583</v>
      </c>
      <c r="B937" s="1">
        <f>IFERROR(__xludf.DUMMYFUNCTION("""COMPUTED_VALUE"""),150800.0)</f>
        <v>150800</v>
      </c>
      <c r="C937" s="1">
        <f>IFERROR(__xludf.DUMMYFUNCTION("""COMPUTED_VALUE"""),152400.0)</f>
        <v>152400</v>
      </c>
      <c r="D937" s="1">
        <f>IFERROR(__xludf.DUMMYFUNCTION("""COMPUTED_VALUE"""),150000.0)</f>
        <v>150000</v>
      </c>
      <c r="E937" s="1">
        <f>IFERROR(__xludf.DUMMYFUNCTION("""COMPUTED_VALUE"""),152200.0)</f>
        <v>152200</v>
      </c>
      <c r="F937" s="1">
        <f>IFERROR(__xludf.DUMMYFUNCTION("""COMPUTED_VALUE"""),68779.0)</f>
        <v>68779</v>
      </c>
    </row>
    <row r="938">
      <c r="A938" s="2">
        <f>IFERROR(__xludf.DUMMYFUNCTION("""COMPUTED_VALUE"""),41961.64583333333)</f>
        <v>41961.64583</v>
      </c>
      <c r="B938" s="1">
        <f>IFERROR(__xludf.DUMMYFUNCTION("""COMPUTED_VALUE"""),152200.0)</f>
        <v>152200</v>
      </c>
      <c r="C938" s="1">
        <f>IFERROR(__xludf.DUMMYFUNCTION("""COMPUTED_VALUE"""),157600.0)</f>
        <v>157600</v>
      </c>
      <c r="D938" s="1">
        <f>IFERROR(__xludf.DUMMYFUNCTION("""COMPUTED_VALUE"""),151800.0)</f>
        <v>151800</v>
      </c>
      <c r="E938" s="1">
        <f>IFERROR(__xludf.DUMMYFUNCTION("""COMPUTED_VALUE"""),156200.0)</f>
        <v>156200</v>
      </c>
      <c r="F938" s="1">
        <f>IFERROR(__xludf.DUMMYFUNCTION("""COMPUTED_VALUE"""),98698.0)</f>
        <v>98698</v>
      </c>
    </row>
    <row r="939">
      <c r="A939" s="2">
        <f>IFERROR(__xludf.DUMMYFUNCTION("""COMPUTED_VALUE"""),41962.64583333333)</f>
        <v>41962.64583</v>
      </c>
      <c r="B939" s="1">
        <f>IFERROR(__xludf.DUMMYFUNCTION("""COMPUTED_VALUE"""),157800.0)</f>
        <v>157800</v>
      </c>
      <c r="C939" s="1">
        <f>IFERROR(__xludf.DUMMYFUNCTION("""COMPUTED_VALUE"""),158000.0)</f>
        <v>158000</v>
      </c>
      <c r="D939" s="1">
        <f>IFERROR(__xludf.DUMMYFUNCTION("""COMPUTED_VALUE"""),156000.0)</f>
        <v>156000</v>
      </c>
      <c r="E939" s="1">
        <f>IFERROR(__xludf.DUMMYFUNCTION("""COMPUTED_VALUE"""),157400.0)</f>
        <v>157400</v>
      </c>
      <c r="F939" s="1">
        <f>IFERROR(__xludf.DUMMYFUNCTION("""COMPUTED_VALUE"""),104763.0)</f>
        <v>104763</v>
      </c>
    </row>
    <row r="940">
      <c r="A940" s="2">
        <f>IFERROR(__xludf.DUMMYFUNCTION("""COMPUTED_VALUE"""),41963.64583333333)</f>
        <v>41963.64583</v>
      </c>
      <c r="B940" s="1">
        <f>IFERROR(__xludf.DUMMYFUNCTION("""COMPUTED_VALUE"""),156400.0)</f>
        <v>156400</v>
      </c>
      <c r="C940" s="1">
        <f>IFERROR(__xludf.DUMMYFUNCTION("""COMPUTED_VALUE"""),158200.0)</f>
        <v>158200</v>
      </c>
      <c r="D940" s="1">
        <f>IFERROR(__xludf.DUMMYFUNCTION("""COMPUTED_VALUE"""),156400.0)</f>
        <v>156400</v>
      </c>
      <c r="E940" s="1">
        <f>IFERROR(__xludf.DUMMYFUNCTION("""COMPUTED_VALUE"""),157800.0)</f>
        <v>157800</v>
      </c>
      <c r="F940" s="1">
        <f>IFERROR(__xludf.DUMMYFUNCTION("""COMPUTED_VALUE"""),53442.0)</f>
        <v>53442</v>
      </c>
    </row>
    <row r="941">
      <c r="A941" s="2">
        <f>IFERROR(__xludf.DUMMYFUNCTION("""COMPUTED_VALUE"""),41964.64583333333)</f>
        <v>41964.64583</v>
      </c>
      <c r="B941" s="1">
        <f>IFERROR(__xludf.DUMMYFUNCTION("""COMPUTED_VALUE"""),157200.0)</f>
        <v>157200</v>
      </c>
      <c r="C941" s="1">
        <f>IFERROR(__xludf.DUMMYFUNCTION("""COMPUTED_VALUE"""),157600.0)</f>
        <v>157600</v>
      </c>
      <c r="D941" s="1">
        <f>IFERROR(__xludf.DUMMYFUNCTION("""COMPUTED_VALUE"""),152600.0)</f>
        <v>152600</v>
      </c>
      <c r="E941" s="1">
        <f>IFERROR(__xludf.DUMMYFUNCTION("""COMPUTED_VALUE"""),152600.0)</f>
        <v>152600</v>
      </c>
      <c r="F941" s="1">
        <f>IFERROR(__xludf.DUMMYFUNCTION("""COMPUTED_VALUE"""),79582.0)</f>
        <v>79582</v>
      </c>
    </row>
    <row r="942">
      <c r="A942" s="2">
        <f>IFERROR(__xludf.DUMMYFUNCTION("""COMPUTED_VALUE"""),41967.64583333333)</f>
        <v>41967.64583</v>
      </c>
      <c r="B942" s="1">
        <f>IFERROR(__xludf.DUMMYFUNCTION("""COMPUTED_VALUE"""),153200.0)</f>
        <v>153200</v>
      </c>
      <c r="C942" s="1">
        <f>IFERROR(__xludf.DUMMYFUNCTION("""COMPUTED_VALUE"""),154000.0)</f>
        <v>154000</v>
      </c>
      <c r="D942" s="1">
        <f>IFERROR(__xludf.DUMMYFUNCTION("""COMPUTED_VALUE"""),148400.0)</f>
        <v>148400</v>
      </c>
      <c r="E942" s="1">
        <f>IFERROR(__xludf.DUMMYFUNCTION("""COMPUTED_VALUE"""),150000.0)</f>
        <v>150000</v>
      </c>
      <c r="F942" s="1">
        <f>IFERROR(__xludf.DUMMYFUNCTION("""COMPUTED_VALUE"""),156481.0)</f>
        <v>156481</v>
      </c>
    </row>
    <row r="943">
      <c r="A943" s="2">
        <f>IFERROR(__xludf.DUMMYFUNCTION("""COMPUTED_VALUE"""),41968.64583333333)</f>
        <v>41968.64583</v>
      </c>
      <c r="B943" s="1">
        <f>IFERROR(__xludf.DUMMYFUNCTION("""COMPUTED_VALUE"""),150200.0)</f>
        <v>150200</v>
      </c>
      <c r="C943" s="1">
        <f>IFERROR(__xludf.DUMMYFUNCTION("""COMPUTED_VALUE"""),152400.0)</f>
        <v>152400</v>
      </c>
      <c r="D943" s="1">
        <f>IFERROR(__xludf.DUMMYFUNCTION("""COMPUTED_VALUE"""),150000.0)</f>
        <v>150000</v>
      </c>
      <c r="E943" s="1">
        <f>IFERROR(__xludf.DUMMYFUNCTION("""COMPUTED_VALUE"""),150600.0)</f>
        <v>150600</v>
      </c>
      <c r="F943" s="1">
        <f>IFERROR(__xludf.DUMMYFUNCTION("""COMPUTED_VALUE"""),73558.0)</f>
        <v>73558</v>
      </c>
    </row>
    <row r="944">
      <c r="A944" s="2">
        <f>IFERROR(__xludf.DUMMYFUNCTION("""COMPUTED_VALUE"""),41969.64583333333)</f>
        <v>41969.64583</v>
      </c>
      <c r="B944" s="1">
        <f>IFERROR(__xludf.DUMMYFUNCTION("""COMPUTED_VALUE"""),149800.0)</f>
        <v>149800</v>
      </c>
      <c r="C944" s="1">
        <f>IFERROR(__xludf.DUMMYFUNCTION("""COMPUTED_VALUE"""),151600.0)</f>
        <v>151600</v>
      </c>
      <c r="D944" s="1">
        <f>IFERROR(__xludf.DUMMYFUNCTION("""COMPUTED_VALUE"""),149800.0)</f>
        <v>149800</v>
      </c>
      <c r="E944" s="1">
        <f>IFERROR(__xludf.DUMMYFUNCTION("""COMPUTED_VALUE"""),150600.0)</f>
        <v>150600</v>
      </c>
      <c r="F944" s="1">
        <f>IFERROR(__xludf.DUMMYFUNCTION("""COMPUTED_VALUE"""),44541.0)</f>
        <v>44541</v>
      </c>
    </row>
    <row r="945">
      <c r="A945" s="2">
        <f>IFERROR(__xludf.DUMMYFUNCTION("""COMPUTED_VALUE"""),41970.64583333333)</f>
        <v>41970.64583</v>
      </c>
      <c r="B945" s="1">
        <f>IFERROR(__xludf.DUMMYFUNCTION("""COMPUTED_VALUE"""),150000.0)</f>
        <v>150000</v>
      </c>
      <c r="C945" s="1">
        <f>IFERROR(__xludf.DUMMYFUNCTION("""COMPUTED_VALUE"""),151200.0)</f>
        <v>151200</v>
      </c>
      <c r="D945" s="1">
        <f>IFERROR(__xludf.DUMMYFUNCTION("""COMPUTED_VALUE"""),148200.0)</f>
        <v>148200</v>
      </c>
      <c r="E945" s="1">
        <f>IFERROR(__xludf.DUMMYFUNCTION("""COMPUTED_VALUE"""),149000.0)</f>
        <v>149000</v>
      </c>
      <c r="F945" s="1">
        <f>IFERROR(__xludf.DUMMYFUNCTION("""COMPUTED_VALUE"""),91984.0)</f>
        <v>91984</v>
      </c>
    </row>
    <row r="946">
      <c r="A946" s="2">
        <f>IFERROR(__xludf.DUMMYFUNCTION("""COMPUTED_VALUE"""),41971.64583333333)</f>
        <v>41971.64583</v>
      </c>
      <c r="B946" s="1">
        <f>IFERROR(__xludf.DUMMYFUNCTION("""COMPUTED_VALUE"""),148400.0)</f>
        <v>148400</v>
      </c>
      <c r="C946" s="1">
        <f>IFERROR(__xludf.DUMMYFUNCTION("""COMPUTED_VALUE"""),151600.0)</f>
        <v>151600</v>
      </c>
      <c r="D946" s="1">
        <f>IFERROR(__xludf.DUMMYFUNCTION("""COMPUTED_VALUE"""),148400.0)</f>
        <v>148400</v>
      </c>
      <c r="E946" s="1">
        <f>IFERROR(__xludf.DUMMYFUNCTION("""COMPUTED_VALUE"""),151200.0)</f>
        <v>151200</v>
      </c>
      <c r="F946" s="1">
        <f>IFERROR(__xludf.DUMMYFUNCTION("""COMPUTED_VALUE"""),37003.0)</f>
        <v>37003</v>
      </c>
    </row>
    <row r="947">
      <c r="A947" s="2">
        <f>IFERROR(__xludf.DUMMYFUNCTION("""COMPUTED_VALUE"""),41974.64583333333)</f>
        <v>41974.64583</v>
      </c>
      <c r="B947" s="1">
        <f>IFERROR(__xludf.DUMMYFUNCTION("""COMPUTED_VALUE"""),149200.0)</f>
        <v>149200</v>
      </c>
      <c r="C947" s="1">
        <f>IFERROR(__xludf.DUMMYFUNCTION("""COMPUTED_VALUE"""),151600.0)</f>
        <v>151600</v>
      </c>
      <c r="D947" s="1">
        <f>IFERROR(__xludf.DUMMYFUNCTION("""COMPUTED_VALUE"""),146000.0)</f>
        <v>146000</v>
      </c>
      <c r="E947" s="1">
        <f>IFERROR(__xludf.DUMMYFUNCTION("""COMPUTED_VALUE"""),147600.0)</f>
        <v>147600</v>
      </c>
      <c r="F947" s="1">
        <f>IFERROR(__xludf.DUMMYFUNCTION("""COMPUTED_VALUE"""),107284.0)</f>
        <v>107284</v>
      </c>
    </row>
    <row r="948">
      <c r="A948" s="2">
        <f>IFERROR(__xludf.DUMMYFUNCTION("""COMPUTED_VALUE"""),41975.64583333333)</f>
        <v>41975.64583</v>
      </c>
      <c r="B948" s="1">
        <f>IFERROR(__xludf.DUMMYFUNCTION("""COMPUTED_VALUE"""),148200.0)</f>
        <v>148200</v>
      </c>
      <c r="C948" s="1">
        <f>IFERROR(__xludf.DUMMYFUNCTION("""COMPUTED_VALUE"""),148400.0)</f>
        <v>148400</v>
      </c>
      <c r="D948" s="1">
        <f>IFERROR(__xludf.DUMMYFUNCTION("""COMPUTED_VALUE"""),145800.0)</f>
        <v>145800</v>
      </c>
      <c r="E948" s="1">
        <f>IFERROR(__xludf.DUMMYFUNCTION("""COMPUTED_VALUE"""),146600.0)</f>
        <v>146600</v>
      </c>
      <c r="F948" s="1">
        <f>IFERROR(__xludf.DUMMYFUNCTION("""COMPUTED_VALUE"""),58226.0)</f>
        <v>58226</v>
      </c>
    </row>
    <row r="949">
      <c r="A949" s="2">
        <f>IFERROR(__xludf.DUMMYFUNCTION("""COMPUTED_VALUE"""),41976.64583333333)</f>
        <v>41976.64583</v>
      </c>
      <c r="B949" s="1">
        <f>IFERROR(__xludf.DUMMYFUNCTION("""COMPUTED_VALUE"""),145800.0)</f>
        <v>145800</v>
      </c>
      <c r="C949" s="1">
        <f>IFERROR(__xludf.DUMMYFUNCTION("""COMPUTED_VALUE"""),147400.0)</f>
        <v>147400</v>
      </c>
      <c r="D949" s="1">
        <f>IFERROR(__xludf.DUMMYFUNCTION("""COMPUTED_VALUE"""),145600.0)</f>
        <v>145600</v>
      </c>
      <c r="E949" s="1">
        <f>IFERROR(__xludf.DUMMYFUNCTION("""COMPUTED_VALUE"""),146800.0)</f>
        <v>146800</v>
      </c>
      <c r="F949" s="1">
        <f>IFERROR(__xludf.DUMMYFUNCTION("""COMPUTED_VALUE"""),47945.0)</f>
        <v>47945</v>
      </c>
    </row>
    <row r="950">
      <c r="A950" s="2">
        <f>IFERROR(__xludf.DUMMYFUNCTION("""COMPUTED_VALUE"""),41977.64583333333)</f>
        <v>41977.64583</v>
      </c>
      <c r="B950" s="1">
        <f>IFERROR(__xludf.DUMMYFUNCTION("""COMPUTED_VALUE"""),146400.0)</f>
        <v>146400</v>
      </c>
      <c r="C950" s="1">
        <f>IFERROR(__xludf.DUMMYFUNCTION("""COMPUTED_VALUE"""),147600.0)</f>
        <v>147600</v>
      </c>
      <c r="D950" s="1">
        <f>IFERROR(__xludf.DUMMYFUNCTION("""COMPUTED_VALUE"""),146000.0)</f>
        <v>146000</v>
      </c>
      <c r="E950" s="1">
        <f>IFERROR(__xludf.DUMMYFUNCTION("""COMPUTED_VALUE"""),147200.0)</f>
        <v>147200</v>
      </c>
      <c r="F950" s="1">
        <f>IFERROR(__xludf.DUMMYFUNCTION("""COMPUTED_VALUE"""),95206.0)</f>
        <v>95206</v>
      </c>
    </row>
    <row r="951">
      <c r="A951" s="2">
        <f>IFERROR(__xludf.DUMMYFUNCTION("""COMPUTED_VALUE"""),41978.64583333333)</f>
        <v>41978.64583</v>
      </c>
      <c r="B951" s="1">
        <f>IFERROR(__xludf.DUMMYFUNCTION("""COMPUTED_VALUE"""),147200.0)</f>
        <v>147200</v>
      </c>
      <c r="C951" s="1">
        <f>IFERROR(__xludf.DUMMYFUNCTION("""COMPUTED_VALUE"""),147400.0)</f>
        <v>147400</v>
      </c>
      <c r="D951" s="1">
        <f>IFERROR(__xludf.DUMMYFUNCTION("""COMPUTED_VALUE"""),146200.0)</f>
        <v>146200</v>
      </c>
      <c r="E951" s="1">
        <f>IFERROR(__xludf.DUMMYFUNCTION("""COMPUTED_VALUE"""),147200.0)</f>
        <v>147200</v>
      </c>
      <c r="F951" s="1">
        <f>IFERROR(__xludf.DUMMYFUNCTION("""COMPUTED_VALUE"""),72699.0)</f>
        <v>72699</v>
      </c>
    </row>
    <row r="952">
      <c r="A952" s="2">
        <f>IFERROR(__xludf.DUMMYFUNCTION("""COMPUTED_VALUE"""),41981.64583333333)</f>
        <v>41981.64583</v>
      </c>
      <c r="B952" s="1">
        <f>IFERROR(__xludf.DUMMYFUNCTION("""COMPUTED_VALUE"""),146400.0)</f>
        <v>146400</v>
      </c>
      <c r="C952" s="1">
        <f>IFERROR(__xludf.DUMMYFUNCTION("""COMPUTED_VALUE"""),147200.0)</f>
        <v>147200</v>
      </c>
      <c r="D952" s="1">
        <f>IFERROR(__xludf.DUMMYFUNCTION("""COMPUTED_VALUE"""),146000.0)</f>
        <v>146000</v>
      </c>
      <c r="E952" s="1">
        <f>IFERROR(__xludf.DUMMYFUNCTION("""COMPUTED_VALUE"""),146000.0)</f>
        <v>146000</v>
      </c>
      <c r="F952" s="1">
        <f>IFERROR(__xludf.DUMMYFUNCTION("""COMPUTED_VALUE"""),55735.0)</f>
        <v>55735</v>
      </c>
    </row>
    <row r="953">
      <c r="A953" s="2">
        <f>IFERROR(__xludf.DUMMYFUNCTION("""COMPUTED_VALUE"""),41982.64583333333)</f>
        <v>41982.64583</v>
      </c>
      <c r="B953" s="1">
        <f>IFERROR(__xludf.DUMMYFUNCTION("""COMPUTED_VALUE"""),146200.0)</f>
        <v>146200</v>
      </c>
      <c r="C953" s="1">
        <f>IFERROR(__xludf.DUMMYFUNCTION("""COMPUTED_VALUE"""),147200.0)</f>
        <v>147200</v>
      </c>
      <c r="D953" s="1">
        <f>IFERROR(__xludf.DUMMYFUNCTION("""COMPUTED_VALUE"""),145200.0)</f>
        <v>145200</v>
      </c>
      <c r="E953" s="1">
        <f>IFERROR(__xludf.DUMMYFUNCTION("""COMPUTED_VALUE"""),145200.0)</f>
        <v>145200</v>
      </c>
      <c r="F953" s="1">
        <f>IFERROR(__xludf.DUMMYFUNCTION("""COMPUTED_VALUE"""),75223.0)</f>
        <v>75223</v>
      </c>
    </row>
    <row r="954">
      <c r="A954" s="2">
        <f>IFERROR(__xludf.DUMMYFUNCTION("""COMPUTED_VALUE"""),41983.64583333333)</f>
        <v>41983.64583</v>
      </c>
      <c r="B954" s="1">
        <f>IFERROR(__xludf.DUMMYFUNCTION("""COMPUTED_VALUE"""),146000.0)</f>
        <v>146000</v>
      </c>
      <c r="C954" s="1">
        <f>IFERROR(__xludf.DUMMYFUNCTION("""COMPUTED_VALUE"""),146400.0)</f>
        <v>146400</v>
      </c>
      <c r="D954" s="1">
        <f>IFERROR(__xludf.DUMMYFUNCTION("""COMPUTED_VALUE"""),140200.0)</f>
        <v>140200</v>
      </c>
      <c r="E954" s="1">
        <f>IFERROR(__xludf.DUMMYFUNCTION("""COMPUTED_VALUE"""),142200.0)</f>
        <v>142200</v>
      </c>
      <c r="F954" s="1">
        <f>IFERROR(__xludf.DUMMYFUNCTION("""COMPUTED_VALUE"""),99553.0)</f>
        <v>99553</v>
      </c>
    </row>
    <row r="955">
      <c r="A955" s="2">
        <f>IFERROR(__xludf.DUMMYFUNCTION("""COMPUTED_VALUE"""),41984.64583333333)</f>
        <v>41984.64583</v>
      </c>
      <c r="B955" s="1">
        <f>IFERROR(__xludf.DUMMYFUNCTION("""COMPUTED_VALUE"""),140400.0)</f>
        <v>140400</v>
      </c>
      <c r="C955" s="1">
        <f>IFERROR(__xludf.DUMMYFUNCTION("""COMPUTED_VALUE"""),142600.0)</f>
        <v>142600</v>
      </c>
      <c r="D955" s="1">
        <f>IFERROR(__xludf.DUMMYFUNCTION("""COMPUTED_VALUE"""),140400.0)</f>
        <v>140400</v>
      </c>
      <c r="E955" s="1">
        <f>IFERROR(__xludf.DUMMYFUNCTION("""COMPUTED_VALUE"""),140800.0)</f>
        <v>140800</v>
      </c>
      <c r="F955" s="1">
        <f>IFERROR(__xludf.DUMMYFUNCTION("""COMPUTED_VALUE"""),75232.0)</f>
        <v>75232</v>
      </c>
    </row>
    <row r="956">
      <c r="A956" s="2">
        <f>IFERROR(__xludf.DUMMYFUNCTION("""COMPUTED_VALUE"""),41985.64583333333)</f>
        <v>41985.64583</v>
      </c>
      <c r="B956" s="1">
        <f>IFERROR(__xludf.DUMMYFUNCTION("""COMPUTED_VALUE"""),142600.0)</f>
        <v>142600</v>
      </c>
      <c r="C956" s="1">
        <f>IFERROR(__xludf.DUMMYFUNCTION("""COMPUTED_VALUE"""),144000.0)</f>
        <v>144000</v>
      </c>
      <c r="D956" s="1">
        <f>IFERROR(__xludf.DUMMYFUNCTION("""COMPUTED_VALUE"""),140600.0)</f>
        <v>140600</v>
      </c>
      <c r="E956" s="1">
        <f>IFERROR(__xludf.DUMMYFUNCTION("""COMPUTED_VALUE"""),142600.0)</f>
        <v>142600</v>
      </c>
      <c r="F956" s="1">
        <f>IFERROR(__xludf.DUMMYFUNCTION("""COMPUTED_VALUE"""),88672.0)</f>
        <v>88672</v>
      </c>
    </row>
    <row r="957">
      <c r="A957" s="2">
        <f>IFERROR(__xludf.DUMMYFUNCTION("""COMPUTED_VALUE"""),41988.64583333333)</f>
        <v>41988.64583</v>
      </c>
      <c r="B957" s="1">
        <f>IFERROR(__xludf.DUMMYFUNCTION("""COMPUTED_VALUE"""),141000.0)</f>
        <v>141000</v>
      </c>
      <c r="C957" s="1">
        <f>IFERROR(__xludf.DUMMYFUNCTION("""COMPUTED_VALUE"""),145600.0)</f>
        <v>145600</v>
      </c>
      <c r="D957" s="1">
        <f>IFERROR(__xludf.DUMMYFUNCTION("""COMPUTED_VALUE"""),140400.0)</f>
        <v>140400</v>
      </c>
      <c r="E957" s="1">
        <f>IFERROR(__xludf.DUMMYFUNCTION("""COMPUTED_VALUE"""),144400.0)</f>
        <v>144400</v>
      </c>
      <c r="F957" s="1">
        <f>IFERROR(__xludf.DUMMYFUNCTION("""COMPUTED_VALUE"""),49522.0)</f>
        <v>49522</v>
      </c>
    </row>
    <row r="958">
      <c r="A958" s="2">
        <f>IFERROR(__xludf.DUMMYFUNCTION("""COMPUTED_VALUE"""),41989.64583333333)</f>
        <v>41989.64583</v>
      </c>
      <c r="B958" s="1">
        <f>IFERROR(__xludf.DUMMYFUNCTION("""COMPUTED_VALUE"""),144600.0)</f>
        <v>144600</v>
      </c>
      <c r="C958" s="1">
        <f>IFERROR(__xludf.DUMMYFUNCTION("""COMPUTED_VALUE"""),147000.0)</f>
        <v>147000</v>
      </c>
      <c r="D958" s="1">
        <f>IFERROR(__xludf.DUMMYFUNCTION("""COMPUTED_VALUE"""),143800.0)</f>
        <v>143800</v>
      </c>
      <c r="E958" s="1">
        <f>IFERROR(__xludf.DUMMYFUNCTION("""COMPUTED_VALUE"""),145800.0)</f>
        <v>145800</v>
      </c>
      <c r="F958" s="1">
        <f>IFERROR(__xludf.DUMMYFUNCTION("""COMPUTED_VALUE"""),68565.0)</f>
        <v>68565</v>
      </c>
    </row>
    <row r="959">
      <c r="A959" s="2">
        <f>IFERROR(__xludf.DUMMYFUNCTION("""COMPUTED_VALUE"""),41990.64583333333)</f>
        <v>41990.64583</v>
      </c>
      <c r="B959" s="1">
        <f>IFERROR(__xludf.DUMMYFUNCTION("""COMPUTED_VALUE"""),147800.0)</f>
        <v>147800</v>
      </c>
      <c r="C959" s="1">
        <f>IFERROR(__xludf.DUMMYFUNCTION("""COMPUTED_VALUE"""),147800.0)</f>
        <v>147800</v>
      </c>
      <c r="D959" s="1">
        <f>IFERROR(__xludf.DUMMYFUNCTION("""COMPUTED_VALUE"""),144200.0)</f>
        <v>144200</v>
      </c>
      <c r="E959" s="1">
        <f>IFERROR(__xludf.DUMMYFUNCTION("""COMPUTED_VALUE"""),145800.0)</f>
        <v>145800</v>
      </c>
      <c r="F959" s="1">
        <f>IFERROR(__xludf.DUMMYFUNCTION("""COMPUTED_VALUE"""),69486.0)</f>
        <v>69486</v>
      </c>
    </row>
    <row r="960">
      <c r="A960" s="2">
        <f>IFERROR(__xludf.DUMMYFUNCTION("""COMPUTED_VALUE"""),41991.64583333333)</f>
        <v>41991.64583</v>
      </c>
      <c r="B960" s="1">
        <f>IFERROR(__xludf.DUMMYFUNCTION("""COMPUTED_VALUE"""),147600.0)</f>
        <v>147600</v>
      </c>
      <c r="C960" s="1">
        <f>IFERROR(__xludf.DUMMYFUNCTION("""COMPUTED_VALUE"""),147600.0)</f>
        <v>147600</v>
      </c>
      <c r="D960" s="1">
        <f>IFERROR(__xludf.DUMMYFUNCTION("""COMPUTED_VALUE"""),142600.0)</f>
        <v>142600</v>
      </c>
      <c r="E960" s="1">
        <f>IFERROR(__xludf.DUMMYFUNCTION("""COMPUTED_VALUE"""),143800.0)</f>
        <v>143800</v>
      </c>
      <c r="F960" s="1">
        <f>IFERROR(__xludf.DUMMYFUNCTION("""COMPUTED_VALUE"""),63678.0)</f>
        <v>63678</v>
      </c>
    </row>
    <row r="961">
      <c r="A961" s="2">
        <f>IFERROR(__xludf.DUMMYFUNCTION("""COMPUTED_VALUE"""),41992.64583333333)</f>
        <v>41992.64583</v>
      </c>
      <c r="B961" s="1">
        <f>IFERROR(__xludf.DUMMYFUNCTION("""COMPUTED_VALUE"""),144400.0)</f>
        <v>144400</v>
      </c>
      <c r="C961" s="1">
        <f>IFERROR(__xludf.DUMMYFUNCTION("""COMPUTED_VALUE"""),148000.0)</f>
        <v>148000</v>
      </c>
      <c r="D961" s="1">
        <f>IFERROR(__xludf.DUMMYFUNCTION("""COMPUTED_VALUE"""),144000.0)</f>
        <v>144000</v>
      </c>
      <c r="E961" s="1">
        <f>IFERROR(__xludf.DUMMYFUNCTION("""COMPUTED_VALUE"""),148000.0)</f>
        <v>148000</v>
      </c>
      <c r="F961" s="1">
        <f>IFERROR(__xludf.DUMMYFUNCTION("""COMPUTED_VALUE"""),87071.0)</f>
        <v>87071</v>
      </c>
    </row>
    <row r="962">
      <c r="A962" s="2">
        <f>IFERROR(__xludf.DUMMYFUNCTION("""COMPUTED_VALUE"""),41995.64583333333)</f>
        <v>41995.64583</v>
      </c>
      <c r="B962" s="1">
        <f>IFERROR(__xludf.DUMMYFUNCTION("""COMPUTED_VALUE"""),148600.0)</f>
        <v>148600</v>
      </c>
      <c r="C962" s="1">
        <f>IFERROR(__xludf.DUMMYFUNCTION("""COMPUTED_VALUE"""),149000.0)</f>
        <v>149000</v>
      </c>
      <c r="D962" s="1">
        <f>IFERROR(__xludf.DUMMYFUNCTION("""COMPUTED_VALUE"""),146200.0)</f>
        <v>146200</v>
      </c>
      <c r="E962" s="1">
        <f>IFERROR(__xludf.DUMMYFUNCTION("""COMPUTED_VALUE"""),149000.0)</f>
        <v>149000</v>
      </c>
      <c r="F962" s="1">
        <f>IFERROR(__xludf.DUMMYFUNCTION("""COMPUTED_VALUE"""),45345.0)</f>
        <v>45345</v>
      </c>
    </row>
    <row r="963">
      <c r="A963" s="2">
        <f>IFERROR(__xludf.DUMMYFUNCTION("""COMPUTED_VALUE"""),41996.64583333333)</f>
        <v>41996.64583</v>
      </c>
      <c r="B963" s="1">
        <f>IFERROR(__xludf.DUMMYFUNCTION("""COMPUTED_VALUE"""),149800.0)</f>
        <v>149800</v>
      </c>
      <c r="C963" s="1">
        <f>IFERROR(__xludf.DUMMYFUNCTION("""COMPUTED_VALUE"""),150200.0)</f>
        <v>150200</v>
      </c>
      <c r="D963" s="1">
        <f>IFERROR(__xludf.DUMMYFUNCTION("""COMPUTED_VALUE"""),148000.0)</f>
        <v>148000</v>
      </c>
      <c r="E963" s="1">
        <f>IFERROR(__xludf.DUMMYFUNCTION("""COMPUTED_VALUE"""),149000.0)</f>
        <v>149000</v>
      </c>
      <c r="F963" s="1">
        <f>IFERROR(__xludf.DUMMYFUNCTION("""COMPUTED_VALUE"""),37646.0)</f>
        <v>37646</v>
      </c>
    </row>
    <row r="964">
      <c r="A964" s="2">
        <f>IFERROR(__xludf.DUMMYFUNCTION("""COMPUTED_VALUE"""),41997.64583333333)</f>
        <v>41997.64583</v>
      </c>
      <c r="B964" s="1">
        <f>IFERROR(__xludf.DUMMYFUNCTION("""COMPUTED_VALUE"""),148600.0)</f>
        <v>148600</v>
      </c>
      <c r="C964" s="1">
        <f>IFERROR(__xludf.DUMMYFUNCTION("""COMPUTED_VALUE"""),149200.0)</f>
        <v>149200</v>
      </c>
      <c r="D964" s="1">
        <f>IFERROR(__xludf.DUMMYFUNCTION("""COMPUTED_VALUE"""),146000.0)</f>
        <v>146000</v>
      </c>
      <c r="E964" s="1">
        <f>IFERROR(__xludf.DUMMYFUNCTION("""COMPUTED_VALUE"""),148200.0)</f>
        <v>148200</v>
      </c>
      <c r="F964" s="1">
        <f>IFERROR(__xludf.DUMMYFUNCTION("""COMPUTED_VALUE"""),49504.0)</f>
        <v>49504</v>
      </c>
    </row>
    <row r="965">
      <c r="A965" s="2">
        <f>IFERROR(__xludf.DUMMYFUNCTION("""COMPUTED_VALUE"""),41999.64583333333)</f>
        <v>41999.64583</v>
      </c>
      <c r="B965" s="1">
        <f>IFERROR(__xludf.DUMMYFUNCTION("""COMPUTED_VALUE"""),146600.0)</f>
        <v>146600</v>
      </c>
      <c r="C965" s="1">
        <f>IFERROR(__xludf.DUMMYFUNCTION("""COMPUTED_VALUE"""),149200.0)</f>
        <v>149200</v>
      </c>
      <c r="D965" s="1">
        <f>IFERROR(__xludf.DUMMYFUNCTION("""COMPUTED_VALUE"""),146200.0)</f>
        <v>146200</v>
      </c>
      <c r="E965" s="1">
        <f>IFERROR(__xludf.DUMMYFUNCTION("""COMPUTED_VALUE"""),147200.0)</f>
        <v>147200</v>
      </c>
      <c r="F965" s="1">
        <f>IFERROR(__xludf.DUMMYFUNCTION("""COMPUTED_VALUE"""),40835.0)</f>
        <v>40835</v>
      </c>
    </row>
    <row r="966">
      <c r="A966" s="2">
        <f>IFERROR(__xludf.DUMMYFUNCTION("""COMPUTED_VALUE"""),42002.64583333333)</f>
        <v>42002.64583</v>
      </c>
      <c r="B966" s="1">
        <f>IFERROR(__xludf.DUMMYFUNCTION("""COMPUTED_VALUE"""),145600.0)</f>
        <v>145600</v>
      </c>
      <c r="C966" s="1">
        <f>IFERROR(__xludf.DUMMYFUNCTION("""COMPUTED_VALUE"""),146800.0)</f>
        <v>146800</v>
      </c>
      <c r="D966" s="1">
        <f>IFERROR(__xludf.DUMMYFUNCTION("""COMPUTED_VALUE"""),144200.0)</f>
        <v>144200</v>
      </c>
      <c r="E966" s="1">
        <f>IFERROR(__xludf.DUMMYFUNCTION("""COMPUTED_VALUE"""),144600.0)</f>
        <v>144600</v>
      </c>
      <c r="F966" s="1">
        <f>IFERROR(__xludf.DUMMYFUNCTION("""COMPUTED_VALUE"""),37568.0)</f>
        <v>37568</v>
      </c>
    </row>
    <row r="967">
      <c r="A967" s="2">
        <f>IFERROR(__xludf.DUMMYFUNCTION("""COMPUTED_VALUE"""),42003.64583333333)</f>
        <v>42003.64583</v>
      </c>
      <c r="B967" s="1">
        <f>IFERROR(__xludf.DUMMYFUNCTION("""COMPUTED_VALUE"""),143400.0)</f>
        <v>143400</v>
      </c>
      <c r="C967" s="1">
        <f>IFERROR(__xludf.DUMMYFUNCTION("""COMPUTED_VALUE"""),144400.0)</f>
        <v>144400</v>
      </c>
      <c r="D967" s="1">
        <f>IFERROR(__xludf.DUMMYFUNCTION("""COMPUTED_VALUE"""),141600.0)</f>
        <v>141600</v>
      </c>
      <c r="E967" s="1">
        <f>IFERROR(__xludf.DUMMYFUNCTION("""COMPUTED_VALUE"""),142400.0)</f>
        <v>142400</v>
      </c>
      <c r="F967" s="1">
        <f>IFERROR(__xludf.DUMMYFUNCTION("""COMPUTED_VALUE"""),85390.0)</f>
        <v>85390</v>
      </c>
    </row>
    <row r="968">
      <c r="A968" s="2">
        <f>IFERROR(__xludf.DUMMYFUNCTION("""COMPUTED_VALUE"""),42006.64583333333)</f>
        <v>42006.64583</v>
      </c>
      <c r="B968" s="1">
        <f>IFERROR(__xludf.DUMMYFUNCTION("""COMPUTED_VALUE"""),142600.0)</f>
        <v>142600</v>
      </c>
      <c r="C968" s="1">
        <f>IFERROR(__xludf.DUMMYFUNCTION("""COMPUTED_VALUE"""),146600.0)</f>
        <v>146600</v>
      </c>
      <c r="D968" s="1">
        <f>IFERROR(__xludf.DUMMYFUNCTION("""COMPUTED_VALUE"""),142400.0)</f>
        <v>142400</v>
      </c>
      <c r="E968" s="1">
        <f>IFERROR(__xludf.DUMMYFUNCTION("""COMPUTED_VALUE"""),146200.0)</f>
        <v>146200</v>
      </c>
      <c r="F968" s="1">
        <f>IFERROR(__xludf.DUMMYFUNCTION("""COMPUTED_VALUE"""),64225.0)</f>
        <v>64225</v>
      </c>
    </row>
    <row r="969">
      <c r="A969" s="2">
        <f>IFERROR(__xludf.DUMMYFUNCTION("""COMPUTED_VALUE"""),42009.64583333333)</f>
        <v>42009.64583</v>
      </c>
      <c r="B969" s="1">
        <f>IFERROR(__xludf.DUMMYFUNCTION("""COMPUTED_VALUE"""),145200.0)</f>
        <v>145200</v>
      </c>
      <c r="C969" s="1">
        <f>IFERROR(__xludf.DUMMYFUNCTION("""COMPUTED_VALUE"""),150000.0)</f>
        <v>150000</v>
      </c>
      <c r="D969" s="1">
        <f>IFERROR(__xludf.DUMMYFUNCTION("""COMPUTED_VALUE"""),144200.0)</f>
        <v>144200</v>
      </c>
      <c r="E969" s="1">
        <f>IFERROR(__xludf.DUMMYFUNCTION("""COMPUTED_VALUE"""),149800.0)</f>
        <v>149800</v>
      </c>
      <c r="F969" s="1">
        <f>IFERROR(__xludf.DUMMYFUNCTION("""COMPUTED_VALUE"""),112572.0)</f>
        <v>112572</v>
      </c>
    </row>
    <row r="970">
      <c r="A970" s="2">
        <f>IFERROR(__xludf.DUMMYFUNCTION("""COMPUTED_VALUE"""),42010.64583333333)</f>
        <v>42010.64583</v>
      </c>
      <c r="B970" s="1">
        <f>IFERROR(__xludf.DUMMYFUNCTION("""COMPUTED_VALUE"""),148200.0)</f>
        <v>148200</v>
      </c>
      <c r="C970" s="1">
        <f>IFERROR(__xludf.DUMMYFUNCTION("""COMPUTED_VALUE"""),150800.0)</f>
        <v>150800</v>
      </c>
      <c r="D970" s="1">
        <f>IFERROR(__xludf.DUMMYFUNCTION("""COMPUTED_VALUE"""),147000.0)</f>
        <v>147000</v>
      </c>
      <c r="E970" s="1">
        <f>IFERROR(__xludf.DUMMYFUNCTION("""COMPUTED_VALUE"""),148600.0)</f>
        <v>148600</v>
      </c>
      <c r="F970" s="1">
        <f>IFERROR(__xludf.DUMMYFUNCTION("""COMPUTED_VALUE"""),92315.0)</f>
        <v>92315</v>
      </c>
    </row>
    <row r="971">
      <c r="A971" s="2">
        <f>IFERROR(__xludf.DUMMYFUNCTION("""COMPUTED_VALUE"""),42012.64583333333)</f>
        <v>42012.64583</v>
      </c>
      <c r="B971" s="1">
        <f>IFERROR(__xludf.DUMMYFUNCTION("""COMPUTED_VALUE"""),145800.0)</f>
        <v>145800</v>
      </c>
      <c r="C971" s="1">
        <f>IFERROR(__xludf.DUMMYFUNCTION("""COMPUTED_VALUE"""),149000.0)</f>
        <v>149000</v>
      </c>
      <c r="D971" s="1">
        <f>IFERROR(__xludf.DUMMYFUNCTION("""COMPUTED_VALUE"""),145800.0)</f>
        <v>145800</v>
      </c>
      <c r="E971" s="1">
        <f>IFERROR(__xludf.DUMMYFUNCTION("""COMPUTED_VALUE"""),148800.0)</f>
        <v>148800</v>
      </c>
      <c r="F971" s="1">
        <f>IFERROR(__xludf.DUMMYFUNCTION("""COMPUTED_VALUE"""),56392.0)</f>
        <v>56392</v>
      </c>
    </row>
    <row r="972">
      <c r="A972" s="2">
        <f>IFERROR(__xludf.DUMMYFUNCTION("""COMPUTED_VALUE"""),42013.64583333333)</f>
        <v>42013.64583</v>
      </c>
      <c r="B972" s="1">
        <f>IFERROR(__xludf.DUMMYFUNCTION("""COMPUTED_VALUE"""),151800.0)</f>
        <v>151800</v>
      </c>
      <c r="C972" s="1">
        <f>IFERROR(__xludf.DUMMYFUNCTION("""COMPUTED_VALUE"""),151800.0)</f>
        <v>151800</v>
      </c>
      <c r="D972" s="1">
        <f>IFERROR(__xludf.DUMMYFUNCTION("""COMPUTED_VALUE"""),148400.0)</f>
        <v>148400</v>
      </c>
      <c r="E972" s="1">
        <f>IFERROR(__xludf.DUMMYFUNCTION("""COMPUTED_VALUE"""),150400.0)</f>
        <v>150400</v>
      </c>
      <c r="F972" s="1">
        <f>IFERROR(__xludf.DUMMYFUNCTION("""COMPUTED_VALUE"""),73987.0)</f>
        <v>73987</v>
      </c>
    </row>
    <row r="973">
      <c r="A973" s="2">
        <f>IFERROR(__xludf.DUMMYFUNCTION("""COMPUTED_VALUE"""),42016.64583333333)</f>
        <v>42016.64583</v>
      </c>
      <c r="B973" s="1">
        <f>IFERROR(__xludf.DUMMYFUNCTION("""COMPUTED_VALUE"""),149200.0)</f>
        <v>149200</v>
      </c>
      <c r="C973" s="1">
        <f>IFERROR(__xludf.DUMMYFUNCTION("""COMPUTED_VALUE"""),152000.0)</f>
        <v>152000</v>
      </c>
      <c r="D973" s="1">
        <f>IFERROR(__xludf.DUMMYFUNCTION("""COMPUTED_VALUE"""),149200.0)</f>
        <v>149200</v>
      </c>
      <c r="E973" s="1">
        <f>IFERROR(__xludf.DUMMYFUNCTION("""COMPUTED_VALUE"""),150000.0)</f>
        <v>150000</v>
      </c>
      <c r="F973" s="1">
        <f>IFERROR(__xludf.DUMMYFUNCTION("""COMPUTED_VALUE"""),36733.0)</f>
        <v>36733</v>
      </c>
    </row>
    <row r="974">
      <c r="A974" s="2">
        <f>IFERROR(__xludf.DUMMYFUNCTION("""COMPUTED_VALUE"""),42017.64583333333)</f>
        <v>42017.64583</v>
      </c>
      <c r="B974" s="1">
        <f>IFERROR(__xludf.DUMMYFUNCTION("""COMPUTED_VALUE"""),150400.0)</f>
        <v>150400</v>
      </c>
      <c r="C974" s="1">
        <f>IFERROR(__xludf.DUMMYFUNCTION("""COMPUTED_VALUE"""),151000.0)</f>
        <v>151000</v>
      </c>
      <c r="D974" s="1">
        <f>IFERROR(__xludf.DUMMYFUNCTION("""COMPUTED_VALUE"""),147600.0)</f>
        <v>147600</v>
      </c>
      <c r="E974" s="1">
        <f>IFERROR(__xludf.DUMMYFUNCTION("""COMPUTED_VALUE"""),148000.0)</f>
        <v>148000</v>
      </c>
      <c r="F974" s="1">
        <f>IFERROR(__xludf.DUMMYFUNCTION("""COMPUTED_VALUE"""),48928.0)</f>
        <v>48928</v>
      </c>
    </row>
    <row r="975">
      <c r="A975" s="2">
        <f>IFERROR(__xludf.DUMMYFUNCTION("""COMPUTED_VALUE"""),42018.64583333333)</f>
        <v>42018.64583</v>
      </c>
      <c r="B975" s="1">
        <f>IFERROR(__xludf.DUMMYFUNCTION("""COMPUTED_VALUE"""),147000.0)</f>
        <v>147000</v>
      </c>
      <c r="C975" s="1">
        <f>IFERROR(__xludf.DUMMYFUNCTION("""COMPUTED_VALUE"""),149000.0)</f>
        <v>149000</v>
      </c>
      <c r="D975" s="1">
        <f>IFERROR(__xludf.DUMMYFUNCTION("""COMPUTED_VALUE"""),146400.0)</f>
        <v>146400</v>
      </c>
      <c r="E975" s="1">
        <f>IFERROR(__xludf.DUMMYFUNCTION("""COMPUTED_VALUE"""),147800.0)</f>
        <v>147800</v>
      </c>
      <c r="F975" s="1">
        <f>IFERROR(__xludf.DUMMYFUNCTION("""COMPUTED_VALUE"""),63850.0)</f>
        <v>63850</v>
      </c>
    </row>
    <row r="976">
      <c r="A976" s="2">
        <f>IFERROR(__xludf.DUMMYFUNCTION("""COMPUTED_VALUE"""),42019.64583333333)</f>
        <v>42019.64583</v>
      </c>
      <c r="B976" s="1">
        <f>IFERROR(__xludf.DUMMYFUNCTION("""COMPUTED_VALUE"""),149600.0)</f>
        <v>149600</v>
      </c>
      <c r="C976" s="1">
        <f>IFERROR(__xludf.DUMMYFUNCTION("""COMPUTED_VALUE"""),155600.0)</f>
        <v>155600</v>
      </c>
      <c r="D976" s="1">
        <f>IFERROR(__xludf.DUMMYFUNCTION("""COMPUTED_VALUE"""),148200.0)</f>
        <v>148200</v>
      </c>
      <c r="E976" s="1">
        <f>IFERROR(__xludf.DUMMYFUNCTION("""COMPUTED_VALUE"""),155400.0)</f>
        <v>155400</v>
      </c>
      <c r="F976" s="1">
        <f>IFERROR(__xludf.DUMMYFUNCTION("""COMPUTED_VALUE"""),187236.0)</f>
        <v>187236</v>
      </c>
    </row>
    <row r="977">
      <c r="A977" s="2">
        <f>IFERROR(__xludf.DUMMYFUNCTION("""COMPUTED_VALUE"""),42020.64583333333)</f>
        <v>42020.64583</v>
      </c>
      <c r="B977" s="1">
        <f>IFERROR(__xludf.DUMMYFUNCTION("""COMPUTED_VALUE"""),155800.0)</f>
        <v>155800</v>
      </c>
      <c r="C977" s="1">
        <f>IFERROR(__xludf.DUMMYFUNCTION("""COMPUTED_VALUE"""),156000.0)</f>
        <v>156000</v>
      </c>
      <c r="D977" s="1">
        <f>IFERROR(__xludf.DUMMYFUNCTION("""COMPUTED_VALUE"""),151400.0)</f>
        <v>151400</v>
      </c>
      <c r="E977" s="1">
        <f>IFERROR(__xludf.DUMMYFUNCTION("""COMPUTED_VALUE"""),155400.0)</f>
        <v>155400</v>
      </c>
      <c r="F977" s="1">
        <f>IFERROR(__xludf.DUMMYFUNCTION("""COMPUTED_VALUE"""),116659.0)</f>
        <v>116659</v>
      </c>
    </row>
    <row r="978">
      <c r="A978" s="2">
        <f>IFERROR(__xludf.DUMMYFUNCTION("""COMPUTED_VALUE"""),42023.64583333333)</f>
        <v>42023.64583</v>
      </c>
      <c r="B978" s="1">
        <f>IFERROR(__xludf.DUMMYFUNCTION("""COMPUTED_VALUE"""),156000.0)</f>
        <v>156000</v>
      </c>
      <c r="C978" s="1">
        <f>IFERROR(__xludf.DUMMYFUNCTION("""COMPUTED_VALUE"""),156800.0)</f>
        <v>156800</v>
      </c>
      <c r="D978" s="1">
        <f>IFERROR(__xludf.DUMMYFUNCTION("""COMPUTED_VALUE"""),154600.0)</f>
        <v>154600</v>
      </c>
      <c r="E978" s="1">
        <f>IFERROR(__xludf.DUMMYFUNCTION("""COMPUTED_VALUE"""),155200.0)</f>
        <v>155200</v>
      </c>
      <c r="F978" s="1">
        <f>IFERROR(__xludf.DUMMYFUNCTION("""COMPUTED_VALUE"""),91305.0)</f>
        <v>91305</v>
      </c>
    </row>
    <row r="979">
      <c r="A979" s="2">
        <f>IFERROR(__xludf.DUMMYFUNCTION("""COMPUTED_VALUE"""),42024.64583333333)</f>
        <v>42024.64583</v>
      </c>
      <c r="B979" s="1">
        <f>IFERROR(__xludf.DUMMYFUNCTION("""COMPUTED_VALUE"""),156000.0)</f>
        <v>156000</v>
      </c>
      <c r="C979" s="1">
        <f>IFERROR(__xludf.DUMMYFUNCTION("""COMPUTED_VALUE"""),159400.0)</f>
        <v>159400</v>
      </c>
      <c r="D979" s="1">
        <f>IFERROR(__xludf.DUMMYFUNCTION("""COMPUTED_VALUE"""),156000.0)</f>
        <v>156000</v>
      </c>
      <c r="E979" s="1">
        <f>IFERROR(__xludf.DUMMYFUNCTION("""COMPUTED_VALUE"""),158000.0)</f>
        <v>158000</v>
      </c>
      <c r="F979" s="1">
        <f>IFERROR(__xludf.DUMMYFUNCTION("""COMPUTED_VALUE"""),101343.0)</f>
        <v>101343</v>
      </c>
    </row>
    <row r="980">
      <c r="A980" s="2">
        <f>IFERROR(__xludf.DUMMYFUNCTION("""COMPUTED_VALUE"""),42025.64583333333)</f>
        <v>42025.64583</v>
      </c>
      <c r="B980" s="1">
        <f>IFERROR(__xludf.DUMMYFUNCTION("""COMPUTED_VALUE"""),156400.0)</f>
        <v>156400</v>
      </c>
      <c r="C980" s="1">
        <f>IFERROR(__xludf.DUMMYFUNCTION("""COMPUTED_VALUE"""),157800.0)</f>
        <v>157800</v>
      </c>
      <c r="D980" s="1">
        <f>IFERROR(__xludf.DUMMYFUNCTION("""COMPUTED_VALUE"""),153600.0)</f>
        <v>153600</v>
      </c>
      <c r="E980" s="1">
        <f>IFERROR(__xludf.DUMMYFUNCTION("""COMPUTED_VALUE"""),156000.0)</f>
        <v>156000</v>
      </c>
      <c r="F980" s="1">
        <f>IFERROR(__xludf.DUMMYFUNCTION("""COMPUTED_VALUE"""),71564.0)</f>
        <v>71564</v>
      </c>
    </row>
    <row r="981">
      <c r="A981" s="2">
        <f>IFERROR(__xludf.DUMMYFUNCTION("""COMPUTED_VALUE"""),42026.64583333333)</f>
        <v>42026.64583</v>
      </c>
      <c r="B981" s="1">
        <f>IFERROR(__xludf.DUMMYFUNCTION("""COMPUTED_VALUE"""),156600.0)</f>
        <v>156600</v>
      </c>
      <c r="C981" s="1">
        <f>IFERROR(__xludf.DUMMYFUNCTION("""COMPUTED_VALUE"""),157800.0)</f>
        <v>157800</v>
      </c>
      <c r="D981" s="1">
        <f>IFERROR(__xludf.DUMMYFUNCTION("""COMPUTED_VALUE"""),152400.0)</f>
        <v>152400</v>
      </c>
      <c r="E981" s="1">
        <f>IFERROR(__xludf.DUMMYFUNCTION("""COMPUTED_VALUE"""),153000.0)</f>
        <v>153000</v>
      </c>
      <c r="F981" s="1">
        <f>IFERROR(__xludf.DUMMYFUNCTION("""COMPUTED_VALUE"""),83439.0)</f>
        <v>83439</v>
      </c>
    </row>
    <row r="982">
      <c r="A982" s="2">
        <f>IFERROR(__xludf.DUMMYFUNCTION("""COMPUTED_VALUE"""),42027.64583333333)</f>
        <v>42027.64583</v>
      </c>
      <c r="B982" s="1">
        <f>IFERROR(__xludf.DUMMYFUNCTION("""COMPUTED_VALUE"""),155000.0)</f>
        <v>155000</v>
      </c>
      <c r="C982" s="1">
        <f>IFERROR(__xludf.DUMMYFUNCTION("""COMPUTED_VALUE"""),156000.0)</f>
        <v>156000</v>
      </c>
      <c r="D982" s="1">
        <f>IFERROR(__xludf.DUMMYFUNCTION("""COMPUTED_VALUE"""),152000.0)</f>
        <v>152000</v>
      </c>
      <c r="E982" s="1">
        <f>IFERROR(__xludf.DUMMYFUNCTION("""COMPUTED_VALUE"""),156000.0)</f>
        <v>156000</v>
      </c>
      <c r="F982" s="1">
        <f>IFERROR(__xludf.DUMMYFUNCTION("""COMPUTED_VALUE"""),99297.0)</f>
        <v>99297</v>
      </c>
    </row>
    <row r="983">
      <c r="A983" s="2">
        <f>IFERROR(__xludf.DUMMYFUNCTION("""COMPUTED_VALUE"""),42030.64583333333)</f>
        <v>42030.64583</v>
      </c>
      <c r="B983" s="1">
        <f>IFERROR(__xludf.DUMMYFUNCTION("""COMPUTED_VALUE"""),155000.0)</f>
        <v>155000</v>
      </c>
      <c r="C983" s="1">
        <f>IFERROR(__xludf.DUMMYFUNCTION("""COMPUTED_VALUE"""),155800.0)</f>
        <v>155800</v>
      </c>
      <c r="D983" s="1">
        <f>IFERROR(__xludf.DUMMYFUNCTION("""COMPUTED_VALUE"""),153600.0)</f>
        <v>153600</v>
      </c>
      <c r="E983" s="1">
        <f>IFERROR(__xludf.DUMMYFUNCTION("""COMPUTED_VALUE"""),154200.0)</f>
        <v>154200</v>
      </c>
      <c r="F983" s="1">
        <f>IFERROR(__xludf.DUMMYFUNCTION("""COMPUTED_VALUE"""),69003.0)</f>
        <v>69003</v>
      </c>
    </row>
    <row r="984">
      <c r="A984" s="2">
        <f>IFERROR(__xludf.DUMMYFUNCTION("""COMPUTED_VALUE"""),42031.64583333333)</f>
        <v>42031.64583</v>
      </c>
      <c r="B984" s="1">
        <f>IFERROR(__xludf.DUMMYFUNCTION("""COMPUTED_VALUE"""),154800.0)</f>
        <v>154800</v>
      </c>
      <c r="C984" s="1">
        <f>IFERROR(__xludf.DUMMYFUNCTION("""COMPUTED_VALUE"""),155000.0)</f>
        <v>155000</v>
      </c>
      <c r="D984" s="1">
        <f>IFERROR(__xludf.DUMMYFUNCTION("""COMPUTED_VALUE"""),152200.0)</f>
        <v>152200</v>
      </c>
      <c r="E984" s="1">
        <f>IFERROR(__xludf.DUMMYFUNCTION("""COMPUTED_VALUE"""),152800.0)</f>
        <v>152800</v>
      </c>
      <c r="F984" s="1">
        <f>IFERROR(__xludf.DUMMYFUNCTION("""COMPUTED_VALUE"""),84489.0)</f>
        <v>84489</v>
      </c>
    </row>
    <row r="985">
      <c r="A985" s="2">
        <f>IFERROR(__xludf.DUMMYFUNCTION("""COMPUTED_VALUE"""),42032.64583333333)</f>
        <v>42032.64583</v>
      </c>
      <c r="B985" s="1">
        <f>IFERROR(__xludf.DUMMYFUNCTION("""COMPUTED_VALUE"""),152000.0)</f>
        <v>152000</v>
      </c>
      <c r="C985" s="1">
        <f>IFERROR(__xludf.DUMMYFUNCTION("""COMPUTED_VALUE"""),156000.0)</f>
        <v>156000</v>
      </c>
      <c r="D985" s="1">
        <f>IFERROR(__xludf.DUMMYFUNCTION("""COMPUTED_VALUE"""),152000.0)</f>
        <v>152000</v>
      </c>
      <c r="E985" s="1">
        <f>IFERROR(__xludf.DUMMYFUNCTION("""COMPUTED_VALUE"""),155400.0)</f>
        <v>155400</v>
      </c>
      <c r="F985" s="1">
        <f>IFERROR(__xludf.DUMMYFUNCTION("""COMPUTED_VALUE"""),123220.0)</f>
        <v>123220</v>
      </c>
    </row>
    <row r="986">
      <c r="A986" s="2">
        <f>IFERROR(__xludf.DUMMYFUNCTION("""COMPUTED_VALUE"""),42033.64583333333)</f>
        <v>42033.64583</v>
      </c>
      <c r="B986" s="1">
        <f>IFERROR(__xludf.DUMMYFUNCTION("""COMPUTED_VALUE"""),152000.0)</f>
        <v>152000</v>
      </c>
      <c r="C986" s="1">
        <f>IFERROR(__xludf.DUMMYFUNCTION("""COMPUTED_VALUE"""),152400.0)</f>
        <v>152400</v>
      </c>
      <c r="D986" s="1">
        <f>IFERROR(__xludf.DUMMYFUNCTION("""COMPUTED_VALUE"""),146200.0)</f>
        <v>146200</v>
      </c>
      <c r="E986" s="1">
        <f>IFERROR(__xludf.DUMMYFUNCTION("""COMPUTED_VALUE"""),147200.0)</f>
        <v>147200</v>
      </c>
      <c r="F986" s="1">
        <f>IFERROR(__xludf.DUMMYFUNCTION("""COMPUTED_VALUE"""),278475.0)</f>
        <v>278475</v>
      </c>
    </row>
    <row r="987">
      <c r="A987" s="2">
        <f>IFERROR(__xludf.DUMMYFUNCTION("""COMPUTED_VALUE"""),42034.64583333333)</f>
        <v>42034.64583</v>
      </c>
      <c r="B987" s="1">
        <f>IFERROR(__xludf.DUMMYFUNCTION("""COMPUTED_VALUE"""),145000.0)</f>
        <v>145000</v>
      </c>
      <c r="C987" s="1">
        <f>IFERROR(__xludf.DUMMYFUNCTION("""COMPUTED_VALUE"""),146000.0)</f>
        <v>146000</v>
      </c>
      <c r="D987" s="1">
        <f>IFERROR(__xludf.DUMMYFUNCTION("""COMPUTED_VALUE"""),142200.0)</f>
        <v>142200</v>
      </c>
      <c r="E987" s="1">
        <f>IFERROR(__xludf.DUMMYFUNCTION("""COMPUTED_VALUE"""),143200.0)</f>
        <v>143200</v>
      </c>
      <c r="F987" s="1">
        <f>IFERROR(__xludf.DUMMYFUNCTION("""COMPUTED_VALUE"""),300061.0)</f>
        <v>300061</v>
      </c>
    </row>
    <row r="988">
      <c r="A988" s="2">
        <f>IFERROR(__xludf.DUMMYFUNCTION("""COMPUTED_VALUE"""),42037.64583333333)</f>
        <v>42037.64583</v>
      </c>
      <c r="B988" s="1">
        <f>IFERROR(__xludf.DUMMYFUNCTION("""COMPUTED_VALUE"""),143200.0)</f>
        <v>143200</v>
      </c>
      <c r="C988" s="1">
        <f>IFERROR(__xludf.DUMMYFUNCTION("""COMPUTED_VALUE"""),144600.0)</f>
        <v>144600</v>
      </c>
      <c r="D988" s="1">
        <f>IFERROR(__xludf.DUMMYFUNCTION("""COMPUTED_VALUE"""),141400.0)</f>
        <v>141400</v>
      </c>
      <c r="E988" s="1">
        <f>IFERROR(__xludf.DUMMYFUNCTION("""COMPUTED_VALUE"""),142200.0)</f>
        <v>142200</v>
      </c>
      <c r="F988" s="1">
        <f>IFERROR(__xludf.DUMMYFUNCTION("""COMPUTED_VALUE"""),112994.0)</f>
        <v>112994</v>
      </c>
    </row>
    <row r="989">
      <c r="A989" s="2">
        <f>IFERROR(__xludf.DUMMYFUNCTION("""COMPUTED_VALUE"""),42038.64583333333)</f>
        <v>42038.64583</v>
      </c>
      <c r="B989" s="1">
        <f>IFERROR(__xludf.DUMMYFUNCTION("""COMPUTED_VALUE"""),142200.0)</f>
        <v>142200</v>
      </c>
      <c r="C989" s="1">
        <f>IFERROR(__xludf.DUMMYFUNCTION("""COMPUTED_VALUE"""),143400.0)</f>
        <v>143400</v>
      </c>
      <c r="D989" s="1">
        <f>IFERROR(__xludf.DUMMYFUNCTION("""COMPUTED_VALUE"""),141000.0)</f>
        <v>141000</v>
      </c>
      <c r="E989" s="1">
        <f>IFERROR(__xludf.DUMMYFUNCTION("""COMPUTED_VALUE"""),142400.0)</f>
        <v>142400</v>
      </c>
      <c r="F989" s="1">
        <f>IFERROR(__xludf.DUMMYFUNCTION("""COMPUTED_VALUE"""),121641.0)</f>
        <v>121641</v>
      </c>
    </row>
    <row r="990">
      <c r="A990" s="2">
        <f>IFERROR(__xludf.DUMMYFUNCTION("""COMPUTED_VALUE"""),42039.64583333333)</f>
        <v>42039.64583</v>
      </c>
      <c r="B990" s="1">
        <f>IFERROR(__xludf.DUMMYFUNCTION("""COMPUTED_VALUE"""),143200.0)</f>
        <v>143200</v>
      </c>
      <c r="C990" s="1">
        <f>IFERROR(__xludf.DUMMYFUNCTION("""COMPUTED_VALUE"""),145400.0)</f>
        <v>145400</v>
      </c>
      <c r="D990" s="1">
        <f>IFERROR(__xludf.DUMMYFUNCTION("""COMPUTED_VALUE"""),143000.0)</f>
        <v>143000</v>
      </c>
      <c r="E990" s="1">
        <f>IFERROR(__xludf.DUMMYFUNCTION("""COMPUTED_VALUE"""),145000.0)</f>
        <v>145000</v>
      </c>
      <c r="F990" s="1">
        <f>IFERROR(__xludf.DUMMYFUNCTION("""COMPUTED_VALUE"""),131353.0)</f>
        <v>131353</v>
      </c>
    </row>
    <row r="991">
      <c r="A991" s="2">
        <f>IFERROR(__xludf.DUMMYFUNCTION("""COMPUTED_VALUE"""),42040.64583333333)</f>
        <v>42040.64583</v>
      </c>
      <c r="B991" s="1">
        <f>IFERROR(__xludf.DUMMYFUNCTION("""COMPUTED_VALUE"""),144400.0)</f>
        <v>144400</v>
      </c>
      <c r="C991" s="1">
        <f>IFERROR(__xludf.DUMMYFUNCTION("""COMPUTED_VALUE"""),145000.0)</f>
        <v>145000</v>
      </c>
      <c r="D991" s="1">
        <f>IFERROR(__xludf.DUMMYFUNCTION("""COMPUTED_VALUE"""),142000.0)</f>
        <v>142000</v>
      </c>
      <c r="E991" s="1">
        <f>IFERROR(__xludf.DUMMYFUNCTION("""COMPUTED_VALUE"""),142400.0)</f>
        <v>142400</v>
      </c>
      <c r="F991" s="1">
        <f>IFERROR(__xludf.DUMMYFUNCTION("""COMPUTED_VALUE"""),77889.0)</f>
        <v>77889</v>
      </c>
    </row>
    <row r="992">
      <c r="A992" s="2">
        <f>IFERROR(__xludf.DUMMYFUNCTION("""COMPUTED_VALUE"""),42041.64583333333)</f>
        <v>42041.64583</v>
      </c>
      <c r="B992" s="1">
        <f>IFERROR(__xludf.DUMMYFUNCTION("""COMPUTED_VALUE"""),142200.0)</f>
        <v>142200</v>
      </c>
      <c r="C992" s="1">
        <f>IFERROR(__xludf.DUMMYFUNCTION("""COMPUTED_VALUE"""),144200.0)</f>
        <v>144200</v>
      </c>
      <c r="D992" s="1">
        <f>IFERROR(__xludf.DUMMYFUNCTION("""COMPUTED_VALUE"""),141600.0)</f>
        <v>141600</v>
      </c>
      <c r="E992" s="1">
        <f>IFERROR(__xludf.DUMMYFUNCTION("""COMPUTED_VALUE"""),143000.0)</f>
        <v>143000</v>
      </c>
      <c r="F992" s="1">
        <f>IFERROR(__xludf.DUMMYFUNCTION("""COMPUTED_VALUE"""),76000.0)</f>
        <v>76000</v>
      </c>
    </row>
    <row r="993">
      <c r="A993" s="2">
        <f>IFERROR(__xludf.DUMMYFUNCTION("""COMPUTED_VALUE"""),42044.64583333333)</f>
        <v>42044.64583</v>
      </c>
      <c r="B993" s="1">
        <f>IFERROR(__xludf.DUMMYFUNCTION("""COMPUTED_VALUE"""),143000.0)</f>
        <v>143000</v>
      </c>
      <c r="C993" s="1">
        <f>IFERROR(__xludf.DUMMYFUNCTION("""COMPUTED_VALUE"""),143000.0)</f>
        <v>143000</v>
      </c>
      <c r="D993" s="1">
        <f>IFERROR(__xludf.DUMMYFUNCTION("""COMPUTED_VALUE"""),136000.0)</f>
        <v>136000</v>
      </c>
      <c r="E993" s="1">
        <f>IFERROR(__xludf.DUMMYFUNCTION("""COMPUTED_VALUE"""),136200.0)</f>
        <v>136200</v>
      </c>
      <c r="F993" s="1">
        <f>IFERROR(__xludf.DUMMYFUNCTION("""COMPUTED_VALUE"""),214231.0)</f>
        <v>214231</v>
      </c>
    </row>
    <row r="994">
      <c r="A994" s="2">
        <f>IFERROR(__xludf.DUMMYFUNCTION("""COMPUTED_VALUE"""),42045.64583333333)</f>
        <v>42045.64583</v>
      </c>
      <c r="B994" s="1">
        <f>IFERROR(__xludf.DUMMYFUNCTION("""COMPUTED_VALUE"""),134000.0)</f>
        <v>134000</v>
      </c>
      <c r="C994" s="1">
        <f>IFERROR(__xludf.DUMMYFUNCTION("""COMPUTED_VALUE"""),135600.0)</f>
        <v>135600</v>
      </c>
      <c r="D994" s="1">
        <f>IFERROR(__xludf.DUMMYFUNCTION("""COMPUTED_VALUE"""),127800.0)</f>
        <v>127800</v>
      </c>
      <c r="E994" s="1">
        <f>IFERROR(__xludf.DUMMYFUNCTION("""COMPUTED_VALUE"""),129600.0)</f>
        <v>129600</v>
      </c>
      <c r="F994" s="1">
        <f>IFERROR(__xludf.DUMMYFUNCTION("""COMPUTED_VALUE"""),370269.0)</f>
        <v>370269</v>
      </c>
    </row>
    <row r="995">
      <c r="A995" s="2">
        <f>IFERROR(__xludf.DUMMYFUNCTION("""COMPUTED_VALUE"""),42046.64583333333)</f>
        <v>42046.64583</v>
      </c>
      <c r="B995" s="1">
        <f>IFERROR(__xludf.DUMMYFUNCTION("""COMPUTED_VALUE"""),132000.0)</f>
        <v>132000</v>
      </c>
      <c r="C995" s="1">
        <f>IFERROR(__xludf.DUMMYFUNCTION("""COMPUTED_VALUE"""),135400.0)</f>
        <v>135400</v>
      </c>
      <c r="D995" s="1">
        <f>IFERROR(__xludf.DUMMYFUNCTION("""COMPUTED_VALUE"""),130600.0)</f>
        <v>130600</v>
      </c>
      <c r="E995" s="1">
        <f>IFERROR(__xludf.DUMMYFUNCTION("""COMPUTED_VALUE"""),134600.0)</f>
        <v>134600</v>
      </c>
      <c r="F995" s="1">
        <f>IFERROR(__xludf.DUMMYFUNCTION("""COMPUTED_VALUE"""),192828.0)</f>
        <v>192828</v>
      </c>
    </row>
    <row r="996">
      <c r="A996" s="2">
        <f>IFERROR(__xludf.DUMMYFUNCTION("""COMPUTED_VALUE"""),42047.64583333333)</f>
        <v>42047.64583</v>
      </c>
      <c r="B996" s="1">
        <f>IFERROR(__xludf.DUMMYFUNCTION("""COMPUTED_VALUE"""),136000.0)</f>
        <v>136000</v>
      </c>
      <c r="C996" s="1">
        <f>IFERROR(__xludf.DUMMYFUNCTION("""COMPUTED_VALUE"""),136000.0)</f>
        <v>136000</v>
      </c>
      <c r="D996" s="1">
        <f>IFERROR(__xludf.DUMMYFUNCTION("""COMPUTED_VALUE"""),131200.0)</f>
        <v>131200</v>
      </c>
      <c r="E996" s="1">
        <f>IFERROR(__xludf.DUMMYFUNCTION("""COMPUTED_VALUE"""),136000.0)</f>
        <v>136000</v>
      </c>
      <c r="F996" s="1">
        <f>IFERROR(__xludf.DUMMYFUNCTION("""COMPUTED_VALUE"""),114927.0)</f>
        <v>114927</v>
      </c>
    </row>
    <row r="997">
      <c r="A997" s="2">
        <f>IFERROR(__xludf.DUMMYFUNCTION("""COMPUTED_VALUE"""),42048.64583333333)</f>
        <v>42048.64583</v>
      </c>
      <c r="B997" s="1">
        <f>IFERROR(__xludf.DUMMYFUNCTION("""COMPUTED_VALUE"""),135000.0)</f>
        <v>135000</v>
      </c>
      <c r="C997" s="1">
        <f>IFERROR(__xludf.DUMMYFUNCTION("""COMPUTED_VALUE"""),138400.0)</f>
        <v>138400</v>
      </c>
      <c r="D997" s="1">
        <f>IFERROR(__xludf.DUMMYFUNCTION("""COMPUTED_VALUE"""),133200.0)</f>
        <v>133200</v>
      </c>
      <c r="E997" s="1">
        <f>IFERROR(__xludf.DUMMYFUNCTION("""COMPUTED_VALUE"""),133600.0)</f>
        <v>133600</v>
      </c>
      <c r="F997" s="1">
        <f>IFERROR(__xludf.DUMMYFUNCTION("""COMPUTED_VALUE"""),99818.0)</f>
        <v>99818</v>
      </c>
    </row>
    <row r="998">
      <c r="A998" s="2">
        <f>IFERROR(__xludf.DUMMYFUNCTION("""COMPUTED_VALUE"""),42051.64583333333)</f>
        <v>42051.64583</v>
      </c>
      <c r="B998" s="1">
        <f>IFERROR(__xludf.DUMMYFUNCTION("""COMPUTED_VALUE"""),133200.0)</f>
        <v>133200</v>
      </c>
      <c r="C998" s="1">
        <f>IFERROR(__xludf.DUMMYFUNCTION("""COMPUTED_VALUE"""),135200.0)</f>
        <v>135200</v>
      </c>
      <c r="D998" s="1">
        <f>IFERROR(__xludf.DUMMYFUNCTION("""COMPUTED_VALUE"""),133000.0)</f>
        <v>133000</v>
      </c>
      <c r="E998" s="1">
        <f>IFERROR(__xludf.DUMMYFUNCTION("""COMPUTED_VALUE"""),133800.0)</f>
        <v>133800</v>
      </c>
      <c r="F998" s="1">
        <f>IFERROR(__xludf.DUMMYFUNCTION("""COMPUTED_VALUE"""),55533.0)</f>
        <v>55533</v>
      </c>
    </row>
    <row r="999">
      <c r="A999" s="2">
        <f>IFERROR(__xludf.DUMMYFUNCTION("""COMPUTED_VALUE"""),42052.64583333333)</f>
        <v>42052.64583</v>
      </c>
      <c r="B999" s="1">
        <f>IFERROR(__xludf.DUMMYFUNCTION("""COMPUTED_VALUE"""),133200.0)</f>
        <v>133200</v>
      </c>
      <c r="C999" s="1">
        <f>IFERROR(__xludf.DUMMYFUNCTION("""COMPUTED_VALUE"""),135000.0)</f>
        <v>135000</v>
      </c>
      <c r="D999" s="1">
        <f>IFERROR(__xludf.DUMMYFUNCTION("""COMPUTED_VALUE"""),133200.0)</f>
        <v>133200</v>
      </c>
      <c r="E999" s="1">
        <f>IFERROR(__xludf.DUMMYFUNCTION("""COMPUTED_VALUE"""),134200.0)</f>
        <v>134200</v>
      </c>
      <c r="F999" s="1">
        <f>IFERROR(__xludf.DUMMYFUNCTION("""COMPUTED_VALUE"""),35224.0)</f>
        <v>35224</v>
      </c>
    </row>
    <row r="1000">
      <c r="A1000" s="2">
        <f>IFERROR(__xludf.DUMMYFUNCTION("""COMPUTED_VALUE"""),42058.64583333333)</f>
        <v>42058.64583</v>
      </c>
      <c r="B1000" s="1">
        <f>IFERROR(__xludf.DUMMYFUNCTION("""COMPUTED_VALUE"""),133600.0)</f>
        <v>133600</v>
      </c>
      <c r="C1000" s="1">
        <f>IFERROR(__xludf.DUMMYFUNCTION("""COMPUTED_VALUE"""),134400.0)</f>
        <v>134400</v>
      </c>
      <c r="D1000" s="1">
        <f>IFERROR(__xludf.DUMMYFUNCTION("""COMPUTED_VALUE"""),126400.0)</f>
        <v>126400</v>
      </c>
      <c r="E1000" s="1">
        <f>IFERROR(__xludf.DUMMYFUNCTION("""COMPUTED_VALUE"""),127800.0)</f>
        <v>127800</v>
      </c>
      <c r="F1000" s="1">
        <f>IFERROR(__xludf.DUMMYFUNCTION("""COMPUTED_VALUE"""),291781.0)</f>
        <v>291781</v>
      </c>
    </row>
    <row r="1001">
      <c r="A1001" s="2">
        <f>IFERROR(__xludf.DUMMYFUNCTION("""COMPUTED_VALUE"""),42059.64583333333)</f>
        <v>42059.64583</v>
      </c>
      <c r="B1001" s="1">
        <f>IFERROR(__xludf.DUMMYFUNCTION("""COMPUTED_VALUE"""),127400.0)</f>
        <v>127400</v>
      </c>
      <c r="C1001" s="1">
        <f>IFERROR(__xludf.DUMMYFUNCTION("""COMPUTED_VALUE"""),129400.0)</f>
        <v>129400</v>
      </c>
      <c r="D1001" s="1">
        <f>IFERROR(__xludf.DUMMYFUNCTION("""COMPUTED_VALUE"""),127000.0)</f>
        <v>127000</v>
      </c>
      <c r="E1001" s="1">
        <f>IFERROR(__xludf.DUMMYFUNCTION("""COMPUTED_VALUE"""),127400.0)</f>
        <v>127400</v>
      </c>
      <c r="F1001" s="1">
        <f>IFERROR(__xludf.DUMMYFUNCTION("""COMPUTED_VALUE"""),142951.0)</f>
        <v>142951</v>
      </c>
    </row>
    <row r="1002">
      <c r="A1002" s="2">
        <f>IFERROR(__xludf.DUMMYFUNCTION("""COMPUTED_VALUE"""),42060.64583333333)</f>
        <v>42060.64583</v>
      </c>
      <c r="B1002" s="1">
        <f>IFERROR(__xludf.DUMMYFUNCTION("""COMPUTED_VALUE"""),127800.0)</f>
        <v>127800</v>
      </c>
      <c r="C1002" s="1">
        <f>IFERROR(__xludf.DUMMYFUNCTION("""COMPUTED_VALUE"""),128800.0)</f>
        <v>128800</v>
      </c>
      <c r="D1002" s="1">
        <f>IFERROR(__xludf.DUMMYFUNCTION("""COMPUTED_VALUE"""),126600.0)</f>
        <v>126600</v>
      </c>
      <c r="E1002" s="1">
        <f>IFERROR(__xludf.DUMMYFUNCTION("""COMPUTED_VALUE"""),128200.0)</f>
        <v>128200</v>
      </c>
      <c r="F1002" s="1">
        <f>IFERROR(__xludf.DUMMYFUNCTION("""COMPUTED_VALUE"""),146624.0)</f>
        <v>146624</v>
      </c>
    </row>
    <row r="1003">
      <c r="A1003" s="2">
        <f>IFERROR(__xludf.DUMMYFUNCTION("""COMPUTED_VALUE"""),42061.64583333333)</f>
        <v>42061.64583</v>
      </c>
      <c r="B1003" s="1">
        <f>IFERROR(__xludf.DUMMYFUNCTION("""COMPUTED_VALUE"""),127200.0)</f>
        <v>127200</v>
      </c>
      <c r="C1003" s="1">
        <f>IFERROR(__xludf.DUMMYFUNCTION("""COMPUTED_VALUE"""),128200.0)</f>
        <v>128200</v>
      </c>
      <c r="D1003" s="1">
        <f>IFERROR(__xludf.DUMMYFUNCTION("""COMPUTED_VALUE"""),125200.0)</f>
        <v>125200</v>
      </c>
      <c r="E1003" s="1">
        <f>IFERROR(__xludf.DUMMYFUNCTION("""COMPUTED_VALUE"""),125200.0)</f>
        <v>125200</v>
      </c>
      <c r="F1003" s="1">
        <f>IFERROR(__xludf.DUMMYFUNCTION("""COMPUTED_VALUE"""),174743.0)</f>
        <v>174743</v>
      </c>
    </row>
    <row r="1004">
      <c r="A1004" s="2">
        <f>IFERROR(__xludf.DUMMYFUNCTION("""COMPUTED_VALUE"""),42062.64583333333)</f>
        <v>42062.64583</v>
      </c>
      <c r="B1004" s="1">
        <f>IFERROR(__xludf.DUMMYFUNCTION("""COMPUTED_VALUE"""),124600.0)</f>
        <v>124600</v>
      </c>
      <c r="C1004" s="1">
        <f>IFERROR(__xludf.DUMMYFUNCTION("""COMPUTED_VALUE"""),133600.0)</f>
        <v>133600</v>
      </c>
      <c r="D1004" s="1">
        <f>IFERROR(__xludf.DUMMYFUNCTION("""COMPUTED_VALUE"""),124600.0)</f>
        <v>124600</v>
      </c>
      <c r="E1004" s="1">
        <f>IFERROR(__xludf.DUMMYFUNCTION("""COMPUTED_VALUE"""),132200.0)</f>
        <v>132200</v>
      </c>
      <c r="F1004" s="1">
        <f>IFERROR(__xludf.DUMMYFUNCTION("""COMPUTED_VALUE"""),266350.0)</f>
        <v>266350</v>
      </c>
    </row>
    <row r="1005">
      <c r="A1005" s="2">
        <f>IFERROR(__xludf.DUMMYFUNCTION("""COMPUTED_VALUE"""),42065.64583333333)</f>
        <v>42065.64583</v>
      </c>
      <c r="B1005" s="1">
        <f>IFERROR(__xludf.DUMMYFUNCTION("""COMPUTED_VALUE"""),132400.0)</f>
        <v>132400</v>
      </c>
      <c r="C1005" s="1">
        <f>IFERROR(__xludf.DUMMYFUNCTION("""COMPUTED_VALUE"""),133400.0)</f>
        <v>133400</v>
      </c>
      <c r="D1005" s="1">
        <f>IFERROR(__xludf.DUMMYFUNCTION("""COMPUTED_VALUE"""),128200.0)</f>
        <v>128200</v>
      </c>
      <c r="E1005" s="1">
        <f>IFERROR(__xludf.DUMMYFUNCTION("""COMPUTED_VALUE"""),129200.0)</f>
        <v>129200</v>
      </c>
      <c r="F1005" s="1">
        <f>IFERROR(__xludf.DUMMYFUNCTION("""COMPUTED_VALUE"""),150448.0)</f>
        <v>150448</v>
      </c>
    </row>
    <row r="1006">
      <c r="A1006" s="2">
        <f>IFERROR(__xludf.DUMMYFUNCTION("""COMPUTED_VALUE"""),42066.64583333333)</f>
        <v>42066.64583</v>
      </c>
      <c r="B1006" s="1">
        <f>IFERROR(__xludf.DUMMYFUNCTION("""COMPUTED_VALUE"""),130600.0)</f>
        <v>130600</v>
      </c>
      <c r="C1006" s="1">
        <f>IFERROR(__xludf.DUMMYFUNCTION("""COMPUTED_VALUE"""),131800.0)</f>
        <v>131800</v>
      </c>
      <c r="D1006" s="1">
        <f>IFERROR(__xludf.DUMMYFUNCTION("""COMPUTED_VALUE"""),129200.0)</f>
        <v>129200</v>
      </c>
      <c r="E1006" s="1">
        <f>IFERROR(__xludf.DUMMYFUNCTION("""COMPUTED_VALUE"""),130000.0)</f>
        <v>130000</v>
      </c>
      <c r="F1006" s="1">
        <f>IFERROR(__xludf.DUMMYFUNCTION("""COMPUTED_VALUE"""),104024.0)</f>
        <v>104024</v>
      </c>
    </row>
    <row r="1007">
      <c r="A1007" s="2">
        <f>IFERROR(__xludf.DUMMYFUNCTION("""COMPUTED_VALUE"""),42067.64583333333)</f>
        <v>42067.64583</v>
      </c>
      <c r="B1007" s="1">
        <f>IFERROR(__xludf.DUMMYFUNCTION("""COMPUTED_VALUE"""),129800.0)</f>
        <v>129800</v>
      </c>
      <c r="C1007" s="1">
        <f>IFERROR(__xludf.DUMMYFUNCTION("""COMPUTED_VALUE"""),136400.0)</f>
        <v>136400</v>
      </c>
      <c r="D1007" s="1">
        <f>IFERROR(__xludf.DUMMYFUNCTION("""COMPUTED_VALUE"""),127800.0)</f>
        <v>127800</v>
      </c>
      <c r="E1007" s="1">
        <f>IFERROR(__xludf.DUMMYFUNCTION("""COMPUTED_VALUE"""),136000.0)</f>
        <v>136000</v>
      </c>
      <c r="F1007" s="1">
        <f>IFERROR(__xludf.DUMMYFUNCTION("""COMPUTED_VALUE"""),268490.0)</f>
        <v>268490</v>
      </c>
    </row>
    <row r="1008">
      <c r="A1008" s="2">
        <f>IFERROR(__xludf.DUMMYFUNCTION("""COMPUTED_VALUE"""),42068.64583333333)</f>
        <v>42068.64583</v>
      </c>
      <c r="B1008" s="1">
        <f>IFERROR(__xludf.DUMMYFUNCTION("""COMPUTED_VALUE"""),135800.0)</f>
        <v>135800</v>
      </c>
      <c r="C1008" s="1">
        <f>IFERROR(__xludf.DUMMYFUNCTION("""COMPUTED_VALUE"""),140200.0)</f>
        <v>140200</v>
      </c>
      <c r="D1008" s="1">
        <f>IFERROR(__xludf.DUMMYFUNCTION("""COMPUTED_VALUE"""),135000.0)</f>
        <v>135000</v>
      </c>
      <c r="E1008" s="1">
        <f>IFERROR(__xludf.DUMMYFUNCTION("""COMPUTED_VALUE"""),137800.0)</f>
        <v>137800</v>
      </c>
      <c r="F1008" s="1">
        <f>IFERROR(__xludf.DUMMYFUNCTION("""COMPUTED_VALUE"""),168193.0)</f>
        <v>168193</v>
      </c>
    </row>
    <row r="1009">
      <c r="A1009" s="2">
        <f>IFERROR(__xludf.DUMMYFUNCTION("""COMPUTED_VALUE"""),42069.64583333333)</f>
        <v>42069.64583</v>
      </c>
      <c r="B1009" s="1">
        <f>IFERROR(__xludf.DUMMYFUNCTION("""COMPUTED_VALUE"""),138400.0)</f>
        <v>138400</v>
      </c>
      <c r="C1009" s="1">
        <f>IFERROR(__xludf.DUMMYFUNCTION("""COMPUTED_VALUE"""),138800.0)</f>
        <v>138800</v>
      </c>
      <c r="D1009" s="1">
        <f>IFERROR(__xludf.DUMMYFUNCTION("""COMPUTED_VALUE"""),134400.0)</f>
        <v>134400</v>
      </c>
      <c r="E1009" s="1">
        <f>IFERROR(__xludf.DUMMYFUNCTION("""COMPUTED_VALUE"""),136000.0)</f>
        <v>136000</v>
      </c>
      <c r="F1009" s="1">
        <f>IFERROR(__xludf.DUMMYFUNCTION("""COMPUTED_VALUE"""),92392.0)</f>
        <v>92392</v>
      </c>
    </row>
    <row r="1010">
      <c r="A1010" s="2">
        <f>IFERROR(__xludf.DUMMYFUNCTION("""COMPUTED_VALUE"""),42072.64583333333)</f>
        <v>42072.64583</v>
      </c>
      <c r="B1010" s="1">
        <f>IFERROR(__xludf.DUMMYFUNCTION("""COMPUTED_VALUE"""),133800.0)</f>
        <v>133800</v>
      </c>
      <c r="C1010" s="1">
        <f>IFERROR(__xludf.DUMMYFUNCTION("""COMPUTED_VALUE"""),134800.0)</f>
        <v>134800</v>
      </c>
      <c r="D1010" s="1">
        <f>IFERROR(__xludf.DUMMYFUNCTION("""COMPUTED_VALUE"""),130400.0)</f>
        <v>130400</v>
      </c>
      <c r="E1010" s="1">
        <f>IFERROR(__xludf.DUMMYFUNCTION("""COMPUTED_VALUE"""),130600.0)</f>
        <v>130600</v>
      </c>
      <c r="F1010" s="1">
        <f>IFERROR(__xludf.DUMMYFUNCTION("""COMPUTED_VALUE"""),128196.0)</f>
        <v>128196</v>
      </c>
    </row>
    <row r="1011">
      <c r="A1011" s="2">
        <f>IFERROR(__xludf.DUMMYFUNCTION("""COMPUTED_VALUE"""),42073.64583333333)</f>
        <v>42073.64583</v>
      </c>
      <c r="B1011" s="1">
        <f>IFERROR(__xludf.DUMMYFUNCTION("""COMPUTED_VALUE"""),130400.0)</f>
        <v>130400</v>
      </c>
      <c r="C1011" s="1">
        <f>IFERROR(__xludf.DUMMYFUNCTION("""COMPUTED_VALUE"""),131800.0)</f>
        <v>131800</v>
      </c>
      <c r="D1011" s="1">
        <f>IFERROR(__xludf.DUMMYFUNCTION("""COMPUTED_VALUE"""),128200.0)</f>
        <v>128200</v>
      </c>
      <c r="E1011" s="1">
        <f>IFERROR(__xludf.DUMMYFUNCTION("""COMPUTED_VALUE"""),128200.0)</f>
        <v>128200</v>
      </c>
      <c r="F1011" s="1">
        <f>IFERROR(__xludf.DUMMYFUNCTION("""COMPUTED_VALUE"""),111598.0)</f>
        <v>111598</v>
      </c>
    </row>
    <row r="1012">
      <c r="A1012" s="2">
        <f>IFERROR(__xludf.DUMMYFUNCTION("""COMPUTED_VALUE"""),42074.64583333333)</f>
        <v>42074.64583</v>
      </c>
      <c r="B1012" s="1">
        <f>IFERROR(__xludf.DUMMYFUNCTION("""COMPUTED_VALUE"""),127800.0)</f>
        <v>127800</v>
      </c>
      <c r="C1012" s="1">
        <f>IFERROR(__xludf.DUMMYFUNCTION("""COMPUTED_VALUE"""),129200.0)</f>
        <v>129200</v>
      </c>
      <c r="D1012" s="1">
        <f>IFERROR(__xludf.DUMMYFUNCTION("""COMPUTED_VALUE"""),125800.0)</f>
        <v>125800</v>
      </c>
      <c r="E1012" s="1">
        <f>IFERROR(__xludf.DUMMYFUNCTION("""COMPUTED_VALUE"""),125800.0)</f>
        <v>125800</v>
      </c>
      <c r="F1012" s="1">
        <f>IFERROR(__xludf.DUMMYFUNCTION("""COMPUTED_VALUE"""),174115.0)</f>
        <v>174115</v>
      </c>
    </row>
    <row r="1013">
      <c r="A1013" s="2">
        <f>IFERROR(__xludf.DUMMYFUNCTION("""COMPUTED_VALUE"""),42075.64583333333)</f>
        <v>42075.64583</v>
      </c>
      <c r="B1013" s="1">
        <f>IFERROR(__xludf.DUMMYFUNCTION("""COMPUTED_VALUE"""),126600.0)</f>
        <v>126600</v>
      </c>
      <c r="C1013" s="1">
        <f>IFERROR(__xludf.DUMMYFUNCTION("""COMPUTED_VALUE"""),129000.0)</f>
        <v>129000</v>
      </c>
      <c r="D1013" s="1">
        <f>IFERROR(__xludf.DUMMYFUNCTION("""COMPUTED_VALUE"""),125400.0)</f>
        <v>125400</v>
      </c>
      <c r="E1013" s="1">
        <f>IFERROR(__xludf.DUMMYFUNCTION("""COMPUTED_VALUE"""),125400.0)</f>
        <v>125400</v>
      </c>
      <c r="F1013" s="1">
        <f>IFERROR(__xludf.DUMMYFUNCTION("""COMPUTED_VALUE"""),184540.0)</f>
        <v>184540</v>
      </c>
    </row>
    <row r="1014">
      <c r="A1014" s="2">
        <f>IFERROR(__xludf.DUMMYFUNCTION("""COMPUTED_VALUE"""),42076.64583333333)</f>
        <v>42076.64583</v>
      </c>
      <c r="B1014" s="1">
        <f>IFERROR(__xludf.DUMMYFUNCTION("""COMPUTED_VALUE"""),129000.0)</f>
        <v>129000</v>
      </c>
      <c r="C1014" s="1">
        <f>IFERROR(__xludf.DUMMYFUNCTION("""COMPUTED_VALUE"""),130600.0)</f>
        <v>130600</v>
      </c>
      <c r="D1014" s="1">
        <f>IFERROR(__xludf.DUMMYFUNCTION("""COMPUTED_VALUE"""),128000.0)</f>
        <v>128000</v>
      </c>
      <c r="E1014" s="1">
        <f>IFERROR(__xludf.DUMMYFUNCTION("""COMPUTED_VALUE"""),129400.0)</f>
        <v>129400</v>
      </c>
      <c r="F1014" s="1">
        <f>IFERROR(__xludf.DUMMYFUNCTION("""COMPUTED_VALUE"""),157276.0)</f>
        <v>157276</v>
      </c>
    </row>
    <row r="1015">
      <c r="A1015" s="2">
        <f>IFERROR(__xludf.DUMMYFUNCTION("""COMPUTED_VALUE"""),42079.64583333333)</f>
        <v>42079.64583</v>
      </c>
      <c r="B1015" s="1">
        <f>IFERROR(__xludf.DUMMYFUNCTION("""COMPUTED_VALUE"""),130600.0)</f>
        <v>130600</v>
      </c>
      <c r="C1015" s="1">
        <f>IFERROR(__xludf.DUMMYFUNCTION("""COMPUTED_VALUE"""),130600.0)</f>
        <v>130600</v>
      </c>
      <c r="D1015" s="1">
        <f>IFERROR(__xludf.DUMMYFUNCTION("""COMPUTED_VALUE"""),127400.0)</f>
        <v>127400</v>
      </c>
      <c r="E1015" s="1">
        <f>IFERROR(__xludf.DUMMYFUNCTION("""COMPUTED_VALUE"""),128600.0)</f>
        <v>128600</v>
      </c>
      <c r="F1015" s="1">
        <f>IFERROR(__xludf.DUMMYFUNCTION("""COMPUTED_VALUE"""),125723.0)</f>
        <v>125723</v>
      </c>
    </row>
    <row r="1016">
      <c r="A1016" s="2">
        <f>IFERROR(__xludf.DUMMYFUNCTION("""COMPUTED_VALUE"""),42080.64583333333)</f>
        <v>42080.64583</v>
      </c>
      <c r="B1016" s="1">
        <f>IFERROR(__xludf.DUMMYFUNCTION("""COMPUTED_VALUE"""),129800.0)</f>
        <v>129800</v>
      </c>
      <c r="C1016" s="1">
        <f>IFERROR(__xludf.DUMMYFUNCTION("""COMPUTED_VALUE"""),132600.0)</f>
        <v>132600</v>
      </c>
      <c r="D1016" s="1">
        <f>IFERROR(__xludf.DUMMYFUNCTION("""COMPUTED_VALUE"""),128800.0)</f>
        <v>128800</v>
      </c>
      <c r="E1016" s="1">
        <f>IFERROR(__xludf.DUMMYFUNCTION("""COMPUTED_VALUE"""),132000.0)</f>
        <v>132000</v>
      </c>
      <c r="F1016" s="1">
        <f>IFERROR(__xludf.DUMMYFUNCTION("""COMPUTED_VALUE"""),121724.0)</f>
        <v>121724</v>
      </c>
    </row>
    <row r="1017">
      <c r="A1017" s="2">
        <f>IFERROR(__xludf.DUMMYFUNCTION("""COMPUTED_VALUE"""),42081.64583333333)</f>
        <v>42081.64583</v>
      </c>
      <c r="B1017" s="1">
        <f>IFERROR(__xludf.DUMMYFUNCTION("""COMPUTED_VALUE"""),131600.0)</f>
        <v>131600</v>
      </c>
      <c r="C1017" s="1">
        <f>IFERROR(__xludf.DUMMYFUNCTION("""COMPUTED_VALUE"""),133200.0)</f>
        <v>133200</v>
      </c>
      <c r="D1017" s="1">
        <f>IFERROR(__xludf.DUMMYFUNCTION("""COMPUTED_VALUE"""),130000.0)</f>
        <v>130000</v>
      </c>
      <c r="E1017" s="1">
        <f>IFERROR(__xludf.DUMMYFUNCTION("""COMPUTED_VALUE"""),130800.0)</f>
        <v>130800</v>
      </c>
      <c r="F1017" s="1">
        <f>IFERROR(__xludf.DUMMYFUNCTION("""COMPUTED_VALUE"""),110917.0)</f>
        <v>110917</v>
      </c>
    </row>
    <row r="1018">
      <c r="A1018" s="2">
        <f>IFERROR(__xludf.DUMMYFUNCTION("""COMPUTED_VALUE"""),42082.64583333333)</f>
        <v>42082.64583</v>
      </c>
      <c r="B1018" s="1">
        <f>IFERROR(__xludf.DUMMYFUNCTION("""COMPUTED_VALUE"""),132200.0)</f>
        <v>132200</v>
      </c>
      <c r="C1018" s="1">
        <f>IFERROR(__xludf.DUMMYFUNCTION("""COMPUTED_VALUE"""),132400.0)</f>
        <v>132400</v>
      </c>
      <c r="D1018" s="1">
        <f>IFERROR(__xludf.DUMMYFUNCTION("""COMPUTED_VALUE"""),128200.0)</f>
        <v>128200</v>
      </c>
      <c r="E1018" s="1">
        <f>IFERROR(__xludf.DUMMYFUNCTION("""COMPUTED_VALUE"""),128200.0)</f>
        <v>128200</v>
      </c>
      <c r="F1018" s="1">
        <f>IFERROR(__xludf.DUMMYFUNCTION("""COMPUTED_VALUE"""),120392.0)</f>
        <v>120392</v>
      </c>
    </row>
    <row r="1019">
      <c r="A1019" s="2">
        <f>IFERROR(__xludf.DUMMYFUNCTION("""COMPUTED_VALUE"""),42083.64583333333)</f>
        <v>42083.64583</v>
      </c>
      <c r="B1019" s="1">
        <f>IFERROR(__xludf.DUMMYFUNCTION("""COMPUTED_VALUE"""),128600.0)</f>
        <v>128600</v>
      </c>
      <c r="C1019" s="1">
        <f>IFERROR(__xludf.DUMMYFUNCTION("""COMPUTED_VALUE"""),130800.0)</f>
        <v>130800</v>
      </c>
      <c r="D1019" s="1">
        <f>IFERROR(__xludf.DUMMYFUNCTION("""COMPUTED_VALUE"""),128600.0)</f>
        <v>128600</v>
      </c>
      <c r="E1019" s="1">
        <f>IFERROR(__xludf.DUMMYFUNCTION("""COMPUTED_VALUE"""),130800.0)</f>
        <v>130800</v>
      </c>
      <c r="F1019" s="1">
        <f>IFERROR(__xludf.DUMMYFUNCTION("""COMPUTED_VALUE"""),90524.0)</f>
        <v>90524</v>
      </c>
    </row>
    <row r="1020">
      <c r="A1020" s="2">
        <f>IFERROR(__xludf.DUMMYFUNCTION("""COMPUTED_VALUE"""),42086.64583333333)</f>
        <v>42086.64583</v>
      </c>
      <c r="B1020" s="1">
        <f>IFERROR(__xludf.DUMMYFUNCTION("""COMPUTED_VALUE"""),132000.0)</f>
        <v>132000</v>
      </c>
      <c r="C1020" s="1">
        <f>IFERROR(__xludf.DUMMYFUNCTION("""COMPUTED_VALUE"""),136200.0)</f>
        <v>136200</v>
      </c>
      <c r="D1020" s="1">
        <f>IFERROR(__xludf.DUMMYFUNCTION("""COMPUTED_VALUE"""),131400.0)</f>
        <v>131400</v>
      </c>
      <c r="E1020" s="1">
        <f>IFERROR(__xludf.DUMMYFUNCTION("""COMPUTED_VALUE"""),136000.0)</f>
        <v>136000</v>
      </c>
      <c r="F1020" s="1">
        <f>IFERROR(__xludf.DUMMYFUNCTION("""COMPUTED_VALUE"""),166177.0)</f>
        <v>166177</v>
      </c>
    </row>
    <row r="1021">
      <c r="A1021" s="2">
        <f>IFERROR(__xludf.DUMMYFUNCTION("""COMPUTED_VALUE"""),42087.64583333333)</f>
        <v>42087.64583</v>
      </c>
      <c r="B1021" s="1">
        <f>IFERROR(__xludf.DUMMYFUNCTION("""COMPUTED_VALUE"""),137000.0)</f>
        <v>137000</v>
      </c>
      <c r="C1021" s="1">
        <f>IFERROR(__xludf.DUMMYFUNCTION("""COMPUTED_VALUE"""),137000.0)</f>
        <v>137000</v>
      </c>
      <c r="D1021" s="1">
        <f>IFERROR(__xludf.DUMMYFUNCTION("""COMPUTED_VALUE"""),133400.0)</f>
        <v>133400</v>
      </c>
      <c r="E1021" s="1">
        <f>IFERROR(__xludf.DUMMYFUNCTION("""COMPUTED_VALUE"""),135000.0)</f>
        <v>135000</v>
      </c>
      <c r="F1021" s="1">
        <f>IFERROR(__xludf.DUMMYFUNCTION("""COMPUTED_VALUE"""),88051.0)</f>
        <v>88051</v>
      </c>
    </row>
    <row r="1022">
      <c r="A1022" s="2">
        <f>IFERROR(__xludf.DUMMYFUNCTION("""COMPUTED_VALUE"""),42088.64583333333)</f>
        <v>42088.64583</v>
      </c>
      <c r="B1022" s="1">
        <f>IFERROR(__xludf.DUMMYFUNCTION("""COMPUTED_VALUE"""),136800.0)</f>
        <v>136800</v>
      </c>
      <c r="C1022" s="1">
        <f>IFERROR(__xludf.DUMMYFUNCTION("""COMPUTED_VALUE"""),137000.0)</f>
        <v>137000</v>
      </c>
      <c r="D1022" s="1">
        <f>IFERROR(__xludf.DUMMYFUNCTION("""COMPUTED_VALUE"""),133800.0)</f>
        <v>133800</v>
      </c>
      <c r="E1022" s="1">
        <f>IFERROR(__xludf.DUMMYFUNCTION("""COMPUTED_VALUE"""),134000.0)</f>
        <v>134000</v>
      </c>
      <c r="F1022" s="1">
        <f>IFERROR(__xludf.DUMMYFUNCTION("""COMPUTED_VALUE"""),74720.0)</f>
        <v>74720</v>
      </c>
    </row>
    <row r="1023">
      <c r="A1023" s="2">
        <f>IFERROR(__xludf.DUMMYFUNCTION("""COMPUTED_VALUE"""),42089.64583333333)</f>
        <v>42089.64583</v>
      </c>
      <c r="B1023" s="1">
        <f>IFERROR(__xludf.DUMMYFUNCTION("""COMPUTED_VALUE"""),134000.0)</f>
        <v>134000</v>
      </c>
      <c r="C1023" s="1">
        <f>IFERROR(__xludf.DUMMYFUNCTION("""COMPUTED_VALUE"""),135000.0)</f>
        <v>135000</v>
      </c>
      <c r="D1023" s="1">
        <f>IFERROR(__xludf.DUMMYFUNCTION("""COMPUTED_VALUE"""),132000.0)</f>
        <v>132000</v>
      </c>
      <c r="E1023" s="1">
        <f>IFERROR(__xludf.DUMMYFUNCTION("""COMPUTED_VALUE"""),132200.0)</f>
        <v>132200</v>
      </c>
      <c r="F1023" s="1">
        <f>IFERROR(__xludf.DUMMYFUNCTION("""COMPUTED_VALUE"""),95061.0)</f>
        <v>95061</v>
      </c>
    </row>
    <row r="1024">
      <c r="A1024" s="2">
        <f>IFERROR(__xludf.DUMMYFUNCTION("""COMPUTED_VALUE"""),42090.64583333333)</f>
        <v>42090.64583</v>
      </c>
      <c r="B1024" s="1">
        <f>IFERROR(__xludf.DUMMYFUNCTION("""COMPUTED_VALUE"""),134200.0)</f>
        <v>134200</v>
      </c>
      <c r="C1024" s="1">
        <f>IFERROR(__xludf.DUMMYFUNCTION("""COMPUTED_VALUE"""),134600.0)</f>
        <v>134600</v>
      </c>
      <c r="D1024" s="1">
        <f>IFERROR(__xludf.DUMMYFUNCTION("""COMPUTED_VALUE"""),132400.0)</f>
        <v>132400</v>
      </c>
      <c r="E1024" s="1">
        <f>IFERROR(__xludf.DUMMYFUNCTION("""COMPUTED_VALUE"""),134400.0)</f>
        <v>134400</v>
      </c>
      <c r="F1024" s="1">
        <f>IFERROR(__xludf.DUMMYFUNCTION("""COMPUTED_VALUE"""),101438.0)</f>
        <v>101438</v>
      </c>
    </row>
    <row r="1025">
      <c r="A1025" s="2">
        <f>IFERROR(__xludf.DUMMYFUNCTION("""COMPUTED_VALUE"""),42093.64583333333)</f>
        <v>42093.64583</v>
      </c>
      <c r="B1025" s="1">
        <f>IFERROR(__xludf.DUMMYFUNCTION("""COMPUTED_VALUE"""),137000.0)</f>
        <v>137000</v>
      </c>
      <c r="C1025" s="1">
        <f>IFERROR(__xludf.DUMMYFUNCTION("""COMPUTED_VALUE"""),138400.0)</f>
        <v>138400</v>
      </c>
      <c r="D1025" s="1">
        <f>IFERROR(__xludf.DUMMYFUNCTION("""COMPUTED_VALUE"""),134600.0)</f>
        <v>134600</v>
      </c>
      <c r="E1025" s="1">
        <f>IFERROR(__xludf.DUMMYFUNCTION("""COMPUTED_VALUE"""),136200.0)</f>
        <v>136200</v>
      </c>
      <c r="F1025" s="1">
        <f>IFERROR(__xludf.DUMMYFUNCTION("""COMPUTED_VALUE"""),88928.0)</f>
        <v>88928</v>
      </c>
    </row>
    <row r="1026">
      <c r="A1026" s="2">
        <f>IFERROR(__xludf.DUMMYFUNCTION("""COMPUTED_VALUE"""),42094.64583333333)</f>
        <v>42094.64583</v>
      </c>
      <c r="B1026" s="1">
        <f>IFERROR(__xludf.DUMMYFUNCTION("""COMPUTED_VALUE"""),138000.0)</f>
        <v>138000</v>
      </c>
      <c r="C1026" s="1">
        <f>IFERROR(__xludf.DUMMYFUNCTION("""COMPUTED_VALUE"""),138200.0)</f>
        <v>138200</v>
      </c>
      <c r="D1026" s="1">
        <f>IFERROR(__xludf.DUMMYFUNCTION("""COMPUTED_VALUE"""),133800.0)</f>
        <v>133800</v>
      </c>
      <c r="E1026" s="1">
        <f>IFERROR(__xludf.DUMMYFUNCTION("""COMPUTED_VALUE"""),134200.0)</f>
        <v>134200</v>
      </c>
      <c r="F1026" s="1">
        <f>IFERROR(__xludf.DUMMYFUNCTION("""COMPUTED_VALUE"""),90718.0)</f>
        <v>90718</v>
      </c>
    </row>
    <row r="1027">
      <c r="A1027" s="2">
        <f>IFERROR(__xludf.DUMMYFUNCTION("""COMPUTED_VALUE"""),42095.64583333333)</f>
        <v>42095.64583</v>
      </c>
      <c r="B1027" s="1">
        <f>IFERROR(__xludf.DUMMYFUNCTION("""COMPUTED_VALUE"""),134400.0)</f>
        <v>134400</v>
      </c>
      <c r="C1027" s="1">
        <f>IFERROR(__xludf.DUMMYFUNCTION("""COMPUTED_VALUE"""),135000.0)</f>
        <v>135000</v>
      </c>
      <c r="D1027" s="1">
        <f>IFERROR(__xludf.DUMMYFUNCTION("""COMPUTED_VALUE"""),132200.0)</f>
        <v>132200</v>
      </c>
      <c r="E1027" s="1">
        <f>IFERROR(__xludf.DUMMYFUNCTION("""COMPUTED_VALUE"""),133400.0)</f>
        <v>133400</v>
      </c>
      <c r="F1027" s="1">
        <f>IFERROR(__xludf.DUMMYFUNCTION("""COMPUTED_VALUE"""),75195.0)</f>
        <v>75195</v>
      </c>
    </row>
    <row r="1028">
      <c r="A1028" s="2">
        <f>IFERROR(__xludf.DUMMYFUNCTION("""COMPUTED_VALUE"""),42096.64583333333)</f>
        <v>42096.64583</v>
      </c>
      <c r="B1028" s="1">
        <f>IFERROR(__xludf.DUMMYFUNCTION("""COMPUTED_VALUE"""),132800.0)</f>
        <v>132800</v>
      </c>
      <c r="C1028" s="1">
        <f>IFERROR(__xludf.DUMMYFUNCTION("""COMPUTED_VALUE"""),133800.0)</f>
        <v>133800</v>
      </c>
      <c r="D1028" s="1">
        <f>IFERROR(__xludf.DUMMYFUNCTION("""COMPUTED_VALUE"""),124800.0)</f>
        <v>124800</v>
      </c>
      <c r="E1028" s="1">
        <f>IFERROR(__xludf.DUMMYFUNCTION("""COMPUTED_VALUE"""),128400.0)</f>
        <v>128400</v>
      </c>
      <c r="F1028" s="1">
        <f>IFERROR(__xludf.DUMMYFUNCTION("""COMPUTED_VALUE"""),481098.0)</f>
        <v>481098</v>
      </c>
    </row>
    <row r="1029">
      <c r="A1029" s="2">
        <f>IFERROR(__xludf.DUMMYFUNCTION("""COMPUTED_VALUE"""),42097.64583333333)</f>
        <v>42097.64583</v>
      </c>
      <c r="B1029" s="1">
        <f>IFERROR(__xludf.DUMMYFUNCTION("""COMPUTED_VALUE"""),127600.0)</f>
        <v>127600</v>
      </c>
      <c r="C1029" s="1">
        <f>IFERROR(__xludf.DUMMYFUNCTION("""COMPUTED_VALUE"""),129800.0)</f>
        <v>129800</v>
      </c>
      <c r="D1029" s="1">
        <f>IFERROR(__xludf.DUMMYFUNCTION("""COMPUTED_VALUE"""),126400.0)</f>
        <v>126400</v>
      </c>
      <c r="E1029" s="1">
        <f>IFERROR(__xludf.DUMMYFUNCTION("""COMPUTED_VALUE"""),129400.0)</f>
        <v>129400</v>
      </c>
      <c r="F1029" s="1">
        <f>IFERROR(__xludf.DUMMYFUNCTION("""COMPUTED_VALUE"""),138584.0)</f>
        <v>138584</v>
      </c>
    </row>
    <row r="1030">
      <c r="A1030" s="2">
        <f>IFERROR(__xludf.DUMMYFUNCTION("""COMPUTED_VALUE"""),42100.64583333333)</f>
        <v>42100.64583</v>
      </c>
      <c r="B1030" s="1">
        <f>IFERROR(__xludf.DUMMYFUNCTION("""COMPUTED_VALUE"""),129600.0)</f>
        <v>129600</v>
      </c>
      <c r="C1030" s="1">
        <f>IFERROR(__xludf.DUMMYFUNCTION("""COMPUTED_VALUE"""),130600.0)</f>
        <v>130600</v>
      </c>
      <c r="D1030" s="1">
        <f>IFERROR(__xludf.DUMMYFUNCTION("""COMPUTED_VALUE"""),126800.0)</f>
        <v>126800</v>
      </c>
      <c r="E1030" s="1">
        <f>IFERROR(__xludf.DUMMYFUNCTION("""COMPUTED_VALUE"""),127000.0)</f>
        <v>127000</v>
      </c>
      <c r="F1030" s="1">
        <f>IFERROR(__xludf.DUMMYFUNCTION("""COMPUTED_VALUE"""),91250.0)</f>
        <v>91250</v>
      </c>
    </row>
    <row r="1031">
      <c r="A1031" s="2">
        <f>IFERROR(__xludf.DUMMYFUNCTION("""COMPUTED_VALUE"""),42101.64583333333)</f>
        <v>42101.64583</v>
      </c>
      <c r="B1031" s="1">
        <f>IFERROR(__xludf.DUMMYFUNCTION("""COMPUTED_VALUE"""),128200.0)</f>
        <v>128200</v>
      </c>
      <c r="C1031" s="1">
        <f>IFERROR(__xludf.DUMMYFUNCTION("""COMPUTED_VALUE"""),129000.0)</f>
        <v>129000</v>
      </c>
      <c r="D1031" s="1">
        <f>IFERROR(__xludf.DUMMYFUNCTION("""COMPUTED_VALUE"""),127400.0)</f>
        <v>127400</v>
      </c>
      <c r="E1031" s="1">
        <f>IFERROR(__xludf.DUMMYFUNCTION("""COMPUTED_VALUE"""),127800.0)</f>
        <v>127800</v>
      </c>
      <c r="F1031" s="1">
        <f>IFERROR(__xludf.DUMMYFUNCTION("""COMPUTED_VALUE"""),68519.0)</f>
        <v>68519</v>
      </c>
    </row>
    <row r="1032">
      <c r="A1032" s="2">
        <f>IFERROR(__xludf.DUMMYFUNCTION("""COMPUTED_VALUE"""),42102.64583333333)</f>
        <v>42102.64583</v>
      </c>
      <c r="B1032" s="1">
        <f>IFERROR(__xludf.DUMMYFUNCTION("""COMPUTED_VALUE"""),128600.0)</f>
        <v>128600</v>
      </c>
      <c r="C1032" s="1">
        <f>IFERROR(__xludf.DUMMYFUNCTION("""COMPUTED_VALUE"""),129400.0)</f>
        <v>129400</v>
      </c>
      <c r="D1032" s="1">
        <f>IFERROR(__xludf.DUMMYFUNCTION("""COMPUTED_VALUE"""),128000.0)</f>
        <v>128000</v>
      </c>
      <c r="E1032" s="1">
        <f>IFERROR(__xludf.DUMMYFUNCTION("""COMPUTED_VALUE"""),129000.0)</f>
        <v>129000</v>
      </c>
      <c r="F1032" s="1">
        <f>IFERROR(__xludf.DUMMYFUNCTION("""COMPUTED_VALUE"""),121290.0)</f>
        <v>121290</v>
      </c>
    </row>
    <row r="1033">
      <c r="A1033" s="2">
        <f>IFERROR(__xludf.DUMMYFUNCTION("""COMPUTED_VALUE"""),42103.64583333333)</f>
        <v>42103.64583</v>
      </c>
      <c r="B1033" s="1">
        <f>IFERROR(__xludf.DUMMYFUNCTION("""COMPUTED_VALUE"""),129000.0)</f>
        <v>129000</v>
      </c>
      <c r="C1033" s="1">
        <f>IFERROR(__xludf.DUMMYFUNCTION("""COMPUTED_VALUE"""),133800.0)</f>
        <v>133800</v>
      </c>
      <c r="D1033" s="1">
        <f>IFERROR(__xludf.DUMMYFUNCTION("""COMPUTED_VALUE"""),128600.0)</f>
        <v>128600</v>
      </c>
      <c r="E1033" s="1">
        <f>IFERROR(__xludf.DUMMYFUNCTION("""COMPUTED_VALUE"""),130600.0)</f>
        <v>130600</v>
      </c>
      <c r="F1033" s="1">
        <f>IFERROR(__xludf.DUMMYFUNCTION("""COMPUTED_VALUE"""),176334.0)</f>
        <v>176334</v>
      </c>
    </row>
    <row r="1034">
      <c r="A1034" s="2">
        <f>IFERROR(__xludf.DUMMYFUNCTION("""COMPUTED_VALUE"""),42104.64583333333)</f>
        <v>42104.64583</v>
      </c>
      <c r="B1034" s="1">
        <f>IFERROR(__xludf.DUMMYFUNCTION("""COMPUTED_VALUE"""),131000.0)</f>
        <v>131000</v>
      </c>
      <c r="C1034" s="1">
        <f>IFERROR(__xludf.DUMMYFUNCTION("""COMPUTED_VALUE"""),132400.0)</f>
        <v>132400</v>
      </c>
      <c r="D1034" s="1">
        <f>IFERROR(__xludf.DUMMYFUNCTION("""COMPUTED_VALUE"""),129400.0)</f>
        <v>129400</v>
      </c>
      <c r="E1034" s="1">
        <f>IFERROR(__xludf.DUMMYFUNCTION("""COMPUTED_VALUE"""),130000.0)</f>
        <v>130000</v>
      </c>
      <c r="F1034" s="1">
        <f>IFERROR(__xludf.DUMMYFUNCTION("""COMPUTED_VALUE"""),119993.0)</f>
        <v>119993</v>
      </c>
    </row>
    <row r="1035">
      <c r="A1035" s="2">
        <f>IFERROR(__xludf.DUMMYFUNCTION("""COMPUTED_VALUE"""),42107.64583333333)</f>
        <v>42107.64583</v>
      </c>
      <c r="B1035" s="1">
        <f>IFERROR(__xludf.DUMMYFUNCTION("""COMPUTED_VALUE"""),129200.0)</f>
        <v>129200</v>
      </c>
      <c r="C1035" s="1">
        <f>IFERROR(__xludf.DUMMYFUNCTION("""COMPUTED_VALUE"""),131000.0)</f>
        <v>131000</v>
      </c>
      <c r="D1035" s="1">
        <f>IFERROR(__xludf.DUMMYFUNCTION("""COMPUTED_VALUE"""),128600.0)</f>
        <v>128600</v>
      </c>
      <c r="E1035" s="1">
        <f>IFERROR(__xludf.DUMMYFUNCTION("""COMPUTED_VALUE"""),130400.0)</f>
        <v>130400</v>
      </c>
      <c r="F1035" s="1">
        <f>IFERROR(__xludf.DUMMYFUNCTION("""COMPUTED_VALUE"""),94748.0)</f>
        <v>94748</v>
      </c>
    </row>
    <row r="1036">
      <c r="A1036" s="2">
        <f>IFERROR(__xludf.DUMMYFUNCTION("""COMPUTED_VALUE"""),42108.64583333333)</f>
        <v>42108.64583</v>
      </c>
      <c r="B1036" s="1">
        <f>IFERROR(__xludf.DUMMYFUNCTION("""COMPUTED_VALUE"""),130400.0)</f>
        <v>130400</v>
      </c>
      <c r="C1036" s="1">
        <f>IFERROR(__xludf.DUMMYFUNCTION("""COMPUTED_VALUE"""),133600.0)</f>
        <v>133600</v>
      </c>
      <c r="D1036" s="1">
        <f>IFERROR(__xludf.DUMMYFUNCTION("""COMPUTED_VALUE"""),130200.0)</f>
        <v>130200</v>
      </c>
      <c r="E1036" s="1">
        <f>IFERROR(__xludf.DUMMYFUNCTION("""COMPUTED_VALUE"""),133400.0)</f>
        <v>133400</v>
      </c>
      <c r="F1036" s="1">
        <f>IFERROR(__xludf.DUMMYFUNCTION("""COMPUTED_VALUE"""),126276.0)</f>
        <v>126276</v>
      </c>
    </row>
    <row r="1037">
      <c r="A1037" s="2">
        <f>IFERROR(__xludf.DUMMYFUNCTION("""COMPUTED_VALUE"""),42109.64583333333)</f>
        <v>42109.64583</v>
      </c>
      <c r="B1037" s="1">
        <f>IFERROR(__xludf.DUMMYFUNCTION("""COMPUTED_VALUE"""),133800.0)</f>
        <v>133800</v>
      </c>
      <c r="C1037" s="1">
        <f>IFERROR(__xludf.DUMMYFUNCTION("""COMPUTED_VALUE"""),134400.0)</f>
        <v>134400</v>
      </c>
      <c r="D1037" s="1">
        <f>IFERROR(__xludf.DUMMYFUNCTION("""COMPUTED_VALUE"""),133000.0)</f>
        <v>133000</v>
      </c>
      <c r="E1037" s="1">
        <f>IFERROR(__xludf.DUMMYFUNCTION("""COMPUTED_VALUE"""),134200.0)</f>
        <v>134200</v>
      </c>
      <c r="F1037" s="1">
        <f>IFERROR(__xludf.DUMMYFUNCTION("""COMPUTED_VALUE"""),85277.0)</f>
        <v>85277</v>
      </c>
    </row>
    <row r="1038">
      <c r="A1038" s="2">
        <f>IFERROR(__xludf.DUMMYFUNCTION("""COMPUTED_VALUE"""),42110.64583333333)</f>
        <v>42110.64583</v>
      </c>
      <c r="B1038" s="1">
        <f>IFERROR(__xludf.DUMMYFUNCTION("""COMPUTED_VALUE"""),134800.0)</f>
        <v>134800</v>
      </c>
      <c r="C1038" s="1">
        <f>IFERROR(__xludf.DUMMYFUNCTION("""COMPUTED_VALUE"""),135000.0)</f>
        <v>135000</v>
      </c>
      <c r="D1038" s="1">
        <f>IFERROR(__xludf.DUMMYFUNCTION("""COMPUTED_VALUE"""),132400.0)</f>
        <v>132400</v>
      </c>
      <c r="E1038" s="1">
        <f>IFERROR(__xludf.DUMMYFUNCTION("""COMPUTED_VALUE"""),134600.0)</f>
        <v>134600</v>
      </c>
      <c r="F1038" s="1">
        <f>IFERROR(__xludf.DUMMYFUNCTION("""COMPUTED_VALUE"""),96797.0)</f>
        <v>96797</v>
      </c>
    </row>
    <row r="1039">
      <c r="A1039" s="2">
        <f>IFERROR(__xludf.DUMMYFUNCTION("""COMPUTED_VALUE"""),42111.64583333333)</f>
        <v>42111.64583</v>
      </c>
      <c r="B1039" s="1">
        <f>IFERROR(__xludf.DUMMYFUNCTION("""COMPUTED_VALUE"""),135000.0)</f>
        <v>135000</v>
      </c>
      <c r="C1039" s="1">
        <f>IFERROR(__xludf.DUMMYFUNCTION("""COMPUTED_VALUE"""),135400.0)</f>
        <v>135400</v>
      </c>
      <c r="D1039" s="1">
        <f>IFERROR(__xludf.DUMMYFUNCTION("""COMPUTED_VALUE"""),133400.0)</f>
        <v>133400</v>
      </c>
      <c r="E1039" s="1">
        <f>IFERROR(__xludf.DUMMYFUNCTION("""COMPUTED_VALUE"""),133800.0)</f>
        <v>133800</v>
      </c>
      <c r="F1039" s="1">
        <f>IFERROR(__xludf.DUMMYFUNCTION("""COMPUTED_VALUE"""),100653.0)</f>
        <v>100653</v>
      </c>
    </row>
    <row r="1040">
      <c r="A1040" s="2">
        <f>IFERROR(__xludf.DUMMYFUNCTION("""COMPUTED_VALUE"""),42114.64583333333)</f>
        <v>42114.64583</v>
      </c>
      <c r="B1040" s="1">
        <f>IFERROR(__xludf.DUMMYFUNCTION("""COMPUTED_VALUE"""),132200.0)</f>
        <v>132200</v>
      </c>
      <c r="C1040" s="1">
        <f>IFERROR(__xludf.DUMMYFUNCTION("""COMPUTED_VALUE"""),134400.0)</f>
        <v>134400</v>
      </c>
      <c r="D1040" s="1">
        <f>IFERROR(__xludf.DUMMYFUNCTION("""COMPUTED_VALUE"""),132200.0)</f>
        <v>132200</v>
      </c>
      <c r="E1040" s="1">
        <f>IFERROR(__xludf.DUMMYFUNCTION("""COMPUTED_VALUE"""),133200.0)</f>
        <v>133200</v>
      </c>
      <c r="F1040" s="1">
        <f>IFERROR(__xludf.DUMMYFUNCTION("""COMPUTED_VALUE"""),87557.0)</f>
        <v>87557</v>
      </c>
    </row>
    <row r="1041">
      <c r="A1041" s="2">
        <f>IFERROR(__xludf.DUMMYFUNCTION("""COMPUTED_VALUE"""),42115.64583333333)</f>
        <v>42115.64583</v>
      </c>
      <c r="B1041" s="1">
        <f>IFERROR(__xludf.DUMMYFUNCTION("""COMPUTED_VALUE"""),133800.0)</f>
        <v>133800</v>
      </c>
      <c r="C1041" s="1">
        <f>IFERROR(__xludf.DUMMYFUNCTION("""COMPUTED_VALUE"""),134000.0)</f>
        <v>134000</v>
      </c>
      <c r="D1041" s="1">
        <f>IFERROR(__xludf.DUMMYFUNCTION("""COMPUTED_VALUE"""),130600.0)</f>
        <v>130600</v>
      </c>
      <c r="E1041" s="1">
        <f>IFERROR(__xludf.DUMMYFUNCTION("""COMPUTED_VALUE"""),133800.0)</f>
        <v>133800</v>
      </c>
      <c r="F1041" s="1">
        <f>IFERROR(__xludf.DUMMYFUNCTION("""COMPUTED_VALUE"""),118397.0)</f>
        <v>118397</v>
      </c>
    </row>
    <row r="1042">
      <c r="A1042" s="2">
        <f>IFERROR(__xludf.DUMMYFUNCTION("""COMPUTED_VALUE"""),42116.64583333333)</f>
        <v>42116.64583</v>
      </c>
      <c r="B1042" s="1">
        <f>IFERROR(__xludf.DUMMYFUNCTION("""COMPUTED_VALUE"""),135800.0)</f>
        <v>135800</v>
      </c>
      <c r="C1042" s="1">
        <f>IFERROR(__xludf.DUMMYFUNCTION("""COMPUTED_VALUE"""),135800.0)</f>
        <v>135800</v>
      </c>
      <c r="D1042" s="1">
        <f>IFERROR(__xludf.DUMMYFUNCTION("""COMPUTED_VALUE"""),133800.0)</f>
        <v>133800</v>
      </c>
      <c r="E1042" s="1">
        <f>IFERROR(__xludf.DUMMYFUNCTION("""COMPUTED_VALUE"""),134800.0)</f>
        <v>134800</v>
      </c>
      <c r="F1042" s="1">
        <f>IFERROR(__xludf.DUMMYFUNCTION("""COMPUTED_VALUE"""),142551.0)</f>
        <v>142551</v>
      </c>
    </row>
    <row r="1043">
      <c r="A1043" s="2">
        <f>IFERROR(__xludf.DUMMYFUNCTION("""COMPUTED_VALUE"""),42117.64583333333)</f>
        <v>42117.64583</v>
      </c>
      <c r="B1043" s="1">
        <f>IFERROR(__xludf.DUMMYFUNCTION("""COMPUTED_VALUE"""),136000.0)</f>
        <v>136000</v>
      </c>
      <c r="C1043" s="1">
        <f>IFERROR(__xludf.DUMMYFUNCTION("""COMPUTED_VALUE"""),137000.0)</f>
        <v>137000</v>
      </c>
      <c r="D1043" s="1">
        <f>IFERROR(__xludf.DUMMYFUNCTION("""COMPUTED_VALUE"""),133400.0)</f>
        <v>133400</v>
      </c>
      <c r="E1043" s="1">
        <f>IFERROR(__xludf.DUMMYFUNCTION("""COMPUTED_VALUE"""),136400.0)</f>
        <v>136400</v>
      </c>
      <c r="F1043" s="1">
        <f>IFERROR(__xludf.DUMMYFUNCTION("""COMPUTED_VALUE"""),126074.0)</f>
        <v>126074</v>
      </c>
    </row>
    <row r="1044">
      <c r="A1044" s="2">
        <f>IFERROR(__xludf.DUMMYFUNCTION("""COMPUTED_VALUE"""),42118.64583333333)</f>
        <v>42118.64583</v>
      </c>
      <c r="B1044" s="1">
        <f>IFERROR(__xludf.DUMMYFUNCTION("""COMPUTED_VALUE"""),135600.0)</f>
        <v>135600</v>
      </c>
      <c r="C1044" s="1">
        <f>IFERROR(__xludf.DUMMYFUNCTION("""COMPUTED_VALUE"""),137000.0)</f>
        <v>137000</v>
      </c>
      <c r="D1044" s="1">
        <f>IFERROR(__xludf.DUMMYFUNCTION("""COMPUTED_VALUE"""),131800.0)</f>
        <v>131800</v>
      </c>
      <c r="E1044" s="1">
        <f>IFERROR(__xludf.DUMMYFUNCTION("""COMPUTED_VALUE"""),133400.0)</f>
        <v>133400</v>
      </c>
      <c r="F1044" s="1">
        <f>IFERROR(__xludf.DUMMYFUNCTION("""COMPUTED_VALUE"""),109127.0)</f>
        <v>109127</v>
      </c>
    </row>
    <row r="1045">
      <c r="A1045" s="2">
        <f>IFERROR(__xludf.DUMMYFUNCTION("""COMPUTED_VALUE"""),42121.64583333333)</f>
        <v>42121.64583</v>
      </c>
      <c r="B1045" s="1">
        <f>IFERROR(__xludf.DUMMYFUNCTION("""COMPUTED_VALUE"""),134600.0)</f>
        <v>134600</v>
      </c>
      <c r="C1045" s="1">
        <f>IFERROR(__xludf.DUMMYFUNCTION("""COMPUTED_VALUE"""),137600.0)</f>
        <v>137600</v>
      </c>
      <c r="D1045" s="1">
        <f>IFERROR(__xludf.DUMMYFUNCTION("""COMPUTED_VALUE"""),133400.0)</f>
        <v>133400</v>
      </c>
      <c r="E1045" s="1">
        <f>IFERROR(__xludf.DUMMYFUNCTION("""COMPUTED_VALUE"""),136800.0)</f>
        <v>136800</v>
      </c>
      <c r="F1045" s="1">
        <f>IFERROR(__xludf.DUMMYFUNCTION("""COMPUTED_VALUE"""),204139.0)</f>
        <v>204139</v>
      </c>
    </row>
    <row r="1046">
      <c r="A1046" s="2">
        <f>IFERROR(__xludf.DUMMYFUNCTION("""COMPUTED_VALUE"""),42122.64583333333)</f>
        <v>42122.64583</v>
      </c>
      <c r="B1046" s="1">
        <f>IFERROR(__xludf.DUMMYFUNCTION("""COMPUTED_VALUE"""),138000.0)</f>
        <v>138000</v>
      </c>
      <c r="C1046" s="1">
        <f>IFERROR(__xludf.DUMMYFUNCTION("""COMPUTED_VALUE"""),138000.0)</f>
        <v>138000</v>
      </c>
      <c r="D1046" s="1">
        <f>IFERROR(__xludf.DUMMYFUNCTION("""COMPUTED_VALUE"""),136400.0)</f>
        <v>136400</v>
      </c>
      <c r="E1046" s="1">
        <f>IFERROR(__xludf.DUMMYFUNCTION("""COMPUTED_VALUE"""),137200.0)</f>
        <v>137200</v>
      </c>
      <c r="F1046" s="1">
        <f>IFERROR(__xludf.DUMMYFUNCTION("""COMPUTED_VALUE"""),133770.0)</f>
        <v>133770</v>
      </c>
    </row>
    <row r="1047">
      <c r="A1047" s="2">
        <f>IFERROR(__xludf.DUMMYFUNCTION("""COMPUTED_VALUE"""),42123.64583333333)</f>
        <v>42123.64583</v>
      </c>
      <c r="B1047" s="1">
        <f>IFERROR(__xludf.DUMMYFUNCTION("""COMPUTED_VALUE"""),136600.0)</f>
        <v>136600</v>
      </c>
      <c r="C1047" s="1">
        <f>IFERROR(__xludf.DUMMYFUNCTION("""COMPUTED_VALUE"""),137800.0)</f>
        <v>137800</v>
      </c>
      <c r="D1047" s="1">
        <f>IFERROR(__xludf.DUMMYFUNCTION("""COMPUTED_VALUE"""),134800.0)</f>
        <v>134800</v>
      </c>
      <c r="E1047" s="1">
        <f>IFERROR(__xludf.DUMMYFUNCTION("""COMPUTED_VALUE"""),135800.0)</f>
        <v>135800</v>
      </c>
      <c r="F1047" s="1">
        <f>IFERROR(__xludf.DUMMYFUNCTION("""COMPUTED_VALUE"""),163567.0)</f>
        <v>163567</v>
      </c>
    </row>
    <row r="1048">
      <c r="A1048" s="2">
        <f>IFERROR(__xludf.DUMMYFUNCTION("""COMPUTED_VALUE"""),42124.64583333333)</f>
        <v>42124.64583</v>
      </c>
      <c r="B1048" s="1">
        <f>IFERROR(__xludf.DUMMYFUNCTION("""COMPUTED_VALUE"""),134000.0)</f>
        <v>134000</v>
      </c>
      <c r="C1048" s="1">
        <f>IFERROR(__xludf.DUMMYFUNCTION("""COMPUTED_VALUE"""),136400.0)</f>
        <v>136400</v>
      </c>
      <c r="D1048" s="1">
        <f>IFERROR(__xludf.DUMMYFUNCTION("""COMPUTED_VALUE"""),129400.0)</f>
        <v>129400</v>
      </c>
      <c r="E1048" s="1">
        <f>IFERROR(__xludf.DUMMYFUNCTION("""COMPUTED_VALUE"""),130000.0)</f>
        <v>130000</v>
      </c>
      <c r="F1048" s="1">
        <f>IFERROR(__xludf.DUMMYFUNCTION("""COMPUTED_VALUE"""),319618.0)</f>
        <v>319618</v>
      </c>
    </row>
    <row r="1049">
      <c r="A1049" s="2">
        <f>IFERROR(__xludf.DUMMYFUNCTION("""COMPUTED_VALUE"""),42128.64583333333)</f>
        <v>42128.64583</v>
      </c>
      <c r="B1049" s="1">
        <f>IFERROR(__xludf.DUMMYFUNCTION("""COMPUTED_VALUE"""),128600.0)</f>
        <v>128600</v>
      </c>
      <c r="C1049" s="1">
        <f>IFERROR(__xludf.DUMMYFUNCTION("""COMPUTED_VALUE"""),129800.0)</f>
        <v>129800</v>
      </c>
      <c r="D1049" s="1">
        <f>IFERROR(__xludf.DUMMYFUNCTION("""COMPUTED_VALUE"""),120600.0)</f>
        <v>120600</v>
      </c>
      <c r="E1049" s="1">
        <f>IFERROR(__xludf.DUMMYFUNCTION("""COMPUTED_VALUE"""),120600.0)</f>
        <v>120600</v>
      </c>
      <c r="F1049" s="1">
        <f>IFERROR(__xludf.DUMMYFUNCTION("""COMPUTED_VALUE"""),391501.0)</f>
        <v>391501</v>
      </c>
    </row>
    <row r="1050">
      <c r="A1050" s="2">
        <f>IFERROR(__xludf.DUMMYFUNCTION("""COMPUTED_VALUE"""),42130.64583333333)</f>
        <v>42130.64583</v>
      </c>
      <c r="B1050" s="1">
        <f>IFERROR(__xludf.DUMMYFUNCTION("""COMPUTED_VALUE"""),120200.0)</f>
        <v>120200</v>
      </c>
      <c r="C1050" s="1">
        <f>IFERROR(__xludf.DUMMYFUNCTION("""COMPUTED_VALUE"""),123200.0)</f>
        <v>123200</v>
      </c>
      <c r="D1050" s="1">
        <f>IFERROR(__xludf.DUMMYFUNCTION("""COMPUTED_VALUE"""),119200.0)</f>
        <v>119200</v>
      </c>
      <c r="E1050" s="1">
        <f>IFERROR(__xludf.DUMMYFUNCTION("""COMPUTED_VALUE"""),122600.0)</f>
        <v>122600</v>
      </c>
      <c r="F1050" s="1">
        <f>IFERROR(__xludf.DUMMYFUNCTION("""COMPUTED_VALUE"""),296941.0)</f>
        <v>296941</v>
      </c>
    </row>
    <row r="1051">
      <c r="A1051" s="2">
        <f>IFERROR(__xludf.DUMMYFUNCTION("""COMPUTED_VALUE"""),42131.64583333333)</f>
        <v>42131.64583</v>
      </c>
      <c r="B1051" s="1">
        <f>IFERROR(__xludf.DUMMYFUNCTION("""COMPUTED_VALUE"""),122600.0)</f>
        <v>122600</v>
      </c>
      <c r="C1051" s="1">
        <f>IFERROR(__xludf.DUMMYFUNCTION("""COMPUTED_VALUE"""),123400.0)</f>
        <v>123400</v>
      </c>
      <c r="D1051" s="1">
        <f>IFERROR(__xludf.DUMMYFUNCTION("""COMPUTED_VALUE"""),120800.0)</f>
        <v>120800</v>
      </c>
      <c r="E1051" s="1">
        <f>IFERROR(__xludf.DUMMYFUNCTION("""COMPUTED_VALUE"""),122200.0)</f>
        <v>122200</v>
      </c>
      <c r="F1051" s="1">
        <f>IFERROR(__xludf.DUMMYFUNCTION("""COMPUTED_VALUE"""),137775.0)</f>
        <v>137775</v>
      </c>
    </row>
    <row r="1052">
      <c r="A1052" s="2">
        <f>IFERROR(__xludf.DUMMYFUNCTION("""COMPUTED_VALUE"""),42132.64583333333)</f>
        <v>42132.64583</v>
      </c>
      <c r="B1052" s="1">
        <f>IFERROR(__xludf.DUMMYFUNCTION("""COMPUTED_VALUE"""),121600.0)</f>
        <v>121600</v>
      </c>
      <c r="C1052" s="1">
        <f>IFERROR(__xludf.DUMMYFUNCTION("""COMPUTED_VALUE"""),124000.0)</f>
        <v>124000</v>
      </c>
      <c r="D1052" s="1">
        <f>IFERROR(__xludf.DUMMYFUNCTION("""COMPUTED_VALUE"""),121600.0)</f>
        <v>121600</v>
      </c>
      <c r="E1052" s="1">
        <f>IFERROR(__xludf.DUMMYFUNCTION("""COMPUTED_VALUE"""),121800.0)</f>
        <v>121800</v>
      </c>
      <c r="F1052" s="1">
        <f>IFERROR(__xludf.DUMMYFUNCTION("""COMPUTED_VALUE"""),88637.0)</f>
        <v>88637</v>
      </c>
    </row>
    <row r="1053">
      <c r="A1053" s="2">
        <f>IFERROR(__xludf.DUMMYFUNCTION("""COMPUTED_VALUE"""),42135.64583333333)</f>
        <v>42135.64583</v>
      </c>
      <c r="B1053" s="1">
        <f>IFERROR(__xludf.DUMMYFUNCTION("""COMPUTED_VALUE"""),122000.0)</f>
        <v>122000</v>
      </c>
      <c r="C1053" s="1">
        <f>IFERROR(__xludf.DUMMYFUNCTION("""COMPUTED_VALUE"""),122800.0)</f>
        <v>122800</v>
      </c>
      <c r="D1053" s="1">
        <f>IFERROR(__xludf.DUMMYFUNCTION("""COMPUTED_VALUE"""),120600.0)</f>
        <v>120600</v>
      </c>
      <c r="E1053" s="1">
        <f>IFERROR(__xludf.DUMMYFUNCTION("""COMPUTED_VALUE"""),121200.0)</f>
        <v>121200</v>
      </c>
      <c r="F1053" s="1">
        <f>IFERROR(__xludf.DUMMYFUNCTION("""COMPUTED_VALUE"""),84927.0)</f>
        <v>84927</v>
      </c>
    </row>
    <row r="1054">
      <c r="A1054" s="2">
        <f>IFERROR(__xludf.DUMMYFUNCTION("""COMPUTED_VALUE"""),42136.64583333333)</f>
        <v>42136.64583</v>
      </c>
      <c r="B1054" s="1">
        <f>IFERROR(__xludf.DUMMYFUNCTION("""COMPUTED_VALUE"""),120000.0)</f>
        <v>120000</v>
      </c>
      <c r="C1054" s="1">
        <f>IFERROR(__xludf.DUMMYFUNCTION("""COMPUTED_VALUE"""),122200.0)</f>
        <v>122200</v>
      </c>
      <c r="D1054" s="1">
        <f>IFERROR(__xludf.DUMMYFUNCTION("""COMPUTED_VALUE"""),119600.0)</f>
        <v>119600</v>
      </c>
      <c r="E1054" s="1">
        <f>IFERROR(__xludf.DUMMYFUNCTION("""COMPUTED_VALUE"""),121000.0)</f>
        <v>121000</v>
      </c>
      <c r="F1054" s="1">
        <f>IFERROR(__xludf.DUMMYFUNCTION("""COMPUTED_VALUE"""),89531.0)</f>
        <v>89531</v>
      </c>
    </row>
    <row r="1055">
      <c r="A1055" s="2">
        <f>IFERROR(__xludf.DUMMYFUNCTION("""COMPUTED_VALUE"""),42137.64583333333)</f>
        <v>42137.64583</v>
      </c>
      <c r="B1055" s="1">
        <f>IFERROR(__xludf.DUMMYFUNCTION("""COMPUTED_VALUE"""),120800.0)</f>
        <v>120800</v>
      </c>
      <c r="C1055" s="1">
        <f>IFERROR(__xludf.DUMMYFUNCTION("""COMPUTED_VALUE"""),121200.0)</f>
        <v>121200</v>
      </c>
      <c r="D1055" s="1">
        <f>IFERROR(__xludf.DUMMYFUNCTION("""COMPUTED_VALUE"""),120000.0)</f>
        <v>120000</v>
      </c>
      <c r="E1055" s="1">
        <f>IFERROR(__xludf.DUMMYFUNCTION("""COMPUTED_VALUE"""),120800.0)</f>
        <v>120800</v>
      </c>
      <c r="F1055" s="1">
        <f>IFERROR(__xludf.DUMMYFUNCTION("""COMPUTED_VALUE"""),80931.0)</f>
        <v>80931</v>
      </c>
    </row>
    <row r="1056">
      <c r="A1056" s="2">
        <f>IFERROR(__xludf.DUMMYFUNCTION("""COMPUTED_VALUE"""),42138.64583333333)</f>
        <v>42138.64583</v>
      </c>
      <c r="B1056" s="1">
        <f>IFERROR(__xludf.DUMMYFUNCTION("""COMPUTED_VALUE"""),120200.0)</f>
        <v>120200</v>
      </c>
      <c r="C1056" s="1">
        <f>IFERROR(__xludf.DUMMYFUNCTION("""COMPUTED_VALUE"""),122000.0)</f>
        <v>122000</v>
      </c>
      <c r="D1056" s="1">
        <f>IFERROR(__xludf.DUMMYFUNCTION("""COMPUTED_VALUE"""),120200.0)</f>
        <v>120200</v>
      </c>
      <c r="E1056" s="1">
        <f>IFERROR(__xludf.DUMMYFUNCTION("""COMPUTED_VALUE"""),121400.0)</f>
        <v>121400</v>
      </c>
      <c r="F1056" s="1">
        <f>IFERROR(__xludf.DUMMYFUNCTION("""COMPUTED_VALUE"""),61571.0)</f>
        <v>61571</v>
      </c>
    </row>
    <row r="1057">
      <c r="A1057" s="2">
        <f>IFERROR(__xludf.DUMMYFUNCTION("""COMPUTED_VALUE"""),42139.64583333333)</f>
        <v>42139.64583</v>
      </c>
      <c r="B1057" s="1">
        <f>IFERROR(__xludf.DUMMYFUNCTION("""COMPUTED_VALUE"""),122000.0)</f>
        <v>122000</v>
      </c>
      <c r="C1057" s="1">
        <f>IFERROR(__xludf.DUMMYFUNCTION("""COMPUTED_VALUE"""),122400.0)</f>
        <v>122400</v>
      </c>
      <c r="D1057" s="1">
        <f>IFERROR(__xludf.DUMMYFUNCTION("""COMPUTED_VALUE"""),121200.0)</f>
        <v>121200</v>
      </c>
      <c r="E1057" s="1">
        <f>IFERROR(__xludf.DUMMYFUNCTION("""COMPUTED_VALUE"""),122000.0)</f>
        <v>122000</v>
      </c>
      <c r="F1057" s="1">
        <f>IFERROR(__xludf.DUMMYFUNCTION("""COMPUTED_VALUE"""),62315.0)</f>
        <v>62315</v>
      </c>
    </row>
    <row r="1058">
      <c r="A1058" s="2">
        <f>IFERROR(__xludf.DUMMYFUNCTION("""COMPUTED_VALUE"""),42142.64583333333)</f>
        <v>42142.64583</v>
      </c>
      <c r="B1058" s="1">
        <f>IFERROR(__xludf.DUMMYFUNCTION("""COMPUTED_VALUE"""),122800.0)</f>
        <v>122800</v>
      </c>
      <c r="C1058" s="1">
        <f>IFERROR(__xludf.DUMMYFUNCTION("""COMPUTED_VALUE"""),124200.0)</f>
        <v>124200</v>
      </c>
      <c r="D1058" s="1">
        <f>IFERROR(__xludf.DUMMYFUNCTION("""COMPUTED_VALUE"""),122400.0)</f>
        <v>122400</v>
      </c>
      <c r="E1058" s="1">
        <f>IFERROR(__xludf.DUMMYFUNCTION("""COMPUTED_VALUE"""),123600.0)</f>
        <v>123600</v>
      </c>
      <c r="F1058" s="1">
        <f>IFERROR(__xludf.DUMMYFUNCTION("""COMPUTED_VALUE"""),103829.0)</f>
        <v>103829</v>
      </c>
    </row>
    <row r="1059">
      <c r="A1059" s="2">
        <f>IFERROR(__xludf.DUMMYFUNCTION("""COMPUTED_VALUE"""),42143.64583333333)</f>
        <v>42143.64583</v>
      </c>
      <c r="B1059" s="1">
        <f>IFERROR(__xludf.DUMMYFUNCTION("""COMPUTED_VALUE"""),124600.0)</f>
        <v>124600</v>
      </c>
      <c r="C1059" s="1">
        <f>IFERROR(__xludf.DUMMYFUNCTION("""COMPUTED_VALUE"""),125600.0)</f>
        <v>125600</v>
      </c>
      <c r="D1059" s="1">
        <f>IFERROR(__xludf.DUMMYFUNCTION("""COMPUTED_VALUE"""),123400.0)</f>
        <v>123400</v>
      </c>
      <c r="E1059" s="1">
        <f>IFERROR(__xludf.DUMMYFUNCTION("""COMPUTED_VALUE"""),125200.0)</f>
        <v>125200</v>
      </c>
      <c r="F1059" s="1">
        <f>IFERROR(__xludf.DUMMYFUNCTION("""COMPUTED_VALUE"""),103452.0)</f>
        <v>103452</v>
      </c>
    </row>
    <row r="1060">
      <c r="A1060" s="2">
        <f>IFERROR(__xludf.DUMMYFUNCTION("""COMPUTED_VALUE"""),42144.64583333333)</f>
        <v>42144.64583</v>
      </c>
      <c r="B1060" s="1">
        <f>IFERROR(__xludf.DUMMYFUNCTION("""COMPUTED_VALUE"""),126800.0)</f>
        <v>126800</v>
      </c>
      <c r="C1060" s="1">
        <f>IFERROR(__xludf.DUMMYFUNCTION("""COMPUTED_VALUE"""),126800.0)</f>
        <v>126800</v>
      </c>
      <c r="D1060" s="1">
        <f>IFERROR(__xludf.DUMMYFUNCTION("""COMPUTED_VALUE"""),123000.0)</f>
        <v>123000</v>
      </c>
      <c r="E1060" s="1">
        <f>IFERROR(__xludf.DUMMYFUNCTION("""COMPUTED_VALUE"""),123200.0)</f>
        <v>123200</v>
      </c>
      <c r="F1060" s="1">
        <f>IFERROR(__xludf.DUMMYFUNCTION("""COMPUTED_VALUE"""),67023.0)</f>
        <v>67023</v>
      </c>
    </row>
    <row r="1061">
      <c r="A1061" s="2">
        <f>IFERROR(__xludf.DUMMYFUNCTION("""COMPUTED_VALUE"""),42145.64583333333)</f>
        <v>42145.64583</v>
      </c>
      <c r="B1061" s="1">
        <f>IFERROR(__xludf.DUMMYFUNCTION("""COMPUTED_VALUE"""),121600.0)</f>
        <v>121600</v>
      </c>
      <c r="C1061" s="1">
        <f>IFERROR(__xludf.DUMMYFUNCTION("""COMPUTED_VALUE"""),123000.0)</f>
        <v>123000</v>
      </c>
      <c r="D1061" s="1">
        <f>IFERROR(__xludf.DUMMYFUNCTION("""COMPUTED_VALUE"""),119000.0)</f>
        <v>119000</v>
      </c>
      <c r="E1061" s="1">
        <f>IFERROR(__xludf.DUMMYFUNCTION("""COMPUTED_VALUE"""),121400.0)</f>
        <v>121400</v>
      </c>
      <c r="F1061" s="1">
        <f>IFERROR(__xludf.DUMMYFUNCTION("""COMPUTED_VALUE"""),161664.0)</f>
        <v>161664</v>
      </c>
    </row>
    <row r="1062">
      <c r="A1062" s="2">
        <f>IFERROR(__xludf.DUMMYFUNCTION("""COMPUTED_VALUE"""),42146.64583333333)</f>
        <v>42146.64583</v>
      </c>
      <c r="B1062" s="1">
        <f>IFERROR(__xludf.DUMMYFUNCTION("""COMPUTED_VALUE"""),121400.0)</f>
        <v>121400</v>
      </c>
      <c r="C1062" s="1">
        <f>IFERROR(__xludf.DUMMYFUNCTION("""COMPUTED_VALUE"""),125400.0)</f>
        <v>125400</v>
      </c>
      <c r="D1062" s="1">
        <f>IFERROR(__xludf.DUMMYFUNCTION("""COMPUTED_VALUE"""),121400.0)</f>
        <v>121400</v>
      </c>
      <c r="E1062" s="1">
        <f>IFERROR(__xludf.DUMMYFUNCTION("""COMPUTED_VALUE"""),125400.0)</f>
        <v>125400</v>
      </c>
      <c r="F1062" s="1">
        <f>IFERROR(__xludf.DUMMYFUNCTION("""COMPUTED_VALUE"""),80822.0)</f>
        <v>80822</v>
      </c>
    </row>
    <row r="1063">
      <c r="A1063" s="2">
        <f>IFERROR(__xludf.DUMMYFUNCTION("""COMPUTED_VALUE"""),42150.64583333333)</f>
        <v>42150.64583</v>
      </c>
      <c r="B1063" s="1">
        <f>IFERROR(__xludf.DUMMYFUNCTION("""COMPUTED_VALUE"""),127000.0)</f>
        <v>127000</v>
      </c>
      <c r="C1063" s="1">
        <f>IFERROR(__xludf.DUMMYFUNCTION("""COMPUTED_VALUE"""),127200.0)</f>
        <v>127200</v>
      </c>
      <c r="D1063" s="1">
        <f>IFERROR(__xludf.DUMMYFUNCTION("""COMPUTED_VALUE"""),123400.0)</f>
        <v>123400</v>
      </c>
      <c r="E1063" s="1">
        <f>IFERROR(__xludf.DUMMYFUNCTION("""COMPUTED_VALUE"""),124200.0)</f>
        <v>124200</v>
      </c>
      <c r="F1063" s="1">
        <f>IFERROR(__xludf.DUMMYFUNCTION("""COMPUTED_VALUE"""),72668.0)</f>
        <v>72668</v>
      </c>
    </row>
    <row r="1064">
      <c r="A1064" s="2">
        <f>IFERROR(__xludf.DUMMYFUNCTION("""COMPUTED_VALUE"""),42151.64583333333)</f>
        <v>42151.64583</v>
      </c>
      <c r="B1064" s="1">
        <f>IFERROR(__xludf.DUMMYFUNCTION("""COMPUTED_VALUE"""),123600.0)</f>
        <v>123600</v>
      </c>
      <c r="C1064" s="1">
        <f>IFERROR(__xludf.DUMMYFUNCTION("""COMPUTED_VALUE"""),123600.0)</f>
        <v>123600</v>
      </c>
      <c r="D1064" s="1">
        <f>IFERROR(__xludf.DUMMYFUNCTION("""COMPUTED_VALUE"""),120200.0)</f>
        <v>120200</v>
      </c>
      <c r="E1064" s="1">
        <f>IFERROR(__xludf.DUMMYFUNCTION("""COMPUTED_VALUE"""),121600.0)</f>
        <v>121600</v>
      </c>
      <c r="F1064" s="1">
        <f>IFERROR(__xludf.DUMMYFUNCTION("""COMPUTED_VALUE"""),119610.0)</f>
        <v>119610</v>
      </c>
    </row>
    <row r="1065">
      <c r="A1065" s="2">
        <f>IFERROR(__xludf.DUMMYFUNCTION("""COMPUTED_VALUE"""),42152.64583333333)</f>
        <v>42152.64583</v>
      </c>
      <c r="B1065" s="1">
        <f>IFERROR(__xludf.DUMMYFUNCTION("""COMPUTED_VALUE"""),122600.0)</f>
        <v>122600</v>
      </c>
      <c r="C1065" s="1">
        <f>IFERROR(__xludf.DUMMYFUNCTION("""COMPUTED_VALUE"""),123400.0)</f>
        <v>123400</v>
      </c>
      <c r="D1065" s="1">
        <f>IFERROR(__xludf.DUMMYFUNCTION("""COMPUTED_VALUE"""),121000.0)</f>
        <v>121000</v>
      </c>
      <c r="E1065" s="1">
        <f>IFERROR(__xludf.DUMMYFUNCTION("""COMPUTED_VALUE"""),121000.0)</f>
        <v>121000</v>
      </c>
      <c r="F1065" s="1">
        <f>IFERROR(__xludf.DUMMYFUNCTION("""COMPUTED_VALUE"""),75639.0)</f>
        <v>75639</v>
      </c>
    </row>
    <row r="1066">
      <c r="A1066" s="2">
        <f>IFERROR(__xludf.DUMMYFUNCTION("""COMPUTED_VALUE"""),42153.64583333333)</f>
        <v>42153.64583</v>
      </c>
      <c r="B1066" s="1">
        <f>IFERROR(__xludf.DUMMYFUNCTION("""COMPUTED_VALUE"""),120800.0)</f>
        <v>120800</v>
      </c>
      <c r="C1066" s="1">
        <f>IFERROR(__xludf.DUMMYFUNCTION("""COMPUTED_VALUE"""),125800.0)</f>
        <v>125800</v>
      </c>
      <c r="D1066" s="1">
        <f>IFERROR(__xludf.DUMMYFUNCTION("""COMPUTED_VALUE"""),120800.0)</f>
        <v>120800</v>
      </c>
      <c r="E1066" s="1">
        <f>IFERROR(__xludf.DUMMYFUNCTION("""COMPUTED_VALUE"""),121800.0)</f>
        <v>121800</v>
      </c>
      <c r="F1066" s="1">
        <f>IFERROR(__xludf.DUMMYFUNCTION("""COMPUTED_VALUE"""),156606.0)</f>
        <v>156606</v>
      </c>
    </row>
    <row r="1067">
      <c r="A1067" s="2">
        <f>IFERROR(__xludf.DUMMYFUNCTION("""COMPUTED_VALUE"""),42156.64583333333)</f>
        <v>42156.64583</v>
      </c>
      <c r="B1067" s="1">
        <f>IFERROR(__xludf.DUMMYFUNCTION("""COMPUTED_VALUE"""),122200.0)</f>
        <v>122200</v>
      </c>
      <c r="C1067" s="1">
        <f>IFERROR(__xludf.DUMMYFUNCTION("""COMPUTED_VALUE"""),124200.0)</f>
        <v>124200</v>
      </c>
      <c r="D1067" s="1">
        <f>IFERROR(__xludf.DUMMYFUNCTION("""COMPUTED_VALUE"""),121800.0)</f>
        <v>121800</v>
      </c>
      <c r="E1067" s="1">
        <f>IFERROR(__xludf.DUMMYFUNCTION("""COMPUTED_VALUE"""),123400.0)</f>
        <v>123400</v>
      </c>
      <c r="F1067" s="1">
        <f>IFERROR(__xludf.DUMMYFUNCTION("""COMPUTED_VALUE"""),80518.0)</f>
        <v>80518</v>
      </c>
    </row>
    <row r="1068">
      <c r="A1068" s="2">
        <f>IFERROR(__xludf.DUMMYFUNCTION("""COMPUTED_VALUE"""),42157.64583333333)</f>
        <v>42157.64583</v>
      </c>
      <c r="B1068" s="1">
        <f>IFERROR(__xludf.DUMMYFUNCTION("""COMPUTED_VALUE"""),124400.0)</f>
        <v>124400</v>
      </c>
      <c r="C1068" s="1">
        <f>IFERROR(__xludf.DUMMYFUNCTION("""COMPUTED_VALUE"""),124600.0)</f>
        <v>124600</v>
      </c>
      <c r="D1068" s="1">
        <f>IFERROR(__xludf.DUMMYFUNCTION("""COMPUTED_VALUE"""),121600.0)</f>
        <v>121600</v>
      </c>
      <c r="E1068" s="1">
        <f>IFERROR(__xludf.DUMMYFUNCTION("""COMPUTED_VALUE"""),122200.0)</f>
        <v>122200</v>
      </c>
      <c r="F1068" s="1">
        <f>IFERROR(__xludf.DUMMYFUNCTION("""COMPUTED_VALUE"""),71107.0)</f>
        <v>71107</v>
      </c>
    </row>
    <row r="1069">
      <c r="A1069" s="2">
        <f>IFERROR(__xludf.DUMMYFUNCTION("""COMPUTED_VALUE"""),42158.64583333333)</f>
        <v>42158.64583</v>
      </c>
      <c r="B1069" s="1">
        <f>IFERROR(__xludf.DUMMYFUNCTION("""COMPUTED_VALUE"""),124000.0)</f>
        <v>124000</v>
      </c>
      <c r="C1069" s="1">
        <f>IFERROR(__xludf.DUMMYFUNCTION("""COMPUTED_VALUE"""),124000.0)</f>
        <v>124000</v>
      </c>
      <c r="D1069" s="1">
        <f>IFERROR(__xludf.DUMMYFUNCTION("""COMPUTED_VALUE"""),120200.0)</f>
        <v>120200</v>
      </c>
      <c r="E1069" s="1">
        <f>IFERROR(__xludf.DUMMYFUNCTION("""COMPUTED_VALUE"""),120200.0)</f>
        <v>120200</v>
      </c>
      <c r="F1069" s="1">
        <f>IFERROR(__xludf.DUMMYFUNCTION("""COMPUTED_VALUE"""),65980.0)</f>
        <v>65980</v>
      </c>
    </row>
    <row r="1070">
      <c r="A1070" s="2">
        <f>IFERROR(__xludf.DUMMYFUNCTION("""COMPUTED_VALUE"""),42159.64583333333)</f>
        <v>42159.64583</v>
      </c>
      <c r="B1070" s="1">
        <f>IFERROR(__xludf.DUMMYFUNCTION("""COMPUTED_VALUE"""),120400.0)</f>
        <v>120400</v>
      </c>
      <c r="C1070" s="1">
        <f>IFERROR(__xludf.DUMMYFUNCTION("""COMPUTED_VALUE"""),121000.0)</f>
        <v>121000</v>
      </c>
      <c r="D1070" s="1">
        <f>IFERROR(__xludf.DUMMYFUNCTION("""COMPUTED_VALUE"""),116000.0)</f>
        <v>116000</v>
      </c>
      <c r="E1070" s="1">
        <f>IFERROR(__xludf.DUMMYFUNCTION("""COMPUTED_VALUE"""),116000.0)</f>
        <v>116000</v>
      </c>
      <c r="F1070" s="1">
        <f>IFERROR(__xludf.DUMMYFUNCTION("""COMPUTED_VALUE"""),175738.0)</f>
        <v>175738</v>
      </c>
    </row>
    <row r="1071">
      <c r="A1071" s="2">
        <f>IFERROR(__xludf.DUMMYFUNCTION("""COMPUTED_VALUE"""),42160.64583333333)</f>
        <v>42160.64583</v>
      </c>
      <c r="B1071" s="1">
        <f>IFERROR(__xludf.DUMMYFUNCTION("""COMPUTED_VALUE"""),113800.0)</f>
        <v>113800</v>
      </c>
      <c r="C1071" s="1">
        <f>IFERROR(__xludf.DUMMYFUNCTION("""COMPUTED_VALUE"""),116600.0)</f>
        <v>116600</v>
      </c>
      <c r="D1071" s="1">
        <f>IFERROR(__xludf.DUMMYFUNCTION("""COMPUTED_VALUE"""),113000.0)</f>
        <v>113000</v>
      </c>
      <c r="E1071" s="1">
        <f>IFERROR(__xludf.DUMMYFUNCTION("""COMPUTED_VALUE"""),113000.0)</f>
        <v>113000</v>
      </c>
      <c r="F1071" s="1">
        <f>IFERROR(__xludf.DUMMYFUNCTION("""COMPUTED_VALUE"""),168778.0)</f>
        <v>168778</v>
      </c>
    </row>
    <row r="1072">
      <c r="A1072" s="2">
        <f>IFERROR(__xludf.DUMMYFUNCTION("""COMPUTED_VALUE"""),42163.64583333333)</f>
        <v>42163.64583</v>
      </c>
      <c r="B1072" s="1">
        <f>IFERROR(__xludf.DUMMYFUNCTION("""COMPUTED_VALUE"""),114200.0)</f>
        <v>114200</v>
      </c>
      <c r="C1072" s="1">
        <f>IFERROR(__xludf.DUMMYFUNCTION("""COMPUTED_VALUE"""),118800.0)</f>
        <v>118800</v>
      </c>
      <c r="D1072" s="1">
        <f>IFERROR(__xludf.DUMMYFUNCTION("""COMPUTED_VALUE"""),113600.0)</f>
        <v>113600</v>
      </c>
      <c r="E1072" s="1">
        <f>IFERROR(__xludf.DUMMYFUNCTION("""COMPUTED_VALUE"""),117400.0)</f>
        <v>117400</v>
      </c>
      <c r="F1072" s="1">
        <f>IFERROR(__xludf.DUMMYFUNCTION("""COMPUTED_VALUE"""),116540.0)</f>
        <v>116540</v>
      </c>
    </row>
    <row r="1073">
      <c r="A1073" s="2">
        <f>IFERROR(__xludf.DUMMYFUNCTION("""COMPUTED_VALUE"""),42164.64583333333)</f>
        <v>42164.64583</v>
      </c>
      <c r="B1073" s="1">
        <f>IFERROR(__xludf.DUMMYFUNCTION("""COMPUTED_VALUE"""),118000.0)</f>
        <v>118000</v>
      </c>
      <c r="C1073" s="1">
        <f>IFERROR(__xludf.DUMMYFUNCTION("""COMPUTED_VALUE"""),119000.0)</f>
        <v>119000</v>
      </c>
      <c r="D1073" s="1">
        <f>IFERROR(__xludf.DUMMYFUNCTION("""COMPUTED_VALUE"""),115400.0)</f>
        <v>115400</v>
      </c>
      <c r="E1073" s="1">
        <f>IFERROR(__xludf.DUMMYFUNCTION("""COMPUTED_VALUE"""),118000.0)</f>
        <v>118000</v>
      </c>
      <c r="F1073" s="1">
        <f>IFERROR(__xludf.DUMMYFUNCTION("""COMPUTED_VALUE"""),126185.0)</f>
        <v>126185</v>
      </c>
    </row>
    <row r="1074">
      <c r="A1074" s="2">
        <f>IFERROR(__xludf.DUMMYFUNCTION("""COMPUTED_VALUE"""),42165.64583333333)</f>
        <v>42165.64583</v>
      </c>
      <c r="B1074" s="1">
        <f>IFERROR(__xludf.DUMMYFUNCTION("""COMPUTED_VALUE"""),119800.0)</f>
        <v>119800</v>
      </c>
      <c r="C1074" s="1">
        <f>IFERROR(__xludf.DUMMYFUNCTION("""COMPUTED_VALUE"""),119800.0)</f>
        <v>119800</v>
      </c>
      <c r="D1074" s="1">
        <f>IFERROR(__xludf.DUMMYFUNCTION("""COMPUTED_VALUE"""),113600.0)</f>
        <v>113600</v>
      </c>
      <c r="E1074" s="1">
        <f>IFERROR(__xludf.DUMMYFUNCTION("""COMPUTED_VALUE"""),113600.0)</f>
        <v>113600</v>
      </c>
      <c r="F1074" s="1">
        <f>IFERROR(__xludf.DUMMYFUNCTION("""COMPUTED_VALUE"""),89547.0)</f>
        <v>89547</v>
      </c>
    </row>
    <row r="1075">
      <c r="A1075" s="2">
        <f>IFERROR(__xludf.DUMMYFUNCTION("""COMPUTED_VALUE"""),42166.64583333333)</f>
        <v>42166.64583</v>
      </c>
      <c r="B1075" s="1">
        <f>IFERROR(__xludf.DUMMYFUNCTION("""COMPUTED_VALUE"""),115000.0)</f>
        <v>115000</v>
      </c>
      <c r="C1075" s="1">
        <f>IFERROR(__xludf.DUMMYFUNCTION("""COMPUTED_VALUE"""),117800.0)</f>
        <v>117800</v>
      </c>
      <c r="D1075" s="1">
        <f>IFERROR(__xludf.DUMMYFUNCTION("""COMPUTED_VALUE"""),113200.0)</f>
        <v>113200</v>
      </c>
      <c r="E1075" s="1">
        <f>IFERROR(__xludf.DUMMYFUNCTION("""COMPUTED_VALUE"""),113200.0)</f>
        <v>113200</v>
      </c>
      <c r="F1075" s="1">
        <f>IFERROR(__xludf.DUMMYFUNCTION("""COMPUTED_VALUE"""),230670.0)</f>
        <v>230670</v>
      </c>
    </row>
    <row r="1076">
      <c r="A1076" s="2">
        <f>IFERROR(__xludf.DUMMYFUNCTION("""COMPUTED_VALUE"""),42167.64583333333)</f>
        <v>42167.64583</v>
      </c>
      <c r="B1076" s="1">
        <f>IFERROR(__xludf.DUMMYFUNCTION("""COMPUTED_VALUE"""),114800.0)</f>
        <v>114800</v>
      </c>
      <c r="C1076" s="1">
        <f>IFERROR(__xludf.DUMMYFUNCTION("""COMPUTED_VALUE"""),120600.0)</f>
        <v>120600</v>
      </c>
      <c r="D1076" s="1">
        <f>IFERROR(__xludf.DUMMYFUNCTION("""COMPUTED_VALUE"""),114600.0)</f>
        <v>114600</v>
      </c>
      <c r="E1076" s="1">
        <f>IFERROR(__xludf.DUMMYFUNCTION("""COMPUTED_VALUE"""),120200.0)</f>
        <v>120200</v>
      </c>
      <c r="F1076" s="1">
        <f>IFERROR(__xludf.DUMMYFUNCTION("""COMPUTED_VALUE"""),247231.0)</f>
        <v>247231</v>
      </c>
    </row>
    <row r="1077">
      <c r="A1077" s="2">
        <f>IFERROR(__xludf.DUMMYFUNCTION("""COMPUTED_VALUE"""),42170.64583333333)</f>
        <v>42170.64583</v>
      </c>
      <c r="B1077" s="1">
        <f>IFERROR(__xludf.DUMMYFUNCTION("""COMPUTED_VALUE"""),121400.0)</f>
        <v>121400</v>
      </c>
      <c r="C1077" s="1">
        <f>IFERROR(__xludf.DUMMYFUNCTION("""COMPUTED_VALUE"""),125600.0)</f>
        <v>125600</v>
      </c>
      <c r="D1077" s="1">
        <f>IFERROR(__xludf.DUMMYFUNCTION("""COMPUTED_VALUE"""),121400.0)</f>
        <v>121400</v>
      </c>
      <c r="E1077" s="1">
        <f>IFERROR(__xludf.DUMMYFUNCTION("""COMPUTED_VALUE"""),125400.0)</f>
        <v>125400</v>
      </c>
      <c r="F1077" s="1">
        <f>IFERROR(__xludf.DUMMYFUNCTION("""COMPUTED_VALUE"""),330737.0)</f>
        <v>330737</v>
      </c>
    </row>
    <row r="1078">
      <c r="A1078" s="2">
        <f>IFERROR(__xludf.DUMMYFUNCTION("""COMPUTED_VALUE"""),42171.64583333333)</f>
        <v>42171.64583</v>
      </c>
      <c r="B1078" s="1">
        <f>IFERROR(__xludf.DUMMYFUNCTION("""COMPUTED_VALUE"""),125600.0)</f>
        <v>125600</v>
      </c>
      <c r="C1078" s="1">
        <f>IFERROR(__xludf.DUMMYFUNCTION("""COMPUTED_VALUE"""),126800.0)</f>
        <v>126800</v>
      </c>
      <c r="D1078" s="1">
        <f>IFERROR(__xludf.DUMMYFUNCTION("""COMPUTED_VALUE"""),123200.0)</f>
        <v>123200</v>
      </c>
      <c r="E1078" s="1">
        <f>IFERROR(__xludf.DUMMYFUNCTION("""COMPUTED_VALUE"""),125400.0)</f>
        <v>125400</v>
      </c>
      <c r="F1078" s="1">
        <f>IFERROR(__xludf.DUMMYFUNCTION("""COMPUTED_VALUE"""),157110.0)</f>
        <v>157110</v>
      </c>
    </row>
    <row r="1079">
      <c r="A1079" s="2">
        <f>IFERROR(__xludf.DUMMYFUNCTION("""COMPUTED_VALUE"""),42172.64583333333)</f>
        <v>42172.64583</v>
      </c>
      <c r="B1079" s="1">
        <f>IFERROR(__xludf.DUMMYFUNCTION("""COMPUTED_VALUE"""),124200.0)</f>
        <v>124200</v>
      </c>
      <c r="C1079" s="1">
        <f>IFERROR(__xludf.DUMMYFUNCTION("""COMPUTED_VALUE"""),127400.0)</f>
        <v>127400</v>
      </c>
      <c r="D1079" s="1">
        <f>IFERROR(__xludf.DUMMYFUNCTION("""COMPUTED_VALUE"""),124000.0)</f>
        <v>124000</v>
      </c>
      <c r="E1079" s="1">
        <f>IFERROR(__xludf.DUMMYFUNCTION("""COMPUTED_VALUE"""),126000.0)</f>
        <v>126000</v>
      </c>
      <c r="F1079" s="1">
        <f>IFERROR(__xludf.DUMMYFUNCTION("""COMPUTED_VALUE"""),111569.0)</f>
        <v>111569</v>
      </c>
    </row>
    <row r="1080">
      <c r="A1080" s="2">
        <f>IFERROR(__xludf.DUMMYFUNCTION("""COMPUTED_VALUE"""),42173.64583333333)</f>
        <v>42173.64583</v>
      </c>
      <c r="B1080" s="1">
        <f>IFERROR(__xludf.DUMMYFUNCTION("""COMPUTED_VALUE"""),127600.0)</f>
        <v>127600</v>
      </c>
      <c r="C1080" s="1">
        <f>IFERROR(__xludf.DUMMYFUNCTION("""COMPUTED_VALUE"""),127800.0)</f>
        <v>127800</v>
      </c>
      <c r="D1080" s="1">
        <f>IFERROR(__xludf.DUMMYFUNCTION("""COMPUTED_VALUE"""),124400.0)</f>
        <v>124400</v>
      </c>
      <c r="E1080" s="1">
        <f>IFERROR(__xludf.DUMMYFUNCTION("""COMPUTED_VALUE"""),124800.0)</f>
        <v>124800</v>
      </c>
      <c r="F1080" s="1">
        <f>IFERROR(__xludf.DUMMYFUNCTION("""COMPUTED_VALUE"""),73362.0)</f>
        <v>73362</v>
      </c>
    </row>
    <row r="1081">
      <c r="A1081" s="2">
        <f>IFERROR(__xludf.DUMMYFUNCTION("""COMPUTED_VALUE"""),42174.64583333333)</f>
        <v>42174.64583</v>
      </c>
      <c r="B1081" s="1">
        <f>IFERROR(__xludf.DUMMYFUNCTION("""COMPUTED_VALUE"""),125000.0)</f>
        <v>125000</v>
      </c>
      <c r="C1081" s="1">
        <f>IFERROR(__xludf.DUMMYFUNCTION("""COMPUTED_VALUE"""),127000.0)</f>
        <v>127000</v>
      </c>
      <c r="D1081" s="1">
        <f>IFERROR(__xludf.DUMMYFUNCTION("""COMPUTED_VALUE"""),123000.0)</f>
        <v>123000</v>
      </c>
      <c r="E1081" s="1">
        <f>IFERROR(__xludf.DUMMYFUNCTION("""COMPUTED_VALUE"""),126800.0)</f>
        <v>126800</v>
      </c>
      <c r="F1081" s="1">
        <f>IFERROR(__xludf.DUMMYFUNCTION("""COMPUTED_VALUE"""),69782.0)</f>
        <v>69782</v>
      </c>
    </row>
    <row r="1082">
      <c r="A1082" s="2">
        <f>IFERROR(__xludf.DUMMYFUNCTION("""COMPUTED_VALUE"""),42177.64583333333)</f>
        <v>42177.64583</v>
      </c>
      <c r="B1082" s="1">
        <f>IFERROR(__xludf.DUMMYFUNCTION("""COMPUTED_VALUE"""),127600.0)</f>
        <v>127600</v>
      </c>
      <c r="C1082" s="1">
        <f>IFERROR(__xludf.DUMMYFUNCTION("""COMPUTED_VALUE"""),128400.0)</f>
        <v>128400</v>
      </c>
      <c r="D1082" s="1">
        <f>IFERROR(__xludf.DUMMYFUNCTION("""COMPUTED_VALUE"""),125000.0)</f>
        <v>125000</v>
      </c>
      <c r="E1082" s="1">
        <f>IFERROR(__xludf.DUMMYFUNCTION("""COMPUTED_VALUE"""),126200.0)</f>
        <v>126200</v>
      </c>
      <c r="F1082" s="1">
        <f>IFERROR(__xludf.DUMMYFUNCTION("""COMPUTED_VALUE"""),42431.0)</f>
        <v>42431</v>
      </c>
    </row>
    <row r="1083">
      <c r="A1083" s="2">
        <f>IFERROR(__xludf.DUMMYFUNCTION("""COMPUTED_VALUE"""),42178.64583333333)</f>
        <v>42178.64583</v>
      </c>
      <c r="B1083" s="1">
        <f>IFERROR(__xludf.DUMMYFUNCTION("""COMPUTED_VALUE"""),127000.0)</f>
        <v>127000</v>
      </c>
      <c r="C1083" s="1">
        <f>IFERROR(__xludf.DUMMYFUNCTION("""COMPUTED_VALUE"""),128000.0)</f>
        <v>128000</v>
      </c>
      <c r="D1083" s="1">
        <f>IFERROR(__xludf.DUMMYFUNCTION("""COMPUTED_VALUE"""),125800.0)</f>
        <v>125800</v>
      </c>
      <c r="E1083" s="1">
        <f>IFERROR(__xludf.DUMMYFUNCTION("""COMPUTED_VALUE"""),128000.0)</f>
        <v>128000</v>
      </c>
      <c r="F1083" s="1">
        <f>IFERROR(__xludf.DUMMYFUNCTION("""COMPUTED_VALUE"""),46207.0)</f>
        <v>46207</v>
      </c>
    </row>
    <row r="1084">
      <c r="A1084" s="2">
        <f>IFERROR(__xludf.DUMMYFUNCTION("""COMPUTED_VALUE"""),42179.64583333333)</f>
        <v>42179.64583</v>
      </c>
      <c r="B1084" s="1">
        <f>IFERROR(__xludf.DUMMYFUNCTION("""COMPUTED_VALUE"""),131400.0)</f>
        <v>131400</v>
      </c>
      <c r="C1084" s="1">
        <f>IFERROR(__xludf.DUMMYFUNCTION("""COMPUTED_VALUE"""),131600.0)</f>
        <v>131600</v>
      </c>
      <c r="D1084" s="1">
        <f>IFERROR(__xludf.DUMMYFUNCTION("""COMPUTED_VALUE"""),128800.0)</f>
        <v>128800</v>
      </c>
      <c r="E1084" s="1">
        <f>IFERROR(__xludf.DUMMYFUNCTION("""COMPUTED_VALUE"""),129800.0)</f>
        <v>129800</v>
      </c>
      <c r="F1084" s="1">
        <f>IFERROR(__xludf.DUMMYFUNCTION("""COMPUTED_VALUE"""),94340.0)</f>
        <v>94340</v>
      </c>
    </row>
    <row r="1085">
      <c r="A1085" s="2">
        <f>IFERROR(__xludf.DUMMYFUNCTION("""COMPUTED_VALUE"""),42180.64583333333)</f>
        <v>42180.64583</v>
      </c>
      <c r="B1085" s="1">
        <f>IFERROR(__xludf.DUMMYFUNCTION("""COMPUTED_VALUE"""),130400.0)</f>
        <v>130400</v>
      </c>
      <c r="C1085" s="1">
        <f>IFERROR(__xludf.DUMMYFUNCTION("""COMPUTED_VALUE"""),131200.0)</f>
        <v>131200</v>
      </c>
      <c r="D1085" s="1">
        <f>IFERROR(__xludf.DUMMYFUNCTION("""COMPUTED_VALUE"""),128200.0)</f>
        <v>128200</v>
      </c>
      <c r="E1085" s="1">
        <f>IFERROR(__xludf.DUMMYFUNCTION("""COMPUTED_VALUE"""),130600.0)</f>
        <v>130600</v>
      </c>
      <c r="F1085" s="1">
        <f>IFERROR(__xludf.DUMMYFUNCTION("""COMPUTED_VALUE"""),101920.0)</f>
        <v>101920</v>
      </c>
    </row>
    <row r="1086">
      <c r="A1086" s="2">
        <f>IFERROR(__xludf.DUMMYFUNCTION("""COMPUTED_VALUE"""),42181.64583333333)</f>
        <v>42181.64583</v>
      </c>
      <c r="B1086" s="1">
        <f>IFERROR(__xludf.DUMMYFUNCTION("""COMPUTED_VALUE"""),131200.0)</f>
        <v>131200</v>
      </c>
      <c r="C1086" s="1">
        <f>IFERROR(__xludf.DUMMYFUNCTION("""COMPUTED_VALUE"""),134200.0)</f>
        <v>134200</v>
      </c>
      <c r="D1086" s="1">
        <f>IFERROR(__xludf.DUMMYFUNCTION("""COMPUTED_VALUE"""),130000.0)</f>
        <v>130000</v>
      </c>
      <c r="E1086" s="1">
        <f>IFERROR(__xludf.DUMMYFUNCTION("""COMPUTED_VALUE"""),131600.0)</f>
        <v>131600</v>
      </c>
      <c r="F1086" s="1">
        <f>IFERROR(__xludf.DUMMYFUNCTION("""COMPUTED_VALUE"""),134720.0)</f>
        <v>134720</v>
      </c>
    </row>
    <row r="1087">
      <c r="A1087" s="2">
        <f>IFERROR(__xludf.DUMMYFUNCTION("""COMPUTED_VALUE"""),42184.64583333333)</f>
        <v>42184.64583</v>
      </c>
      <c r="B1087" s="1">
        <f>IFERROR(__xludf.DUMMYFUNCTION("""COMPUTED_VALUE"""),130000.0)</f>
        <v>130000</v>
      </c>
      <c r="C1087" s="1">
        <f>IFERROR(__xludf.DUMMYFUNCTION("""COMPUTED_VALUE"""),131200.0)</f>
        <v>131200</v>
      </c>
      <c r="D1087" s="1">
        <f>IFERROR(__xludf.DUMMYFUNCTION("""COMPUTED_VALUE"""),128200.0)</f>
        <v>128200</v>
      </c>
      <c r="E1087" s="1">
        <f>IFERROR(__xludf.DUMMYFUNCTION("""COMPUTED_VALUE"""),130200.0)</f>
        <v>130200</v>
      </c>
      <c r="F1087" s="1">
        <f>IFERROR(__xludf.DUMMYFUNCTION("""COMPUTED_VALUE"""),66527.0)</f>
        <v>66527</v>
      </c>
    </row>
    <row r="1088">
      <c r="A1088" s="2">
        <f>IFERROR(__xludf.DUMMYFUNCTION("""COMPUTED_VALUE"""),42185.64583333333)</f>
        <v>42185.64583</v>
      </c>
      <c r="B1088" s="1">
        <f>IFERROR(__xludf.DUMMYFUNCTION("""COMPUTED_VALUE"""),128800.0)</f>
        <v>128800</v>
      </c>
      <c r="C1088" s="1">
        <f>IFERROR(__xludf.DUMMYFUNCTION("""COMPUTED_VALUE"""),129800.0)</f>
        <v>129800</v>
      </c>
      <c r="D1088" s="1">
        <f>IFERROR(__xludf.DUMMYFUNCTION("""COMPUTED_VALUE"""),125400.0)</f>
        <v>125400</v>
      </c>
      <c r="E1088" s="1">
        <f>IFERROR(__xludf.DUMMYFUNCTION("""COMPUTED_VALUE"""),126800.0)</f>
        <v>126800</v>
      </c>
      <c r="F1088" s="1">
        <f>IFERROR(__xludf.DUMMYFUNCTION("""COMPUTED_VALUE"""),117991.0)</f>
        <v>117991</v>
      </c>
    </row>
    <row r="1089">
      <c r="A1089" s="2">
        <f>IFERROR(__xludf.DUMMYFUNCTION("""COMPUTED_VALUE"""),42186.64583333333)</f>
        <v>42186.64583</v>
      </c>
      <c r="B1089" s="1">
        <f>IFERROR(__xludf.DUMMYFUNCTION("""COMPUTED_VALUE"""),125600.0)</f>
        <v>125600</v>
      </c>
      <c r="C1089" s="1">
        <f>IFERROR(__xludf.DUMMYFUNCTION("""COMPUTED_VALUE"""),126200.0)</f>
        <v>126200</v>
      </c>
      <c r="D1089" s="1">
        <f>IFERROR(__xludf.DUMMYFUNCTION("""COMPUTED_VALUE"""),120600.0)</f>
        <v>120600</v>
      </c>
      <c r="E1089" s="1">
        <f>IFERROR(__xludf.DUMMYFUNCTION("""COMPUTED_VALUE"""),125600.0)</f>
        <v>125600</v>
      </c>
      <c r="F1089" s="1">
        <f>IFERROR(__xludf.DUMMYFUNCTION("""COMPUTED_VALUE"""),231947.0)</f>
        <v>231947</v>
      </c>
    </row>
    <row r="1090">
      <c r="A1090" s="2">
        <f>IFERROR(__xludf.DUMMYFUNCTION("""COMPUTED_VALUE"""),42187.64583333333)</f>
        <v>42187.64583</v>
      </c>
      <c r="B1090" s="1">
        <f>IFERROR(__xludf.DUMMYFUNCTION("""COMPUTED_VALUE"""),125800.0)</f>
        <v>125800</v>
      </c>
      <c r="C1090" s="1">
        <f>IFERROR(__xludf.DUMMYFUNCTION("""COMPUTED_VALUE"""),125800.0)</f>
        <v>125800</v>
      </c>
      <c r="D1090" s="1">
        <f>IFERROR(__xludf.DUMMYFUNCTION("""COMPUTED_VALUE"""),122600.0)</f>
        <v>122600</v>
      </c>
      <c r="E1090" s="1">
        <f>IFERROR(__xludf.DUMMYFUNCTION("""COMPUTED_VALUE"""),123000.0)</f>
        <v>123000</v>
      </c>
      <c r="F1090" s="1">
        <f>IFERROR(__xludf.DUMMYFUNCTION("""COMPUTED_VALUE"""),136739.0)</f>
        <v>136739</v>
      </c>
    </row>
    <row r="1091">
      <c r="A1091" s="2">
        <f>IFERROR(__xludf.DUMMYFUNCTION("""COMPUTED_VALUE"""),42188.64583333333)</f>
        <v>42188.64583</v>
      </c>
      <c r="B1091" s="1">
        <f>IFERROR(__xludf.DUMMYFUNCTION("""COMPUTED_VALUE"""),124200.0)</f>
        <v>124200</v>
      </c>
      <c r="C1091" s="1">
        <f>IFERROR(__xludf.DUMMYFUNCTION("""COMPUTED_VALUE"""),124800.0)</f>
        <v>124800</v>
      </c>
      <c r="D1091" s="1">
        <f>IFERROR(__xludf.DUMMYFUNCTION("""COMPUTED_VALUE"""),121600.0)</f>
        <v>121600</v>
      </c>
      <c r="E1091" s="1">
        <f>IFERROR(__xludf.DUMMYFUNCTION("""COMPUTED_VALUE"""),122600.0)</f>
        <v>122600</v>
      </c>
      <c r="F1091" s="1">
        <f>IFERROR(__xludf.DUMMYFUNCTION("""COMPUTED_VALUE"""),83435.0)</f>
        <v>83435</v>
      </c>
    </row>
    <row r="1092">
      <c r="A1092" s="2">
        <f>IFERROR(__xludf.DUMMYFUNCTION("""COMPUTED_VALUE"""),42191.64583333333)</f>
        <v>42191.64583</v>
      </c>
      <c r="B1092" s="1">
        <f>IFERROR(__xludf.DUMMYFUNCTION("""COMPUTED_VALUE"""),121000.0)</f>
        <v>121000</v>
      </c>
      <c r="C1092" s="1">
        <f>IFERROR(__xludf.DUMMYFUNCTION("""COMPUTED_VALUE"""),124200.0)</f>
        <v>124200</v>
      </c>
      <c r="D1092" s="1">
        <f>IFERROR(__xludf.DUMMYFUNCTION("""COMPUTED_VALUE"""),121000.0)</f>
        <v>121000</v>
      </c>
      <c r="E1092" s="1">
        <f>IFERROR(__xludf.DUMMYFUNCTION("""COMPUTED_VALUE"""),123200.0)</f>
        <v>123200</v>
      </c>
      <c r="F1092" s="1">
        <f>IFERROR(__xludf.DUMMYFUNCTION("""COMPUTED_VALUE"""),72393.0)</f>
        <v>72393</v>
      </c>
    </row>
    <row r="1093">
      <c r="A1093" s="2">
        <f>IFERROR(__xludf.DUMMYFUNCTION("""COMPUTED_VALUE"""),42192.64583333333)</f>
        <v>42192.64583</v>
      </c>
      <c r="B1093" s="1">
        <f>IFERROR(__xludf.DUMMYFUNCTION("""COMPUTED_VALUE"""),125400.0)</f>
        <v>125400</v>
      </c>
      <c r="C1093" s="1">
        <f>IFERROR(__xludf.DUMMYFUNCTION("""COMPUTED_VALUE"""),125400.0)</f>
        <v>125400</v>
      </c>
      <c r="D1093" s="1">
        <f>IFERROR(__xludf.DUMMYFUNCTION("""COMPUTED_VALUE"""),122000.0)</f>
        <v>122000</v>
      </c>
      <c r="E1093" s="1">
        <f>IFERROR(__xludf.DUMMYFUNCTION("""COMPUTED_VALUE"""),122600.0)</f>
        <v>122600</v>
      </c>
      <c r="F1093" s="1">
        <f>IFERROR(__xludf.DUMMYFUNCTION("""COMPUTED_VALUE"""),81664.0)</f>
        <v>81664</v>
      </c>
    </row>
    <row r="1094">
      <c r="A1094" s="2">
        <f>IFERROR(__xludf.DUMMYFUNCTION("""COMPUTED_VALUE"""),42193.64583333333)</f>
        <v>42193.64583</v>
      </c>
      <c r="B1094" s="1">
        <f>IFERROR(__xludf.DUMMYFUNCTION("""COMPUTED_VALUE"""),123000.0)</f>
        <v>123000</v>
      </c>
      <c r="C1094" s="1">
        <f>IFERROR(__xludf.DUMMYFUNCTION("""COMPUTED_VALUE"""),127600.0)</f>
        <v>127600</v>
      </c>
      <c r="D1094" s="1">
        <f>IFERROR(__xludf.DUMMYFUNCTION("""COMPUTED_VALUE"""),121800.0)</f>
        <v>121800</v>
      </c>
      <c r="E1094" s="1">
        <f>IFERROR(__xludf.DUMMYFUNCTION("""COMPUTED_VALUE"""),123800.0)</f>
        <v>123800</v>
      </c>
      <c r="F1094" s="1">
        <f>IFERROR(__xludf.DUMMYFUNCTION("""COMPUTED_VALUE"""),135080.0)</f>
        <v>135080</v>
      </c>
    </row>
    <row r="1095">
      <c r="A1095" s="2">
        <f>IFERROR(__xludf.DUMMYFUNCTION("""COMPUTED_VALUE"""),42194.64583333333)</f>
        <v>42194.64583</v>
      </c>
      <c r="B1095" s="1">
        <f>IFERROR(__xludf.DUMMYFUNCTION("""COMPUTED_VALUE"""),122400.0)</f>
        <v>122400</v>
      </c>
      <c r="C1095" s="1">
        <f>IFERROR(__xludf.DUMMYFUNCTION("""COMPUTED_VALUE"""),123000.0)</f>
        <v>123000</v>
      </c>
      <c r="D1095" s="1">
        <f>IFERROR(__xludf.DUMMYFUNCTION("""COMPUTED_VALUE"""),118800.0)</f>
        <v>118800</v>
      </c>
      <c r="E1095" s="1">
        <f>IFERROR(__xludf.DUMMYFUNCTION("""COMPUTED_VALUE"""),122000.0)</f>
        <v>122000</v>
      </c>
      <c r="F1095" s="1">
        <f>IFERROR(__xludf.DUMMYFUNCTION("""COMPUTED_VALUE"""),94778.0)</f>
        <v>94778</v>
      </c>
    </row>
    <row r="1096">
      <c r="A1096" s="2">
        <f>IFERROR(__xludf.DUMMYFUNCTION("""COMPUTED_VALUE"""),42195.64583333333)</f>
        <v>42195.64583</v>
      </c>
      <c r="B1096" s="1">
        <f>IFERROR(__xludf.DUMMYFUNCTION("""COMPUTED_VALUE"""),123600.0)</f>
        <v>123600</v>
      </c>
      <c r="C1096" s="1">
        <f>IFERROR(__xludf.DUMMYFUNCTION("""COMPUTED_VALUE"""),123600.0)</f>
        <v>123600</v>
      </c>
      <c r="D1096" s="1">
        <f>IFERROR(__xludf.DUMMYFUNCTION("""COMPUTED_VALUE"""),120600.0)</f>
        <v>120600</v>
      </c>
      <c r="E1096" s="1">
        <f>IFERROR(__xludf.DUMMYFUNCTION("""COMPUTED_VALUE"""),122400.0)</f>
        <v>122400</v>
      </c>
      <c r="F1096" s="1">
        <f>IFERROR(__xludf.DUMMYFUNCTION("""COMPUTED_VALUE"""),56521.0)</f>
        <v>56521</v>
      </c>
    </row>
    <row r="1097">
      <c r="A1097" s="2">
        <f>IFERROR(__xludf.DUMMYFUNCTION("""COMPUTED_VALUE"""),42198.64583333333)</f>
        <v>42198.64583</v>
      </c>
      <c r="B1097" s="1">
        <f>IFERROR(__xludf.DUMMYFUNCTION("""COMPUTED_VALUE"""),122400.0)</f>
        <v>122400</v>
      </c>
      <c r="C1097" s="1">
        <f>IFERROR(__xludf.DUMMYFUNCTION("""COMPUTED_VALUE"""),124200.0)</f>
        <v>124200</v>
      </c>
      <c r="D1097" s="1">
        <f>IFERROR(__xludf.DUMMYFUNCTION("""COMPUTED_VALUE"""),121800.0)</f>
        <v>121800</v>
      </c>
      <c r="E1097" s="1">
        <f>IFERROR(__xludf.DUMMYFUNCTION("""COMPUTED_VALUE"""),122800.0)</f>
        <v>122800</v>
      </c>
      <c r="F1097" s="1">
        <f>IFERROR(__xludf.DUMMYFUNCTION("""COMPUTED_VALUE"""),40453.0)</f>
        <v>40453</v>
      </c>
    </row>
    <row r="1098">
      <c r="A1098" s="2">
        <f>IFERROR(__xludf.DUMMYFUNCTION("""COMPUTED_VALUE"""),42199.64583333333)</f>
        <v>42199.64583</v>
      </c>
      <c r="B1098" s="1">
        <f>IFERROR(__xludf.DUMMYFUNCTION("""COMPUTED_VALUE"""),123200.0)</f>
        <v>123200</v>
      </c>
      <c r="C1098" s="1">
        <f>IFERROR(__xludf.DUMMYFUNCTION("""COMPUTED_VALUE"""),123800.0)</f>
        <v>123800</v>
      </c>
      <c r="D1098" s="1">
        <f>IFERROR(__xludf.DUMMYFUNCTION("""COMPUTED_VALUE"""),122000.0)</f>
        <v>122000</v>
      </c>
      <c r="E1098" s="1">
        <f>IFERROR(__xludf.DUMMYFUNCTION("""COMPUTED_VALUE"""),122800.0)</f>
        <v>122800</v>
      </c>
      <c r="F1098" s="1">
        <f>IFERROR(__xludf.DUMMYFUNCTION("""COMPUTED_VALUE"""),43411.0)</f>
        <v>43411</v>
      </c>
    </row>
    <row r="1099">
      <c r="A1099" s="2">
        <f>IFERROR(__xludf.DUMMYFUNCTION("""COMPUTED_VALUE"""),42200.64583333333)</f>
        <v>42200.64583</v>
      </c>
      <c r="B1099" s="1">
        <f>IFERROR(__xludf.DUMMYFUNCTION("""COMPUTED_VALUE"""),122800.0)</f>
        <v>122800</v>
      </c>
      <c r="C1099" s="1">
        <f>IFERROR(__xludf.DUMMYFUNCTION("""COMPUTED_VALUE"""),123000.0)</f>
        <v>123000</v>
      </c>
      <c r="D1099" s="1">
        <f>IFERROR(__xludf.DUMMYFUNCTION("""COMPUTED_VALUE"""),121000.0)</f>
        <v>121000</v>
      </c>
      <c r="E1099" s="1">
        <f>IFERROR(__xludf.DUMMYFUNCTION("""COMPUTED_VALUE"""),121000.0)</f>
        <v>121000</v>
      </c>
      <c r="F1099" s="1">
        <f>IFERROR(__xludf.DUMMYFUNCTION("""COMPUTED_VALUE"""),57546.0)</f>
        <v>57546</v>
      </c>
    </row>
    <row r="1100">
      <c r="A1100" s="2">
        <f>IFERROR(__xludf.DUMMYFUNCTION("""COMPUTED_VALUE"""),42201.64583333333)</f>
        <v>42201.64583</v>
      </c>
      <c r="B1100" s="1">
        <f>IFERROR(__xludf.DUMMYFUNCTION("""COMPUTED_VALUE"""),121000.0)</f>
        <v>121000</v>
      </c>
      <c r="C1100" s="1">
        <f>IFERROR(__xludf.DUMMYFUNCTION("""COMPUTED_VALUE"""),124800.0)</f>
        <v>124800</v>
      </c>
      <c r="D1100" s="1">
        <f>IFERROR(__xludf.DUMMYFUNCTION("""COMPUTED_VALUE"""),121000.0)</f>
        <v>121000</v>
      </c>
      <c r="E1100" s="1">
        <f>IFERROR(__xludf.DUMMYFUNCTION("""COMPUTED_VALUE"""),121400.0)</f>
        <v>121400</v>
      </c>
      <c r="F1100" s="1">
        <f>IFERROR(__xludf.DUMMYFUNCTION("""COMPUTED_VALUE"""),101006.0)</f>
        <v>101006</v>
      </c>
    </row>
    <row r="1101">
      <c r="A1101" s="2">
        <f>IFERROR(__xludf.DUMMYFUNCTION("""COMPUTED_VALUE"""),42202.64583333333)</f>
        <v>42202.64583</v>
      </c>
      <c r="B1101" s="1">
        <f>IFERROR(__xludf.DUMMYFUNCTION("""COMPUTED_VALUE"""),123600.0)</f>
        <v>123600</v>
      </c>
      <c r="C1101" s="1">
        <f>IFERROR(__xludf.DUMMYFUNCTION("""COMPUTED_VALUE"""),127600.0)</f>
        <v>127600</v>
      </c>
      <c r="D1101" s="1">
        <f>IFERROR(__xludf.DUMMYFUNCTION("""COMPUTED_VALUE"""),122400.0)</f>
        <v>122400</v>
      </c>
      <c r="E1101" s="1">
        <f>IFERROR(__xludf.DUMMYFUNCTION("""COMPUTED_VALUE"""),126400.0)</f>
        <v>126400</v>
      </c>
      <c r="F1101" s="1">
        <f>IFERROR(__xludf.DUMMYFUNCTION("""COMPUTED_VALUE"""),207536.0)</f>
        <v>207536</v>
      </c>
    </row>
    <row r="1102">
      <c r="A1102" s="2">
        <f>IFERROR(__xludf.DUMMYFUNCTION("""COMPUTED_VALUE"""),42205.64583333333)</f>
        <v>42205.64583</v>
      </c>
      <c r="B1102" s="1">
        <f>IFERROR(__xludf.DUMMYFUNCTION("""COMPUTED_VALUE"""),129400.0)</f>
        <v>129400</v>
      </c>
      <c r="C1102" s="1">
        <f>IFERROR(__xludf.DUMMYFUNCTION("""COMPUTED_VALUE"""),131400.0)</f>
        <v>131400</v>
      </c>
      <c r="D1102" s="1">
        <f>IFERROR(__xludf.DUMMYFUNCTION("""COMPUTED_VALUE"""),126800.0)</f>
        <v>126800</v>
      </c>
      <c r="E1102" s="1">
        <f>IFERROR(__xludf.DUMMYFUNCTION("""COMPUTED_VALUE"""),127600.0)</f>
        <v>127600</v>
      </c>
      <c r="F1102" s="1">
        <f>IFERROR(__xludf.DUMMYFUNCTION("""COMPUTED_VALUE"""),122608.0)</f>
        <v>122608</v>
      </c>
    </row>
    <row r="1103">
      <c r="A1103" s="2">
        <f>IFERROR(__xludf.DUMMYFUNCTION("""COMPUTED_VALUE"""),42206.64583333333)</f>
        <v>42206.64583</v>
      </c>
      <c r="B1103" s="1">
        <f>IFERROR(__xludf.DUMMYFUNCTION("""COMPUTED_VALUE"""),129800.0)</f>
        <v>129800</v>
      </c>
      <c r="C1103" s="1">
        <f>IFERROR(__xludf.DUMMYFUNCTION("""COMPUTED_VALUE"""),130400.0)</f>
        <v>130400</v>
      </c>
      <c r="D1103" s="1">
        <f>IFERROR(__xludf.DUMMYFUNCTION("""COMPUTED_VALUE"""),128200.0)</f>
        <v>128200</v>
      </c>
      <c r="E1103" s="1">
        <f>IFERROR(__xludf.DUMMYFUNCTION("""COMPUTED_VALUE"""),129800.0)</f>
        <v>129800</v>
      </c>
      <c r="F1103" s="1">
        <f>IFERROR(__xludf.DUMMYFUNCTION("""COMPUTED_VALUE"""),64432.0)</f>
        <v>64432</v>
      </c>
    </row>
    <row r="1104">
      <c r="A1104" s="2">
        <f>IFERROR(__xludf.DUMMYFUNCTION("""COMPUTED_VALUE"""),42207.64583333333)</f>
        <v>42207.64583</v>
      </c>
      <c r="B1104" s="1">
        <f>IFERROR(__xludf.DUMMYFUNCTION("""COMPUTED_VALUE"""),128600.0)</f>
        <v>128600</v>
      </c>
      <c r="C1104" s="1">
        <f>IFERROR(__xludf.DUMMYFUNCTION("""COMPUTED_VALUE"""),128800.0)</f>
        <v>128800</v>
      </c>
      <c r="D1104" s="1">
        <f>IFERROR(__xludf.DUMMYFUNCTION("""COMPUTED_VALUE"""),125800.0)</f>
        <v>125800</v>
      </c>
      <c r="E1104" s="1">
        <f>IFERROR(__xludf.DUMMYFUNCTION("""COMPUTED_VALUE"""),127000.0)</f>
        <v>127000</v>
      </c>
      <c r="F1104" s="1">
        <f>IFERROR(__xludf.DUMMYFUNCTION("""COMPUTED_VALUE"""),89075.0)</f>
        <v>89075</v>
      </c>
    </row>
    <row r="1105">
      <c r="A1105" s="2">
        <f>IFERROR(__xludf.DUMMYFUNCTION("""COMPUTED_VALUE"""),42208.64583333333)</f>
        <v>42208.64583</v>
      </c>
      <c r="B1105" s="1">
        <f>IFERROR(__xludf.DUMMYFUNCTION("""COMPUTED_VALUE"""),126800.0)</f>
        <v>126800</v>
      </c>
      <c r="C1105" s="1">
        <f>IFERROR(__xludf.DUMMYFUNCTION("""COMPUTED_VALUE"""),127000.0)</f>
        <v>127000</v>
      </c>
      <c r="D1105" s="1">
        <f>IFERROR(__xludf.DUMMYFUNCTION("""COMPUTED_VALUE"""),123400.0)</f>
        <v>123400</v>
      </c>
      <c r="E1105" s="1">
        <f>IFERROR(__xludf.DUMMYFUNCTION("""COMPUTED_VALUE"""),124400.0)</f>
        <v>124400</v>
      </c>
      <c r="F1105" s="1">
        <f>IFERROR(__xludf.DUMMYFUNCTION("""COMPUTED_VALUE"""),74172.0)</f>
        <v>74172</v>
      </c>
    </row>
    <row r="1106">
      <c r="A1106" s="2">
        <f>IFERROR(__xludf.DUMMYFUNCTION("""COMPUTED_VALUE"""),42209.64583333333)</f>
        <v>42209.64583</v>
      </c>
      <c r="B1106" s="1">
        <f>IFERROR(__xludf.DUMMYFUNCTION("""COMPUTED_VALUE"""),124000.0)</f>
        <v>124000</v>
      </c>
      <c r="C1106" s="1">
        <f>IFERROR(__xludf.DUMMYFUNCTION("""COMPUTED_VALUE"""),125400.0)</f>
        <v>125400</v>
      </c>
      <c r="D1106" s="1">
        <f>IFERROR(__xludf.DUMMYFUNCTION("""COMPUTED_VALUE"""),122600.0)</f>
        <v>122600</v>
      </c>
      <c r="E1106" s="1">
        <f>IFERROR(__xludf.DUMMYFUNCTION("""COMPUTED_VALUE"""),125000.0)</f>
        <v>125000</v>
      </c>
      <c r="F1106" s="1">
        <f>IFERROR(__xludf.DUMMYFUNCTION("""COMPUTED_VALUE"""),77265.0)</f>
        <v>77265</v>
      </c>
    </row>
    <row r="1107">
      <c r="A1107" s="2">
        <f>IFERROR(__xludf.DUMMYFUNCTION("""COMPUTED_VALUE"""),42212.64583333333)</f>
        <v>42212.64583</v>
      </c>
      <c r="B1107" s="1">
        <f>IFERROR(__xludf.DUMMYFUNCTION("""COMPUTED_VALUE"""),125000.0)</f>
        <v>125000</v>
      </c>
      <c r="C1107" s="1">
        <f>IFERROR(__xludf.DUMMYFUNCTION("""COMPUTED_VALUE"""),125000.0)</f>
        <v>125000</v>
      </c>
      <c r="D1107" s="1">
        <f>IFERROR(__xludf.DUMMYFUNCTION("""COMPUTED_VALUE"""),121200.0)</f>
        <v>121200</v>
      </c>
      <c r="E1107" s="1">
        <f>IFERROR(__xludf.DUMMYFUNCTION("""COMPUTED_VALUE"""),122200.0)</f>
        <v>122200</v>
      </c>
      <c r="F1107" s="1">
        <f>IFERROR(__xludf.DUMMYFUNCTION("""COMPUTED_VALUE"""),73090.0)</f>
        <v>73090</v>
      </c>
    </row>
    <row r="1108">
      <c r="A1108" s="2">
        <f>IFERROR(__xludf.DUMMYFUNCTION("""COMPUTED_VALUE"""),42213.64583333333)</f>
        <v>42213.64583</v>
      </c>
      <c r="B1108" s="1">
        <f>IFERROR(__xludf.DUMMYFUNCTION("""COMPUTED_VALUE"""),121800.0)</f>
        <v>121800</v>
      </c>
      <c r="C1108" s="1">
        <f>IFERROR(__xludf.DUMMYFUNCTION("""COMPUTED_VALUE"""),122600.0)</f>
        <v>122600</v>
      </c>
      <c r="D1108" s="1">
        <f>IFERROR(__xludf.DUMMYFUNCTION("""COMPUTED_VALUE"""),120200.0)</f>
        <v>120200</v>
      </c>
      <c r="E1108" s="1">
        <f>IFERROR(__xludf.DUMMYFUNCTION("""COMPUTED_VALUE"""),122000.0)</f>
        <v>122000</v>
      </c>
      <c r="F1108" s="1">
        <f>IFERROR(__xludf.DUMMYFUNCTION("""COMPUTED_VALUE"""),84122.0)</f>
        <v>84122</v>
      </c>
    </row>
    <row r="1109">
      <c r="A1109" s="2">
        <f>IFERROR(__xludf.DUMMYFUNCTION("""COMPUTED_VALUE"""),42214.64583333333)</f>
        <v>42214.64583</v>
      </c>
      <c r="B1109" s="1">
        <f>IFERROR(__xludf.DUMMYFUNCTION("""COMPUTED_VALUE"""),121000.0)</f>
        <v>121000</v>
      </c>
      <c r="C1109" s="1">
        <f>IFERROR(__xludf.DUMMYFUNCTION("""COMPUTED_VALUE"""),122000.0)</f>
        <v>122000</v>
      </c>
      <c r="D1109" s="1">
        <f>IFERROR(__xludf.DUMMYFUNCTION("""COMPUTED_VALUE"""),120000.0)</f>
        <v>120000</v>
      </c>
      <c r="E1109" s="1">
        <f>IFERROR(__xludf.DUMMYFUNCTION("""COMPUTED_VALUE"""),120400.0)</f>
        <v>120400</v>
      </c>
      <c r="F1109" s="1">
        <f>IFERROR(__xludf.DUMMYFUNCTION("""COMPUTED_VALUE"""),108588.0)</f>
        <v>108588</v>
      </c>
    </row>
    <row r="1110">
      <c r="A1110" s="2">
        <f>IFERROR(__xludf.DUMMYFUNCTION("""COMPUTED_VALUE"""),42215.64583333333)</f>
        <v>42215.64583</v>
      </c>
      <c r="B1110" s="1">
        <f>IFERROR(__xludf.DUMMYFUNCTION("""COMPUTED_VALUE"""),114400.0)</f>
        <v>114400</v>
      </c>
      <c r="C1110" s="1">
        <f>IFERROR(__xludf.DUMMYFUNCTION("""COMPUTED_VALUE"""),114400.0)</f>
        <v>114400</v>
      </c>
      <c r="D1110" s="1">
        <f>IFERROR(__xludf.DUMMYFUNCTION("""COMPUTED_VALUE"""),102000.0)</f>
        <v>102000</v>
      </c>
      <c r="E1110" s="1">
        <f>IFERROR(__xludf.DUMMYFUNCTION("""COMPUTED_VALUE"""),103600.0)</f>
        <v>103600</v>
      </c>
      <c r="F1110" s="1">
        <f>IFERROR(__xludf.DUMMYFUNCTION("""COMPUTED_VALUE"""),743728.0)</f>
        <v>743728</v>
      </c>
    </row>
    <row r="1111">
      <c r="A1111" s="2">
        <f>IFERROR(__xludf.DUMMYFUNCTION("""COMPUTED_VALUE"""),42216.64583333333)</f>
        <v>42216.64583</v>
      </c>
      <c r="B1111" s="1">
        <f>IFERROR(__xludf.DUMMYFUNCTION("""COMPUTED_VALUE"""),101600.0)</f>
        <v>101600</v>
      </c>
      <c r="C1111" s="1">
        <f>IFERROR(__xludf.DUMMYFUNCTION("""COMPUTED_VALUE"""),104800.0)</f>
        <v>104800</v>
      </c>
      <c r="D1111" s="1">
        <f>IFERROR(__xludf.DUMMYFUNCTION("""COMPUTED_VALUE"""),101000.0)</f>
        <v>101000</v>
      </c>
      <c r="E1111" s="1">
        <f>IFERROR(__xludf.DUMMYFUNCTION("""COMPUTED_VALUE"""),104600.0)</f>
        <v>104600</v>
      </c>
      <c r="F1111" s="1">
        <f>IFERROR(__xludf.DUMMYFUNCTION("""COMPUTED_VALUE"""),275526.0)</f>
        <v>275526</v>
      </c>
    </row>
    <row r="1112">
      <c r="A1112" s="2">
        <f>IFERROR(__xludf.DUMMYFUNCTION("""COMPUTED_VALUE"""),42219.64583333333)</f>
        <v>42219.64583</v>
      </c>
      <c r="B1112" s="1">
        <f>IFERROR(__xludf.DUMMYFUNCTION("""COMPUTED_VALUE"""),104000.0)</f>
        <v>104000</v>
      </c>
      <c r="C1112" s="1">
        <f>IFERROR(__xludf.DUMMYFUNCTION("""COMPUTED_VALUE"""),105000.0)</f>
        <v>105000</v>
      </c>
      <c r="D1112" s="1">
        <f>IFERROR(__xludf.DUMMYFUNCTION("""COMPUTED_VALUE"""),103400.0)</f>
        <v>103400</v>
      </c>
      <c r="E1112" s="1">
        <f>IFERROR(__xludf.DUMMYFUNCTION("""COMPUTED_VALUE"""),104000.0)</f>
        <v>104000</v>
      </c>
      <c r="F1112" s="1">
        <f>IFERROR(__xludf.DUMMYFUNCTION("""COMPUTED_VALUE"""),125078.0)</f>
        <v>125078</v>
      </c>
    </row>
    <row r="1113">
      <c r="A1113" s="2">
        <f>IFERROR(__xludf.DUMMYFUNCTION("""COMPUTED_VALUE"""),42220.64583333333)</f>
        <v>42220.64583</v>
      </c>
      <c r="B1113" s="1">
        <f>IFERROR(__xludf.DUMMYFUNCTION("""COMPUTED_VALUE"""),104000.0)</f>
        <v>104000</v>
      </c>
      <c r="C1113" s="1">
        <f>IFERROR(__xludf.DUMMYFUNCTION("""COMPUTED_VALUE"""),105400.0)</f>
        <v>105400</v>
      </c>
      <c r="D1113" s="1">
        <f>IFERROR(__xludf.DUMMYFUNCTION("""COMPUTED_VALUE"""),103600.0)</f>
        <v>103600</v>
      </c>
      <c r="E1113" s="1">
        <f>IFERROR(__xludf.DUMMYFUNCTION("""COMPUTED_VALUE"""),105200.0)</f>
        <v>105200</v>
      </c>
      <c r="F1113" s="1">
        <f>IFERROR(__xludf.DUMMYFUNCTION("""COMPUTED_VALUE"""),107729.0)</f>
        <v>107729</v>
      </c>
    </row>
    <row r="1114">
      <c r="A1114" s="2">
        <f>IFERROR(__xludf.DUMMYFUNCTION("""COMPUTED_VALUE"""),42221.64583333333)</f>
        <v>42221.64583</v>
      </c>
      <c r="B1114" s="1">
        <f>IFERROR(__xludf.DUMMYFUNCTION("""COMPUTED_VALUE"""),106200.0)</f>
        <v>106200</v>
      </c>
      <c r="C1114" s="1">
        <f>IFERROR(__xludf.DUMMYFUNCTION("""COMPUTED_VALUE"""),106200.0)</f>
        <v>106200</v>
      </c>
      <c r="D1114" s="1">
        <f>IFERROR(__xludf.DUMMYFUNCTION("""COMPUTED_VALUE"""),103600.0)</f>
        <v>103600</v>
      </c>
      <c r="E1114" s="1">
        <f>IFERROR(__xludf.DUMMYFUNCTION("""COMPUTED_VALUE"""),105000.0)</f>
        <v>105000</v>
      </c>
      <c r="F1114" s="1">
        <f>IFERROR(__xludf.DUMMYFUNCTION("""COMPUTED_VALUE"""),115109.0)</f>
        <v>115109</v>
      </c>
    </row>
    <row r="1115">
      <c r="A1115" s="2">
        <f>IFERROR(__xludf.DUMMYFUNCTION("""COMPUTED_VALUE"""),42222.64583333333)</f>
        <v>42222.64583</v>
      </c>
      <c r="B1115" s="1">
        <f>IFERROR(__xludf.DUMMYFUNCTION("""COMPUTED_VALUE"""),105200.0)</f>
        <v>105200</v>
      </c>
      <c r="C1115" s="1">
        <f>IFERROR(__xludf.DUMMYFUNCTION("""COMPUTED_VALUE"""),105400.0)</f>
        <v>105400</v>
      </c>
      <c r="D1115" s="1">
        <f>IFERROR(__xludf.DUMMYFUNCTION("""COMPUTED_VALUE"""),103000.0)</f>
        <v>103000</v>
      </c>
      <c r="E1115" s="1">
        <f>IFERROR(__xludf.DUMMYFUNCTION("""COMPUTED_VALUE"""),103200.0)</f>
        <v>103200</v>
      </c>
      <c r="F1115" s="1">
        <f>IFERROR(__xludf.DUMMYFUNCTION("""COMPUTED_VALUE"""),168144.0)</f>
        <v>168144</v>
      </c>
    </row>
    <row r="1116">
      <c r="A1116" s="2">
        <f>IFERROR(__xludf.DUMMYFUNCTION("""COMPUTED_VALUE"""),42223.64583333333)</f>
        <v>42223.64583</v>
      </c>
      <c r="B1116" s="1">
        <f>IFERROR(__xludf.DUMMYFUNCTION("""COMPUTED_VALUE"""),103000.0)</f>
        <v>103000</v>
      </c>
      <c r="C1116" s="1">
        <f>IFERROR(__xludf.DUMMYFUNCTION("""COMPUTED_VALUE"""),103800.0)</f>
        <v>103800</v>
      </c>
      <c r="D1116" s="1">
        <f>IFERROR(__xludf.DUMMYFUNCTION("""COMPUTED_VALUE"""),100000.0)</f>
        <v>100000</v>
      </c>
      <c r="E1116" s="1">
        <f>IFERROR(__xludf.DUMMYFUNCTION("""COMPUTED_VALUE"""),100200.0)</f>
        <v>100200</v>
      </c>
      <c r="F1116" s="1">
        <f>IFERROR(__xludf.DUMMYFUNCTION("""COMPUTED_VALUE"""),254547.0)</f>
        <v>254547</v>
      </c>
    </row>
    <row r="1117">
      <c r="A1117" s="2">
        <f>IFERROR(__xludf.DUMMYFUNCTION("""COMPUTED_VALUE"""),42226.64583333333)</f>
        <v>42226.64583</v>
      </c>
      <c r="B1117" s="1">
        <f>IFERROR(__xludf.DUMMYFUNCTION("""COMPUTED_VALUE"""),101400.0)</f>
        <v>101400</v>
      </c>
      <c r="C1117" s="1">
        <f>IFERROR(__xludf.DUMMYFUNCTION("""COMPUTED_VALUE"""),103000.0)</f>
        <v>103000</v>
      </c>
      <c r="D1117" s="1">
        <f>IFERROR(__xludf.DUMMYFUNCTION("""COMPUTED_VALUE"""),100600.0)</f>
        <v>100600</v>
      </c>
      <c r="E1117" s="1">
        <f>IFERROR(__xludf.DUMMYFUNCTION("""COMPUTED_VALUE"""),102200.0)</f>
        <v>102200</v>
      </c>
      <c r="F1117" s="1">
        <f>IFERROR(__xludf.DUMMYFUNCTION("""COMPUTED_VALUE"""),122165.0)</f>
        <v>122165</v>
      </c>
    </row>
    <row r="1118">
      <c r="A1118" s="2">
        <f>IFERROR(__xludf.DUMMYFUNCTION("""COMPUTED_VALUE"""),42227.64583333333)</f>
        <v>42227.64583</v>
      </c>
      <c r="B1118" s="1">
        <f>IFERROR(__xludf.DUMMYFUNCTION("""COMPUTED_VALUE"""),104200.0)</f>
        <v>104200</v>
      </c>
      <c r="C1118" s="1">
        <f>IFERROR(__xludf.DUMMYFUNCTION("""COMPUTED_VALUE"""),106000.0)</f>
        <v>106000</v>
      </c>
      <c r="D1118" s="1">
        <f>IFERROR(__xludf.DUMMYFUNCTION("""COMPUTED_VALUE"""),103200.0)</f>
        <v>103200</v>
      </c>
      <c r="E1118" s="1">
        <f>IFERROR(__xludf.DUMMYFUNCTION("""COMPUTED_VALUE"""),104600.0)</f>
        <v>104600</v>
      </c>
      <c r="F1118" s="1">
        <f>IFERROR(__xludf.DUMMYFUNCTION("""COMPUTED_VALUE"""),118707.0)</f>
        <v>118707</v>
      </c>
    </row>
    <row r="1119">
      <c r="A1119" s="2">
        <f>IFERROR(__xludf.DUMMYFUNCTION("""COMPUTED_VALUE"""),42228.64583333333)</f>
        <v>42228.64583</v>
      </c>
      <c r="B1119" s="1">
        <f>IFERROR(__xludf.DUMMYFUNCTION("""COMPUTED_VALUE"""),104400.0)</f>
        <v>104400</v>
      </c>
      <c r="C1119" s="1">
        <f>IFERROR(__xludf.DUMMYFUNCTION("""COMPUTED_VALUE"""),106800.0)</f>
        <v>106800</v>
      </c>
      <c r="D1119" s="1">
        <f>IFERROR(__xludf.DUMMYFUNCTION("""COMPUTED_VALUE"""),103400.0)</f>
        <v>103400</v>
      </c>
      <c r="E1119" s="1">
        <f>IFERROR(__xludf.DUMMYFUNCTION("""COMPUTED_VALUE"""),105600.0)</f>
        <v>105600</v>
      </c>
      <c r="F1119" s="1">
        <f>IFERROR(__xludf.DUMMYFUNCTION("""COMPUTED_VALUE"""),153266.0)</f>
        <v>153266</v>
      </c>
    </row>
    <row r="1120">
      <c r="A1120" s="2">
        <f>IFERROR(__xludf.DUMMYFUNCTION("""COMPUTED_VALUE"""),42229.64583333333)</f>
        <v>42229.64583</v>
      </c>
      <c r="B1120" s="1">
        <f>IFERROR(__xludf.DUMMYFUNCTION("""COMPUTED_VALUE"""),103200.0)</f>
        <v>103200</v>
      </c>
      <c r="C1120" s="1">
        <f>IFERROR(__xludf.DUMMYFUNCTION("""COMPUTED_VALUE"""),105000.0)</f>
        <v>105000</v>
      </c>
      <c r="D1120" s="1">
        <f>IFERROR(__xludf.DUMMYFUNCTION("""COMPUTED_VALUE"""),102400.0)</f>
        <v>102400</v>
      </c>
      <c r="E1120" s="1">
        <f>IFERROR(__xludf.DUMMYFUNCTION("""COMPUTED_VALUE"""),103800.0)</f>
        <v>103800</v>
      </c>
      <c r="F1120" s="1">
        <f>IFERROR(__xludf.DUMMYFUNCTION("""COMPUTED_VALUE"""),117041.0)</f>
        <v>117041</v>
      </c>
    </row>
    <row r="1121">
      <c r="A1121" s="2">
        <f>IFERROR(__xludf.DUMMYFUNCTION("""COMPUTED_VALUE"""),42233.64583333333)</f>
        <v>42233.64583</v>
      </c>
      <c r="B1121" s="1">
        <f>IFERROR(__xludf.DUMMYFUNCTION("""COMPUTED_VALUE"""),102600.0)</f>
        <v>102600</v>
      </c>
      <c r="C1121" s="1">
        <f>IFERROR(__xludf.DUMMYFUNCTION("""COMPUTED_VALUE"""),104000.0)</f>
        <v>104000</v>
      </c>
      <c r="D1121" s="1">
        <f>IFERROR(__xludf.DUMMYFUNCTION("""COMPUTED_VALUE"""),102000.0)</f>
        <v>102000</v>
      </c>
      <c r="E1121" s="1">
        <f>IFERROR(__xludf.DUMMYFUNCTION("""COMPUTED_VALUE"""),102000.0)</f>
        <v>102000</v>
      </c>
      <c r="F1121" s="1">
        <f>IFERROR(__xludf.DUMMYFUNCTION("""COMPUTED_VALUE"""),76310.0)</f>
        <v>76310</v>
      </c>
    </row>
    <row r="1122">
      <c r="A1122" s="2">
        <f>IFERROR(__xludf.DUMMYFUNCTION("""COMPUTED_VALUE"""),42234.64583333333)</f>
        <v>42234.64583</v>
      </c>
      <c r="B1122" s="1">
        <f>IFERROR(__xludf.DUMMYFUNCTION("""COMPUTED_VALUE"""),102400.0)</f>
        <v>102400</v>
      </c>
      <c r="C1122" s="1">
        <f>IFERROR(__xludf.DUMMYFUNCTION("""COMPUTED_VALUE"""),105000.0)</f>
        <v>105000</v>
      </c>
      <c r="D1122" s="1">
        <f>IFERROR(__xludf.DUMMYFUNCTION("""COMPUTED_VALUE"""),102200.0)</f>
        <v>102200</v>
      </c>
      <c r="E1122" s="1">
        <f>IFERROR(__xludf.DUMMYFUNCTION("""COMPUTED_VALUE"""),104400.0)</f>
        <v>104400</v>
      </c>
      <c r="F1122" s="1">
        <f>IFERROR(__xludf.DUMMYFUNCTION("""COMPUTED_VALUE"""),94196.0)</f>
        <v>94196</v>
      </c>
    </row>
    <row r="1123">
      <c r="A1123" s="2">
        <f>IFERROR(__xludf.DUMMYFUNCTION("""COMPUTED_VALUE"""),42235.64583333333)</f>
        <v>42235.64583</v>
      </c>
      <c r="B1123" s="1">
        <f>IFERROR(__xludf.DUMMYFUNCTION("""COMPUTED_VALUE"""),103200.0)</f>
        <v>103200</v>
      </c>
      <c r="C1123" s="1">
        <f>IFERROR(__xludf.DUMMYFUNCTION("""COMPUTED_VALUE"""),105400.0)</f>
        <v>105400</v>
      </c>
      <c r="D1123" s="1">
        <f>IFERROR(__xludf.DUMMYFUNCTION("""COMPUTED_VALUE"""),103200.0)</f>
        <v>103200</v>
      </c>
      <c r="E1123" s="1">
        <f>IFERROR(__xludf.DUMMYFUNCTION("""COMPUTED_VALUE"""),104800.0)</f>
        <v>104800</v>
      </c>
      <c r="F1123" s="1">
        <f>IFERROR(__xludf.DUMMYFUNCTION("""COMPUTED_VALUE"""),128122.0)</f>
        <v>128122</v>
      </c>
    </row>
    <row r="1124">
      <c r="A1124" s="2">
        <f>IFERROR(__xludf.DUMMYFUNCTION("""COMPUTED_VALUE"""),42236.64583333333)</f>
        <v>42236.64583</v>
      </c>
      <c r="B1124" s="1">
        <f>IFERROR(__xludf.DUMMYFUNCTION("""COMPUTED_VALUE"""),107000.0)</f>
        <v>107000</v>
      </c>
      <c r="C1124" s="1">
        <f>IFERROR(__xludf.DUMMYFUNCTION("""COMPUTED_VALUE"""),107600.0)</f>
        <v>107600</v>
      </c>
      <c r="D1124" s="1">
        <f>IFERROR(__xludf.DUMMYFUNCTION("""COMPUTED_VALUE"""),103800.0)</f>
        <v>103800</v>
      </c>
      <c r="E1124" s="1">
        <f>IFERROR(__xludf.DUMMYFUNCTION("""COMPUTED_VALUE"""),104200.0)</f>
        <v>104200</v>
      </c>
      <c r="F1124" s="1">
        <f>IFERROR(__xludf.DUMMYFUNCTION("""COMPUTED_VALUE"""),100228.0)</f>
        <v>100228</v>
      </c>
    </row>
    <row r="1125">
      <c r="A1125" s="2">
        <f>IFERROR(__xludf.DUMMYFUNCTION("""COMPUTED_VALUE"""),42237.64583333333)</f>
        <v>42237.64583</v>
      </c>
      <c r="B1125" s="1">
        <f>IFERROR(__xludf.DUMMYFUNCTION("""COMPUTED_VALUE"""),105000.0)</f>
        <v>105000</v>
      </c>
      <c r="C1125" s="1">
        <f>IFERROR(__xludf.DUMMYFUNCTION("""COMPUTED_VALUE"""),105200.0)</f>
        <v>105200</v>
      </c>
      <c r="D1125" s="1">
        <f>IFERROR(__xludf.DUMMYFUNCTION("""COMPUTED_VALUE"""),101400.0)</f>
        <v>101400</v>
      </c>
      <c r="E1125" s="1">
        <f>IFERROR(__xludf.DUMMYFUNCTION("""COMPUTED_VALUE"""),103200.0)</f>
        <v>103200</v>
      </c>
      <c r="F1125" s="1">
        <f>IFERROR(__xludf.DUMMYFUNCTION("""COMPUTED_VALUE"""),97576.0)</f>
        <v>97576</v>
      </c>
    </row>
    <row r="1126">
      <c r="A1126" s="2">
        <f>IFERROR(__xludf.DUMMYFUNCTION("""COMPUTED_VALUE"""),42240.64583333333)</f>
        <v>42240.64583</v>
      </c>
      <c r="B1126" s="1">
        <f>IFERROR(__xludf.DUMMYFUNCTION("""COMPUTED_VALUE"""),101200.0)</f>
        <v>101200</v>
      </c>
      <c r="C1126" s="1">
        <f>IFERROR(__xludf.DUMMYFUNCTION("""COMPUTED_VALUE"""),103000.0)</f>
        <v>103000</v>
      </c>
      <c r="D1126" s="1">
        <f>IFERROR(__xludf.DUMMYFUNCTION("""COMPUTED_VALUE"""),99100.0)</f>
        <v>99100</v>
      </c>
      <c r="E1126" s="1">
        <f>IFERROR(__xludf.DUMMYFUNCTION("""COMPUTED_VALUE"""),100000.0)</f>
        <v>100000</v>
      </c>
      <c r="F1126" s="1">
        <f>IFERROR(__xludf.DUMMYFUNCTION("""COMPUTED_VALUE"""),124043.0)</f>
        <v>124043</v>
      </c>
    </row>
    <row r="1127">
      <c r="A1127" s="2">
        <f>IFERROR(__xludf.DUMMYFUNCTION("""COMPUTED_VALUE"""),42241.64583333333)</f>
        <v>42241.64583</v>
      </c>
      <c r="B1127" s="1">
        <f>IFERROR(__xludf.DUMMYFUNCTION("""COMPUTED_VALUE"""),99400.0)</f>
        <v>99400</v>
      </c>
      <c r="C1127" s="1">
        <f>IFERROR(__xludf.DUMMYFUNCTION("""COMPUTED_VALUE"""),100400.0)</f>
        <v>100400</v>
      </c>
      <c r="D1127" s="1">
        <f>IFERROR(__xludf.DUMMYFUNCTION("""COMPUTED_VALUE"""),96400.0)</f>
        <v>96400</v>
      </c>
      <c r="E1127" s="1">
        <f>IFERROR(__xludf.DUMMYFUNCTION("""COMPUTED_VALUE"""),98300.0)</f>
        <v>98300</v>
      </c>
      <c r="F1127" s="1">
        <f>IFERROR(__xludf.DUMMYFUNCTION("""COMPUTED_VALUE"""),191766.0)</f>
        <v>191766</v>
      </c>
    </row>
    <row r="1128">
      <c r="A1128" s="2">
        <f>IFERROR(__xludf.DUMMYFUNCTION("""COMPUTED_VALUE"""),42242.64583333333)</f>
        <v>42242.64583</v>
      </c>
      <c r="B1128" s="1">
        <f>IFERROR(__xludf.DUMMYFUNCTION("""COMPUTED_VALUE"""),98000.0)</f>
        <v>98000</v>
      </c>
      <c r="C1128" s="1">
        <f>IFERROR(__xludf.DUMMYFUNCTION("""COMPUTED_VALUE"""),100600.0)</f>
        <v>100600</v>
      </c>
      <c r="D1128" s="1">
        <f>IFERROR(__xludf.DUMMYFUNCTION("""COMPUTED_VALUE"""),96800.0)</f>
        <v>96800</v>
      </c>
      <c r="E1128" s="1">
        <f>IFERROR(__xludf.DUMMYFUNCTION("""COMPUTED_VALUE"""),97800.0)</f>
        <v>97800</v>
      </c>
      <c r="F1128" s="1">
        <f>IFERROR(__xludf.DUMMYFUNCTION("""COMPUTED_VALUE"""),209874.0)</f>
        <v>209874</v>
      </c>
    </row>
    <row r="1129">
      <c r="A1129" s="2">
        <f>IFERROR(__xludf.DUMMYFUNCTION("""COMPUTED_VALUE"""),42243.64583333333)</f>
        <v>42243.64583</v>
      </c>
      <c r="B1129" s="1">
        <f>IFERROR(__xludf.DUMMYFUNCTION("""COMPUTED_VALUE"""),99100.0)</f>
        <v>99100</v>
      </c>
      <c r="C1129" s="1">
        <f>IFERROR(__xludf.DUMMYFUNCTION("""COMPUTED_VALUE"""),100400.0)</f>
        <v>100400</v>
      </c>
      <c r="D1129" s="1">
        <f>IFERROR(__xludf.DUMMYFUNCTION("""COMPUTED_VALUE"""),97300.0)</f>
        <v>97300</v>
      </c>
      <c r="E1129" s="1">
        <f>IFERROR(__xludf.DUMMYFUNCTION("""COMPUTED_VALUE"""),97500.0)</f>
        <v>97500</v>
      </c>
      <c r="F1129" s="1">
        <f>IFERROR(__xludf.DUMMYFUNCTION("""COMPUTED_VALUE"""),146915.0)</f>
        <v>146915</v>
      </c>
    </row>
    <row r="1130">
      <c r="A1130" s="2">
        <f>IFERROR(__xludf.DUMMYFUNCTION("""COMPUTED_VALUE"""),42244.64583333333)</f>
        <v>42244.64583</v>
      </c>
      <c r="B1130" s="1">
        <f>IFERROR(__xludf.DUMMYFUNCTION("""COMPUTED_VALUE"""),98300.0)</f>
        <v>98300</v>
      </c>
      <c r="C1130" s="1">
        <f>IFERROR(__xludf.DUMMYFUNCTION("""COMPUTED_VALUE"""),99300.0)</f>
        <v>99300</v>
      </c>
      <c r="D1130" s="1">
        <f>IFERROR(__xludf.DUMMYFUNCTION("""COMPUTED_VALUE"""),96100.0)</f>
        <v>96100</v>
      </c>
      <c r="E1130" s="1">
        <f>IFERROR(__xludf.DUMMYFUNCTION("""COMPUTED_VALUE"""),97600.0)</f>
        <v>97600</v>
      </c>
      <c r="F1130" s="1">
        <f>IFERROR(__xludf.DUMMYFUNCTION("""COMPUTED_VALUE"""),191470.0)</f>
        <v>191470</v>
      </c>
    </row>
    <row r="1131">
      <c r="A1131" s="2">
        <f>IFERROR(__xludf.DUMMYFUNCTION("""COMPUTED_VALUE"""),42247.64583333333)</f>
        <v>42247.64583</v>
      </c>
      <c r="B1131" s="1">
        <f>IFERROR(__xludf.DUMMYFUNCTION("""COMPUTED_VALUE"""),97500.0)</f>
        <v>97500</v>
      </c>
      <c r="C1131" s="1">
        <f>IFERROR(__xludf.DUMMYFUNCTION("""COMPUTED_VALUE"""),99100.0)</f>
        <v>99100</v>
      </c>
      <c r="D1131" s="1">
        <f>IFERROR(__xludf.DUMMYFUNCTION("""COMPUTED_VALUE"""),94200.0)</f>
        <v>94200</v>
      </c>
      <c r="E1131" s="1">
        <f>IFERROR(__xludf.DUMMYFUNCTION("""COMPUTED_VALUE"""),99100.0)</f>
        <v>99100</v>
      </c>
      <c r="F1131" s="1">
        <f>IFERROR(__xludf.DUMMYFUNCTION("""COMPUTED_VALUE"""),179390.0)</f>
        <v>179390</v>
      </c>
    </row>
    <row r="1132">
      <c r="A1132" s="2">
        <f>IFERROR(__xludf.DUMMYFUNCTION("""COMPUTED_VALUE"""),42248.64583333333)</f>
        <v>42248.64583</v>
      </c>
      <c r="B1132" s="1">
        <f>IFERROR(__xludf.DUMMYFUNCTION("""COMPUTED_VALUE"""),99100.0)</f>
        <v>99100</v>
      </c>
      <c r="C1132" s="1">
        <f>IFERROR(__xludf.DUMMYFUNCTION("""COMPUTED_VALUE"""),100200.0)</f>
        <v>100200</v>
      </c>
      <c r="D1132" s="1">
        <f>IFERROR(__xludf.DUMMYFUNCTION("""COMPUTED_VALUE"""),95000.0)</f>
        <v>95000</v>
      </c>
      <c r="E1132" s="1">
        <f>IFERROR(__xludf.DUMMYFUNCTION("""COMPUTED_VALUE"""),95200.0)</f>
        <v>95200</v>
      </c>
      <c r="F1132" s="1">
        <f>IFERROR(__xludf.DUMMYFUNCTION("""COMPUTED_VALUE"""),137711.0)</f>
        <v>137711</v>
      </c>
    </row>
    <row r="1133">
      <c r="A1133" s="2">
        <f>IFERROR(__xludf.DUMMYFUNCTION("""COMPUTED_VALUE"""),42249.64583333333)</f>
        <v>42249.64583</v>
      </c>
      <c r="B1133" s="1">
        <f>IFERROR(__xludf.DUMMYFUNCTION("""COMPUTED_VALUE"""),94100.0)</f>
        <v>94100</v>
      </c>
      <c r="C1133" s="1">
        <f>IFERROR(__xludf.DUMMYFUNCTION("""COMPUTED_VALUE"""),94700.0)</f>
        <v>94700</v>
      </c>
      <c r="D1133" s="1">
        <f>IFERROR(__xludf.DUMMYFUNCTION("""COMPUTED_VALUE"""),92400.0)</f>
        <v>92400</v>
      </c>
      <c r="E1133" s="1">
        <f>IFERROR(__xludf.DUMMYFUNCTION("""COMPUTED_VALUE"""),93200.0)</f>
        <v>93200</v>
      </c>
      <c r="F1133" s="1">
        <f>IFERROR(__xludf.DUMMYFUNCTION("""COMPUTED_VALUE"""),160619.0)</f>
        <v>160619</v>
      </c>
    </row>
    <row r="1134">
      <c r="A1134" s="2">
        <f>IFERROR(__xludf.DUMMYFUNCTION("""COMPUTED_VALUE"""),42250.64583333333)</f>
        <v>42250.64583</v>
      </c>
      <c r="B1134" s="1">
        <f>IFERROR(__xludf.DUMMYFUNCTION("""COMPUTED_VALUE"""),93200.0)</f>
        <v>93200</v>
      </c>
      <c r="C1134" s="1">
        <f>IFERROR(__xludf.DUMMYFUNCTION("""COMPUTED_VALUE"""),96000.0)</f>
        <v>96000</v>
      </c>
      <c r="D1134" s="1">
        <f>IFERROR(__xludf.DUMMYFUNCTION("""COMPUTED_VALUE"""),93200.0)</f>
        <v>93200</v>
      </c>
      <c r="E1134" s="1">
        <f>IFERROR(__xludf.DUMMYFUNCTION("""COMPUTED_VALUE"""),94100.0)</f>
        <v>94100</v>
      </c>
      <c r="F1134" s="1">
        <f>IFERROR(__xludf.DUMMYFUNCTION("""COMPUTED_VALUE"""),158907.0)</f>
        <v>158907</v>
      </c>
    </row>
    <row r="1135">
      <c r="A1135" s="2">
        <f>IFERROR(__xludf.DUMMYFUNCTION("""COMPUTED_VALUE"""),42251.64583333333)</f>
        <v>42251.64583</v>
      </c>
      <c r="B1135" s="1">
        <f>IFERROR(__xludf.DUMMYFUNCTION("""COMPUTED_VALUE"""),94100.0)</f>
        <v>94100</v>
      </c>
      <c r="C1135" s="1">
        <f>IFERROR(__xludf.DUMMYFUNCTION("""COMPUTED_VALUE"""),96300.0)</f>
        <v>96300</v>
      </c>
      <c r="D1135" s="1">
        <f>IFERROR(__xludf.DUMMYFUNCTION("""COMPUTED_VALUE"""),93300.0)</f>
        <v>93300</v>
      </c>
      <c r="E1135" s="1">
        <f>IFERROR(__xludf.DUMMYFUNCTION("""COMPUTED_VALUE"""),93900.0)</f>
        <v>93900</v>
      </c>
      <c r="F1135" s="1">
        <f>IFERROR(__xludf.DUMMYFUNCTION("""COMPUTED_VALUE"""),99009.0)</f>
        <v>99009</v>
      </c>
    </row>
    <row r="1136">
      <c r="A1136" s="2">
        <f>IFERROR(__xludf.DUMMYFUNCTION("""COMPUTED_VALUE"""),42254.64583333333)</f>
        <v>42254.64583</v>
      </c>
      <c r="B1136" s="1">
        <f>IFERROR(__xludf.DUMMYFUNCTION("""COMPUTED_VALUE"""),94600.0)</f>
        <v>94600</v>
      </c>
      <c r="C1136" s="1">
        <f>IFERROR(__xludf.DUMMYFUNCTION("""COMPUTED_VALUE"""),95200.0)</f>
        <v>95200</v>
      </c>
      <c r="D1136" s="1">
        <f>IFERROR(__xludf.DUMMYFUNCTION("""COMPUTED_VALUE"""),93200.0)</f>
        <v>93200</v>
      </c>
      <c r="E1136" s="1">
        <f>IFERROR(__xludf.DUMMYFUNCTION("""COMPUTED_VALUE"""),94900.0)</f>
        <v>94900</v>
      </c>
      <c r="F1136" s="1">
        <f>IFERROR(__xludf.DUMMYFUNCTION("""COMPUTED_VALUE"""),86443.0)</f>
        <v>86443</v>
      </c>
    </row>
    <row r="1137">
      <c r="A1137" s="2">
        <f>IFERROR(__xludf.DUMMYFUNCTION("""COMPUTED_VALUE"""),42255.64583333333)</f>
        <v>42255.64583</v>
      </c>
      <c r="B1137" s="1">
        <f>IFERROR(__xludf.DUMMYFUNCTION("""COMPUTED_VALUE"""),95100.0)</f>
        <v>95100</v>
      </c>
      <c r="C1137" s="1">
        <f>IFERROR(__xludf.DUMMYFUNCTION("""COMPUTED_VALUE"""),95600.0)</f>
        <v>95600</v>
      </c>
      <c r="D1137" s="1">
        <f>IFERROR(__xludf.DUMMYFUNCTION("""COMPUTED_VALUE"""),91600.0)</f>
        <v>91600</v>
      </c>
      <c r="E1137" s="1">
        <f>IFERROR(__xludf.DUMMYFUNCTION("""COMPUTED_VALUE"""),92300.0)</f>
        <v>92300</v>
      </c>
      <c r="F1137" s="1">
        <f>IFERROR(__xludf.DUMMYFUNCTION("""COMPUTED_VALUE"""),97346.0)</f>
        <v>97346</v>
      </c>
    </row>
    <row r="1138">
      <c r="A1138" s="2">
        <f>IFERROR(__xludf.DUMMYFUNCTION("""COMPUTED_VALUE"""),42256.64583333333)</f>
        <v>42256.64583</v>
      </c>
      <c r="B1138" s="1">
        <f>IFERROR(__xludf.DUMMYFUNCTION("""COMPUTED_VALUE"""),93400.0)</f>
        <v>93400</v>
      </c>
      <c r="C1138" s="1">
        <f>IFERROR(__xludf.DUMMYFUNCTION("""COMPUTED_VALUE"""),100400.0)</f>
        <v>100400</v>
      </c>
      <c r="D1138" s="1">
        <f>IFERROR(__xludf.DUMMYFUNCTION("""COMPUTED_VALUE"""),93400.0)</f>
        <v>93400</v>
      </c>
      <c r="E1138" s="1">
        <f>IFERROR(__xludf.DUMMYFUNCTION("""COMPUTED_VALUE"""),100200.0)</f>
        <v>100200</v>
      </c>
      <c r="F1138" s="1">
        <f>IFERROR(__xludf.DUMMYFUNCTION("""COMPUTED_VALUE"""),167247.0)</f>
        <v>167247</v>
      </c>
    </row>
    <row r="1139">
      <c r="A1139" s="2">
        <f>IFERROR(__xludf.DUMMYFUNCTION("""COMPUTED_VALUE"""),42257.64583333333)</f>
        <v>42257.64583</v>
      </c>
      <c r="B1139" s="1">
        <f>IFERROR(__xludf.DUMMYFUNCTION("""COMPUTED_VALUE"""),98000.0)</f>
        <v>98000</v>
      </c>
      <c r="C1139" s="1">
        <f>IFERROR(__xludf.DUMMYFUNCTION("""COMPUTED_VALUE"""),100400.0)</f>
        <v>100400</v>
      </c>
      <c r="D1139" s="1">
        <f>IFERROR(__xludf.DUMMYFUNCTION("""COMPUTED_VALUE"""),98000.0)</f>
        <v>98000</v>
      </c>
      <c r="E1139" s="1">
        <f>IFERROR(__xludf.DUMMYFUNCTION("""COMPUTED_VALUE"""),100000.0)</f>
        <v>100000</v>
      </c>
      <c r="F1139" s="1">
        <f>IFERROR(__xludf.DUMMYFUNCTION("""COMPUTED_VALUE"""),151685.0)</f>
        <v>151685</v>
      </c>
    </row>
    <row r="1140">
      <c r="A1140" s="2">
        <f>IFERROR(__xludf.DUMMYFUNCTION("""COMPUTED_VALUE"""),42258.64583333333)</f>
        <v>42258.64583</v>
      </c>
      <c r="B1140" s="1">
        <f>IFERROR(__xludf.DUMMYFUNCTION("""COMPUTED_VALUE"""),98600.0)</f>
        <v>98600</v>
      </c>
      <c r="C1140" s="1">
        <f>IFERROR(__xludf.DUMMYFUNCTION("""COMPUTED_VALUE"""),99100.0)</f>
        <v>99100</v>
      </c>
      <c r="D1140" s="1">
        <f>IFERROR(__xludf.DUMMYFUNCTION("""COMPUTED_VALUE"""),97100.0)</f>
        <v>97100</v>
      </c>
      <c r="E1140" s="1">
        <f>IFERROR(__xludf.DUMMYFUNCTION("""COMPUTED_VALUE"""),97700.0)</f>
        <v>97700</v>
      </c>
      <c r="F1140" s="1">
        <f>IFERROR(__xludf.DUMMYFUNCTION("""COMPUTED_VALUE"""),97766.0)</f>
        <v>97766</v>
      </c>
    </row>
    <row r="1141">
      <c r="A1141" s="2">
        <f>IFERROR(__xludf.DUMMYFUNCTION("""COMPUTED_VALUE"""),42261.64583333333)</f>
        <v>42261.64583</v>
      </c>
      <c r="B1141" s="1">
        <f>IFERROR(__xludf.DUMMYFUNCTION("""COMPUTED_VALUE"""),98000.0)</f>
        <v>98000</v>
      </c>
      <c r="C1141" s="1">
        <f>IFERROR(__xludf.DUMMYFUNCTION("""COMPUTED_VALUE"""),98100.0)</f>
        <v>98100</v>
      </c>
      <c r="D1141" s="1">
        <f>IFERROR(__xludf.DUMMYFUNCTION("""COMPUTED_VALUE"""),93600.0)</f>
        <v>93600</v>
      </c>
      <c r="E1141" s="1">
        <f>IFERROR(__xludf.DUMMYFUNCTION("""COMPUTED_VALUE"""),95200.0)</f>
        <v>95200</v>
      </c>
      <c r="F1141" s="1">
        <f>IFERROR(__xludf.DUMMYFUNCTION("""COMPUTED_VALUE"""),148250.0)</f>
        <v>148250</v>
      </c>
    </row>
    <row r="1142">
      <c r="A1142" s="2">
        <f>IFERROR(__xludf.DUMMYFUNCTION("""COMPUTED_VALUE"""),42262.64583333333)</f>
        <v>42262.64583</v>
      </c>
      <c r="B1142" s="1">
        <f>IFERROR(__xludf.DUMMYFUNCTION("""COMPUTED_VALUE"""),95000.0)</f>
        <v>95000</v>
      </c>
      <c r="C1142" s="1">
        <f>IFERROR(__xludf.DUMMYFUNCTION("""COMPUTED_VALUE"""),95900.0)</f>
        <v>95900</v>
      </c>
      <c r="D1142" s="1">
        <f>IFERROR(__xludf.DUMMYFUNCTION("""COMPUTED_VALUE"""),93600.0)</f>
        <v>93600</v>
      </c>
      <c r="E1142" s="1">
        <f>IFERROR(__xludf.DUMMYFUNCTION("""COMPUTED_VALUE"""),94100.0)</f>
        <v>94100</v>
      </c>
      <c r="F1142" s="1">
        <f>IFERROR(__xludf.DUMMYFUNCTION("""COMPUTED_VALUE"""),123370.0)</f>
        <v>123370</v>
      </c>
    </row>
    <row r="1143">
      <c r="A1143" s="2">
        <f>IFERROR(__xludf.DUMMYFUNCTION("""COMPUTED_VALUE"""),42263.64583333333)</f>
        <v>42263.64583</v>
      </c>
      <c r="B1143" s="1">
        <f>IFERROR(__xludf.DUMMYFUNCTION("""COMPUTED_VALUE"""),94400.0)</f>
        <v>94400</v>
      </c>
      <c r="C1143" s="1">
        <f>IFERROR(__xludf.DUMMYFUNCTION("""COMPUTED_VALUE"""),96300.0)</f>
        <v>96300</v>
      </c>
      <c r="D1143" s="1">
        <f>IFERROR(__xludf.DUMMYFUNCTION("""COMPUTED_VALUE"""),93700.0)</f>
        <v>93700</v>
      </c>
      <c r="E1143" s="1">
        <f>IFERROR(__xludf.DUMMYFUNCTION("""COMPUTED_VALUE"""),96300.0)</f>
        <v>96300</v>
      </c>
      <c r="F1143" s="1">
        <f>IFERROR(__xludf.DUMMYFUNCTION("""COMPUTED_VALUE"""),130713.0)</f>
        <v>130713</v>
      </c>
    </row>
    <row r="1144">
      <c r="A1144" s="2">
        <f>IFERROR(__xludf.DUMMYFUNCTION("""COMPUTED_VALUE"""),42264.64583333333)</f>
        <v>42264.64583</v>
      </c>
      <c r="B1144" s="1">
        <f>IFERROR(__xludf.DUMMYFUNCTION("""COMPUTED_VALUE"""),96800.0)</f>
        <v>96800</v>
      </c>
      <c r="C1144" s="1">
        <f>IFERROR(__xludf.DUMMYFUNCTION("""COMPUTED_VALUE"""),103000.0)</f>
        <v>103000</v>
      </c>
      <c r="D1144" s="1">
        <f>IFERROR(__xludf.DUMMYFUNCTION("""COMPUTED_VALUE"""),96700.0)</f>
        <v>96700</v>
      </c>
      <c r="E1144" s="1">
        <f>IFERROR(__xludf.DUMMYFUNCTION("""COMPUTED_VALUE"""),102000.0)</f>
        <v>102000</v>
      </c>
      <c r="F1144" s="1">
        <f>IFERROR(__xludf.DUMMYFUNCTION("""COMPUTED_VALUE"""),226216.0)</f>
        <v>226216</v>
      </c>
    </row>
    <row r="1145">
      <c r="A1145" s="2">
        <f>IFERROR(__xludf.DUMMYFUNCTION("""COMPUTED_VALUE"""),42265.64583333333)</f>
        <v>42265.64583</v>
      </c>
      <c r="B1145" s="1">
        <f>IFERROR(__xludf.DUMMYFUNCTION("""COMPUTED_VALUE"""),103000.0)</f>
        <v>103000</v>
      </c>
      <c r="C1145" s="1">
        <f>IFERROR(__xludf.DUMMYFUNCTION("""COMPUTED_VALUE"""),103600.0)</f>
        <v>103600</v>
      </c>
      <c r="D1145" s="1">
        <f>IFERROR(__xludf.DUMMYFUNCTION("""COMPUTED_VALUE"""),99700.0)</f>
        <v>99700</v>
      </c>
      <c r="E1145" s="1">
        <f>IFERROR(__xludf.DUMMYFUNCTION("""COMPUTED_VALUE"""),101800.0)</f>
        <v>101800</v>
      </c>
      <c r="F1145" s="1">
        <f>IFERROR(__xludf.DUMMYFUNCTION("""COMPUTED_VALUE"""),99472.0)</f>
        <v>99472</v>
      </c>
    </row>
    <row r="1146">
      <c r="A1146" s="2">
        <f>IFERROR(__xludf.DUMMYFUNCTION("""COMPUTED_VALUE"""),42268.64583333333)</f>
        <v>42268.64583</v>
      </c>
      <c r="B1146" s="1">
        <f>IFERROR(__xludf.DUMMYFUNCTION("""COMPUTED_VALUE"""),101800.0)</f>
        <v>101800</v>
      </c>
      <c r="C1146" s="1">
        <f>IFERROR(__xludf.DUMMYFUNCTION("""COMPUTED_VALUE"""),101800.0)</f>
        <v>101800</v>
      </c>
      <c r="D1146" s="1">
        <f>IFERROR(__xludf.DUMMYFUNCTION("""COMPUTED_VALUE"""),99900.0)</f>
        <v>99900</v>
      </c>
      <c r="E1146" s="1">
        <f>IFERROR(__xludf.DUMMYFUNCTION("""COMPUTED_VALUE"""),100000.0)</f>
        <v>100000</v>
      </c>
      <c r="F1146" s="1">
        <f>IFERROR(__xludf.DUMMYFUNCTION("""COMPUTED_VALUE"""),49726.0)</f>
        <v>49726</v>
      </c>
    </row>
    <row r="1147">
      <c r="A1147" s="2">
        <f>IFERROR(__xludf.DUMMYFUNCTION("""COMPUTED_VALUE"""),42269.64583333333)</f>
        <v>42269.64583</v>
      </c>
      <c r="B1147" s="1">
        <f>IFERROR(__xludf.DUMMYFUNCTION("""COMPUTED_VALUE"""),101000.0)</f>
        <v>101000</v>
      </c>
      <c r="C1147" s="1">
        <f>IFERROR(__xludf.DUMMYFUNCTION("""COMPUTED_VALUE"""),101600.0)</f>
        <v>101600</v>
      </c>
      <c r="D1147" s="1">
        <f>IFERROR(__xludf.DUMMYFUNCTION("""COMPUTED_VALUE"""),98900.0)</f>
        <v>98900</v>
      </c>
      <c r="E1147" s="1">
        <f>IFERROR(__xludf.DUMMYFUNCTION("""COMPUTED_VALUE"""),99200.0)</f>
        <v>99200</v>
      </c>
      <c r="F1147" s="1">
        <f>IFERROR(__xludf.DUMMYFUNCTION("""COMPUTED_VALUE"""),78927.0)</f>
        <v>78927</v>
      </c>
    </row>
    <row r="1148">
      <c r="A1148" s="2">
        <f>IFERROR(__xludf.DUMMYFUNCTION("""COMPUTED_VALUE"""),42270.64583333333)</f>
        <v>42270.64583</v>
      </c>
      <c r="B1148" s="1">
        <f>IFERROR(__xludf.DUMMYFUNCTION("""COMPUTED_VALUE"""),98300.0)</f>
        <v>98300</v>
      </c>
      <c r="C1148" s="1">
        <f>IFERROR(__xludf.DUMMYFUNCTION("""COMPUTED_VALUE"""),103600.0)</f>
        <v>103600</v>
      </c>
      <c r="D1148" s="1">
        <f>IFERROR(__xludf.DUMMYFUNCTION("""COMPUTED_VALUE"""),97700.0)</f>
        <v>97700</v>
      </c>
      <c r="E1148" s="1">
        <f>IFERROR(__xludf.DUMMYFUNCTION("""COMPUTED_VALUE"""),101000.0)</f>
        <v>101000</v>
      </c>
      <c r="F1148" s="1">
        <f>IFERROR(__xludf.DUMMYFUNCTION("""COMPUTED_VALUE"""),198201.0)</f>
        <v>198201</v>
      </c>
    </row>
    <row r="1149">
      <c r="A1149" s="2">
        <f>IFERROR(__xludf.DUMMYFUNCTION("""COMPUTED_VALUE"""),42271.64583333333)</f>
        <v>42271.64583</v>
      </c>
      <c r="B1149" s="1">
        <f>IFERROR(__xludf.DUMMYFUNCTION("""COMPUTED_VALUE"""),102400.0)</f>
        <v>102400</v>
      </c>
      <c r="C1149" s="1">
        <f>IFERROR(__xludf.DUMMYFUNCTION("""COMPUTED_VALUE"""),103200.0)</f>
        <v>103200</v>
      </c>
      <c r="D1149" s="1">
        <f>IFERROR(__xludf.DUMMYFUNCTION("""COMPUTED_VALUE"""),100600.0)</f>
        <v>100600</v>
      </c>
      <c r="E1149" s="1">
        <f>IFERROR(__xludf.DUMMYFUNCTION("""COMPUTED_VALUE"""),101200.0)</f>
        <v>101200</v>
      </c>
      <c r="F1149" s="1">
        <f>IFERROR(__xludf.DUMMYFUNCTION("""COMPUTED_VALUE"""),113153.0)</f>
        <v>113153</v>
      </c>
    </row>
    <row r="1150">
      <c r="A1150" s="2">
        <f>IFERROR(__xludf.DUMMYFUNCTION("""COMPUTED_VALUE"""),42272.64583333333)</f>
        <v>42272.64583</v>
      </c>
      <c r="B1150" s="1">
        <f>IFERROR(__xludf.DUMMYFUNCTION("""COMPUTED_VALUE"""),101400.0)</f>
        <v>101400</v>
      </c>
      <c r="C1150" s="1">
        <f>IFERROR(__xludf.DUMMYFUNCTION("""COMPUTED_VALUE"""),102400.0)</f>
        <v>102400</v>
      </c>
      <c r="D1150" s="1">
        <f>IFERROR(__xludf.DUMMYFUNCTION("""COMPUTED_VALUE"""),99900.0)</f>
        <v>99900</v>
      </c>
      <c r="E1150" s="1">
        <f>IFERROR(__xludf.DUMMYFUNCTION("""COMPUTED_VALUE"""),101600.0)</f>
        <v>101600</v>
      </c>
      <c r="F1150" s="1">
        <f>IFERROR(__xludf.DUMMYFUNCTION("""COMPUTED_VALUE"""),44307.0)</f>
        <v>44307</v>
      </c>
    </row>
    <row r="1151">
      <c r="A1151" s="2">
        <f>IFERROR(__xludf.DUMMYFUNCTION("""COMPUTED_VALUE"""),42277.64583333333)</f>
        <v>42277.64583</v>
      </c>
      <c r="B1151" s="1">
        <f>IFERROR(__xludf.DUMMYFUNCTION("""COMPUTED_VALUE"""),103000.0)</f>
        <v>103000</v>
      </c>
      <c r="C1151" s="1">
        <f>IFERROR(__xludf.DUMMYFUNCTION("""COMPUTED_VALUE"""),103000.0)</f>
        <v>103000</v>
      </c>
      <c r="D1151" s="1">
        <f>IFERROR(__xludf.DUMMYFUNCTION("""COMPUTED_VALUE"""),100000.0)</f>
        <v>100000</v>
      </c>
      <c r="E1151" s="1">
        <f>IFERROR(__xludf.DUMMYFUNCTION("""COMPUTED_VALUE"""),102600.0)</f>
        <v>102600</v>
      </c>
      <c r="F1151" s="1">
        <f>IFERROR(__xludf.DUMMYFUNCTION("""COMPUTED_VALUE"""),130548.0)</f>
        <v>130548</v>
      </c>
    </row>
    <row r="1152">
      <c r="A1152" s="2">
        <f>IFERROR(__xludf.DUMMYFUNCTION("""COMPUTED_VALUE"""),42278.64583333333)</f>
        <v>42278.64583</v>
      </c>
      <c r="B1152" s="1">
        <f>IFERROR(__xludf.DUMMYFUNCTION("""COMPUTED_VALUE"""),103600.0)</f>
        <v>103600</v>
      </c>
      <c r="C1152" s="1">
        <f>IFERROR(__xludf.DUMMYFUNCTION("""COMPUTED_VALUE"""),109200.0)</f>
        <v>109200</v>
      </c>
      <c r="D1152" s="1">
        <f>IFERROR(__xludf.DUMMYFUNCTION("""COMPUTED_VALUE"""),102600.0)</f>
        <v>102600</v>
      </c>
      <c r="E1152" s="1">
        <f>IFERROR(__xludf.DUMMYFUNCTION("""COMPUTED_VALUE"""),109200.0)</f>
        <v>109200</v>
      </c>
      <c r="F1152" s="1">
        <f>IFERROR(__xludf.DUMMYFUNCTION("""COMPUTED_VALUE"""),200898.0)</f>
        <v>200898</v>
      </c>
    </row>
    <row r="1153">
      <c r="A1153" s="2">
        <f>IFERROR(__xludf.DUMMYFUNCTION("""COMPUTED_VALUE"""),42279.64583333333)</f>
        <v>42279.64583</v>
      </c>
      <c r="B1153" s="1">
        <f>IFERROR(__xludf.DUMMYFUNCTION("""COMPUTED_VALUE"""),110000.0)</f>
        <v>110000</v>
      </c>
      <c r="C1153" s="1">
        <f>IFERROR(__xludf.DUMMYFUNCTION("""COMPUTED_VALUE"""),110200.0)</f>
        <v>110200</v>
      </c>
      <c r="D1153" s="1">
        <f>IFERROR(__xludf.DUMMYFUNCTION("""COMPUTED_VALUE"""),107000.0)</f>
        <v>107000</v>
      </c>
      <c r="E1153" s="1">
        <f>IFERROR(__xludf.DUMMYFUNCTION("""COMPUTED_VALUE"""),110000.0)</f>
        <v>110000</v>
      </c>
      <c r="F1153" s="1">
        <f>IFERROR(__xludf.DUMMYFUNCTION("""COMPUTED_VALUE"""),140588.0)</f>
        <v>140588</v>
      </c>
    </row>
    <row r="1154">
      <c r="A1154" s="2">
        <f>IFERROR(__xludf.DUMMYFUNCTION("""COMPUTED_VALUE"""),42282.64583333333)</f>
        <v>42282.64583</v>
      </c>
      <c r="B1154" s="1">
        <f>IFERROR(__xludf.DUMMYFUNCTION("""COMPUTED_VALUE"""),109800.0)</f>
        <v>109800</v>
      </c>
      <c r="C1154" s="1">
        <f>IFERROR(__xludf.DUMMYFUNCTION("""COMPUTED_VALUE"""),112600.0)</f>
        <v>112600</v>
      </c>
      <c r="D1154" s="1">
        <f>IFERROR(__xludf.DUMMYFUNCTION("""COMPUTED_VALUE"""),107400.0)</f>
        <v>107400</v>
      </c>
      <c r="E1154" s="1">
        <f>IFERROR(__xludf.DUMMYFUNCTION("""COMPUTED_VALUE"""),108600.0)</f>
        <v>108600</v>
      </c>
      <c r="F1154" s="1">
        <f>IFERROR(__xludf.DUMMYFUNCTION("""COMPUTED_VALUE"""),107172.0)</f>
        <v>107172</v>
      </c>
    </row>
    <row r="1155">
      <c r="A1155" s="2">
        <f>IFERROR(__xludf.DUMMYFUNCTION("""COMPUTED_VALUE"""),42283.64583333333)</f>
        <v>42283.64583</v>
      </c>
      <c r="B1155" s="1">
        <f>IFERROR(__xludf.DUMMYFUNCTION("""COMPUTED_VALUE"""),109000.0)</f>
        <v>109000</v>
      </c>
      <c r="C1155" s="1">
        <f>IFERROR(__xludf.DUMMYFUNCTION("""COMPUTED_VALUE"""),111600.0)</f>
        <v>111600</v>
      </c>
      <c r="D1155" s="1">
        <f>IFERROR(__xludf.DUMMYFUNCTION("""COMPUTED_VALUE"""),108400.0)</f>
        <v>108400</v>
      </c>
      <c r="E1155" s="1">
        <f>IFERROR(__xludf.DUMMYFUNCTION("""COMPUTED_VALUE"""),111200.0)</f>
        <v>111200</v>
      </c>
      <c r="F1155" s="1">
        <f>IFERROR(__xludf.DUMMYFUNCTION("""COMPUTED_VALUE"""),118545.0)</f>
        <v>118545</v>
      </c>
    </row>
    <row r="1156">
      <c r="A1156" s="2">
        <f>IFERROR(__xludf.DUMMYFUNCTION("""COMPUTED_VALUE"""),42284.64583333333)</f>
        <v>42284.64583</v>
      </c>
      <c r="B1156" s="1">
        <f>IFERROR(__xludf.DUMMYFUNCTION("""COMPUTED_VALUE"""),112200.0)</f>
        <v>112200</v>
      </c>
      <c r="C1156" s="1">
        <f>IFERROR(__xludf.DUMMYFUNCTION("""COMPUTED_VALUE"""),112200.0)</f>
        <v>112200</v>
      </c>
      <c r="D1156" s="1">
        <f>IFERROR(__xludf.DUMMYFUNCTION("""COMPUTED_VALUE"""),110000.0)</f>
        <v>110000</v>
      </c>
      <c r="E1156" s="1">
        <f>IFERROR(__xludf.DUMMYFUNCTION("""COMPUTED_VALUE"""),111600.0)</f>
        <v>111600</v>
      </c>
      <c r="F1156" s="1">
        <f>IFERROR(__xludf.DUMMYFUNCTION("""COMPUTED_VALUE"""),110751.0)</f>
        <v>110751</v>
      </c>
    </row>
    <row r="1157">
      <c r="A1157" s="2">
        <f>IFERROR(__xludf.DUMMYFUNCTION("""COMPUTED_VALUE"""),42285.64583333333)</f>
        <v>42285.64583</v>
      </c>
      <c r="B1157" s="1">
        <f>IFERROR(__xludf.DUMMYFUNCTION("""COMPUTED_VALUE"""),113400.0)</f>
        <v>113400</v>
      </c>
      <c r="C1157" s="1">
        <f>IFERROR(__xludf.DUMMYFUNCTION("""COMPUTED_VALUE"""),113800.0)</f>
        <v>113800</v>
      </c>
      <c r="D1157" s="1">
        <f>IFERROR(__xludf.DUMMYFUNCTION("""COMPUTED_VALUE"""),109400.0)</f>
        <v>109400</v>
      </c>
      <c r="E1157" s="1">
        <f>IFERROR(__xludf.DUMMYFUNCTION("""COMPUTED_VALUE"""),112200.0)</f>
        <v>112200</v>
      </c>
      <c r="F1157" s="1">
        <f>IFERROR(__xludf.DUMMYFUNCTION("""COMPUTED_VALUE"""),96144.0)</f>
        <v>96144</v>
      </c>
    </row>
    <row r="1158">
      <c r="A1158" s="2">
        <f>IFERROR(__xludf.DUMMYFUNCTION("""COMPUTED_VALUE"""),42289.64583333333)</f>
        <v>42289.64583</v>
      </c>
      <c r="B1158" s="1">
        <f>IFERROR(__xludf.DUMMYFUNCTION("""COMPUTED_VALUE"""),115200.0)</f>
        <v>115200</v>
      </c>
      <c r="C1158" s="1">
        <f>IFERROR(__xludf.DUMMYFUNCTION("""COMPUTED_VALUE"""),116600.0)</f>
        <v>116600</v>
      </c>
      <c r="D1158" s="1">
        <f>IFERROR(__xludf.DUMMYFUNCTION("""COMPUTED_VALUE"""),110000.0)</f>
        <v>110000</v>
      </c>
      <c r="E1158" s="1">
        <f>IFERROR(__xludf.DUMMYFUNCTION("""COMPUTED_VALUE"""),114800.0)</f>
        <v>114800</v>
      </c>
      <c r="F1158" s="1">
        <f>IFERROR(__xludf.DUMMYFUNCTION("""COMPUTED_VALUE"""),166198.0)</f>
        <v>166198</v>
      </c>
    </row>
    <row r="1159">
      <c r="A1159" s="2">
        <f>IFERROR(__xludf.DUMMYFUNCTION("""COMPUTED_VALUE"""),42290.64583333333)</f>
        <v>42290.64583</v>
      </c>
      <c r="B1159" s="1">
        <f>IFERROR(__xludf.DUMMYFUNCTION("""COMPUTED_VALUE"""),115600.0)</f>
        <v>115600</v>
      </c>
      <c r="C1159" s="1">
        <f>IFERROR(__xludf.DUMMYFUNCTION("""COMPUTED_VALUE"""),115800.0)</f>
        <v>115800</v>
      </c>
      <c r="D1159" s="1">
        <f>IFERROR(__xludf.DUMMYFUNCTION("""COMPUTED_VALUE"""),113600.0)</f>
        <v>113600</v>
      </c>
      <c r="E1159" s="1">
        <f>IFERROR(__xludf.DUMMYFUNCTION("""COMPUTED_VALUE"""),115800.0)</f>
        <v>115800</v>
      </c>
      <c r="F1159" s="1">
        <f>IFERROR(__xludf.DUMMYFUNCTION("""COMPUTED_VALUE"""),78797.0)</f>
        <v>78797</v>
      </c>
    </row>
    <row r="1160">
      <c r="A1160" s="2">
        <f>IFERROR(__xludf.DUMMYFUNCTION("""COMPUTED_VALUE"""),42291.64583333333)</f>
        <v>42291.64583</v>
      </c>
      <c r="B1160" s="1">
        <f>IFERROR(__xludf.DUMMYFUNCTION("""COMPUTED_VALUE"""),115400.0)</f>
        <v>115400</v>
      </c>
      <c r="C1160" s="1">
        <f>IFERROR(__xludf.DUMMYFUNCTION("""COMPUTED_VALUE"""),115400.0)</f>
        <v>115400</v>
      </c>
      <c r="D1160" s="1">
        <f>IFERROR(__xludf.DUMMYFUNCTION("""COMPUTED_VALUE"""),112200.0)</f>
        <v>112200</v>
      </c>
      <c r="E1160" s="1">
        <f>IFERROR(__xludf.DUMMYFUNCTION("""COMPUTED_VALUE"""),112400.0)</f>
        <v>112400</v>
      </c>
      <c r="F1160" s="1">
        <f>IFERROR(__xludf.DUMMYFUNCTION("""COMPUTED_VALUE"""),79743.0)</f>
        <v>79743</v>
      </c>
    </row>
    <row r="1161">
      <c r="A1161" s="2">
        <f>IFERROR(__xludf.DUMMYFUNCTION("""COMPUTED_VALUE"""),42292.64583333333)</f>
        <v>42292.64583</v>
      </c>
      <c r="B1161" s="1">
        <f>IFERROR(__xludf.DUMMYFUNCTION("""COMPUTED_VALUE"""),112400.0)</f>
        <v>112400</v>
      </c>
      <c r="C1161" s="1">
        <f>IFERROR(__xludf.DUMMYFUNCTION("""COMPUTED_VALUE"""),114600.0)</f>
        <v>114600</v>
      </c>
      <c r="D1161" s="1">
        <f>IFERROR(__xludf.DUMMYFUNCTION("""COMPUTED_VALUE"""),112000.0)</f>
        <v>112000</v>
      </c>
      <c r="E1161" s="1">
        <f>IFERROR(__xludf.DUMMYFUNCTION("""COMPUTED_VALUE"""),113800.0)</f>
        <v>113800</v>
      </c>
      <c r="F1161" s="1">
        <f>IFERROR(__xludf.DUMMYFUNCTION("""COMPUTED_VALUE"""),65926.0)</f>
        <v>65926</v>
      </c>
    </row>
    <row r="1162">
      <c r="A1162" s="2">
        <f>IFERROR(__xludf.DUMMYFUNCTION("""COMPUTED_VALUE"""),42293.64583333333)</f>
        <v>42293.64583</v>
      </c>
      <c r="B1162" s="1">
        <f>IFERROR(__xludf.DUMMYFUNCTION("""COMPUTED_VALUE"""),114800.0)</f>
        <v>114800</v>
      </c>
      <c r="C1162" s="1">
        <f>IFERROR(__xludf.DUMMYFUNCTION("""COMPUTED_VALUE"""),117400.0)</f>
        <v>117400</v>
      </c>
      <c r="D1162" s="1">
        <f>IFERROR(__xludf.DUMMYFUNCTION("""COMPUTED_VALUE"""),114200.0)</f>
        <v>114200</v>
      </c>
      <c r="E1162" s="1">
        <f>IFERROR(__xludf.DUMMYFUNCTION("""COMPUTED_VALUE"""),117400.0)</f>
        <v>117400</v>
      </c>
      <c r="F1162" s="1">
        <f>IFERROR(__xludf.DUMMYFUNCTION("""COMPUTED_VALUE"""),96505.0)</f>
        <v>96505</v>
      </c>
    </row>
    <row r="1163">
      <c r="A1163" s="2">
        <f>IFERROR(__xludf.DUMMYFUNCTION("""COMPUTED_VALUE"""),42296.64583333333)</f>
        <v>42296.64583</v>
      </c>
      <c r="B1163" s="1">
        <f>IFERROR(__xludf.DUMMYFUNCTION("""COMPUTED_VALUE"""),117600.0)</f>
        <v>117600</v>
      </c>
      <c r="C1163" s="1">
        <f>IFERROR(__xludf.DUMMYFUNCTION("""COMPUTED_VALUE"""),117600.0)</f>
        <v>117600</v>
      </c>
      <c r="D1163" s="1">
        <f>IFERROR(__xludf.DUMMYFUNCTION("""COMPUTED_VALUE"""),114400.0)</f>
        <v>114400</v>
      </c>
      <c r="E1163" s="1">
        <f>IFERROR(__xludf.DUMMYFUNCTION("""COMPUTED_VALUE"""),116800.0)</f>
        <v>116800</v>
      </c>
      <c r="F1163" s="1">
        <f>IFERROR(__xludf.DUMMYFUNCTION("""COMPUTED_VALUE"""),87213.0)</f>
        <v>87213</v>
      </c>
    </row>
    <row r="1164">
      <c r="A1164" s="2">
        <f>IFERROR(__xludf.DUMMYFUNCTION("""COMPUTED_VALUE"""),42297.64583333333)</f>
        <v>42297.64583</v>
      </c>
      <c r="B1164" s="1">
        <f>IFERROR(__xludf.DUMMYFUNCTION("""COMPUTED_VALUE"""),115600.0)</f>
        <v>115600</v>
      </c>
      <c r="C1164" s="1">
        <f>IFERROR(__xludf.DUMMYFUNCTION("""COMPUTED_VALUE"""),117000.0)</f>
        <v>117000</v>
      </c>
      <c r="D1164" s="1">
        <f>IFERROR(__xludf.DUMMYFUNCTION("""COMPUTED_VALUE"""),114600.0)</f>
        <v>114600</v>
      </c>
      <c r="E1164" s="1">
        <f>IFERROR(__xludf.DUMMYFUNCTION("""COMPUTED_VALUE"""),115600.0)</f>
        <v>115600</v>
      </c>
      <c r="F1164" s="1">
        <f>IFERROR(__xludf.DUMMYFUNCTION("""COMPUTED_VALUE"""),76475.0)</f>
        <v>76475</v>
      </c>
    </row>
    <row r="1165">
      <c r="A1165" s="2">
        <f>IFERROR(__xludf.DUMMYFUNCTION("""COMPUTED_VALUE"""),42298.64583333333)</f>
        <v>42298.64583</v>
      </c>
      <c r="B1165" s="1">
        <f>IFERROR(__xludf.DUMMYFUNCTION("""COMPUTED_VALUE"""),116000.0)</f>
        <v>116000</v>
      </c>
      <c r="C1165" s="1">
        <f>IFERROR(__xludf.DUMMYFUNCTION("""COMPUTED_VALUE"""),116000.0)</f>
        <v>116000</v>
      </c>
      <c r="D1165" s="1">
        <f>IFERROR(__xludf.DUMMYFUNCTION("""COMPUTED_VALUE"""),114400.0)</f>
        <v>114400</v>
      </c>
      <c r="E1165" s="1">
        <f>IFERROR(__xludf.DUMMYFUNCTION("""COMPUTED_VALUE"""),115000.0)</f>
        <v>115000</v>
      </c>
      <c r="F1165" s="1">
        <f>IFERROR(__xludf.DUMMYFUNCTION("""COMPUTED_VALUE"""),81612.0)</f>
        <v>81612</v>
      </c>
    </row>
    <row r="1166">
      <c r="A1166" s="2">
        <f>IFERROR(__xludf.DUMMYFUNCTION("""COMPUTED_VALUE"""),42299.64583333333)</f>
        <v>42299.64583</v>
      </c>
      <c r="B1166" s="1">
        <f>IFERROR(__xludf.DUMMYFUNCTION("""COMPUTED_VALUE"""),113800.0)</f>
        <v>113800</v>
      </c>
      <c r="C1166" s="1">
        <f>IFERROR(__xludf.DUMMYFUNCTION("""COMPUTED_VALUE"""),114400.0)</f>
        <v>114400</v>
      </c>
      <c r="D1166" s="1">
        <f>IFERROR(__xludf.DUMMYFUNCTION("""COMPUTED_VALUE"""),109400.0)</f>
        <v>109400</v>
      </c>
      <c r="E1166" s="1">
        <f>IFERROR(__xludf.DUMMYFUNCTION("""COMPUTED_VALUE"""),109400.0)</f>
        <v>109400</v>
      </c>
      <c r="F1166" s="1">
        <f>IFERROR(__xludf.DUMMYFUNCTION("""COMPUTED_VALUE"""),124372.0)</f>
        <v>124372</v>
      </c>
    </row>
    <row r="1167">
      <c r="A1167" s="2">
        <f>IFERROR(__xludf.DUMMYFUNCTION("""COMPUTED_VALUE"""),42300.64583333333)</f>
        <v>42300.64583</v>
      </c>
      <c r="B1167" s="1">
        <f>IFERROR(__xludf.DUMMYFUNCTION("""COMPUTED_VALUE"""),110400.0)</f>
        <v>110400</v>
      </c>
      <c r="C1167" s="1">
        <f>IFERROR(__xludf.DUMMYFUNCTION("""COMPUTED_VALUE"""),114800.0)</f>
        <v>114800</v>
      </c>
      <c r="D1167" s="1">
        <f>IFERROR(__xludf.DUMMYFUNCTION("""COMPUTED_VALUE"""),110200.0)</f>
        <v>110200</v>
      </c>
      <c r="E1167" s="1">
        <f>IFERROR(__xludf.DUMMYFUNCTION("""COMPUTED_VALUE"""),114200.0)</f>
        <v>114200</v>
      </c>
      <c r="F1167" s="1">
        <f>IFERROR(__xludf.DUMMYFUNCTION("""COMPUTED_VALUE"""),120825.0)</f>
        <v>120825</v>
      </c>
    </row>
    <row r="1168">
      <c r="A1168" s="2">
        <f>IFERROR(__xludf.DUMMYFUNCTION("""COMPUTED_VALUE"""),42303.64583333333)</f>
        <v>42303.64583</v>
      </c>
      <c r="B1168" s="1">
        <f>IFERROR(__xludf.DUMMYFUNCTION("""COMPUTED_VALUE"""),114800.0)</f>
        <v>114800</v>
      </c>
      <c r="C1168" s="1">
        <f>IFERROR(__xludf.DUMMYFUNCTION("""COMPUTED_VALUE"""),116800.0)</f>
        <v>116800</v>
      </c>
      <c r="D1168" s="1">
        <f>IFERROR(__xludf.DUMMYFUNCTION("""COMPUTED_VALUE"""),109600.0)</f>
        <v>109600</v>
      </c>
      <c r="E1168" s="1">
        <f>IFERROR(__xludf.DUMMYFUNCTION("""COMPUTED_VALUE"""),112400.0)</f>
        <v>112400</v>
      </c>
      <c r="F1168" s="1">
        <f>IFERROR(__xludf.DUMMYFUNCTION("""COMPUTED_VALUE"""),148900.0)</f>
        <v>148900</v>
      </c>
    </row>
    <row r="1169">
      <c r="A1169" s="2">
        <f>IFERROR(__xludf.DUMMYFUNCTION("""COMPUTED_VALUE"""),42304.64583333333)</f>
        <v>42304.64583</v>
      </c>
      <c r="B1169" s="1">
        <f>IFERROR(__xludf.DUMMYFUNCTION("""COMPUTED_VALUE"""),109400.0)</f>
        <v>109400</v>
      </c>
      <c r="C1169" s="1">
        <f>IFERROR(__xludf.DUMMYFUNCTION("""COMPUTED_VALUE"""),112800.0)</f>
        <v>112800</v>
      </c>
      <c r="D1169" s="1">
        <f>IFERROR(__xludf.DUMMYFUNCTION("""COMPUTED_VALUE"""),109400.0)</f>
        <v>109400</v>
      </c>
      <c r="E1169" s="1">
        <f>IFERROR(__xludf.DUMMYFUNCTION("""COMPUTED_VALUE"""),112800.0)</f>
        <v>112800</v>
      </c>
      <c r="F1169" s="1">
        <f>IFERROR(__xludf.DUMMYFUNCTION("""COMPUTED_VALUE"""),67455.0)</f>
        <v>67455</v>
      </c>
    </row>
    <row r="1170">
      <c r="A1170" s="2">
        <f>IFERROR(__xludf.DUMMYFUNCTION("""COMPUTED_VALUE"""),42305.64583333333)</f>
        <v>42305.64583</v>
      </c>
      <c r="B1170" s="1">
        <f>IFERROR(__xludf.DUMMYFUNCTION("""COMPUTED_VALUE"""),112200.0)</f>
        <v>112200</v>
      </c>
      <c r="C1170" s="1">
        <f>IFERROR(__xludf.DUMMYFUNCTION("""COMPUTED_VALUE"""),115400.0)</f>
        <v>115400</v>
      </c>
      <c r="D1170" s="1">
        <f>IFERROR(__xludf.DUMMYFUNCTION("""COMPUTED_VALUE"""),108400.0)</f>
        <v>108400</v>
      </c>
      <c r="E1170" s="1">
        <f>IFERROR(__xludf.DUMMYFUNCTION("""COMPUTED_VALUE"""),115400.0)</f>
        <v>115400</v>
      </c>
      <c r="F1170" s="1">
        <f>IFERROR(__xludf.DUMMYFUNCTION("""COMPUTED_VALUE"""),117682.0)</f>
        <v>117682</v>
      </c>
    </row>
    <row r="1171">
      <c r="A1171" s="2">
        <f>IFERROR(__xludf.DUMMYFUNCTION("""COMPUTED_VALUE"""),42306.64583333333)</f>
        <v>42306.64583</v>
      </c>
      <c r="B1171" s="1">
        <f>IFERROR(__xludf.DUMMYFUNCTION("""COMPUTED_VALUE"""),120000.0)</f>
        <v>120000</v>
      </c>
      <c r="C1171" s="1">
        <f>IFERROR(__xludf.DUMMYFUNCTION("""COMPUTED_VALUE"""),123400.0)</f>
        <v>123400</v>
      </c>
      <c r="D1171" s="1">
        <f>IFERROR(__xludf.DUMMYFUNCTION("""COMPUTED_VALUE"""),117600.0)</f>
        <v>117600</v>
      </c>
      <c r="E1171" s="1">
        <f>IFERROR(__xludf.DUMMYFUNCTION("""COMPUTED_VALUE"""),118400.0)</f>
        <v>118400</v>
      </c>
      <c r="F1171" s="1">
        <f>IFERROR(__xludf.DUMMYFUNCTION("""COMPUTED_VALUE"""),236647.0)</f>
        <v>236647</v>
      </c>
    </row>
    <row r="1172">
      <c r="A1172" s="2">
        <f>IFERROR(__xludf.DUMMYFUNCTION("""COMPUTED_VALUE"""),42307.64583333333)</f>
        <v>42307.64583</v>
      </c>
      <c r="B1172" s="1">
        <f>IFERROR(__xludf.DUMMYFUNCTION("""COMPUTED_VALUE"""),118400.0)</f>
        <v>118400</v>
      </c>
      <c r="C1172" s="1">
        <f>IFERROR(__xludf.DUMMYFUNCTION("""COMPUTED_VALUE"""),121400.0)</f>
        <v>121400</v>
      </c>
      <c r="D1172" s="1">
        <f>IFERROR(__xludf.DUMMYFUNCTION("""COMPUTED_VALUE"""),115200.0)</f>
        <v>115200</v>
      </c>
      <c r="E1172" s="1">
        <f>IFERROR(__xludf.DUMMYFUNCTION("""COMPUTED_VALUE"""),120000.0)</f>
        <v>120000</v>
      </c>
      <c r="F1172" s="1">
        <f>IFERROR(__xludf.DUMMYFUNCTION("""COMPUTED_VALUE"""),191054.0)</f>
        <v>191054</v>
      </c>
    </row>
    <row r="1173">
      <c r="A1173" s="2">
        <f>IFERROR(__xludf.DUMMYFUNCTION("""COMPUTED_VALUE"""),42310.64583333333)</f>
        <v>42310.64583</v>
      </c>
      <c r="B1173" s="1">
        <f>IFERROR(__xludf.DUMMYFUNCTION("""COMPUTED_VALUE"""),120000.0)</f>
        <v>120000</v>
      </c>
      <c r="C1173" s="1">
        <f>IFERROR(__xludf.DUMMYFUNCTION("""COMPUTED_VALUE"""),121400.0)</f>
        <v>121400</v>
      </c>
      <c r="D1173" s="1">
        <f>IFERROR(__xludf.DUMMYFUNCTION("""COMPUTED_VALUE"""),119400.0)</f>
        <v>119400</v>
      </c>
      <c r="E1173" s="1">
        <f>IFERROR(__xludf.DUMMYFUNCTION("""COMPUTED_VALUE"""),120600.0)</f>
        <v>120600</v>
      </c>
      <c r="F1173" s="1">
        <f>IFERROR(__xludf.DUMMYFUNCTION("""COMPUTED_VALUE"""),103645.0)</f>
        <v>103645</v>
      </c>
    </row>
    <row r="1174">
      <c r="A1174" s="2">
        <f>IFERROR(__xludf.DUMMYFUNCTION("""COMPUTED_VALUE"""),42311.64583333333)</f>
        <v>42311.64583</v>
      </c>
      <c r="B1174" s="1">
        <f>IFERROR(__xludf.DUMMYFUNCTION("""COMPUTED_VALUE"""),121400.0)</f>
        <v>121400</v>
      </c>
      <c r="C1174" s="1">
        <f>IFERROR(__xludf.DUMMYFUNCTION("""COMPUTED_VALUE"""),123800.0)</f>
        <v>123800</v>
      </c>
      <c r="D1174" s="1">
        <f>IFERROR(__xludf.DUMMYFUNCTION("""COMPUTED_VALUE"""),120000.0)</f>
        <v>120000</v>
      </c>
      <c r="E1174" s="1">
        <f>IFERROR(__xludf.DUMMYFUNCTION("""COMPUTED_VALUE"""),123800.0)</f>
        <v>123800</v>
      </c>
      <c r="F1174" s="1">
        <f>IFERROR(__xludf.DUMMYFUNCTION("""COMPUTED_VALUE"""),116881.0)</f>
        <v>116881</v>
      </c>
    </row>
    <row r="1175">
      <c r="A1175" s="2">
        <f>IFERROR(__xludf.DUMMYFUNCTION("""COMPUTED_VALUE"""),42312.64583333333)</f>
        <v>42312.64583</v>
      </c>
      <c r="B1175" s="1">
        <f>IFERROR(__xludf.DUMMYFUNCTION("""COMPUTED_VALUE"""),125000.0)</f>
        <v>125000</v>
      </c>
      <c r="C1175" s="1">
        <f>IFERROR(__xludf.DUMMYFUNCTION("""COMPUTED_VALUE"""),125600.0)</f>
        <v>125600</v>
      </c>
      <c r="D1175" s="1">
        <f>IFERROR(__xludf.DUMMYFUNCTION("""COMPUTED_VALUE"""),123200.0)</f>
        <v>123200</v>
      </c>
      <c r="E1175" s="1">
        <f>IFERROR(__xludf.DUMMYFUNCTION("""COMPUTED_VALUE"""),125200.0)</f>
        <v>125200</v>
      </c>
      <c r="F1175" s="1">
        <f>IFERROR(__xludf.DUMMYFUNCTION("""COMPUTED_VALUE"""),130717.0)</f>
        <v>130717</v>
      </c>
    </row>
    <row r="1176">
      <c r="A1176" s="2">
        <f>IFERROR(__xludf.DUMMYFUNCTION("""COMPUTED_VALUE"""),42313.64583333333)</f>
        <v>42313.64583</v>
      </c>
      <c r="B1176" s="1">
        <f>IFERROR(__xludf.DUMMYFUNCTION("""COMPUTED_VALUE"""),124600.0)</f>
        <v>124600</v>
      </c>
      <c r="C1176" s="1">
        <f>IFERROR(__xludf.DUMMYFUNCTION("""COMPUTED_VALUE"""),127000.0)</f>
        <v>127000</v>
      </c>
      <c r="D1176" s="1">
        <f>IFERROR(__xludf.DUMMYFUNCTION("""COMPUTED_VALUE"""),123800.0)</f>
        <v>123800</v>
      </c>
      <c r="E1176" s="1">
        <f>IFERROR(__xludf.DUMMYFUNCTION("""COMPUTED_VALUE"""),125800.0)</f>
        <v>125800</v>
      </c>
      <c r="F1176" s="1">
        <f>IFERROR(__xludf.DUMMYFUNCTION("""COMPUTED_VALUE"""),74342.0)</f>
        <v>74342</v>
      </c>
    </row>
    <row r="1177">
      <c r="A1177" s="2">
        <f>IFERROR(__xludf.DUMMYFUNCTION("""COMPUTED_VALUE"""),42314.64583333333)</f>
        <v>42314.64583</v>
      </c>
      <c r="B1177" s="1">
        <f>IFERROR(__xludf.DUMMYFUNCTION("""COMPUTED_VALUE"""),124200.0)</f>
        <v>124200</v>
      </c>
      <c r="C1177" s="1">
        <f>IFERROR(__xludf.DUMMYFUNCTION("""COMPUTED_VALUE"""),126200.0)</f>
        <v>126200</v>
      </c>
      <c r="D1177" s="1">
        <f>IFERROR(__xludf.DUMMYFUNCTION("""COMPUTED_VALUE"""),124000.0)</f>
        <v>124000</v>
      </c>
      <c r="E1177" s="1">
        <f>IFERROR(__xludf.DUMMYFUNCTION("""COMPUTED_VALUE"""),126000.0)</f>
        <v>126000</v>
      </c>
      <c r="F1177" s="1">
        <f>IFERROR(__xludf.DUMMYFUNCTION("""COMPUTED_VALUE"""),47733.0)</f>
        <v>47733</v>
      </c>
    </row>
    <row r="1178">
      <c r="A1178" s="2">
        <f>IFERROR(__xludf.DUMMYFUNCTION("""COMPUTED_VALUE"""),42317.64583333333)</f>
        <v>42317.64583</v>
      </c>
      <c r="B1178" s="1">
        <f>IFERROR(__xludf.DUMMYFUNCTION("""COMPUTED_VALUE"""),126600.0)</f>
        <v>126600</v>
      </c>
      <c r="C1178" s="1">
        <f>IFERROR(__xludf.DUMMYFUNCTION("""COMPUTED_VALUE"""),127200.0)</f>
        <v>127200</v>
      </c>
      <c r="D1178" s="1">
        <f>IFERROR(__xludf.DUMMYFUNCTION("""COMPUTED_VALUE"""),124800.0)</f>
        <v>124800</v>
      </c>
      <c r="E1178" s="1">
        <f>IFERROR(__xludf.DUMMYFUNCTION("""COMPUTED_VALUE"""),126800.0)</f>
        <v>126800</v>
      </c>
      <c r="F1178" s="1">
        <f>IFERROR(__xludf.DUMMYFUNCTION("""COMPUTED_VALUE"""),69266.0)</f>
        <v>69266</v>
      </c>
    </row>
    <row r="1179">
      <c r="A1179" s="2">
        <f>IFERROR(__xludf.DUMMYFUNCTION("""COMPUTED_VALUE"""),42318.64583333333)</f>
        <v>42318.64583</v>
      </c>
      <c r="B1179" s="1">
        <f>IFERROR(__xludf.DUMMYFUNCTION("""COMPUTED_VALUE"""),126800.0)</f>
        <v>126800</v>
      </c>
      <c r="C1179" s="1">
        <f>IFERROR(__xludf.DUMMYFUNCTION("""COMPUTED_VALUE"""),126800.0)</f>
        <v>126800</v>
      </c>
      <c r="D1179" s="1">
        <f>IFERROR(__xludf.DUMMYFUNCTION("""COMPUTED_VALUE"""),121400.0)</f>
        <v>121400</v>
      </c>
      <c r="E1179" s="1">
        <f>IFERROR(__xludf.DUMMYFUNCTION("""COMPUTED_VALUE"""),123600.0)</f>
        <v>123600</v>
      </c>
      <c r="F1179" s="1">
        <f>IFERROR(__xludf.DUMMYFUNCTION("""COMPUTED_VALUE"""),111953.0)</f>
        <v>111953</v>
      </c>
    </row>
    <row r="1180">
      <c r="A1180" s="2">
        <f>IFERROR(__xludf.DUMMYFUNCTION("""COMPUTED_VALUE"""),42319.64583333333)</f>
        <v>42319.64583</v>
      </c>
      <c r="B1180" s="1">
        <f>IFERROR(__xludf.DUMMYFUNCTION("""COMPUTED_VALUE"""),124000.0)</f>
        <v>124000</v>
      </c>
      <c r="C1180" s="1">
        <f>IFERROR(__xludf.DUMMYFUNCTION("""COMPUTED_VALUE"""),126000.0)</f>
        <v>126000</v>
      </c>
      <c r="D1180" s="1">
        <f>IFERROR(__xludf.DUMMYFUNCTION("""COMPUTED_VALUE"""),122600.0)</f>
        <v>122600</v>
      </c>
      <c r="E1180" s="1">
        <f>IFERROR(__xludf.DUMMYFUNCTION("""COMPUTED_VALUE"""),125000.0)</f>
        <v>125000</v>
      </c>
      <c r="F1180" s="1">
        <f>IFERROR(__xludf.DUMMYFUNCTION("""COMPUTED_VALUE"""),72445.0)</f>
        <v>72445</v>
      </c>
    </row>
    <row r="1181">
      <c r="A1181" s="2">
        <f>IFERROR(__xludf.DUMMYFUNCTION("""COMPUTED_VALUE"""),42320.64583333333)</f>
        <v>42320.64583</v>
      </c>
      <c r="B1181" s="1">
        <f>IFERROR(__xludf.DUMMYFUNCTION("""COMPUTED_VALUE"""),124400.0)</f>
        <v>124400</v>
      </c>
      <c r="C1181" s="1">
        <f>IFERROR(__xludf.DUMMYFUNCTION("""COMPUTED_VALUE"""),125600.0)</f>
        <v>125600</v>
      </c>
      <c r="D1181" s="1">
        <f>IFERROR(__xludf.DUMMYFUNCTION("""COMPUTED_VALUE"""),123400.0)</f>
        <v>123400</v>
      </c>
      <c r="E1181" s="1">
        <f>IFERROR(__xludf.DUMMYFUNCTION("""COMPUTED_VALUE"""),124000.0)</f>
        <v>124000</v>
      </c>
      <c r="F1181" s="1">
        <f>IFERROR(__xludf.DUMMYFUNCTION("""COMPUTED_VALUE"""),51223.0)</f>
        <v>51223</v>
      </c>
    </row>
    <row r="1182">
      <c r="A1182" s="2">
        <f>IFERROR(__xludf.DUMMYFUNCTION("""COMPUTED_VALUE"""),42321.64583333333)</f>
        <v>42321.64583</v>
      </c>
      <c r="B1182" s="1">
        <f>IFERROR(__xludf.DUMMYFUNCTION("""COMPUTED_VALUE"""),122200.0)</f>
        <v>122200</v>
      </c>
      <c r="C1182" s="1">
        <f>IFERROR(__xludf.DUMMYFUNCTION("""COMPUTED_VALUE"""),123200.0)</f>
        <v>123200</v>
      </c>
      <c r="D1182" s="1">
        <f>IFERROR(__xludf.DUMMYFUNCTION("""COMPUTED_VALUE"""),119800.0)</f>
        <v>119800</v>
      </c>
      <c r="E1182" s="1">
        <f>IFERROR(__xludf.DUMMYFUNCTION("""COMPUTED_VALUE"""),121200.0)</f>
        <v>121200</v>
      </c>
      <c r="F1182" s="1">
        <f>IFERROR(__xludf.DUMMYFUNCTION("""COMPUTED_VALUE"""),79453.0)</f>
        <v>79453</v>
      </c>
    </row>
    <row r="1183">
      <c r="A1183" s="2">
        <f>IFERROR(__xludf.DUMMYFUNCTION("""COMPUTED_VALUE"""),42324.64583333333)</f>
        <v>42324.64583</v>
      </c>
      <c r="B1183" s="1">
        <f>IFERROR(__xludf.DUMMYFUNCTION("""COMPUTED_VALUE"""),118000.0)</f>
        <v>118000</v>
      </c>
      <c r="C1183" s="1">
        <f>IFERROR(__xludf.DUMMYFUNCTION("""COMPUTED_VALUE"""),120400.0)</f>
        <v>120400</v>
      </c>
      <c r="D1183" s="1">
        <f>IFERROR(__xludf.DUMMYFUNCTION("""COMPUTED_VALUE"""),117800.0)</f>
        <v>117800</v>
      </c>
      <c r="E1183" s="1">
        <f>IFERROR(__xludf.DUMMYFUNCTION("""COMPUTED_VALUE"""),118400.0)</f>
        <v>118400</v>
      </c>
      <c r="F1183" s="1">
        <f>IFERROR(__xludf.DUMMYFUNCTION("""COMPUTED_VALUE"""),110336.0)</f>
        <v>110336</v>
      </c>
    </row>
    <row r="1184">
      <c r="A1184" s="2">
        <f>IFERROR(__xludf.DUMMYFUNCTION("""COMPUTED_VALUE"""),42325.64583333333)</f>
        <v>42325.64583</v>
      </c>
      <c r="B1184" s="1">
        <f>IFERROR(__xludf.DUMMYFUNCTION("""COMPUTED_VALUE"""),119200.0)</f>
        <v>119200</v>
      </c>
      <c r="C1184" s="1">
        <f>IFERROR(__xludf.DUMMYFUNCTION("""COMPUTED_VALUE"""),121600.0)</f>
        <v>121600</v>
      </c>
      <c r="D1184" s="1">
        <f>IFERROR(__xludf.DUMMYFUNCTION("""COMPUTED_VALUE"""),119200.0)</f>
        <v>119200</v>
      </c>
      <c r="E1184" s="1">
        <f>IFERROR(__xludf.DUMMYFUNCTION("""COMPUTED_VALUE"""),119800.0)</f>
        <v>119800</v>
      </c>
      <c r="F1184" s="1">
        <f>IFERROR(__xludf.DUMMYFUNCTION("""COMPUTED_VALUE"""),72457.0)</f>
        <v>72457</v>
      </c>
    </row>
    <row r="1185">
      <c r="A1185" s="2">
        <f>IFERROR(__xludf.DUMMYFUNCTION("""COMPUTED_VALUE"""),42326.64583333333)</f>
        <v>42326.64583</v>
      </c>
      <c r="B1185" s="1">
        <f>IFERROR(__xludf.DUMMYFUNCTION("""COMPUTED_VALUE"""),119800.0)</f>
        <v>119800</v>
      </c>
      <c r="C1185" s="1">
        <f>IFERROR(__xludf.DUMMYFUNCTION("""COMPUTED_VALUE"""),120800.0)</f>
        <v>120800</v>
      </c>
      <c r="D1185" s="1">
        <f>IFERROR(__xludf.DUMMYFUNCTION("""COMPUTED_VALUE"""),118800.0)</f>
        <v>118800</v>
      </c>
      <c r="E1185" s="1">
        <f>IFERROR(__xludf.DUMMYFUNCTION("""COMPUTED_VALUE"""),120000.0)</f>
        <v>120000</v>
      </c>
      <c r="F1185" s="1">
        <f>IFERROR(__xludf.DUMMYFUNCTION("""COMPUTED_VALUE"""),40143.0)</f>
        <v>40143</v>
      </c>
    </row>
    <row r="1186">
      <c r="A1186" s="2">
        <f>IFERROR(__xludf.DUMMYFUNCTION("""COMPUTED_VALUE"""),42327.64583333333)</f>
        <v>42327.64583</v>
      </c>
      <c r="B1186" s="1">
        <f>IFERROR(__xludf.DUMMYFUNCTION("""COMPUTED_VALUE"""),120200.0)</f>
        <v>120200</v>
      </c>
      <c r="C1186" s="1">
        <f>IFERROR(__xludf.DUMMYFUNCTION("""COMPUTED_VALUE"""),121800.0)</f>
        <v>121800</v>
      </c>
      <c r="D1186" s="1">
        <f>IFERROR(__xludf.DUMMYFUNCTION("""COMPUTED_VALUE"""),118800.0)</f>
        <v>118800</v>
      </c>
      <c r="E1186" s="1">
        <f>IFERROR(__xludf.DUMMYFUNCTION("""COMPUTED_VALUE"""),121800.0)</f>
        <v>121800</v>
      </c>
      <c r="F1186" s="1">
        <f>IFERROR(__xludf.DUMMYFUNCTION("""COMPUTED_VALUE"""),58688.0)</f>
        <v>58688</v>
      </c>
    </row>
    <row r="1187">
      <c r="A1187" s="2">
        <f>IFERROR(__xludf.DUMMYFUNCTION("""COMPUTED_VALUE"""),42328.64583333333)</f>
        <v>42328.64583</v>
      </c>
      <c r="B1187" s="1">
        <f>IFERROR(__xludf.DUMMYFUNCTION("""COMPUTED_VALUE"""),123200.0)</f>
        <v>123200</v>
      </c>
      <c r="C1187" s="1">
        <f>IFERROR(__xludf.DUMMYFUNCTION("""COMPUTED_VALUE"""),125800.0)</f>
        <v>125800</v>
      </c>
      <c r="D1187" s="1">
        <f>IFERROR(__xludf.DUMMYFUNCTION("""COMPUTED_VALUE"""),122000.0)</f>
        <v>122000</v>
      </c>
      <c r="E1187" s="1">
        <f>IFERROR(__xludf.DUMMYFUNCTION("""COMPUTED_VALUE"""),125400.0)</f>
        <v>125400</v>
      </c>
      <c r="F1187" s="1">
        <f>IFERROR(__xludf.DUMMYFUNCTION("""COMPUTED_VALUE"""),72507.0)</f>
        <v>72507</v>
      </c>
    </row>
    <row r="1188">
      <c r="A1188" s="2">
        <f>IFERROR(__xludf.DUMMYFUNCTION("""COMPUTED_VALUE"""),42331.64583333333)</f>
        <v>42331.64583</v>
      </c>
      <c r="B1188" s="1">
        <f>IFERROR(__xludf.DUMMYFUNCTION("""COMPUTED_VALUE"""),125400.0)</f>
        <v>125400</v>
      </c>
      <c r="C1188" s="1">
        <f>IFERROR(__xludf.DUMMYFUNCTION("""COMPUTED_VALUE"""),125800.0)</f>
        <v>125800</v>
      </c>
      <c r="D1188" s="1">
        <f>IFERROR(__xludf.DUMMYFUNCTION("""COMPUTED_VALUE"""),123200.0)</f>
        <v>123200</v>
      </c>
      <c r="E1188" s="1">
        <f>IFERROR(__xludf.DUMMYFUNCTION("""COMPUTED_VALUE"""),124800.0)</f>
        <v>124800</v>
      </c>
      <c r="F1188" s="1">
        <f>IFERROR(__xludf.DUMMYFUNCTION("""COMPUTED_VALUE"""),57656.0)</f>
        <v>57656</v>
      </c>
    </row>
    <row r="1189">
      <c r="A1189" s="2">
        <f>IFERROR(__xludf.DUMMYFUNCTION("""COMPUTED_VALUE"""),42332.64583333333)</f>
        <v>42332.64583</v>
      </c>
      <c r="B1189" s="1">
        <f>IFERROR(__xludf.DUMMYFUNCTION("""COMPUTED_VALUE"""),125000.0)</f>
        <v>125000</v>
      </c>
      <c r="C1189" s="1">
        <f>IFERROR(__xludf.DUMMYFUNCTION("""COMPUTED_VALUE"""),126600.0)</f>
        <v>126600</v>
      </c>
      <c r="D1189" s="1">
        <f>IFERROR(__xludf.DUMMYFUNCTION("""COMPUTED_VALUE"""),123800.0)</f>
        <v>123800</v>
      </c>
      <c r="E1189" s="1">
        <f>IFERROR(__xludf.DUMMYFUNCTION("""COMPUTED_VALUE"""),124200.0)</f>
        <v>124200</v>
      </c>
      <c r="F1189" s="1">
        <f>IFERROR(__xludf.DUMMYFUNCTION("""COMPUTED_VALUE"""),62079.0)</f>
        <v>62079</v>
      </c>
    </row>
    <row r="1190">
      <c r="A1190" s="2">
        <f>IFERROR(__xludf.DUMMYFUNCTION("""COMPUTED_VALUE"""),42333.64583333333)</f>
        <v>42333.64583</v>
      </c>
      <c r="B1190" s="1">
        <f>IFERROR(__xludf.DUMMYFUNCTION("""COMPUTED_VALUE"""),124000.0)</f>
        <v>124000</v>
      </c>
      <c r="C1190" s="1">
        <f>IFERROR(__xludf.DUMMYFUNCTION("""COMPUTED_VALUE"""),126600.0)</f>
        <v>126600</v>
      </c>
      <c r="D1190" s="1">
        <f>IFERROR(__xludf.DUMMYFUNCTION("""COMPUTED_VALUE"""),123200.0)</f>
        <v>123200</v>
      </c>
      <c r="E1190" s="1">
        <f>IFERROR(__xludf.DUMMYFUNCTION("""COMPUTED_VALUE"""),126000.0)</f>
        <v>126000</v>
      </c>
      <c r="F1190" s="1">
        <f>IFERROR(__xludf.DUMMYFUNCTION("""COMPUTED_VALUE"""),60328.0)</f>
        <v>60328</v>
      </c>
    </row>
    <row r="1191">
      <c r="A1191" s="2">
        <f>IFERROR(__xludf.DUMMYFUNCTION("""COMPUTED_VALUE"""),42334.64583333333)</f>
        <v>42334.64583</v>
      </c>
      <c r="B1191" s="1">
        <f>IFERROR(__xludf.DUMMYFUNCTION("""COMPUTED_VALUE"""),126000.0)</f>
        <v>126000</v>
      </c>
      <c r="C1191" s="1">
        <f>IFERROR(__xludf.DUMMYFUNCTION("""COMPUTED_VALUE"""),127000.0)</f>
        <v>127000</v>
      </c>
      <c r="D1191" s="1">
        <f>IFERROR(__xludf.DUMMYFUNCTION("""COMPUTED_VALUE"""),124600.0)</f>
        <v>124600</v>
      </c>
      <c r="E1191" s="1">
        <f>IFERROR(__xludf.DUMMYFUNCTION("""COMPUTED_VALUE"""),126600.0)</f>
        <v>126600</v>
      </c>
      <c r="F1191" s="1">
        <f>IFERROR(__xludf.DUMMYFUNCTION("""COMPUTED_VALUE"""),55020.0)</f>
        <v>55020</v>
      </c>
    </row>
    <row r="1192">
      <c r="A1192" s="2">
        <f>IFERROR(__xludf.DUMMYFUNCTION("""COMPUTED_VALUE"""),42335.64583333333)</f>
        <v>42335.64583</v>
      </c>
      <c r="B1192" s="1">
        <f>IFERROR(__xludf.DUMMYFUNCTION("""COMPUTED_VALUE"""),125400.0)</f>
        <v>125400</v>
      </c>
      <c r="C1192" s="1">
        <f>IFERROR(__xludf.DUMMYFUNCTION("""COMPUTED_VALUE"""),129400.0)</f>
        <v>129400</v>
      </c>
      <c r="D1192" s="1">
        <f>IFERROR(__xludf.DUMMYFUNCTION("""COMPUTED_VALUE"""),125400.0)</f>
        <v>125400</v>
      </c>
      <c r="E1192" s="1">
        <f>IFERROR(__xludf.DUMMYFUNCTION("""COMPUTED_VALUE"""),126400.0)</f>
        <v>126400</v>
      </c>
      <c r="F1192" s="1">
        <f>IFERROR(__xludf.DUMMYFUNCTION("""COMPUTED_VALUE"""),63802.0)</f>
        <v>63802</v>
      </c>
    </row>
    <row r="1193">
      <c r="A1193" s="2">
        <f>IFERROR(__xludf.DUMMYFUNCTION("""COMPUTED_VALUE"""),42338.64583333333)</f>
        <v>42338.64583</v>
      </c>
      <c r="B1193" s="1">
        <f>IFERROR(__xludf.DUMMYFUNCTION("""COMPUTED_VALUE"""),126600.0)</f>
        <v>126600</v>
      </c>
      <c r="C1193" s="1">
        <f>IFERROR(__xludf.DUMMYFUNCTION("""COMPUTED_VALUE"""),127200.0)</f>
        <v>127200</v>
      </c>
      <c r="D1193" s="1">
        <f>IFERROR(__xludf.DUMMYFUNCTION("""COMPUTED_VALUE"""),124000.0)</f>
        <v>124000</v>
      </c>
      <c r="E1193" s="1">
        <f>IFERROR(__xludf.DUMMYFUNCTION("""COMPUTED_VALUE"""),126200.0)</f>
        <v>126200</v>
      </c>
      <c r="F1193" s="1">
        <f>IFERROR(__xludf.DUMMYFUNCTION("""COMPUTED_VALUE"""),137122.0)</f>
        <v>137122</v>
      </c>
    </row>
    <row r="1194">
      <c r="A1194" s="2">
        <f>IFERROR(__xludf.DUMMYFUNCTION("""COMPUTED_VALUE"""),42339.64583333333)</f>
        <v>42339.64583</v>
      </c>
      <c r="B1194" s="1">
        <f>IFERROR(__xludf.DUMMYFUNCTION("""COMPUTED_VALUE"""),127000.0)</f>
        <v>127000</v>
      </c>
      <c r="C1194" s="1">
        <f>IFERROR(__xludf.DUMMYFUNCTION("""COMPUTED_VALUE"""),129800.0)</f>
        <v>129800</v>
      </c>
      <c r="D1194" s="1">
        <f>IFERROR(__xludf.DUMMYFUNCTION("""COMPUTED_VALUE"""),126400.0)</f>
        <v>126400</v>
      </c>
      <c r="E1194" s="1">
        <f>IFERROR(__xludf.DUMMYFUNCTION("""COMPUTED_VALUE"""),129400.0)</f>
        <v>129400</v>
      </c>
      <c r="F1194" s="1">
        <f>IFERROR(__xludf.DUMMYFUNCTION("""COMPUTED_VALUE"""),60670.0)</f>
        <v>60670</v>
      </c>
    </row>
    <row r="1195">
      <c r="A1195" s="2">
        <f>IFERROR(__xludf.DUMMYFUNCTION("""COMPUTED_VALUE"""),42340.64583333333)</f>
        <v>42340.64583</v>
      </c>
      <c r="B1195" s="1">
        <f>IFERROR(__xludf.DUMMYFUNCTION("""COMPUTED_VALUE"""),128800.0)</f>
        <v>128800</v>
      </c>
      <c r="C1195" s="1">
        <f>IFERROR(__xludf.DUMMYFUNCTION("""COMPUTED_VALUE"""),130200.0)</f>
        <v>130200</v>
      </c>
      <c r="D1195" s="1">
        <f>IFERROR(__xludf.DUMMYFUNCTION("""COMPUTED_VALUE"""),127200.0)</f>
        <v>127200</v>
      </c>
      <c r="E1195" s="1">
        <f>IFERROR(__xludf.DUMMYFUNCTION("""COMPUTED_VALUE"""),127800.0)</f>
        <v>127800</v>
      </c>
      <c r="F1195" s="1">
        <f>IFERROR(__xludf.DUMMYFUNCTION("""COMPUTED_VALUE"""),74574.0)</f>
        <v>74574</v>
      </c>
    </row>
    <row r="1196">
      <c r="A1196" s="2">
        <f>IFERROR(__xludf.DUMMYFUNCTION("""COMPUTED_VALUE"""),42341.64583333333)</f>
        <v>42341.64583</v>
      </c>
      <c r="B1196" s="1">
        <f>IFERROR(__xludf.DUMMYFUNCTION("""COMPUTED_VALUE"""),129600.0)</f>
        <v>129600</v>
      </c>
      <c r="C1196" s="1">
        <f>IFERROR(__xludf.DUMMYFUNCTION("""COMPUTED_VALUE"""),129800.0)</f>
        <v>129800</v>
      </c>
      <c r="D1196" s="1">
        <f>IFERROR(__xludf.DUMMYFUNCTION("""COMPUTED_VALUE"""),125400.0)</f>
        <v>125400</v>
      </c>
      <c r="E1196" s="1">
        <f>IFERROR(__xludf.DUMMYFUNCTION("""COMPUTED_VALUE"""),126600.0)</f>
        <v>126600</v>
      </c>
      <c r="F1196" s="1">
        <f>IFERROR(__xludf.DUMMYFUNCTION("""COMPUTED_VALUE"""),46391.0)</f>
        <v>46391</v>
      </c>
    </row>
    <row r="1197">
      <c r="A1197" s="2">
        <f>IFERROR(__xludf.DUMMYFUNCTION("""COMPUTED_VALUE"""),42342.64583333333)</f>
        <v>42342.64583</v>
      </c>
      <c r="B1197" s="1">
        <f>IFERROR(__xludf.DUMMYFUNCTION("""COMPUTED_VALUE"""),125600.0)</f>
        <v>125600</v>
      </c>
      <c r="C1197" s="1">
        <f>IFERROR(__xludf.DUMMYFUNCTION("""COMPUTED_VALUE"""),126000.0)</f>
        <v>126000</v>
      </c>
      <c r="D1197" s="1">
        <f>IFERROR(__xludf.DUMMYFUNCTION("""COMPUTED_VALUE"""),122600.0)</f>
        <v>122600</v>
      </c>
      <c r="E1197" s="1">
        <f>IFERROR(__xludf.DUMMYFUNCTION("""COMPUTED_VALUE"""),125000.0)</f>
        <v>125000</v>
      </c>
      <c r="F1197" s="1">
        <f>IFERROR(__xludf.DUMMYFUNCTION("""COMPUTED_VALUE"""),78208.0)</f>
        <v>78208</v>
      </c>
    </row>
    <row r="1198">
      <c r="A1198" s="2">
        <f>IFERROR(__xludf.DUMMYFUNCTION("""COMPUTED_VALUE"""),42345.64583333333)</f>
        <v>42345.64583</v>
      </c>
      <c r="B1198" s="1">
        <f>IFERROR(__xludf.DUMMYFUNCTION("""COMPUTED_VALUE"""),125400.0)</f>
        <v>125400</v>
      </c>
      <c r="C1198" s="1">
        <f>IFERROR(__xludf.DUMMYFUNCTION("""COMPUTED_VALUE"""),126800.0)</f>
        <v>126800</v>
      </c>
      <c r="D1198" s="1">
        <f>IFERROR(__xludf.DUMMYFUNCTION("""COMPUTED_VALUE"""),121600.0)</f>
        <v>121600</v>
      </c>
      <c r="E1198" s="1">
        <f>IFERROR(__xludf.DUMMYFUNCTION("""COMPUTED_VALUE"""),121600.0)</f>
        <v>121600</v>
      </c>
      <c r="F1198" s="1">
        <f>IFERROR(__xludf.DUMMYFUNCTION("""COMPUTED_VALUE"""),108353.0)</f>
        <v>108353</v>
      </c>
    </row>
    <row r="1199">
      <c r="A1199" s="2">
        <f>IFERROR(__xludf.DUMMYFUNCTION("""COMPUTED_VALUE"""),42346.64583333333)</f>
        <v>42346.64583</v>
      </c>
      <c r="B1199" s="1">
        <f>IFERROR(__xludf.DUMMYFUNCTION("""COMPUTED_VALUE"""),121800.0)</f>
        <v>121800</v>
      </c>
      <c r="C1199" s="1">
        <f>IFERROR(__xludf.DUMMYFUNCTION("""COMPUTED_VALUE"""),124200.0)</f>
        <v>124200</v>
      </c>
      <c r="D1199" s="1">
        <f>IFERROR(__xludf.DUMMYFUNCTION("""COMPUTED_VALUE"""),121800.0)</f>
        <v>121800</v>
      </c>
      <c r="E1199" s="1">
        <f>IFERROR(__xludf.DUMMYFUNCTION("""COMPUTED_VALUE"""),122600.0)</f>
        <v>122600</v>
      </c>
      <c r="F1199" s="1">
        <f>IFERROR(__xludf.DUMMYFUNCTION("""COMPUTED_VALUE"""),74051.0)</f>
        <v>74051</v>
      </c>
    </row>
    <row r="1200">
      <c r="A1200" s="2">
        <f>IFERROR(__xludf.DUMMYFUNCTION("""COMPUTED_VALUE"""),42347.64583333333)</f>
        <v>42347.64583</v>
      </c>
      <c r="B1200" s="1">
        <f>IFERROR(__xludf.DUMMYFUNCTION("""COMPUTED_VALUE"""),122000.0)</f>
        <v>122000</v>
      </c>
      <c r="C1200" s="1">
        <f>IFERROR(__xludf.DUMMYFUNCTION("""COMPUTED_VALUE"""),124000.0)</f>
        <v>124000</v>
      </c>
      <c r="D1200" s="1">
        <f>IFERROR(__xludf.DUMMYFUNCTION("""COMPUTED_VALUE"""),122000.0)</f>
        <v>122000</v>
      </c>
      <c r="E1200" s="1">
        <f>IFERROR(__xludf.DUMMYFUNCTION("""COMPUTED_VALUE"""),122400.0)</f>
        <v>122400</v>
      </c>
      <c r="F1200" s="1">
        <f>IFERROR(__xludf.DUMMYFUNCTION("""COMPUTED_VALUE"""),78660.0)</f>
        <v>78660</v>
      </c>
    </row>
    <row r="1201">
      <c r="A1201" s="2">
        <f>IFERROR(__xludf.DUMMYFUNCTION("""COMPUTED_VALUE"""),42348.64583333333)</f>
        <v>42348.64583</v>
      </c>
      <c r="B1201" s="1">
        <f>IFERROR(__xludf.DUMMYFUNCTION("""COMPUTED_VALUE"""),121200.0)</f>
        <v>121200</v>
      </c>
      <c r="C1201" s="1">
        <f>IFERROR(__xludf.DUMMYFUNCTION("""COMPUTED_VALUE"""),124600.0)</f>
        <v>124600</v>
      </c>
      <c r="D1201" s="1">
        <f>IFERROR(__xludf.DUMMYFUNCTION("""COMPUTED_VALUE"""),120800.0)</f>
        <v>120800</v>
      </c>
      <c r="E1201" s="1">
        <f>IFERROR(__xludf.DUMMYFUNCTION("""COMPUTED_VALUE"""),123600.0)</f>
        <v>123600</v>
      </c>
      <c r="F1201" s="1">
        <f>IFERROR(__xludf.DUMMYFUNCTION("""COMPUTED_VALUE"""),83127.0)</f>
        <v>83127</v>
      </c>
    </row>
    <row r="1202">
      <c r="A1202" s="2">
        <f>IFERROR(__xludf.DUMMYFUNCTION("""COMPUTED_VALUE"""),42349.64583333333)</f>
        <v>42349.64583</v>
      </c>
      <c r="B1202" s="1">
        <f>IFERROR(__xludf.DUMMYFUNCTION("""COMPUTED_VALUE"""),122600.0)</f>
        <v>122600</v>
      </c>
      <c r="C1202" s="1">
        <f>IFERROR(__xludf.DUMMYFUNCTION("""COMPUTED_VALUE"""),128000.0)</f>
        <v>128000</v>
      </c>
      <c r="D1202" s="1">
        <f>IFERROR(__xludf.DUMMYFUNCTION("""COMPUTED_VALUE"""),122600.0)</f>
        <v>122600</v>
      </c>
      <c r="E1202" s="1">
        <f>IFERROR(__xludf.DUMMYFUNCTION("""COMPUTED_VALUE"""),128000.0)</f>
        <v>128000</v>
      </c>
      <c r="F1202" s="1">
        <f>IFERROR(__xludf.DUMMYFUNCTION("""COMPUTED_VALUE"""),77560.0)</f>
        <v>77560</v>
      </c>
    </row>
    <row r="1203">
      <c r="A1203" s="2">
        <f>IFERROR(__xludf.DUMMYFUNCTION("""COMPUTED_VALUE"""),42352.64583333333)</f>
        <v>42352.64583</v>
      </c>
      <c r="B1203" s="1">
        <f>IFERROR(__xludf.DUMMYFUNCTION("""COMPUTED_VALUE"""),126800.0)</f>
        <v>126800</v>
      </c>
      <c r="C1203" s="1">
        <f>IFERROR(__xludf.DUMMYFUNCTION("""COMPUTED_VALUE"""),128000.0)</f>
        <v>128000</v>
      </c>
      <c r="D1203" s="1">
        <f>IFERROR(__xludf.DUMMYFUNCTION("""COMPUTED_VALUE"""),125600.0)</f>
        <v>125600</v>
      </c>
      <c r="E1203" s="1">
        <f>IFERROR(__xludf.DUMMYFUNCTION("""COMPUTED_VALUE"""),126600.0)</f>
        <v>126600</v>
      </c>
      <c r="F1203" s="1">
        <f>IFERROR(__xludf.DUMMYFUNCTION("""COMPUTED_VALUE"""),72465.0)</f>
        <v>72465</v>
      </c>
    </row>
    <row r="1204">
      <c r="A1204" s="2">
        <f>IFERROR(__xludf.DUMMYFUNCTION("""COMPUTED_VALUE"""),42353.64583333333)</f>
        <v>42353.64583</v>
      </c>
      <c r="B1204" s="1">
        <f>IFERROR(__xludf.DUMMYFUNCTION("""COMPUTED_VALUE"""),129200.0)</f>
        <v>129200</v>
      </c>
      <c r="C1204" s="1">
        <f>IFERROR(__xludf.DUMMYFUNCTION("""COMPUTED_VALUE"""),129600.0)</f>
        <v>129600</v>
      </c>
      <c r="D1204" s="1">
        <f>IFERROR(__xludf.DUMMYFUNCTION("""COMPUTED_VALUE"""),127000.0)</f>
        <v>127000</v>
      </c>
      <c r="E1204" s="1">
        <f>IFERROR(__xludf.DUMMYFUNCTION("""COMPUTED_VALUE"""),128600.0)</f>
        <v>128600</v>
      </c>
      <c r="F1204" s="1">
        <f>IFERROR(__xludf.DUMMYFUNCTION("""COMPUTED_VALUE"""),67405.0)</f>
        <v>67405</v>
      </c>
    </row>
    <row r="1205">
      <c r="A1205" s="2">
        <f>IFERROR(__xludf.DUMMYFUNCTION("""COMPUTED_VALUE"""),42354.64583333333)</f>
        <v>42354.64583</v>
      </c>
      <c r="B1205" s="1">
        <f>IFERROR(__xludf.DUMMYFUNCTION("""COMPUTED_VALUE"""),129800.0)</f>
        <v>129800</v>
      </c>
      <c r="C1205" s="1">
        <f>IFERROR(__xludf.DUMMYFUNCTION("""COMPUTED_VALUE"""),130400.0)</f>
        <v>130400</v>
      </c>
      <c r="D1205" s="1">
        <f>IFERROR(__xludf.DUMMYFUNCTION("""COMPUTED_VALUE"""),129000.0)</f>
        <v>129000</v>
      </c>
      <c r="E1205" s="1">
        <f>IFERROR(__xludf.DUMMYFUNCTION("""COMPUTED_VALUE"""),129200.0)</f>
        <v>129200</v>
      </c>
      <c r="F1205" s="1">
        <f>IFERROR(__xludf.DUMMYFUNCTION("""COMPUTED_VALUE"""),77097.0)</f>
        <v>77097</v>
      </c>
    </row>
    <row r="1206">
      <c r="A1206" s="2">
        <f>IFERROR(__xludf.DUMMYFUNCTION("""COMPUTED_VALUE"""),42355.64583333333)</f>
        <v>42355.64583</v>
      </c>
      <c r="B1206" s="1">
        <f>IFERROR(__xludf.DUMMYFUNCTION("""COMPUTED_VALUE"""),130800.0)</f>
        <v>130800</v>
      </c>
      <c r="C1206" s="1">
        <f>IFERROR(__xludf.DUMMYFUNCTION("""COMPUTED_VALUE"""),131800.0)</f>
        <v>131800</v>
      </c>
      <c r="D1206" s="1">
        <f>IFERROR(__xludf.DUMMYFUNCTION("""COMPUTED_VALUE"""),129200.0)</f>
        <v>129200</v>
      </c>
      <c r="E1206" s="1">
        <f>IFERROR(__xludf.DUMMYFUNCTION("""COMPUTED_VALUE"""),130600.0)</f>
        <v>130600</v>
      </c>
      <c r="F1206" s="1">
        <f>IFERROR(__xludf.DUMMYFUNCTION("""COMPUTED_VALUE"""),70546.0)</f>
        <v>70546</v>
      </c>
    </row>
    <row r="1207">
      <c r="A1207" s="2">
        <f>IFERROR(__xludf.DUMMYFUNCTION("""COMPUTED_VALUE"""),42356.64583333333)</f>
        <v>42356.64583</v>
      </c>
      <c r="B1207" s="1">
        <f>IFERROR(__xludf.DUMMYFUNCTION("""COMPUTED_VALUE"""),129800.0)</f>
        <v>129800</v>
      </c>
      <c r="C1207" s="1">
        <f>IFERROR(__xludf.DUMMYFUNCTION("""COMPUTED_VALUE"""),130600.0)</f>
        <v>130600</v>
      </c>
      <c r="D1207" s="1">
        <f>IFERROR(__xludf.DUMMYFUNCTION("""COMPUTED_VALUE"""),127200.0)</f>
        <v>127200</v>
      </c>
      <c r="E1207" s="1">
        <f>IFERROR(__xludf.DUMMYFUNCTION("""COMPUTED_VALUE"""),128000.0)</f>
        <v>128000</v>
      </c>
      <c r="F1207" s="1">
        <f>IFERROR(__xludf.DUMMYFUNCTION("""COMPUTED_VALUE"""),49587.0)</f>
        <v>49587</v>
      </c>
    </row>
    <row r="1208">
      <c r="A1208" s="2">
        <f>IFERROR(__xludf.DUMMYFUNCTION("""COMPUTED_VALUE"""),42359.64583333333)</f>
        <v>42359.64583</v>
      </c>
      <c r="B1208" s="1">
        <f>IFERROR(__xludf.DUMMYFUNCTION("""COMPUTED_VALUE"""),129000.0)</f>
        <v>129000</v>
      </c>
      <c r="C1208" s="1">
        <f>IFERROR(__xludf.DUMMYFUNCTION("""COMPUTED_VALUE"""),130400.0)</f>
        <v>130400</v>
      </c>
      <c r="D1208" s="1">
        <f>IFERROR(__xludf.DUMMYFUNCTION("""COMPUTED_VALUE"""),128400.0)</f>
        <v>128400</v>
      </c>
      <c r="E1208" s="1">
        <f>IFERROR(__xludf.DUMMYFUNCTION("""COMPUTED_VALUE"""),129600.0)</f>
        <v>129600</v>
      </c>
      <c r="F1208" s="1">
        <f>IFERROR(__xludf.DUMMYFUNCTION("""COMPUTED_VALUE"""),52789.0)</f>
        <v>52789</v>
      </c>
    </row>
    <row r="1209">
      <c r="A1209" s="2">
        <f>IFERROR(__xludf.DUMMYFUNCTION("""COMPUTED_VALUE"""),42360.64583333333)</f>
        <v>42360.64583</v>
      </c>
      <c r="B1209" s="1">
        <f>IFERROR(__xludf.DUMMYFUNCTION("""COMPUTED_VALUE"""),129200.0)</f>
        <v>129200</v>
      </c>
      <c r="C1209" s="1">
        <f>IFERROR(__xludf.DUMMYFUNCTION("""COMPUTED_VALUE"""),130800.0)</f>
        <v>130800</v>
      </c>
      <c r="D1209" s="1">
        <f>IFERROR(__xludf.DUMMYFUNCTION("""COMPUTED_VALUE"""),127400.0)</f>
        <v>127400</v>
      </c>
      <c r="E1209" s="1">
        <f>IFERROR(__xludf.DUMMYFUNCTION("""COMPUTED_VALUE"""),130600.0)</f>
        <v>130600</v>
      </c>
      <c r="F1209" s="1">
        <f>IFERROR(__xludf.DUMMYFUNCTION("""COMPUTED_VALUE"""),46151.0)</f>
        <v>46151</v>
      </c>
    </row>
    <row r="1210">
      <c r="A1210" s="2">
        <f>IFERROR(__xludf.DUMMYFUNCTION("""COMPUTED_VALUE"""),42361.64583333333)</f>
        <v>42361.64583</v>
      </c>
      <c r="B1210" s="1">
        <f>IFERROR(__xludf.DUMMYFUNCTION("""COMPUTED_VALUE"""),130600.0)</f>
        <v>130600</v>
      </c>
      <c r="C1210" s="1">
        <f>IFERROR(__xludf.DUMMYFUNCTION("""COMPUTED_VALUE"""),130800.0)</f>
        <v>130800</v>
      </c>
      <c r="D1210" s="1">
        <f>IFERROR(__xludf.DUMMYFUNCTION("""COMPUTED_VALUE"""),129000.0)</f>
        <v>129000</v>
      </c>
      <c r="E1210" s="1">
        <f>IFERROR(__xludf.DUMMYFUNCTION("""COMPUTED_VALUE"""),130600.0)</f>
        <v>130600</v>
      </c>
      <c r="F1210" s="1">
        <f>IFERROR(__xludf.DUMMYFUNCTION("""COMPUTED_VALUE"""),41170.0)</f>
        <v>41170</v>
      </c>
    </row>
    <row r="1211">
      <c r="A1211" s="2">
        <f>IFERROR(__xludf.DUMMYFUNCTION("""COMPUTED_VALUE"""),42362.64583333333)</f>
        <v>42362.64583</v>
      </c>
      <c r="B1211" s="1">
        <f>IFERROR(__xludf.DUMMYFUNCTION("""COMPUTED_VALUE"""),129800.0)</f>
        <v>129800</v>
      </c>
      <c r="C1211" s="1">
        <f>IFERROR(__xludf.DUMMYFUNCTION("""COMPUTED_VALUE"""),130800.0)</f>
        <v>130800</v>
      </c>
      <c r="D1211" s="1">
        <f>IFERROR(__xludf.DUMMYFUNCTION("""COMPUTED_VALUE"""),129200.0)</f>
        <v>129200</v>
      </c>
      <c r="E1211" s="1">
        <f>IFERROR(__xludf.DUMMYFUNCTION("""COMPUTED_VALUE"""),129400.0)</f>
        <v>129400</v>
      </c>
      <c r="F1211" s="1">
        <f>IFERROR(__xludf.DUMMYFUNCTION("""COMPUTED_VALUE"""),32816.0)</f>
        <v>32816</v>
      </c>
    </row>
    <row r="1212">
      <c r="A1212" s="2">
        <f>IFERROR(__xludf.DUMMYFUNCTION("""COMPUTED_VALUE"""),42366.64583333333)</f>
        <v>42366.64583</v>
      </c>
      <c r="B1212" s="1">
        <f>IFERROR(__xludf.DUMMYFUNCTION("""COMPUTED_VALUE"""),129400.0)</f>
        <v>129400</v>
      </c>
      <c r="C1212" s="1">
        <f>IFERROR(__xludf.DUMMYFUNCTION("""COMPUTED_VALUE"""),130000.0)</f>
        <v>130000</v>
      </c>
      <c r="D1212" s="1">
        <f>IFERROR(__xludf.DUMMYFUNCTION("""COMPUTED_VALUE"""),127600.0)</f>
        <v>127600</v>
      </c>
      <c r="E1212" s="1">
        <f>IFERROR(__xludf.DUMMYFUNCTION("""COMPUTED_VALUE"""),128200.0)</f>
        <v>128200</v>
      </c>
      <c r="F1212" s="1">
        <f>IFERROR(__xludf.DUMMYFUNCTION("""COMPUTED_VALUE"""),47511.0)</f>
        <v>47511</v>
      </c>
    </row>
    <row r="1213">
      <c r="A1213" s="2">
        <f>IFERROR(__xludf.DUMMYFUNCTION("""COMPUTED_VALUE"""),42367.64583333333)</f>
        <v>42367.64583</v>
      </c>
      <c r="B1213" s="1">
        <f>IFERROR(__xludf.DUMMYFUNCTION("""COMPUTED_VALUE"""),129800.0)</f>
        <v>129800</v>
      </c>
      <c r="C1213" s="1">
        <f>IFERROR(__xludf.DUMMYFUNCTION("""COMPUTED_VALUE"""),129800.0)</f>
        <v>129800</v>
      </c>
      <c r="D1213" s="1">
        <f>IFERROR(__xludf.DUMMYFUNCTION("""COMPUTED_VALUE"""),126200.0)</f>
        <v>126200</v>
      </c>
      <c r="E1213" s="1">
        <f>IFERROR(__xludf.DUMMYFUNCTION("""COMPUTED_VALUE"""),128400.0)</f>
        <v>128400</v>
      </c>
      <c r="F1213" s="1">
        <f>IFERROR(__xludf.DUMMYFUNCTION("""COMPUTED_VALUE"""),50648.0)</f>
        <v>50648</v>
      </c>
    </row>
    <row r="1214">
      <c r="A1214" s="2">
        <f>IFERROR(__xludf.DUMMYFUNCTION("""COMPUTED_VALUE"""),42368.64583333333)</f>
        <v>42368.64583</v>
      </c>
      <c r="B1214" s="1">
        <f>IFERROR(__xludf.DUMMYFUNCTION("""COMPUTED_VALUE"""),128400.0)</f>
        <v>128400</v>
      </c>
      <c r="C1214" s="1">
        <f>IFERROR(__xludf.DUMMYFUNCTION("""COMPUTED_VALUE"""),133600.0)</f>
        <v>133600</v>
      </c>
      <c r="D1214" s="1">
        <f>IFERROR(__xludf.DUMMYFUNCTION("""COMPUTED_VALUE"""),127800.0)</f>
        <v>127800</v>
      </c>
      <c r="E1214" s="1">
        <f>IFERROR(__xludf.DUMMYFUNCTION("""COMPUTED_VALUE"""),131600.0)</f>
        <v>131600</v>
      </c>
      <c r="F1214" s="1">
        <f>IFERROR(__xludf.DUMMYFUNCTION("""COMPUTED_VALUE"""),64215.0)</f>
        <v>64215</v>
      </c>
    </row>
    <row r="1215">
      <c r="A1215" s="2">
        <f>IFERROR(__xludf.DUMMYFUNCTION("""COMPUTED_VALUE"""),42373.64583333333)</f>
        <v>42373.64583</v>
      </c>
      <c r="B1215" s="1">
        <f>IFERROR(__xludf.DUMMYFUNCTION("""COMPUTED_VALUE"""),130000.0)</f>
        <v>130000</v>
      </c>
      <c r="C1215" s="1">
        <f>IFERROR(__xludf.DUMMYFUNCTION("""COMPUTED_VALUE"""),131600.0)</f>
        <v>131600</v>
      </c>
      <c r="D1215" s="1">
        <f>IFERROR(__xludf.DUMMYFUNCTION("""COMPUTED_VALUE"""),126400.0)</f>
        <v>126400</v>
      </c>
      <c r="E1215" s="1">
        <f>IFERROR(__xludf.DUMMYFUNCTION("""COMPUTED_VALUE"""),126400.0)</f>
        <v>126400</v>
      </c>
      <c r="F1215" s="1">
        <f>IFERROR(__xludf.DUMMYFUNCTION("""COMPUTED_VALUE"""),93272.0)</f>
        <v>93272</v>
      </c>
    </row>
    <row r="1216">
      <c r="A1216" s="2">
        <f>IFERROR(__xludf.DUMMYFUNCTION("""COMPUTED_VALUE"""),42374.64583333333)</f>
        <v>42374.64583</v>
      </c>
      <c r="B1216" s="1">
        <f>IFERROR(__xludf.DUMMYFUNCTION("""COMPUTED_VALUE"""),126600.0)</f>
        <v>126600</v>
      </c>
      <c r="C1216" s="1">
        <f>IFERROR(__xludf.DUMMYFUNCTION("""COMPUTED_VALUE"""),128400.0)</f>
        <v>128400</v>
      </c>
      <c r="D1216" s="1">
        <f>IFERROR(__xludf.DUMMYFUNCTION("""COMPUTED_VALUE"""),126200.0)</f>
        <v>126200</v>
      </c>
      <c r="E1216" s="1">
        <f>IFERROR(__xludf.DUMMYFUNCTION("""COMPUTED_VALUE"""),127400.0)</f>
        <v>127400</v>
      </c>
      <c r="F1216" s="1">
        <f>IFERROR(__xludf.DUMMYFUNCTION("""COMPUTED_VALUE"""),69456.0)</f>
        <v>69456</v>
      </c>
    </row>
    <row r="1217">
      <c r="A1217" s="2">
        <f>IFERROR(__xludf.DUMMYFUNCTION("""COMPUTED_VALUE"""),42375.64583333333)</f>
        <v>42375.64583</v>
      </c>
      <c r="B1217" s="1">
        <f>IFERROR(__xludf.DUMMYFUNCTION("""COMPUTED_VALUE"""),129000.0)</f>
        <v>129000</v>
      </c>
      <c r="C1217" s="1">
        <f>IFERROR(__xludf.DUMMYFUNCTION("""COMPUTED_VALUE"""),129000.0)</f>
        <v>129000</v>
      </c>
      <c r="D1217" s="1">
        <f>IFERROR(__xludf.DUMMYFUNCTION("""COMPUTED_VALUE"""),124400.0)</f>
        <v>124400</v>
      </c>
      <c r="E1217" s="1">
        <f>IFERROR(__xludf.DUMMYFUNCTION("""COMPUTED_VALUE"""),124600.0)</f>
        <v>124600</v>
      </c>
      <c r="F1217" s="1">
        <f>IFERROR(__xludf.DUMMYFUNCTION("""COMPUTED_VALUE"""),95682.0)</f>
        <v>95682</v>
      </c>
    </row>
    <row r="1218">
      <c r="A1218" s="2">
        <f>IFERROR(__xludf.DUMMYFUNCTION("""COMPUTED_VALUE"""),42376.64583333333)</f>
        <v>42376.64583</v>
      </c>
      <c r="B1218" s="1">
        <f>IFERROR(__xludf.DUMMYFUNCTION("""COMPUTED_VALUE"""),125200.0)</f>
        <v>125200</v>
      </c>
      <c r="C1218" s="1">
        <f>IFERROR(__xludf.DUMMYFUNCTION("""COMPUTED_VALUE"""),132000.0)</f>
        <v>132000</v>
      </c>
      <c r="D1218" s="1">
        <f>IFERROR(__xludf.DUMMYFUNCTION("""COMPUTED_VALUE"""),125200.0)</f>
        <v>125200</v>
      </c>
      <c r="E1218" s="1">
        <f>IFERROR(__xludf.DUMMYFUNCTION("""COMPUTED_VALUE"""),130400.0)</f>
        <v>130400</v>
      </c>
      <c r="F1218" s="1">
        <f>IFERROR(__xludf.DUMMYFUNCTION("""COMPUTED_VALUE"""),125253.0)</f>
        <v>125253</v>
      </c>
    </row>
    <row r="1219">
      <c r="A1219" s="2">
        <f>IFERROR(__xludf.DUMMYFUNCTION("""COMPUTED_VALUE"""),42377.64583333333)</f>
        <v>42377.64583</v>
      </c>
      <c r="B1219" s="1">
        <f>IFERROR(__xludf.DUMMYFUNCTION("""COMPUTED_VALUE"""),130400.0)</f>
        <v>130400</v>
      </c>
      <c r="C1219" s="1">
        <f>IFERROR(__xludf.DUMMYFUNCTION("""COMPUTED_VALUE"""),131800.0)</f>
        <v>131800</v>
      </c>
      <c r="D1219" s="1">
        <f>IFERROR(__xludf.DUMMYFUNCTION("""COMPUTED_VALUE"""),128400.0)</f>
        <v>128400</v>
      </c>
      <c r="E1219" s="1">
        <f>IFERROR(__xludf.DUMMYFUNCTION("""COMPUTED_VALUE"""),130400.0)</f>
        <v>130400</v>
      </c>
      <c r="F1219" s="1">
        <f>IFERROR(__xludf.DUMMYFUNCTION("""COMPUTED_VALUE"""),63922.0)</f>
        <v>63922</v>
      </c>
    </row>
    <row r="1220">
      <c r="A1220" s="2">
        <f>IFERROR(__xludf.DUMMYFUNCTION("""COMPUTED_VALUE"""),42380.64583333333)</f>
        <v>42380.64583</v>
      </c>
      <c r="B1220" s="1">
        <f>IFERROR(__xludf.DUMMYFUNCTION("""COMPUTED_VALUE"""),129000.0)</f>
        <v>129000</v>
      </c>
      <c r="C1220" s="1">
        <f>IFERROR(__xludf.DUMMYFUNCTION("""COMPUTED_VALUE"""),130200.0)</f>
        <v>130200</v>
      </c>
      <c r="D1220" s="1">
        <f>IFERROR(__xludf.DUMMYFUNCTION("""COMPUTED_VALUE"""),125200.0)</f>
        <v>125200</v>
      </c>
      <c r="E1220" s="1">
        <f>IFERROR(__xludf.DUMMYFUNCTION("""COMPUTED_VALUE"""),125600.0)</f>
        <v>125600</v>
      </c>
      <c r="F1220" s="1">
        <f>IFERROR(__xludf.DUMMYFUNCTION("""COMPUTED_VALUE"""),88620.0)</f>
        <v>88620</v>
      </c>
    </row>
    <row r="1221">
      <c r="A1221" s="2">
        <f>IFERROR(__xludf.DUMMYFUNCTION("""COMPUTED_VALUE"""),42381.64583333333)</f>
        <v>42381.64583</v>
      </c>
      <c r="B1221" s="1">
        <f>IFERROR(__xludf.DUMMYFUNCTION("""COMPUTED_VALUE"""),127200.0)</f>
        <v>127200</v>
      </c>
      <c r="C1221" s="1">
        <f>IFERROR(__xludf.DUMMYFUNCTION("""COMPUTED_VALUE"""),130800.0)</f>
        <v>130800</v>
      </c>
      <c r="D1221" s="1">
        <f>IFERROR(__xludf.DUMMYFUNCTION("""COMPUTED_VALUE"""),126400.0)</f>
        <v>126400</v>
      </c>
      <c r="E1221" s="1">
        <f>IFERROR(__xludf.DUMMYFUNCTION("""COMPUTED_VALUE"""),130000.0)</f>
        <v>130000</v>
      </c>
      <c r="F1221" s="1">
        <f>IFERROR(__xludf.DUMMYFUNCTION("""COMPUTED_VALUE"""),78010.0)</f>
        <v>78010</v>
      </c>
    </row>
    <row r="1222">
      <c r="A1222" s="2">
        <f>IFERROR(__xludf.DUMMYFUNCTION("""COMPUTED_VALUE"""),42382.64583333333)</f>
        <v>42382.64583</v>
      </c>
      <c r="B1222" s="1">
        <f>IFERROR(__xludf.DUMMYFUNCTION("""COMPUTED_VALUE"""),131200.0)</f>
        <v>131200</v>
      </c>
      <c r="C1222" s="1">
        <f>IFERROR(__xludf.DUMMYFUNCTION("""COMPUTED_VALUE"""),131400.0)</f>
        <v>131400</v>
      </c>
      <c r="D1222" s="1">
        <f>IFERROR(__xludf.DUMMYFUNCTION("""COMPUTED_VALUE"""),128600.0)</f>
        <v>128600</v>
      </c>
      <c r="E1222" s="1">
        <f>IFERROR(__xludf.DUMMYFUNCTION("""COMPUTED_VALUE"""),129800.0)</f>
        <v>129800</v>
      </c>
      <c r="F1222" s="1">
        <f>IFERROR(__xludf.DUMMYFUNCTION("""COMPUTED_VALUE"""),92220.0)</f>
        <v>92220</v>
      </c>
    </row>
    <row r="1223">
      <c r="A1223" s="2">
        <f>IFERROR(__xludf.DUMMYFUNCTION("""COMPUTED_VALUE"""),42383.64583333333)</f>
        <v>42383.64583</v>
      </c>
      <c r="B1223" s="1">
        <f>IFERROR(__xludf.DUMMYFUNCTION("""COMPUTED_VALUE"""),128400.0)</f>
        <v>128400</v>
      </c>
      <c r="C1223" s="1">
        <f>IFERROR(__xludf.DUMMYFUNCTION("""COMPUTED_VALUE"""),131800.0)</f>
        <v>131800</v>
      </c>
      <c r="D1223" s="1">
        <f>IFERROR(__xludf.DUMMYFUNCTION("""COMPUTED_VALUE"""),128000.0)</f>
        <v>128000</v>
      </c>
      <c r="E1223" s="1">
        <f>IFERROR(__xludf.DUMMYFUNCTION("""COMPUTED_VALUE"""),130200.0)</f>
        <v>130200</v>
      </c>
      <c r="F1223" s="1">
        <f>IFERROR(__xludf.DUMMYFUNCTION("""COMPUTED_VALUE"""),85824.0)</f>
        <v>85824</v>
      </c>
    </row>
    <row r="1224">
      <c r="A1224" s="2">
        <f>IFERROR(__xludf.DUMMYFUNCTION("""COMPUTED_VALUE"""),42384.64583333333)</f>
        <v>42384.64583</v>
      </c>
      <c r="B1224" s="1">
        <f>IFERROR(__xludf.DUMMYFUNCTION("""COMPUTED_VALUE"""),132400.0)</f>
        <v>132400</v>
      </c>
      <c r="C1224" s="1">
        <f>IFERROR(__xludf.DUMMYFUNCTION("""COMPUTED_VALUE"""),134600.0)</f>
        <v>134600</v>
      </c>
      <c r="D1224" s="1">
        <f>IFERROR(__xludf.DUMMYFUNCTION("""COMPUTED_VALUE"""),131600.0)</f>
        <v>131600</v>
      </c>
      <c r="E1224" s="1">
        <f>IFERROR(__xludf.DUMMYFUNCTION("""COMPUTED_VALUE"""),134000.0)</f>
        <v>134000</v>
      </c>
      <c r="F1224" s="1">
        <f>IFERROR(__xludf.DUMMYFUNCTION("""COMPUTED_VALUE"""),128415.0)</f>
        <v>128415</v>
      </c>
    </row>
    <row r="1225">
      <c r="A1225" s="2">
        <f>IFERROR(__xludf.DUMMYFUNCTION("""COMPUTED_VALUE"""),42387.64583333333)</f>
        <v>42387.64583</v>
      </c>
      <c r="B1225" s="1">
        <f>IFERROR(__xludf.DUMMYFUNCTION("""COMPUTED_VALUE"""),132600.0)</f>
        <v>132600</v>
      </c>
      <c r="C1225" s="1">
        <f>IFERROR(__xludf.DUMMYFUNCTION("""COMPUTED_VALUE"""),137400.0)</f>
        <v>137400</v>
      </c>
      <c r="D1225" s="1">
        <f>IFERROR(__xludf.DUMMYFUNCTION("""COMPUTED_VALUE"""),132600.0)</f>
        <v>132600</v>
      </c>
      <c r="E1225" s="1">
        <f>IFERROR(__xludf.DUMMYFUNCTION("""COMPUTED_VALUE"""),137400.0)</f>
        <v>137400</v>
      </c>
      <c r="F1225" s="1">
        <f>IFERROR(__xludf.DUMMYFUNCTION("""COMPUTED_VALUE"""),140601.0)</f>
        <v>140601</v>
      </c>
    </row>
    <row r="1226">
      <c r="A1226" s="2">
        <f>IFERROR(__xludf.DUMMYFUNCTION("""COMPUTED_VALUE"""),42388.64583333333)</f>
        <v>42388.64583</v>
      </c>
      <c r="B1226" s="1">
        <f>IFERROR(__xludf.DUMMYFUNCTION("""COMPUTED_VALUE"""),136600.0)</f>
        <v>136600</v>
      </c>
      <c r="C1226" s="1">
        <f>IFERROR(__xludf.DUMMYFUNCTION("""COMPUTED_VALUE"""),136800.0)</f>
        <v>136800</v>
      </c>
      <c r="D1226" s="1">
        <f>IFERROR(__xludf.DUMMYFUNCTION("""COMPUTED_VALUE"""),132800.0)</f>
        <v>132800</v>
      </c>
      <c r="E1226" s="1">
        <f>IFERROR(__xludf.DUMMYFUNCTION("""COMPUTED_VALUE"""),134000.0)</f>
        <v>134000</v>
      </c>
      <c r="F1226" s="1">
        <f>IFERROR(__xludf.DUMMYFUNCTION("""COMPUTED_VALUE"""),144586.0)</f>
        <v>144586</v>
      </c>
    </row>
    <row r="1227">
      <c r="A1227" s="2">
        <f>IFERROR(__xludf.DUMMYFUNCTION("""COMPUTED_VALUE"""),42389.64583333333)</f>
        <v>42389.64583</v>
      </c>
      <c r="B1227" s="1">
        <f>IFERROR(__xludf.DUMMYFUNCTION("""COMPUTED_VALUE"""),134000.0)</f>
        <v>134000</v>
      </c>
      <c r="C1227" s="1">
        <f>IFERROR(__xludf.DUMMYFUNCTION("""COMPUTED_VALUE"""),134600.0)</f>
        <v>134600</v>
      </c>
      <c r="D1227" s="1">
        <f>IFERROR(__xludf.DUMMYFUNCTION("""COMPUTED_VALUE"""),130200.0)</f>
        <v>130200</v>
      </c>
      <c r="E1227" s="1">
        <f>IFERROR(__xludf.DUMMYFUNCTION("""COMPUTED_VALUE"""),132800.0)</f>
        <v>132800</v>
      </c>
      <c r="F1227" s="1">
        <f>IFERROR(__xludf.DUMMYFUNCTION("""COMPUTED_VALUE"""),95351.0)</f>
        <v>95351</v>
      </c>
    </row>
    <row r="1228">
      <c r="A1228" s="2">
        <f>IFERROR(__xludf.DUMMYFUNCTION("""COMPUTED_VALUE"""),42390.64583333333)</f>
        <v>42390.64583</v>
      </c>
      <c r="B1228" s="1">
        <f>IFERROR(__xludf.DUMMYFUNCTION("""COMPUTED_VALUE"""),131200.0)</f>
        <v>131200</v>
      </c>
      <c r="C1228" s="1">
        <f>IFERROR(__xludf.DUMMYFUNCTION("""COMPUTED_VALUE"""),131400.0)</f>
        <v>131400</v>
      </c>
      <c r="D1228" s="1">
        <f>IFERROR(__xludf.DUMMYFUNCTION("""COMPUTED_VALUE"""),126200.0)</f>
        <v>126200</v>
      </c>
      <c r="E1228" s="1">
        <f>IFERROR(__xludf.DUMMYFUNCTION("""COMPUTED_VALUE"""),127800.0)</f>
        <v>127800</v>
      </c>
      <c r="F1228" s="1">
        <f>IFERROR(__xludf.DUMMYFUNCTION("""COMPUTED_VALUE"""),135186.0)</f>
        <v>135186</v>
      </c>
    </row>
    <row r="1229">
      <c r="A1229" s="2">
        <f>IFERROR(__xludf.DUMMYFUNCTION("""COMPUTED_VALUE"""),42391.64583333333)</f>
        <v>42391.64583</v>
      </c>
      <c r="B1229" s="1">
        <f>IFERROR(__xludf.DUMMYFUNCTION("""COMPUTED_VALUE"""),130000.0)</f>
        <v>130000</v>
      </c>
      <c r="C1229" s="1">
        <f>IFERROR(__xludf.DUMMYFUNCTION("""COMPUTED_VALUE"""),133600.0)</f>
        <v>133600</v>
      </c>
      <c r="D1229" s="1">
        <f>IFERROR(__xludf.DUMMYFUNCTION("""COMPUTED_VALUE"""),128000.0)</f>
        <v>128000</v>
      </c>
      <c r="E1229" s="1">
        <f>IFERROR(__xludf.DUMMYFUNCTION("""COMPUTED_VALUE"""),133600.0)</f>
        <v>133600</v>
      </c>
      <c r="F1229" s="1">
        <f>IFERROR(__xludf.DUMMYFUNCTION("""COMPUTED_VALUE"""),91200.0)</f>
        <v>91200</v>
      </c>
    </row>
    <row r="1230">
      <c r="A1230" s="2">
        <f>IFERROR(__xludf.DUMMYFUNCTION("""COMPUTED_VALUE"""),42394.64583333333)</f>
        <v>42394.64583</v>
      </c>
      <c r="B1230" s="1">
        <f>IFERROR(__xludf.DUMMYFUNCTION("""COMPUTED_VALUE"""),133600.0)</f>
        <v>133600</v>
      </c>
      <c r="C1230" s="1">
        <f>IFERROR(__xludf.DUMMYFUNCTION("""COMPUTED_VALUE"""),135400.0)</f>
        <v>135400</v>
      </c>
      <c r="D1230" s="1">
        <f>IFERROR(__xludf.DUMMYFUNCTION("""COMPUTED_VALUE"""),131400.0)</f>
        <v>131400</v>
      </c>
      <c r="E1230" s="1">
        <f>IFERROR(__xludf.DUMMYFUNCTION("""COMPUTED_VALUE"""),134600.0)</f>
        <v>134600</v>
      </c>
      <c r="F1230" s="1">
        <f>IFERROR(__xludf.DUMMYFUNCTION("""COMPUTED_VALUE"""),61255.0)</f>
        <v>61255</v>
      </c>
    </row>
    <row r="1231">
      <c r="A1231" s="2">
        <f>IFERROR(__xludf.DUMMYFUNCTION("""COMPUTED_VALUE"""),42395.64583333333)</f>
        <v>42395.64583</v>
      </c>
      <c r="B1231" s="1">
        <f>IFERROR(__xludf.DUMMYFUNCTION("""COMPUTED_VALUE"""),135000.0)</f>
        <v>135000</v>
      </c>
      <c r="C1231" s="1">
        <f>IFERROR(__xludf.DUMMYFUNCTION("""COMPUTED_VALUE"""),136200.0)</f>
        <v>136200</v>
      </c>
      <c r="D1231" s="1">
        <f>IFERROR(__xludf.DUMMYFUNCTION("""COMPUTED_VALUE"""),134200.0)</f>
        <v>134200</v>
      </c>
      <c r="E1231" s="1">
        <f>IFERROR(__xludf.DUMMYFUNCTION("""COMPUTED_VALUE"""),136000.0)</f>
        <v>136000</v>
      </c>
      <c r="F1231" s="1">
        <f>IFERROR(__xludf.DUMMYFUNCTION("""COMPUTED_VALUE"""),56078.0)</f>
        <v>56078</v>
      </c>
    </row>
    <row r="1232">
      <c r="A1232" s="2">
        <f>IFERROR(__xludf.DUMMYFUNCTION("""COMPUTED_VALUE"""),42396.64583333333)</f>
        <v>42396.64583</v>
      </c>
      <c r="B1232" s="1">
        <f>IFERROR(__xludf.DUMMYFUNCTION("""COMPUTED_VALUE"""),137400.0)</f>
        <v>137400</v>
      </c>
      <c r="C1232" s="1">
        <f>IFERROR(__xludf.DUMMYFUNCTION("""COMPUTED_VALUE"""),137400.0)</f>
        <v>137400</v>
      </c>
      <c r="D1232" s="1">
        <f>IFERROR(__xludf.DUMMYFUNCTION("""COMPUTED_VALUE"""),133200.0)</f>
        <v>133200</v>
      </c>
      <c r="E1232" s="1">
        <f>IFERROR(__xludf.DUMMYFUNCTION("""COMPUTED_VALUE"""),134800.0)</f>
        <v>134800</v>
      </c>
      <c r="F1232" s="1">
        <f>IFERROR(__xludf.DUMMYFUNCTION("""COMPUTED_VALUE"""),66471.0)</f>
        <v>66471</v>
      </c>
    </row>
    <row r="1233">
      <c r="A1233" s="2">
        <f>IFERROR(__xludf.DUMMYFUNCTION("""COMPUTED_VALUE"""),42397.64583333333)</f>
        <v>42397.64583</v>
      </c>
      <c r="B1233" s="1">
        <f>IFERROR(__xludf.DUMMYFUNCTION("""COMPUTED_VALUE"""),128400.0)</f>
        <v>128400</v>
      </c>
      <c r="C1233" s="1">
        <f>IFERROR(__xludf.DUMMYFUNCTION("""COMPUTED_VALUE"""),130000.0)</f>
        <v>130000</v>
      </c>
      <c r="D1233" s="1">
        <f>IFERROR(__xludf.DUMMYFUNCTION("""COMPUTED_VALUE"""),124200.0)</f>
        <v>124200</v>
      </c>
      <c r="E1233" s="1">
        <f>IFERROR(__xludf.DUMMYFUNCTION("""COMPUTED_VALUE"""),126200.0)</f>
        <v>126200</v>
      </c>
      <c r="F1233" s="1">
        <f>IFERROR(__xludf.DUMMYFUNCTION("""COMPUTED_VALUE"""),277566.0)</f>
        <v>277566</v>
      </c>
    </row>
    <row r="1234">
      <c r="A1234" s="2">
        <f>IFERROR(__xludf.DUMMYFUNCTION("""COMPUTED_VALUE"""),42398.64583333333)</f>
        <v>42398.64583</v>
      </c>
      <c r="B1234" s="1">
        <f>IFERROR(__xludf.DUMMYFUNCTION("""COMPUTED_VALUE"""),125400.0)</f>
        <v>125400</v>
      </c>
      <c r="C1234" s="1">
        <f>IFERROR(__xludf.DUMMYFUNCTION("""COMPUTED_VALUE"""),126200.0)</f>
        <v>126200</v>
      </c>
      <c r="D1234" s="1">
        <f>IFERROR(__xludf.DUMMYFUNCTION("""COMPUTED_VALUE"""),121000.0)</f>
        <v>121000</v>
      </c>
      <c r="E1234" s="1">
        <f>IFERROR(__xludf.DUMMYFUNCTION("""COMPUTED_VALUE"""),125600.0)</f>
        <v>125600</v>
      </c>
      <c r="F1234" s="1">
        <f>IFERROR(__xludf.DUMMYFUNCTION("""COMPUTED_VALUE"""),269400.0)</f>
        <v>269400</v>
      </c>
    </row>
    <row r="1235">
      <c r="A1235" s="2">
        <f>IFERROR(__xludf.DUMMYFUNCTION("""COMPUTED_VALUE"""),42401.64583333333)</f>
        <v>42401.64583</v>
      </c>
      <c r="B1235" s="1">
        <f>IFERROR(__xludf.DUMMYFUNCTION("""COMPUTED_VALUE"""),124400.0)</f>
        <v>124400</v>
      </c>
      <c r="C1235" s="1">
        <f>IFERROR(__xludf.DUMMYFUNCTION("""COMPUTED_VALUE"""),125800.0)</f>
        <v>125800</v>
      </c>
      <c r="D1235" s="1">
        <f>IFERROR(__xludf.DUMMYFUNCTION("""COMPUTED_VALUE"""),121600.0)</f>
        <v>121600</v>
      </c>
      <c r="E1235" s="1">
        <f>IFERROR(__xludf.DUMMYFUNCTION("""COMPUTED_VALUE"""),122600.0)</f>
        <v>122600</v>
      </c>
      <c r="F1235" s="1">
        <f>IFERROR(__xludf.DUMMYFUNCTION("""COMPUTED_VALUE"""),144528.0)</f>
        <v>144528</v>
      </c>
    </row>
    <row r="1236">
      <c r="A1236" s="2">
        <f>IFERROR(__xludf.DUMMYFUNCTION("""COMPUTED_VALUE"""),42402.64583333333)</f>
        <v>42402.64583</v>
      </c>
      <c r="B1236" s="1">
        <f>IFERROR(__xludf.DUMMYFUNCTION("""COMPUTED_VALUE"""),122200.0)</f>
        <v>122200</v>
      </c>
      <c r="C1236" s="1">
        <f>IFERROR(__xludf.DUMMYFUNCTION("""COMPUTED_VALUE"""),123600.0)</f>
        <v>123600</v>
      </c>
      <c r="D1236" s="1">
        <f>IFERROR(__xludf.DUMMYFUNCTION("""COMPUTED_VALUE"""),118400.0)</f>
        <v>118400</v>
      </c>
      <c r="E1236" s="1">
        <f>IFERROR(__xludf.DUMMYFUNCTION("""COMPUTED_VALUE"""),120000.0)</f>
        <v>120000</v>
      </c>
      <c r="F1236" s="1">
        <f>IFERROR(__xludf.DUMMYFUNCTION("""COMPUTED_VALUE"""),223453.0)</f>
        <v>223453</v>
      </c>
    </row>
    <row r="1237">
      <c r="A1237" s="2">
        <f>IFERROR(__xludf.DUMMYFUNCTION("""COMPUTED_VALUE"""),42403.64583333333)</f>
        <v>42403.64583</v>
      </c>
      <c r="B1237" s="1">
        <f>IFERROR(__xludf.DUMMYFUNCTION("""COMPUTED_VALUE"""),118600.0)</f>
        <v>118600</v>
      </c>
      <c r="C1237" s="1">
        <f>IFERROR(__xludf.DUMMYFUNCTION("""COMPUTED_VALUE"""),121200.0)</f>
        <v>121200</v>
      </c>
      <c r="D1237" s="1">
        <f>IFERROR(__xludf.DUMMYFUNCTION("""COMPUTED_VALUE"""),118600.0)</f>
        <v>118600</v>
      </c>
      <c r="E1237" s="1">
        <f>IFERROR(__xludf.DUMMYFUNCTION("""COMPUTED_VALUE"""),120200.0)</f>
        <v>120200</v>
      </c>
      <c r="F1237" s="1">
        <f>IFERROR(__xludf.DUMMYFUNCTION("""COMPUTED_VALUE"""),94740.0)</f>
        <v>94740</v>
      </c>
    </row>
    <row r="1238">
      <c r="A1238" s="2">
        <f>IFERROR(__xludf.DUMMYFUNCTION("""COMPUTED_VALUE"""),42404.64583333333)</f>
        <v>42404.64583</v>
      </c>
      <c r="B1238" s="1">
        <f>IFERROR(__xludf.DUMMYFUNCTION("""COMPUTED_VALUE"""),121200.0)</f>
        <v>121200</v>
      </c>
      <c r="C1238" s="1">
        <f>IFERROR(__xludf.DUMMYFUNCTION("""COMPUTED_VALUE"""),121400.0)</f>
        <v>121400</v>
      </c>
      <c r="D1238" s="1">
        <f>IFERROR(__xludf.DUMMYFUNCTION("""COMPUTED_VALUE"""),118800.0)</f>
        <v>118800</v>
      </c>
      <c r="E1238" s="1">
        <f>IFERROR(__xludf.DUMMYFUNCTION("""COMPUTED_VALUE"""),120400.0)</f>
        <v>120400</v>
      </c>
      <c r="F1238" s="1">
        <f>IFERROR(__xludf.DUMMYFUNCTION("""COMPUTED_VALUE"""),87070.0)</f>
        <v>87070</v>
      </c>
    </row>
    <row r="1239">
      <c r="A1239" s="2">
        <f>IFERROR(__xludf.DUMMYFUNCTION("""COMPUTED_VALUE"""),42405.64583333333)</f>
        <v>42405.64583</v>
      </c>
      <c r="B1239" s="1">
        <f>IFERROR(__xludf.DUMMYFUNCTION("""COMPUTED_VALUE"""),120000.0)</f>
        <v>120000</v>
      </c>
      <c r="C1239" s="1">
        <f>IFERROR(__xludf.DUMMYFUNCTION("""COMPUTED_VALUE"""),121000.0)</f>
        <v>121000</v>
      </c>
      <c r="D1239" s="1">
        <f>IFERROR(__xludf.DUMMYFUNCTION("""COMPUTED_VALUE"""),119200.0)</f>
        <v>119200</v>
      </c>
      <c r="E1239" s="1">
        <f>IFERROR(__xludf.DUMMYFUNCTION("""COMPUTED_VALUE"""),119800.0)</f>
        <v>119800</v>
      </c>
      <c r="F1239" s="1">
        <f>IFERROR(__xludf.DUMMYFUNCTION("""COMPUTED_VALUE"""),55313.0)</f>
        <v>55313</v>
      </c>
    </row>
    <row r="1240">
      <c r="A1240" s="2">
        <f>IFERROR(__xludf.DUMMYFUNCTION("""COMPUTED_VALUE"""),42411.64583333333)</f>
        <v>42411.64583</v>
      </c>
      <c r="B1240" s="1">
        <f>IFERROR(__xludf.DUMMYFUNCTION("""COMPUTED_VALUE"""),117800.0)</f>
        <v>117800</v>
      </c>
      <c r="C1240" s="1">
        <f>IFERROR(__xludf.DUMMYFUNCTION("""COMPUTED_VALUE"""),117800.0)</f>
        <v>117800</v>
      </c>
      <c r="D1240" s="1">
        <f>IFERROR(__xludf.DUMMYFUNCTION("""COMPUTED_VALUE"""),112600.0)</f>
        <v>112600</v>
      </c>
      <c r="E1240" s="1">
        <f>IFERROR(__xludf.DUMMYFUNCTION("""COMPUTED_VALUE"""),112600.0)</f>
        <v>112600</v>
      </c>
      <c r="F1240" s="1">
        <f>IFERROR(__xludf.DUMMYFUNCTION("""COMPUTED_VALUE"""),184341.0)</f>
        <v>184341</v>
      </c>
    </row>
    <row r="1241">
      <c r="A1241" s="2">
        <f>IFERROR(__xludf.DUMMYFUNCTION("""COMPUTED_VALUE"""),42412.64583333333)</f>
        <v>42412.64583</v>
      </c>
      <c r="B1241" s="1">
        <f>IFERROR(__xludf.DUMMYFUNCTION("""COMPUTED_VALUE"""),111000.0)</f>
        <v>111000</v>
      </c>
      <c r="C1241" s="1">
        <f>IFERROR(__xludf.DUMMYFUNCTION("""COMPUTED_VALUE"""),113200.0)</f>
        <v>113200</v>
      </c>
      <c r="D1241" s="1">
        <f>IFERROR(__xludf.DUMMYFUNCTION("""COMPUTED_VALUE"""),108800.0)</f>
        <v>108800</v>
      </c>
      <c r="E1241" s="1">
        <f>IFERROR(__xludf.DUMMYFUNCTION("""COMPUTED_VALUE"""),111200.0)</f>
        <v>111200</v>
      </c>
      <c r="F1241" s="1">
        <f>IFERROR(__xludf.DUMMYFUNCTION("""COMPUTED_VALUE"""),198082.0)</f>
        <v>198082</v>
      </c>
    </row>
    <row r="1242">
      <c r="A1242" s="2">
        <f>IFERROR(__xludf.DUMMYFUNCTION("""COMPUTED_VALUE"""),42415.64583333333)</f>
        <v>42415.64583</v>
      </c>
      <c r="B1242" s="1">
        <f>IFERROR(__xludf.DUMMYFUNCTION("""COMPUTED_VALUE"""),112200.0)</f>
        <v>112200</v>
      </c>
      <c r="C1242" s="1">
        <f>IFERROR(__xludf.DUMMYFUNCTION("""COMPUTED_VALUE"""),113400.0)</f>
        <v>113400</v>
      </c>
      <c r="D1242" s="1">
        <f>IFERROR(__xludf.DUMMYFUNCTION("""COMPUTED_VALUE"""),109600.0)</f>
        <v>109600</v>
      </c>
      <c r="E1242" s="1">
        <f>IFERROR(__xludf.DUMMYFUNCTION("""COMPUTED_VALUE"""),111200.0)</f>
        <v>111200</v>
      </c>
      <c r="F1242" s="1">
        <f>IFERROR(__xludf.DUMMYFUNCTION("""COMPUTED_VALUE"""),146518.0)</f>
        <v>146518</v>
      </c>
    </row>
    <row r="1243">
      <c r="A1243" s="2">
        <f>IFERROR(__xludf.DUMMYFUNCTION("""COMPUTED_VALUE"""),42416.64583333333)</f>
        <v>42416.64583</v>
      </c>
      <c r="B1243" s="1">
        <f>IFERROR(__xludf.DUMMYFUNCTION("""COMPUTED_VALUE"""),110600.0)</f>
        <v>110600</v>
      </c>
      <c r="C1243" s="1">
        <f>IFERROR(__xludf.DUMMYFUNCTION("""COMPUTED_VALUE"""),116000.0)</f>
        <v>116000</v>
      </c>
      <c r="D1243" s="1">
        <f>IFERROR(__xludf.DUMMYFUNCTION("""COMPUTED_VALUE"""),110600.0)</f>
        <v>110600</v>
      </c>
      <c r="E1243" s="1">
        <f>IFERROR(__xludf.DUMMYFUNCTION("""COMPUTED_VALUE"""),115000.0)</f>
        <v>115000</v>
      </c>
      <c r="F1243" s="1">
        <f>IFERROR(__xludf.DUMMYFUNCTION("""COMPUTED_VALUE"""),123943.0)</f>
        <v>123943</v>
      </c>
    </row>
    <row r="1244">
      <c r="A1244" s="2">
        <f>IFERROR(__xludf.DUMMYFUNCTION("""COMPUTED_VALUE"""),42417.64583333333)</f>
        <v>42417.64583</v>
      </c>
      <c r="B1244" s="1">
        <f>IFERROR(__xludf.DUMMYFUNCTION("""COMPUTED_VALUE"""),115600.0)</f>
        <v>115600</v>
      </c>
      <c r="C1244" s="1">
        <f>IFERROR(__xludf.DUMMYFUNCTION("""COMPUTED_VALUE"""),117400.0)</f>
        <v>117400</v>
      </c>
      <c r="D1244" s="1">
        <f>IFERROR(__xludf.DUMMYFUNCTION("""COMPUTED_VALUE"""),114800.0)</f>
        <v>114800</v>
      </c>
      <c r="E1244" s="1">
        <f>IFERROR(__xludf.DUMMYFUNCTION("""COMPUTED_VALUE"""),115000.0)</f>
        <v>115000</v>
      </c>
      <c r="F1244" s="1">
        <f>IFERROR(__xludf.DUMMYFUNCTION("""COMPUTED_VALUE"""),158463.0)</f>
        <v>158463</v>
      </c>
    </row>
    <row r="1245">
      <c r="A1245" s="2">
        <f>IFERROR(__xludf.DUMMYFUNCTION("""COMPUTED_VALUE"""),42418.64583333333)</f>
        <v>42418.64583</v>
      </c>
      <c r="B1245" s="1">
        <f>IFERROR(__xludf.DUMMYFUNCTION("""COMPUTED_VALUE"""),115600.0)</f>
        <v>115600</v>
      </c>
      <c r="C1245" s="1">
        <f>IFERROR(__xludf.DUMMYFUNCTION("""COMPUTED_VALUE"""),117600.0)</f>
        <v>117600</v>
      </c>
      <c r="D1245" s="1">
        <f>IFERROR(__xludf.DUMMYFUNCTION("""COMPUTED_VALUE"""),115200.0)</f>
        <v>115200</v>
      </c>
      <c r="E1245" s="1">
        <f>IFERROR(__xludf.DUMMYFUNCTION("""COMPUTED_VALUE"""),116400.0)</f>
        <v>116400</v>
      </c>
      <c r="F1245" s="1">
        <f>IFERROR(__xludf.DUMMYFUNCTION("""COMPUTED_VALUE"""),83228.0)</f>
        <v>83228</v>
      </c>
    </row>
    <row r="1246">
      <c r="A1246" s="2">
        <f>IFERROR(__xludf.DUMMYFUNCTION("""COMPUTED_VALUE"""),42419.64583333333)</f>
        <v>42419.64583</v>
      </c>
      <c r="B1246" s="1">
        <f>IFERROR(__xludf.DUMMYFUNCTION("""COMPUTED_VALUE"""),115800.0)</f>
        <v>115800</v>
      </c>
      <c r="C1246" s="1">
        <f>IFERROR(__xludf.DUMMYFUNCTION("""COMPUTED_VALUE"""),116400.0)</f>
        <v>116400</v>
      </c>
      <c r="D1246" s="1">
        <f>IFERROR(__xludf.DUMMYFUNCTION("""COMPUTED_VALUE"""),113600.0)</f>
        <v>113600</v>
      </c>
      <c r="E1246" s="1">
        <f>IFERROR(__xludf.DUMMYFUNCTION("""COMPUTED_VALUE"""),114600.0)</f>
        <v>114600</v>
      </c>
      <c r="F1246" s="1">
        <f>IFERROR(__xludf.DUMMYFUNCTION("""COMPUTED_VALUE"""),76728.0)</f>
        <v>76728</v>
      </c>
    </row>
    <row r="1247">
      <c r="A1247" s="2">
        <f>IFERROR(__xludf.DUMMYFUNCTION("""COMPUTED_VALUE"""),42422.64583333333)</f>
        <v>42422.64583</v>
      </c>
      <c r="B1247" s="1">
        <f>IFERROR(__xludf.DUMMYFUNCTION("""COMPUTED_VALUE"""),115000.0)</f>
        <v>115000</v>
      </c>
      <c r="C1247" s="1">
        <f>IFERROR(__xludf.DUMMYFUNCTION("""COMPUTED_VALUE"""),116200.0)</f>
        <v>116200</v>
      </c>
      <c r="D1247" s="1">
        <f>IFERROR(__xludf.DUMMYFUNCTION("""COMPUTED_VALUE"""),113000.0)</f>
        <v>113000</v>
      </c>
      <c r="E1247" s="1">
        <f>IFERROR(__xludf.DUMMYFUNCTION("""COMPUTED_VALUE"""),113000.0)</f>
        <v>113000</v>
      </c>
      <c r="F1247" s="1">
        <f>IFERROR(__xludf.DUMMYFUNCTION("""COMPUTED_VALUE"""),86272.0)</f>
        <v>86272</v>
      </c>
    </row>
    <row r="1248">
      <c r="A1248" s="2">
        <f>IFERROR(__xludf.DUMMYFUNCTION("""COMPUTED_VALUE"""),42423.64583333333)</f>
        <v>42423.64583</v>
      </c>
      <c r="B1248" s="1">
        <f>IFERROR(__xludf.DUMMYFUNCTION("""COMPUTED_VALUE"""),113800.0)</f>
        <v>113800</v>
      </c>
      <c r="C1248" s="1">
        <f>IFERROR(__xludf.DUMMYFUNCTION("""COMPUTED_VALUE"""),117400.0)</f>
        <v>117400</v>
      </c>
      <c r="D1248" s="1">
        <f>IFERROR(__xludf.DUMMYFUNCTION("""COMPUTED_VALUE"""),113600.0)</f>
        <v>113600</v>
      </c>
      <c r="E1248" s="1">
        <f>IFERROR(__xludf.DUMMYFUNCTION("""COMPUTED_VALUE"""),116800.0)</f>
        <v>116800</v>
      </c>
      <c r="F1248" s="1">
        <f>IFERROR(__xludf.DUMMYFUNCTION("""COMPUTED_VALUE"""),111857.0)</f>
        <v>111857</v>
      </c>
    </row>
    <row r="1249">
      <c r="A1249" s="2">
        <f>IFERROR(__xludf.DUMMYFUNCTION("""COMPUTED_VALUE"""),42424.64583333333)</f>
        <v>42424.64583</v>
      </c>
      <c r="B1249" s="1">
        <f>IFERROR(__xludf.DUMMYFUNCTION("""COMPUTED_VALUE"""),116600.0)</f>
        <v>116600</v>
      </c>
      <c r="C1249" s="1">
        <f>IFERROR(__xludf.DUMMYFUNCTION("""COMPUTED_VALUE"""),116800.0)</f>
        <v>116800</v>
      </c>
      <c r="D1249" s="1">
        <f>IFERROR(__xludf.DUMMYFUNCTION("""COMPUTED_VALUE"""),114400.0)</f>
        <v>114400</v>
      </c>
      <c r="E1249" s="1">
        <f>IFERROR(__xludf.DUMMYFUNCTION("""COMPUTED_VALUE"""),116000.0)</f>
        <v>116000</v>
      </c>
      <c r="F1249" s="1">
        <f>IFERROR(__xludf.DUMMYFUNCTION("""COMPUTED_VALUE"""),71221.0)</f>
        <v>71221</v>
      </c>
    </row>
    <row r="1250">
      <c r="A1250" s="2">
        <f>IFERROR(__xludf.DUMMYFUNCTION("""COMPUTED_VALUE"""),42425.64583333333)</f>
        <v>42425.64583</v>
      </c>
      <c r="B1250" s="1">
        <f>IFERROR(__xludf.DUMMYFUNCTION("""COMPUTED_VALUE"""),116200.0)</f>
        <v>116200</v>
      </c>
      <c r="C1250" s="1">
        <f>IFERROR(__xludf.DUMMYFUNCTION("""COMPUTED_VALUE"""),117800.0)</f>
        <v>117800</v>
      </c>
      <c r="D1250" s="1">
        <f>IFERROR(__xludf.DUMMYFUNCTION("""COMPUTED_VALUE"""),115600.0)</f>
        <v>115600</v>
      </c>
      <c r="E1250" s="1">
        <f>IFERROR(__xludf.DUMMYFUNCTION("""COMPUTED_VALUE"""),116400.0)</f>
        <v>116400</v>
      </c>
      <c r="F1250" s="1">
        <f>IFERROR(__xludf.DUMMYFUNCTION("""COMPUTED_VALUE"""),57095.0)</f>
        <v>57095</v>
      </c>
    </row>
    <row r="1251">
      <c r="A1251" s="2">
        <f>IFERROR(__xludf.DUMMYFUNCTION("""COMPUTED_VALUE"""),42426.64583333333)</f>
        <v>42426.64583</v>
      </c>
      <c r="B1251" s="1">
        <f>IFERROR(__xludf.DUMMYFUNCTION("""COMPUTED_VALUE"""),116200.0)</f>
        <v>116200</v>
      </c>
      <c r="C1251" s="1">
        <f>IFERROR(__xludf.DUMMYFUNCTION("""COMPUTED_VALUE"""),117200.0)</f>
        <v>117200</v>
      </c>
      <c r="D1251" s="1">
        <f>IFERROR(__xludf.DUMMYFUNCTION("""COMPUTED_VALUE"""),115000.0)</f>
        <v>115000</v>
      </c>
      <c r="E1251" s="1">
        <f>IFERROR(__xludf.DUMMYFUNCTION("""COMPUTED_VALUE"""),116000.0)</f>
        <v>116000</v>
      </c>
      <c r="F1251" s="1">
        <f>IFERROR(__xludf.DUMMYFUNCTION("""COMPUTED_VALUE"""),45972.0)</f>
        <v>45972</v>
      </c>
    </row>
    <row r="1252">
      <c r="A1252" s="2">
        <f>IFERROR(__xludf.DUMMYFUNCTION("""COMPUTED_VALUE"""),42429.64583333333)</f>
        <v>42429.64583</v>
      </c>
      <c r="B1252" s="1">
        <f>IFERROR(__xludf.DUMMYFUNCTION("""COMPUTED_VALUE"""),116000.0)</f>
        <v>116000</v>
      </c>
      <c r="C1252" s="1">
        <f>IFERROR(__xludf.DUMMYFUNCTION("""COMPUTED_VALUE"""),117000.0)</f>
        <v>117000</v>
      </c>
      <c r="D1252" s="1">
        <f>IFERROR(__xludf.DUMMYFUNCTION("""COMPUTED_VALUE"""),114000.0)</f>
        <v>114000</v>
      </c>
      <c r="E1252" s="1">
        <f>IFERROR(__xludf.DUMMYFUNCTION("""COMPUTED_VALUE"""),114400.0)</f>
        <v>114400</v>
      </c>
      <c r="F1252" s="1">
        <f>IFERROR(__xludf.DUMMYFUNCTION("""COMPUTED_VALUE"""),78709.0)</f>
        <v>78709</v>
      </c>
    </row>
    <row r="1253">
      <c r="A1253" s="2">
        <f>IFERROR(__xludf.DUMMYFUNCTION("""COMPUTED_VALUE"""),42431.64583333333)</f>
        <v>42431.64583</v>
      </c>
      <c r="B1253" s="1">
        <f>IFERROR(__xludf.DUMMYFUNCTION("""COMPUTED_VALUE"""),116800.0)</f>
        <v>116800</v>
      </c>
      <c r="C1253" s="1">
        <f>IFERROR(__xludf.DUMMYFUNCTION("""COMPUTED_VALUE"""),122400.0)</f>
        <v>122400</v>
      </c>
      <c r="D1253" s="1">
        <f>IFERROR(__xludf.DUMMYFUNCTION("""COMPUTED_VALUE"""),116200.0)</f>
        <v>116200</v>
      </c>
      <c r="E1253" s="1">
        <f>IFERROR(__xludf.DUMMYFUNCTION("""COMPUTED_VALUE"""),121800.0)</f>
        <v>121800</v>
      </c>
      <c r="F1253" s="1">
        <f>IFERROR(__xludf.DUMMYFUNCTION("""COMPUTED_VALUE"""),119099.0)</f>
        <v>119099</v>
      </c>
    </row>
    <row r="1254">
      <c r="A1254" s="2">
        <f>IFERROR(__xludf.DUMMYFUNCTION("""COMPUTED_VALUE"""),42432.64583333333)</f>
        <v>42432.64583</v>
      </c>
      <c r="B1254" s="1">
        <f>IFERROR(__xludf.DUMMYFUNCTION("""COMPUTED_VALUE"""),123000.0)</f>
        <v>123000</v>
      </c>
      <c r="C1254" s="1">
        <f>IFERROR(__xludf.DUMMYFUNCTION("""COMPUTED_VALUE"""),123000.0)</f>
        <v>123000</v>
      </c>
      <c r="D1254" s="1">
        <f>IFERROR(__xludf.DUMMYFUNCTION("""COMPUTED_VALUE"""),120400.0)</f>
        <v>120400</v>
      </c>
      <c r="E1254" s="1">
        <f>IFERROR(__xludf.DUMMYFUNCTION("""COMPUTED_VALUE"""),122000.0)</f>
        <v>122000</v>
      </c>
      <c r="F1254" s="1">
        <f>IFERROR(__xludf.DUMMYFUNCTION("""COMPUTED_VALUE"""),74873.0)</f>
        <v>74873</v>
      </c>
    </row>
    <row r="1255">
      <c r="A1255" s="2">
        <f>IFERROR(__xludf.DUMMYFUNCTION("""COMPUTED_VALUE"""),42433.64583333333)</f>
        <v>42433.64583</v>
      </c>
      <c r="B1255" s="1">
        <f>IFERROR(__xludf.DUMMYFUNCTION("""COMPUTED_VALUE"""),123000.0)</f>
        <v>123000</v>
      </c>
      <c r="C1255" s="1">
        <f>IFERROR(__xludf.DUMMYFUNCTION("""COMPUTED_VALUE"""),124200.0)</f>
        <v>124200</v>
      </c>
      <c r="D1255" s="1">
        <f>IFERROR(__xludf.DUMMYFUNCTION("""COMPUTED_VALUE"""),120800.0)</f>
        <v>120800</v>
      </c>
      <c r="E1255" s="1">
        <f>IFERROR(__xludf.DUMMYFUNCTION("""COMPUTED_VALUE"""),122600.0)</f>
        <v>122600</v>
      </c>
      <c r="F1255" s="1">
        <f>IFERROR(__xludf.DUMMYFUNCTION("""COMPUTED_VALUE"""),66116.0)</f>
        <v>66116</v>
      </c>
    </row>
    <row r="1256">
      <c r="A1256" s="2">
        <f>IFERROR(__xludf.DUMMYFUNCTION("""COMPUTED_VALUE"""),42436.64583333333)</f>
        <v>42436.64583</v>
      </c>
      <c r="B1256" s="1">
        <f>IFERROR(__xludf.DUMMYFUNCTION("""COMPUTED_VALUE"""),123000.0)</f>
        <v>123000</v>
      </c>
      <c r="C1256" s="1">
        <f>IFERROR(__xludf.DUMMYFUNCTION("""COMPUTED_VALUE"""),123800.0)</f>
        <v>123800</v>
      </c>
      <c r="D1256" s="1">
        <f>IFERROR(__xludf.DUMMYFUNCTION("""COMPUTED_VALUE"""),119800.0)</f>
        <v>119800</v>
      </c>
      <c r="E1256" s="1">
        <f>IFERROR(__xludf.DUMMYFUNCTION("""COMPUTED_VALUE"""),119800.0)</f>
        <v>119800</v>
      </c>
      <c r="F1256" s="1">
        <f>IFERROR(__xludf.DUMMYFUNCTION("""COMPUTED_VALUE"""),75885.0)</f>
        <v>75885</v>
      </c>
    </row>
    <row r="1257">
      <c r="A1257" s="2">
        <f>IFERROR(__xludf.DUMMYFUNCTION("""COMPUTED_VALUE"""),42437.64583333333)</f>
        <v>42437.64583</v>
      </c>
      <c r="B1257" s="1">
        <f>IFERROR(__xludf.DUMMYFUNCTION("""COMPUTED_VALUE"""),117600.0)</f>
        <v>117600</v>
      </c>
      <c r="C1257" s="1">
        <f>IFERROR(__xludf.DUMMYFUNCTION("""COMPUTED_VALUE"""),122400.0)</f>
        <v>122400</v>
      </c>
      <c r="D1257" s="1">
        <f>IFERROR(__xludf.DUMMYFUNCTION("""COMPUTED_VALUE"""),117600.0)</f>
        <v>117600</v>
      </c>
      <c r="E1257" s="1">
        <f>IFERROR(__xludf.DUMMYFUNCTION("""COMPUTED_VALUE"""),120800.0)</f>
        <v>120800</v>
      </c>
      <c r="F1257" s="1">
        <f>IFERROR(__xludf.DUMMYFUNCTION("""COMPUTED_VALUE"""),49925.0)</f>
        <v>49925</v>
      </c>
    </row>
    <row r="1258">
      <c r="A1258" s="2">
        <f>IFERROR(__xludf.DUMMYFUNCTION("""COMPUTED_VALUE"""),42438.64583333333)</f>
        <v>42438.64583</v>
      </c>
      <c r="B1258" s="1">
        <f>IFERROR(__xludf.DUMMYFUNCTION("""COMPUTED_VALUE"""),120200.0)</f>
        <v>120200</v>
      </c>
      <c r="C1258" s="1">
        <f>IFERROR(__xludf.DUMMYFUNCTION("""COMPUTED_VALUE"""),122000.0)</f>
        <v>122000</v>
      </c>
      <c r="D1258" s="1">
        <f>IFERROR(__xludf.DUMMYFUNCTION("""COMPUTED_VALUE"""),120000.0)</f>
        <v>120000</v>
      </c>
      <c r="E1258" s="1">
        <f>IFERROR(__xludf.DUMMYFUNCTION("""COMPUTED_VALUE"""),121600.0)</f>
        <v>121600</v>
      </c>
      <c r="F1258" s="1">
        <f>IFERROR(__xludf.DUMMYFUNCTION("""COMPUTED_VALUE"""),37660.0)</f>
        <v>37660</v>
      </c>
    </row>
    <row r="1259">
      <c r="A1259" s="2">
        <f>IFERROR(__xludf.DUMMYFUNCTION("""COMPUTED_VALUE"""),42439.64583333333)</f>
        <v>42439.64583</v>
      </c>
      <c r="B1259" s="1">
        <f>IFERROR(__xludf.DUMMYFUNCTION("""COMPUTED_VALUE"""),121600.0)</f>
        <v>121600</v>
      </c>
      <c r="C1259" s="1">
        <f>IFERROR(__xludf.DUMMYFUNCTION("""COMPUTED_VALUE"""),128800.0)</f>
        <v>128800</v>
      </c>
      <c r="D1259" s="1">
        <f>IFERROR(__xludf.DUMMYFUNCTION("""COMPUTED_VALUE"""),120400.0)</f>
        <v>120400</v>
      </c>
      <c r="E1259" s="1">
        <f>IFERROR(__xludf.DUMMYFUNCTION("""COMPUTED_VALUE"""),127000.0)</f>
        <v>127000</v>
      </c>
      <c r="F1259" s="1">
        <f>IFERROR(__xludf.DUMMYFUNCTION("""COMPUTED_VALUE"""),136851.0)</f>
        <v>136851</v>
      </c>
    </row>
    <row r="1260">
      <c r="A1260" s="2">
        <f>IFERROR(__xludf.DUMMYFUNCTION("""COMPUTED_VALUE"""),42440.64583333333)</f>
        <v>42440.64583</v>
      </c>
      <c r="B1260" s="1">
        <f>IFERROR(__xludf.DUMMYFUNCTION("""COMPUTED_VALUE"""),127600.0)</f>
        <v>127600</v>
      </c>
      <c r="C1260" s="1">
        <f>IFERROR(__xludf.DUMMYFUNCTION("""COMPUTED_VALUE"""),129800.0)</f>
        <v>129800</v>
      </c>
      <c r="D1260" s="1">
        <f>IFERROR(__xludf.DUMMYFUNCTION("""COMPUTED_VALUE"""),126200.0)</f>
        <v>126200</v>
      </c>
      <c r="E1260" s="1">
        <f>IFERROR(__xludf.DUMMYFUNCTION("""COMPUTED_VALUE"""),127200.0)</f>
        <v>127200</v>
      </c>
      <c r="F1260" s="1">
        <f>IFERROR(__xludf.DUMMYFUNCTION("""COMPUTED_VALUE"""),108114.0)</f>
        <v>108114</v>
      </c>
    </row>
    <row r="1261">
      <c r="A1261" s="2">
        <f>IFERROR(__xludf.DUMMYFUNCTION("""COMPUTED_VALUE"""),42443.64583333333)</f>
        <v>42443.64583</v>
      </c>
      <c r="B1261" s="1">
        <f>IFERROR(__xludf.DUMMYFUNCTION("""COMPUTED_VALUE"""),128200.0)</f>
        <v>128200</v>
      </c>
      <c r="C1261" s="1">
        <f>IFERROR(__xludf.DUMMYFUNCTION("""COMPUTED_VALUE"""),128400.0)</f>
        <v>128400</v>
      </c>
      <c r="D1261" s="1">
        <f>IFERROR(__xludf.DUMMYFUNCTION("""COMPUTED_VALUE"""),125000.0)</f>
        <v>125000</v>
      </c>
      <c r="E1261" s="1">
        <f>IFERROR(__xludf.DUMMYFUNCTION("""COMPUTED_VALUE"""),127000.0)</f>
        <v>127000</v>
      </c>
      <c r="F1261" s="1">
        <f>IFERROR(__xludf.DUMMYFUNCTION("""COMPUTED_VALUE"""),52825.0)</f>
        <v>52825</v>
      </c>
    </row>
    <row r="1262">
      <c r="A1262" s="2">
        <f>IFERROR(__xludf.DUMMYFUNCTION("""COMPUTED_VALUE"""),42444.64583333333)</f>
        <v>42444.64583</v>
      </c>
      <c r="B1262" s="1">
        <f>IFERROR(__xludf.DUMMYFUNCTION("""COMPUTED_VALUE"""),127000.0)</f>
        <v>127000</v>
      </c>
      <c r="C1262" s="1">
        <f>IFERROR(__xludf.DUMMYFUNCTION("""COMPUTED_VALUE"""),129600.0)</f>
        <v>129600</v>
      </c>
      <c r="D1262" s="1">
        <f>IFERROR(__xludf.DUMMYFUNCTION("""COMPUTED_VALUE"""),126400.0)</f>
        <v>126400</v>
      </c>
      <c r="E1262" s="1">
        <f>IFERROR(__xludf.DUMMYFUNCTION("""COMPUTED_VALUE"""),128200.0)</f>
        <v>128200</v>
      </c>
      <c r="F1262" s="1">
        <f>IFERROR(__xludf.DUMMYFUNCTION("""COMPUTED_VALUE"""),51664.0)</f>
        <v>51664</v>
      </c>
    </row>
    <row r="1263">
      <c r="A1263" s="2">
        <f>IFERROR(__xludf.DUMMYFUNCTION("""COMPUTED_VALUE"""),42445.64583333333)</f>
        <v>42445.64583</v>
      </c>
      <c r="B1263" s="1">
        <f>IFERROR(__xludf.DUMMYFUNCTION("""COMPUTED_VALUE"""),128800.0)</f>
        <v>128800</v>
      </c>
      <c r="C1263" s="1">
        <f>IFERROR(__xludf.DUMMYFUNCTION("""COMPUTED_VALUE"""),129400.0)</f>
        <v>129400</v>
      </c>
      <c r="D1263" s="1">
        <f>IFERROR(__xludf.DUMMYFUNCTION("""COMPUTED_VALUE"""),127000.0)</f>
        <v>127000</v>
      </c>
      <c r="E1263" s="1">
        <f>IFERROR(__xludf.DUMMYFUNCTION("""COMPUTED_VALUE"""),128000.0)</f>
        <v>128000</v>
      </c>
      <c r="F1263" s="1">
        <f>IFERROR(__xludf.DUMMYFUNCTION("""COMPUTED_VALUE"""),41993.0)</f>
        <v>41993</v>
      </c>
    </row>
    <row r="1264">
      <c r="A1264" s="2">
        <f>IFERROR(__xludf.DUMMYFUNCTION("""COMPUTED_VALUE"""),42446.64583333333)</f>
        <v>42446.64583</v>
      </c>
      <c r="B1264" s="1">
        <f>IFERROR(__xludf.DUMMYFUNCTION("""COMPUTED_VALUE"""),129800.0)</f>
        <v>129800</v>
      </c>
      <c r="C1264" s="1">
        <f>IFERROR(__xludf.DUMMYFUNCTION("""COMPUTED_VALUE"""),129800.0)</f>
        <v>129800</v>
      </c>
      <c r="D1264" s="1">
        <f>IFERROR(__xludf.DUMMYFUNCTION("""COMPUTED_VALUE"""),126000.0)</f>
        <v>126000</v>
      </c>
      <c r="E1264" s="1">
        <f>IFERROR(__xludf.DUMMYFUNCTION("""COMPUTED_VALUE"""),127200.0)</f>
        <v>127200</v>
      </c>
      <c r="F1264" s="1">
        <f>IFERROR(__xludf.DUMMYFUNCTION("""COMPUTED_VALUE"""),79516.0)</f>
        <v>79516</v>
      </c>
    </row>
    <row r="1265">
      <c r="A1265" s="2">
        <f>IFERROR(__xludf.DUMMYFUNCTION("""COMPUTED_VALUE"""),42447.64583333333)</f>
        <v>42447.64583</v>
      </c>
      <c r="B1265" s="1">
        <f>IFERROR(__xludf.DUMMYFUNCTION("""COMPUTED_VALUE"""),126600.0)</f>
        <v>126600</v>
      </c>
      <c r="C1265" s="1">
        <f>IFERROR(__xludf.DUMMYFUNCTION("""COMPUTED_VALUE"""),128400.0)</f>
        <v>128400</v>
      </c>
      <c r="D1265" s="1">
        <f>IFERROR(__xludf.DUMMYFUNCTION("""COMPUTED_VALUE"""),126000.0)</f>
        <v>126000</v>
      </c>
      <c r="E1265" s="1">
        <f>IFERROR(__xludf.DUMMYFUNCTION("""COMPUTED_VALUE"""),127800.0)</f>
        <v>127800</v>
      </c>
      <c r="F1265" s="1">
        <f>IFERROR(__xludf.DUMMYFUNCTION("""COMPUTED_VALUE"""),59518.0)</f>
        <v>59518</v>
      </c>
    </row>
    <row r="1266">
      <c r="A1266" s="2">
        <f>IFERROR(__xludf.DUMMYFUNCTION("""COMPUTED_VALUE"""),42450.64583333333)</f>
        <v>42450.64583</v>
      </c>
      <c r="B1266" s="1">
        <f>IFERROR(__xludf.DUMMYFUNCTION("""COMPUTED_VALUE"""),126800.0)</f>
        <v>126800</v>
      </c>
      <c r="C1266" s="1">
        <f>IFERROR(__xludf.DUMMYFUNCTION("""COMPUTED_VALUE"""),129600.0)</f>
        <v>129600</v>
      </c>
      <c r="D1266" s="1">
        <f>IFERROR(__xludf.DUMMYFUNCTION("""COMPUTED_VALUE"""),126600.0)</f>
        <v>126600</v>
      </c>
      <c r="E1266" s="1">
        <f>IFERROR(__xludf.DUMMYFUNCTION("""COMPUTED_VALUE"""),128400.0)</f>
        <v>128400</v>
      </c>
      <c r="F1266" s="1">
        <f>IFERROR(__xludf.DUMMYFUNCTION("""COMPUTED_VALUE"""),63761.0)</f>
        <v>63761</v>
      </c>
    </row>
    <row r="1267">
      <c r="A1267" s="2">
        <f>IFERROR(__xludf.DUMMYFUNCTION("""COMPUTED_VALUE"""),42451.64583333333)</f>
        <v>42451.64583</v>
      </c>
      <c r="B1267" s="1">
        <f>IFERROR(__xludf.DUMMYFUNCTION("""COMPUTED_VALUE"""),128200.0)</f>
        <v>128200</v>
      </c>
      <c r="C1267" s="1">
        <f>IFERROR(__xludf.DUMMYFUNCTION("""COMPUTED_VALUE"""),130800.0)</f>
        <v>130800</v>
      </c>
      <c r="D1267" s="1">
        <f>IFERROR(__xludf.DUMMYFUNCTION("""COMPUTED_VALUE"""),127800.0)</f>
        <v>127800</v>
      </c>
      <c r="E1267" s="1">
        <f>IFERROR(__xludf.DUMMYFUNCTION("""COMPUTED_VALUE"""),129800.0)</f>
        <v>129800</v>
      </c>
      <c r="F1267" s="1">
        <f>IFERROR(__xludf.DUMMYFUNCTION("""COMPUTED_VALUE"""),99260.0)</f>
        <v>99260</v>
      </c>
    </row>
    <row r="1268">
      <c r="A1268" s="2">
        <f>IFERROR(__xludf.DUMMYFUNCTION("""COMPUTED_VALUE"""),42452.64583333333)</f>
        <v>42452.64583</v>
      </c>
      <c r="B1268" s="1">
        <f>IFERROR(__xludf.DUMMYFUNCTION("""COMPUTED_VALUE"""),130000.0)</f>
        <v>130000</v>
      </c>
      <c r="C1268" s="1">
        <f>IFERROR(__xludf.DUMMYFUNCTION("""COMPUTED_VALUE"""),130400.0)</f>
        <v>130400</v>
      </c>
      <c r="D1268" s="1">
        <f>IFERROR(__xludf.DUMMYFUNCTION("""COMPUTED_VALUE"""),125400.0)</f>
        <v>125400</v>
      </c>
      <c r="E1268" s="1">
        <f>IFERROR(__xludf.DUMMYFUNCTION("""COMPUTED_VALUE"""),126800.0)</f>
        <v>126800</v>
      </c>
      <c r="F1268" s="1">
        <f>IFERROR(__xludf.DUMMYFUNCTION("""COMPUTED_VALUE"""),94009.0)</f>
        <v>94009</v>
      </c>
    </row>
    <row r="1269">
      <c r="A1269" s="2">
        <f>IFERROR(__xludf.DUMMYFUNCTION("""COMPUTED_VALUE"""),42453.64583333333)</f>
        <v>42453.64583</v>
      </c>
      <c r="B1269" s="1">
        <f>IFERROR(__xludf.DUMMYFUNCTION("""COMPUTED_VALUE"""),127600.0)</f>
        <v>127600</v>
      </c>
      <c r="C1269" s="1">
        <f>IFERROR(__xludf.DUMMYFUNCTION("""COMPUTED_VALUE"""),128400.0)</f>
        <v>128400</v>
      </c>
      <c r="D1269" s="1">
        <f>IFERROR(__xludf.DUMMYFUNCTION("""COMPUTED_VALUE"""),124200.0)</f>
        <v>124200</v>
      </c>
      <c r="E1269" s="1">
        <f>IFERROR(__xludf.DUMMYFUNCTION("""COMPUTED_VALUE"""),124800.0)</f>
        <v>124800</v>
      </c>
      <c r="F1269" s="1">
        <f>IFERROR(__xludf.DUMMYFUNCTION("""COMPUTED_VALUE"""),73071.0)</f>
        <v>73071</v>
      </c>
    </row>
    <row r="1270">
      <c r="A1270" s="2">
        <f>IFERROR(__xludf.DUMMYFUNCTION("""COMPUTED_VALUE"""),42454.64583333333)</f>
        <v>42454.64583</v>
      </c>
      <c r="B1270" s="1">
        <f>IFERROR(__xludf.DUMMYFUNCTION("""COMPUTED_VALUE"""),124800.0)</f>
        <v>124800</v>
      </c>
      <c r="C1270" s="1">
        <f>IFERROR(__xludf.DUMMYFUNCTION("""COMPUTED_VALUE"""),125800.0)</f>
        <v>125800</v>
      </c>
      <c r="D1270" s="1">
        <f>IFERROR(__xludf.DUMMYFUNCTION("""COMPUTED_VALUE"""),122200.0)</f>
        <v>122200</v>
      </c>
      <c r="E1270" s="1">
        <f>IFERROR(__xludf.DUMMYFUNCTION("""COMPUTED_VALUE"""),122600.0)</f>
        <v>122600</v>
      </c>
      <c r="F1270" s="1">
        <f>IFERROR(__xludf.DUMMYFUNCTION("""COMPUTED_VALUE"""),104353.0)</f>
        <v>104353</v>
      </c>
    </row>
    <row r="1271">
      <c r="A1271" s="2">
        <f>IFERROR(__xludf.DUMMYFUNCTION("""COMPUTED_VALUE"""),42457.64583333333)</f>
        <v>42457.64583</v>
      </c>
      <c r="B1271" s="1">
        <f>IFERROR(__xludf.DUMMYFUNCTION("""COMPUTED_VALUE"""),123200.0)</f>
        <v>123200</v>
      </c>
      <c r="C1271" s="1">
        <f>IFERROR(__xludf.DUMMYFUNCTION("""COMPUTED_VALUE"""),125600.0)</f>
        <v>125600</v>
      </c>
      <c r="D1271" s="1">
        <f>IFERROR(__xludf.DUMMYFUNCTION("""COMPUTED_VALUE"""),123000.0)</f>
        <v>123000</v>
      </c>
      <c r="E1271" s="1">
        <f>IFERROR(__xludf.DUMMYFUNCTION("""COMPUTED_VALUE"""),123400.0)</f>
        <v>123400</v>
      </c>
      <c r="F1271" s="1">
        <f>IFERROR(__xludf.DUMMYFUNCTION("""COMPUTED_VALUE"""),54766.0)</f>
        <v>54766</v>
      </c>
    </row>
    <row r="1272">
      <c r="A1272" s="2">
        <f>IFERROR(__xludf.DUMMYFUNCTION("""COMPUTED_VALUE"""),42458.64583333333)</f>
        <v>42458.64583</v>
      </c>
      <c r="B1272" s="1">
        <f>IFERROR(__xludf.DUMMYFUNCTION("""COMPUTED_VALUE"""),123400.0)</f>
        <v>123400</v>
      </c>
      <c r="C1272" s="1">
        <f>IFERROR(__xludf.DUMMYFUNCTION("""COMPUTED_VALUE"""),128000.0)</f>
        <v>128000</v>
      </c>
      <c r="D1272" s="1">
        <f>IFERROR(__xludf.DUMMYFUNCTION("""COMPUTED_VALUE"""),123200.0)</f>
        <v>123200</v>
      </c>
      <c r="E1272" s="1">
        <f>IFERROR(__xludf.DUMMYFUNCTION("""COMPUTED_VALUE"""),128000.0)</f>
        <v>128000</v>
      </c>
      <c r="F1272" s="1">
        <f>IFERROR(__xludf.DUMMYFUNCTION("""COMPUTED_VALUE"""),71050.0)</f>
        <v>71050</v>
      </c>
    </row>
    <row r="1273">
      <c r="A1273" s="2">
        <f>IFERROR(__xludf.DUMMYFUNCTION("""COMPUTED_VALUE"""),42459.64583333333)</f>
        <v>42459.64583</v>
      </c>
      <c r="B1273" s="1">
        <f>IFERROR(__xludf.DUMMYFUNCTION("""COMPUTED_VALUE"""),129800.0)</f>
        <v>129800</v>
      </c>
      <c r="C1273" s="1">
        <f>IFERROR(__xludf.DUMMYFUNCTION("""COMPUTED_VALUE"""),129800.0)</f>
        <v>129800</v>
      </c>
      <c r="D1273" s="1">
        <f>IFERROR(__xludf.DUMMYFUNCTION("""COMPUTED_VALUE"""),126400.0)</f>
        <v>126400</v>
      </c>
      <c r="E1273" s="1">
        <f>IFERROR(__xludf.DUMMYFUNCTION("""COMPUTED_VALUE"""),127400.0)</f>
        <v>127400</v>
      </c>
      <c r="F1273" s="1">
        <f>IFERROR(__xludf.DUMMYFUNCTION("""COMPUTED_VALUE"""),89180.0)</f>
        <v>89180</v>
      </c>
    </row>
    <row r="1274">
      <c r="A1274" s="2">
        <f>IFERROR(__xludf.DUMMYFUNCTION("""COMPUTED_VALUE"""),42460.64583333333)</f>
        <v>42460.64583</v>
      </c>
      <c r="B1274" s="1">
        <f>IFERROR(__xludf.DUMMYFUNCTION("""COMPUTED_VALUE"""),129000.0)</f>
        <v>129000</v>
      </c>
      <c r="C1274" s="1">
        <f>IFERROR(__xludf.DUMMYFUNCTION("""COMPUTED_VALUE"""),129200.0)</f>
        <v>129200</v>
      </c>
      <c r="D1274" s="1">
        <f>IFERROR(__xludf.DUMMYFUNCTION("""COMPUTED_VALUE"""),126600.0)</f>
        <v>126600</v>
      </c>
      <c r="E1274" s="1">
        <f>IFERROR(__xludf.DUMMYFUNCTION("""COMPUTED_VALUE"""),127400.0)</f>
        <v>127400</v>
      </c>
      <c r="F1274" s="1">
        <f>IFERROR(__xludf.DUMMYFUNCTION("""COMPUTED_VALUE"""),107783.0)</f>
        <v>107783</v>
      </c>
    </row>
    <row r="1275">
      <c r="A1275" s="2">
        <f>IFERROR(__xludf.DUMMYFUNCTION("""COMPUTED_VALUE"""),42461.64583333333)</f>
        <v>42461.64583</v>
      </c>
      <c r="B1275" s="1">
        <f>IFERROR(__xludf.DUMMYFUNCTION("""COMPUTED_VALUE"""),129000.0)</f>
        <v>129000</v>
      </c>
      <c r="C1275" s="1">
        <f>IFERROR(__xludf.DUMMYFUNCTION("""COMPUTED_VALUE"""),129000.0)</f>
        <v>129000</v>
      </c>
      <c r="D1275" s="1">
        <f>IFERROR(__xludf.DUMMYFUNCTION("""COMPUTED_VALUE"""),124800.0)</f>
        <v>124800</v>
      </c>
      <c r="E1275" s="1">
        <f>IFERROR(__xludf.DUMMYFUNCTION("""COMPUTED_VALUE"""),125600.0)</f>
        <v>125600</v>
      </c>
      <c r="F1275" s="1">
        <f>IFERROR(__xludf.DUMMYFUNCTION("""COMPUTED_VALUE"""),62556.0)</f>
        <v>62556</v>
      </c>
    </row>
    <row r="1276">
      <c r="A1276" s="2">
        <f>IFERROR(__xludf.DUMMYFUNCTION("""COMPUTED_VALUE"""),42464.64583333333)</f>
        <v>42464.64583</v>
      </c>
      <c r="B1276" s="1">
        <f>IFERROR(__xludf.DUMMYFUNCTION("""COMPUTED_VALUE"""),126400.0)</f>
        <v>126400</v>
      </c>
      <c r="C1276" s="1">
        <f>IFERROR(__xludf.DUMMYFUNCTION("""COMPUTED_VALUE"""),130200.0)</f>
        <v>130200</v>
      </c>
      <c r="D1276" s="1">
        <f>IFERROR(__xludf.DUMMYFUNCTION("""COMPUTED_VALUE"""),126400.0)</f>
        <v>126400</v>
      </c>
      <c r="E1276" s="1">
        <f>IFERROR(__xludf.DUMMYFUNCTION("""COMPUTED_VALUE"""),130200.0)</f>
        <v>130200</v>
      </c>
      <c r="F1276" s="1">
        <f>IFERROR(__xludf.DUMMYFUNCTION("""COMPUTED_VALUE"""),108339.0)</f>
        <v>108339</v>
      </c>
    </row>
    <row r="1277">
      <c r="A1277" s="2">
        <f>IFERROR(__xludf.DUMMYFUNCTION("""COMPUTED_VALUE"""),42465.64583333333)</f>
        <v>42465.64583</v>
      </c>
      <c r="B1277" s="1">
        <f>IFERROR(__xludf.DUMMYFUNCTION("""COMPUTED_VALUE"""),130000.0)</f>
        <v>130000</v>
      </c>
      <c r="C1277" s="1">
        <f>IFERROR(__xludf.DUMMYFUNCTION("""COMPUTED_VALUE"""),130600.0)</f>
        <v>130600</v>
      </c>
      <c r="D1277" s="1">
        <f>IFERROR(__xludf.DUMMYFUNCTION("""COMPUTED_VALUE"""),129600.0)</f>
        <v>129600</v>
      </c>
      <c r="E1277" s="1">
        <f>IFERROR(__xludf.DUMMYFUNCTION("""COMPUTED_VALUE"""),130400.0)</f>
        <v>130400</v>
      </c>
      <c r="F1277" s="1">
        <f>IFERROR(__xludf.DUMMYFUNCTION("""COMPUTED_VALUE"""),92265.0)</f>
        <v>92265</v>
      </c>
    </row>
    <row r="1278">
      <c r="A1278" s="2">
        <f>IFERROR(__xludf.DUMMYFUNCTION("""COMPUTED_VALUE"""),42466.64583333333)</f>
        <v>42466.64583</v>
      </c>
      <c r="B1278" s="1">
        <f>IFERROR(__xludf.DUMMYFUNCTION("""COMPUTED_VALUE"""),129000.0)</f>
        <v>129000</v>
      </c>
      <c r="C1278" s="1">
        <f>IFERROR(__xludf.DUMMYFUNCTION("""COMPUTED_VALUE"""),130200.0)</f>
        <v>130200</v>
      </c>
      <c r="D1278" s="1">
        <f>IFERROR(__xludf.DUMMYFUNCTION("""COMPUTED_VALUE"""),128400.0)</f>
        <v>128400</v>
      </c>
      <c r="E1278" s="1">
        <f>IFERROR(__xludf.DUMMYFUNCTION("""COMPUTED_VALUE"""),129800.0)</f>
        <v>129800</v>
      </c>
      <c r="F1278" s="1">
        <f>IFERROR(__xludf.DUMMYFUNCTION("""COMPUTED_VALUE"""),84628.0)</f>
        <v>84628</v>
      </c>
    </row>
    <row r="1279">
      <c r="A1279" s="2">
        <f>IFERROR(__xludf.DUMMYFUNCTION("""COMPUTED_VALUE"""),42467.64583333333)</f>
        <v>42467.64583</v>
      </c>
      <c r="B1279" s="1">
        <f>IFERROR(__xludf.DUMMYFUNCTION("""COMPUTED_VALUE"""),130200.0)</f>
        <v>130200</v>
      </c>
      <c r="C1279" s="1">
        <f>IFERROR(__xludf.DUMMYFUNCTION("""COMPUTED_VALUE"""),135400.0)</f>
        <v>135400</v>
      </c>
      <c r="D1279" s="1">
        <f>IFERROR(__xludf.DUMMYFUNCTION("""COMPUTED_VALUE"""),129800.0)</f>
        <v>129800</v>
      </c>
      <c r="E1279" s="1">
        <f>IFERROR(__xludf.DUMMYFUNCTION("""COMPUTED_VALUE"""),135000.0)</f>
        <v>135000</v>
      </c>
      <c r="F1279" s="1">
        <f>IFERROR(__xludf.DUMMYFUNCTION("""COMPUTED_VALUE"""),141392.0)</f>
        <v>141392</v>
      </c>
    </row>
    <row r="1280">
      <c r="A1280" s="2">
        <f>IFERROR(__xludf.DUMMYFUNCTION("""COMPUTED_VALUE"""),42468.64583333333)</f>
        <v>42468.64583</v>
      </c>
      <c r="B1280" s="1">
        <f>IFERROR(__xludf.DUMMYFUNCTION("""COMPUTED_VALUE"""),133400.0)</f>
        <v>133400</v>
      </c>
      <c r="C1280" s="1">
        <f>IFERROR(__xludf.DUMMYFUNCTION("""COMPUTED_VALUE"""),134000.0)</f>
        <v>134000</v>
      </c>
      <c r="D1280" s="1">
        <f>IFERROR(__xludf.DUMMYFUNCTION("""COMPUTED_VALUE"""),132000.0)</f>
        <v>132000</v>
      </c>
      <c r="E1280" s="1">
        <f>IFERROR(__xludf.DUMMYFUNCTION("""COMPUTED_VALUE"""),132600.0)</f>
        <v>132600</v>
      </c>
      <c r="F1280" s="1">
        <f>IFERROR(__xludf.DUMMYFUNCTION("""COMPUTED_VALUE"""),72693.0)</f>
        <v>72693</v>
      </c>
    </row>
    <row r="1281">
      <c r="A1281" s="2">
        <f>IFERROR(__xludf.DUMMYFUNCTION("""COMPUTED_VALUE"""),42471.64583333333)</f>
        <v>42471.64583</v>
      </c>
      <c r="B1281" s="1">
        <f>IFERROR(__xludf.DUMMYFUNCTION("""COMPUTED_VALUE"""),132600.0)</f>
        <v>132600</v>
      </c>
      <c r="C1281" s="1">
        <f>IFERROR(__xludf.DUMMYFUNCTION("""COMPUTED_VALUE"""),134000.0)</f>
        <v>134000</v>
      </c>
      <c r="D1281" s="1">
        <f>IFERROR(__xludf.DUMMYFUNCTION("""COMPUTED_VALUE"""),131200.0)</f>
        <v>131200</v>
      </c>
      <c r="E1281" s="1">
        <f>IFERROR(__xludf.DUMMYFUNCTION("""COMPUTED_VALUE"""),132800.0)</f>
        <v>132800</v>
      </c>
      <c r="F1281" s="1">
        <f>IFERROR(__xludf.DUMMYFUNCTION("""COMPUTED_VALUE"""),59360.0)</f>
        <v>59360</v>
      </c>
    </row>
    <row r="1282">
      <c r="A1282" s="2">
        <f>IFERROR(__xludf.DUMMYFUNCTION("""COMPUTED_VALUE"""),42472.64583333333)</f>
        <v>42472.64583</v>
      </c>
      <c r="B1282" s="1">
        <f>IFERROR(__xludf.DUMMYFUNCTION("""COMPUTED_VALUE"""),133200.0)</f>
        <v>133200</v>
      </c>
      <c r="C1282" s="1">
        <f>IFERROR(__xludf.DUMMYFUNCTION("""COMPUTED_VALUE"""),134400.0)</f>
        <v>134400</v>
      </c>
      <c r="D1282" s="1">
        <f>IFERROR(__xludf.DUMMYFUNCTION("""COMPUTED_VALUE"""),132000.0)</f>
        <v>132000</v>
      </c>
      <c r="E1282" s="1">
        <f>IFERROR(__xludf.DUMMYFUNCTION("""COMPUTED_VALUE"""),134000.0)</f>
        <v>134000</v>
      </c>
      <c r="F1282" s="1">
        <f>IFERROR(__xludf.DUMMYFUNCTION("""COMPUTED_VALUE"""),55658.0)</f>
        <v>55658</v>
      </c>
    </row>
    <row r="1283">
      <c r="A1283" s="2">
        <f>IFERROR(__xludf.DUMMYFUNCTION("""COMPUTED_VALUE"""),42474.64583333333)</f>
        <v>42474.64583</v>
      </c>
      <c r="B1283" s="1">
        <f>IFERROR(__xludf.DUMMYFUNCTION("""COMPUTED_VALUE"""),138000.0)</f>
        <v>138000</v>
      </c>
      <c r="C1283" s="1">
        <f>IFERROR(__xludf.DUMMYFUNCTION("""COMPUTED_VALUE"""),138200.0)</f>
        <v>138200</v>
      </c>
      <c r="D1283" s="1">
        <f>IFERROR(__xludf.DUMMYFUNCTION("""COMPUTED_VALUE"""),133600.0)</f>
        <v>133600</v>
      </c>
      <c r="E1283" s="1">
        <f>IFERROR(__xludf.DUMMYFUNCTION("""COMPUTED_VALUE"""),134600.0)</f>
        <v>134600</v>
      </c>
      <c r="F1283" s="1">
        <f>IFERROR(__xludf.DUMMYFUNCTION("""COMPUTED_VALUE"""),89049.0)</f>
        <v>89049</v>
      </c>
    </row>
    <row r="1284">
      <c r="A1284" s="2">
        <f>IFERROR(__xludf.DUMMYFUNCTION("""COMPUTED_VALUE"""),42475.64583333333)</f>
        <v>42475.64583</v>
      </c>
      <c r="B1284" s="1">
        <f>IFERROR(__xludf.DUMMYFUNCTION("""COMPUTED_VALUE"""),134400.0)</f>
        <v>134400</v>
      </c>
      <c r="C1284" s="1">
        <f>IFERROR(__xludf.DUMMYFUNCTION("""COMPUTED_VALUE"""),135400.0)</f>
        <v>135400</v>
      </c>
      <c r="D1284" s="1">
        <f>IFERROR(__xludf.DUMMYFUNCTION("""COMPUTED_VALUE"""),133600.0)</f>
        <v>133600</v>
      </c>
      <c r="E1284" s="1">
        <f>IFERROR(__xludf.DUMMYFUNCTION("""COMPUTED_VALUE"""),134600.0)</f>
        <v>134600</v>
      </c>
      <c r="F1284" s="1">
        <f>IFERROR(__xludf.DUMMYFUNCTION("""COMPUTED_VALUE"""),80228.0)</f>
        <v>80228</v>
      </c>
    </row>
    <row r="1285">
      <c r="A1285" s="2">
        <f>IFERROR(__xludf.DUMMYFUNCTION("""COMPUTED_VALUE"""),42478.64583333333)</f>
        <v>42478.64583</v>
      </c>
      <c r="B1285" s="1">
        <f>IFERROR(__xludf.DUMMYFUNCTION("""COMPUTED_VALUE"""),133600.0)</f>
        <v>133600</v>
      </c>
      <c r="C1285" s="1">
        <f>IFERROR(__xludf.DUMMYFUNCTION("""COMPUTED_VALUE"""),134400.0)</f>
        <v>134400</v>
      </c>
      <c r="D1285" s="1">
        <f>IFERROR(__xludf.DUMMYFUNCTION("""COMPUTED_VALUE"""),131400.0)</f>
        <v>131400</v>
      </c>
      <c r="E1285" s="1">
        <f>IFERROR(__xludf.DUMMYFUNCTION("""COMPUTED_VALUE"""),132200.0)</f>
        <v>132200</v>
      </c>
      <c r="F1285" s="1">
        <f>IFERROR(__xludf.DUMMYFUNCTION("""COMPUTED_VALUE"""),74941.0)</f>
        <v>74941</v>
      </c>
    </row>
    <row r="1286">
      <c r="A1286" s="2">
        <f>IFERROR(__xludf.DUMMYFUNCTION("""COMPUTED_VALUE"""),42479.64583333333)</f>
        <v>42479.64583</v>
      </c>
      <c r="B1286" s="1">
        <f>IFERROR(__xludf.DUMMYFUNCTION("""COMPUTED_VALUE"""),132200.0)</f>
        <v>132200</v>
      </c>
      <c r="C1286" s="1">
        <f>IFERROR(__xludf.DUMMYFUNCTION("""COMPUTED_VALUE"""),134400.0)</f>
        <v>134400</v>
      </c>
      <c r="D1286" s="1">
        <f>IFERROR(__xludf.DUMMYFUNCTION("""COMPUTED_VALUE"""),132200.0)</f>
        <v>132200</v>
      </c>
      <c r="E1286" s="1">
        <f>IFERROR(__xludf.DUMMYFUNCTION("""COMPUTED_VALUE"""),133800.0)</f>
        <v>133800</v>
      </c>
      <c r="F1286" s="1">
        <f>IFERROR(__xludf.DUMMYFUNCTION("""COMPUTED_VALUE"""),90281.0)</f>
        <v>90281</v>
      </c>
    </row>
    <row r="1287">
      <c r="A1287" s="2">
        <f>IFERROR(__xludf.DUMMYFUNCTION("""COMPUTED_VALUE"""),42480.64583333333)</f>
        <v>42480.64583</v>
      </c>
      <c r="B1287" s="1">
        <f>IFERROR(__xludf.DUMMYFUNCTION("""COMPUTED_VALUE"""),133200.0)</f>
        <v>133200</v>
      </c>
      <c r="C1287" s="1">
        <f>IFERROR(__xludf.DUMMYFUNCTION("""COMPUTED_VALUE"""),133600.0)</f>
        <v>133600</v>
      </c>
      <c r="D1287" s="1">
        <f>IFERROR(__xludf.DUMMYFUNCTION("""COMPUTED_VALUE"""),130200.0)</f>
        <v>130200</v>
      </c>
      <c r="E1287" s="1">
        <f>IFERROR(__xludf.DUMMYFUNCTION("""COMPUTED_VALUE"""),130800.0)</f>
        <v>130800</v>
      </c>
      <c r="F1287" s="1">
        <f>IFERROR(__xludf.DUMMYFUNCTION("""COMPUTED_VALUE"""),92783.0)</f>
        <v>92783</v>
      </c>
    </row>
    <row r="1288">
      <c r="A1288" s="2">
        <f>IFERROR(__xludf.DUMMYFUNCTION("""COMPUTED_VALUE"""),42481.64583333333)</f>
        <v>42481.64583</v>
      </c>
      <c r="B1288" s="1">
        <f>IFERROR(__xludf.DUMMYFUNCTION("""COMPUTED_VALUE"""),132000.0)</f>
        <v>132000</v>
      </c>
      <c r="C1288" s="1">
        <f>IFERROR(__xludf.DUMMYFUNCTION("""COMPUTED_VALUE"""),133400.0)</f>
        <v>133400</v>
      </c>
      <c r="D1288" s="1">
        <f>IFERROR(__xludf.DUMMYFUNCTION("""COMPUTED_VALUE"""),131200.0)</f>
        <v>131200</v>
      </c>
      <c r="E1288" s="1">
        <f>IFERROR(__xludf.DUMMYFUNCTION("""COMPUTED_VALUE"""),133400.0)</f>
        <v>133400</v>
      </c>
      <c r="F1288" s="1">
        <f>IFERROR(__xludf.DUMMYFUNCTION("""COMPUTED_VALUE"""),82414.0)</f>
        <v>82414</v>
      </c>
    </row>
    <row r="1289">
      <c r="A1289" s="2">
        <f>IFERROR(__xludf.DUMMYFUNCTION("""COMPUTED_VALUE"""),42482.64583333333)</f>
        <v>42482.64583</v>
      </c>
      <c r="B1289" s="1">
        <f>IFERROR(__xludf.DUMMYFUNCTION("""COMPUTED_VALUE"""),132000.0)</f>
        <v>132000</v>
      </c>
      <c r="C1289" s="1">
        <f>IFERROR(__xludf.DUMMYFUNCTION("""COMPUTED_VALUE"""),133000.0)</f>
        <v>133000</v>
      </c>
      <c r="D1289" s="1">
        <f>IFERROR(__xludf.DUMMYFUNCTION("""COMPUTED_VALUE"""),131400.0)</f>
        <v>131400</v>
      </c>
      <c r="E1289" s="1">
        <f>IFERROR(__xludf.DUMMYFUNCTION("""COMPUTED_VALUE"""),132600.0)</f>
        <v>132600</v>
      </c>
      <c r="F1289" s="1">
        <f>IFERROR(__xludf.DUMMYFUNCTION("""COMPUTED_VALUE"""),38974.0)</f>
        <v>38974</v>
      </c>
    </row>
    <row r="1290">
      <c r="A1290" s="2">
        <f>IFERROR(__xludf.DUMMYFUNCTION("""COMPUTED_VALUE"""),42485.64583333333)</f>
        <v>42485.64583</v>
      </c>
      <c r="B1290" s="1">
        <f>IFERROR(__xludf.DUMMYFUNCTION("""COMPUTED_VALUE"""),132400.0)</f>
        <v>132400</v>
      </c>
      <c r="C1290" s="1">
        <f>IFERROR(__xludf.DUMMYFUNCTION("""COMPUTED_VALUE"""),133000.0)</f>
        <v>133000</v>
      </c>
      <c r="D1290" s="1">
        <f>IFERROR(__xludf.DUMMYFUNCTION("""COMPUTED_VALUE"""),131000.0)</f>
        <v>131000</v>
      </c>
      <c r="E1290" s="1">
        <f>IFERROR(__xludf.DUMMYFUNCTION("""COMPUTED_VALUE"""),132400.0)</f>
        <v>132400</v>
      </c>
      <c r="F1290" s="1">
        <f>IFERROR(__xludf.DUMMYFUNCTION("""COMPUTED_VALUE"""),71124.0)</f>
        <v>71124</v>
      </c>
    </row>
    <row r="1291">
      <c r="A1291" s="2">
        <f>IFERROR(__xludf.DUMMYFUNCTION("""COMPUTED_VALUE"""),42486.64583333333)</f>
        <v>42486.64583</v>
      </c>
      <c r="B1291" s="1">
        <f>IFERROR(__xludf.DUMMYFUNCTION("""COMPUTED_VALUE"""),132600.0)</f>
        <v>132600</v>
      </c>
      <c r="C1291" s="1">
        <f>IFERROR(__xludf.DUMMYFUNCTION("""COMPUTED_VALUE"""),134400.0)</f>
        <v>134400</v>
      </c>
      <c r="D1291" s="1">
        <f>IFERROR(__xludf.DUMMYFUNCTION("""COMPUTED_VALUE"""),129800.0)</f>
        <v>129800</v>
      </c>
      <c r="E1291" s="1">
        <f>IFERROR(__xludf.DUMMYFUNCTION("""COMPUTED_VALUE"""),130800.0)</f>
        <v>130800</v>
      </c>
      <c r="F1291" s="1">
        <f>IFERROR(__xludf.DUMMYFUNCTION("""COMPUTED_VALUE"""),157920.0)</f>
        <v>157920</v>
      </c>
    </row>
    <row r="1292">
      <c r="A1292" s="2">
        <f>IFERROR(__xludf.DUMMYFUNCTION("""COMPUTED_VALUE"""),42487.64583333333)</f>
        <v>42487.64583</v>
      </c>
      <c r="B1292" s="1">
        <f>IFERROR(__xludf.DUMMYFUNCTION("""COMPUTED_VALUE"""),129600.0)</f>
        <v>129600</v>
      </c>
      <c r="C1292" s="1">
        <f>IFERROR(__xludf.DUMMYFUNCTION("""COMPUTED_VALUE"""),133000.0)</f>
        <v>133000</v>
      </c>
      <c r="D1292" s="1">
        <f>IFERROR(__xludf.DUMMYFUNCTION("""COMPUTED_VALUE"""),128000.0)</f>
        <v>128000</v>
      </c>
      <c r="E1292" s="1">
        <f>IFERROR(__xludf.DUMMYFUNCTION("""COMPUTED_VALUE"""),133000.0)</f>
        <v>133000</v>
      </c>
      <c r="F1292" s="1">
        <f>IFERROR(__xludf.DUMMYFUNCTION("""COMPUTED_VALUE"""),80668.0)</f>
        <v>80668</v>
      </c>
    </row>
    <row r="1293">
      <c r="A1293" s="2">
        <f>IFERROR(__xludf.DUMMYFUNCTION("""COMPUTED_VALUE"""),42488.64583333333)</f>
        <v>42488.64583</v>
      </c>
      <c r="B1293" s="1">
        <f>IFERROR(__xludf.DUMMYFUNCTION("""COMPUTED_VALUE"""),138200.0)</f>
        <v>138200</v>
      </c>
      <c r="C1293" s="1">
        <f>IFERROR(__xludf.DUMMYFUNCTION("""COMPUTED_VALUE"""),138200.0)</f>
        <v>138200</v>
      </c>
      <c r="D1293" s="1">
        <f>IFERROR(__xludf.DUMMYFUNCTION("""COMPUTED_VALUE"""),129200.0)</f>
        <v>129200</v>
      </c>
      <c r="E1293" s="1">
        <f>IFERROR(__xludf.DUMMYFUNCTION("""COMPUTED_VALUE"""),131800.0)</f>
        <v>131800</v>
      </c>
      <c r="F1293" s="1">
        <f>IFERROR(__xludf.DUMMYFUNCTION("""COMPUTED_VALUE"""),228211.0)</f>
        <v>228211</v>
      </c>
    </row>
    <row r="1294">
      <c r="A1294" s="2">
        <f>IFERROR(__xludf.DUMMYFUNCTION("""COMPUTED_VALUE"""),42489.64583333333)</f>
        <v>42489.64583</v>
      </c>
      <c r="B1294" s="1">
        <f>IFERROR(__xludf.DUMMYFUNCTION("""COMPUTED_VALUE"""),133600.0)</f>
        <v>133600</v>
      </c>
      <c r="C1294" s="1">
        <f>IFERROR(__xludf.DUMMYFUNCTION("""COMPUTED_VALUE"""),136200.0)</f>
        <v>136200</v>
      </c>
      <c r="D1294" s="1">
        <f>IFERROR(__xludf.DUMMYFUNCTION("""COMPUTED_VALUE"""),133200.0)</f>
        <v>133200</v>
      </c>
      <c r="E1294" s="1">
        <f>IFERROR(__xludf.DUMMYFUNCTION("""COMPUTED_VALUE"""),135400.0)</f>
        <v>135400</v>
      </c>
      <c r="F1294" s="1">
        <f>IFERROR(__xludf.DUMMYFUNCTION("""COMPUTED_VALUE"""),181733.0)</f>
        <v>181733</v>
      </c>
    </row>
    <row r="1295">
      <c r="A1295" s="2">
        <f>IFERROR(__xludf.DUMMYFUNCTION("""COMPUTED_VALUE"""),42492.64583333333)</f>
        <v>42492.64583</v>
      </c>
      <c r="B1295" s="1">
        <f>IFERROR(__xludf.DUMMYFUNCTION("""COMPUTED_VALUE"""),135800.0)</f>
        <v>135800</v>
      </c>
      <c r="C1295" s="1">
        <f>IFERROR(__xludf.DUMMYFUNCTION("""COMPUTED_VALUE"""),136000.0)</f>
        <v>136000</v>
      </c>
      <c r="D1295" s="1">
        <f>IFERROR(__xludf.DUMMYFUNCTION("""COMPUTED_VALUE"""),133400.0)</f>
        <v>133400</v>
      </c>
      <c r="E1295" s="1">
        <f>IFERROR(__xludf.DUMMYFUNCTION("""COMPUTED_VALUE"""),135600.0)</f>
        <v>135600</v>
      </c>
      <c r="F1295" s="1">
        <f>IFERROR(__xludf.DUMMYFUNCTION("""COMPUTED_VALUE"""),57779.0)</f>
        <v>57779</v>
      </c>
    </row>
    <row r="1296">
      <c r="A1296" s="2">
        <f>IFERROR(__xludf.DUMMYFUNCTION("""COMPUTED_VALUE"""),42493.64583333333)</f>
        <v>42493.64583</v>
      </c>
      <c r="B1296" s="1">
        <f>IFERROR(__xludf.DUMMYFUNCTION("""COMPUTED_VALUE"""),136400.0)</f>
        <v>136400</v>
      </c>
      <c r="C1296" s="1">
        <f>IFERROR(__xludf.DUMMYFUNCTION("""COMPUTED_VALUE"""),136400.0)</f>
        <v>136400</v>
      </c>
      <c r="D1296" s="1">
        <f>IFERROR(__xludf.DUMMYFUNCTION("""COMPUTED_VALUE"""),135000.0)</f>
        <v>135000</v>
      </c>
      <c r="E1296" s="1">
        <f>IFERROR(__xludf.DUMMYFUNCTION("""COMPUTED_VALUE"""),135200.0)</f>
        <v>135200</v>
      </c>
      <c r="F1296" s="1">
        <f>IFERROR(__xludf.DUMMYFUNCTION("""COMPUTED_VALUE"""),68780.0)</f>
        <v>68780</v>
      </c>
    </row>
    <row r="1297">
      <c r="A1297" s="2">
        <f>IFERROR(__xludf.DUMMYFUNCTION("""COMPUTED_VALUE"""),42494.64583333333)</f>
        <v>42494.64583</v>
      </c>
      <c r="B1297" s="1">
        <f>IFERROR(__xludf.DUMMYFUNCTION("""COMPUTED_VALUE"""),135800.0)</f>
        <v>135800</v>
      </c>
      <c r="C1297" s="1">
        <f>IFERROR(__xludf.DUMMYFUNCTION("""COMPUTED_VALUE"""),136600.0)</f>
        <v>136600</v>
      </c>
      <c r="D1297" s="1">
        <f>IFERROR(__xludf.DUMMYFUNCTION("""COMPUTED_VALUE"""),134000.0)</f>
        <v>134000</v>
      </c>
      <c r="E1297" s="1">
        <f>IFERROR(__xludf.DUMMYFUNCTION("""COMPUTED_VALUE"""),136000.0)</f>
        <v>136000</v>
      </c>
      <c r="F1297" s="1">
        <f>IFERROR(__xludf.DUMMYFUNCTION("""COMPUTED_VALUE"""),139450.0)</f>
        <v>139450</v>
      </c>
    </row>
    <row r="1298">
      <c r="A1298" s="2">
        <f>IFERROR(__xludf.DUMMYFUNCTION("""COMPUTED_VALUE"""),42499.64583333333)</f>
        <v>42499.64583</v>
      </c>
      <c r="B1298" s="1">
        <f>IFERROR(__xludf.DUMMYFUNCTION("""COMPUTED_VALUE"""),139800.0)</f>
        <v>139800</v>
      </c>
      <c r="C1298" s="1">
        <f>IFERROR(__xludf.DUMMYFUNCTION("""COMPUTED_VALUE"""),141000.0)</f>
        <v>141000</v>
      </c>
      <c r="D1298" s="1">
        <f>IFERROR(__xludf.DUMMYFUNCTION("""COMPUTED_VALUE"""),137400.0)</f>
        <v>137400</v>
      </c>
      <c r="E1298" s="1">
        <f>IFERROR(__xludf.DUMMYFUNCTION("""COMPUTED_VALUE"""),140000.0)</f>
        <v>140000</v>
      </c>
      <c r="F1298" s="1">
        <f>IFERROR(__xludf.DUMMYFUNCTION("""COMPUTED_VALUE"""),185085.0)</f>
        <v>185085</v>
      </c>
    </row>
    <row r="1299">
      <c r="A1299" s="2">
        <f>IFERROR(__xludf.DUMMYFUNCTION("""COMPUTED_VALUE"""),42500.64583333333)</f>
        <v>42500.64583</v>
      </c>
      <c r="B1299" s="1">
        <f>IFERROR(__xludf.DUMMYFUNCTION("""COMPUTED_VALUE"""),141600.0)</f>
        <v>141600</v>
      </c>
      <c r="C1299" s="1">
        <f>IFERROR(__xludf.DUMMYFUNCTION("""COMPUTED_VALUE"""),142800.0)</f>
        <v>142800</v>
      </c>
      <c r="D1299" s="1">
        <f>IFERROR(__xludf.DUMMYFUNCTION("""COMPUTED_VALUE"""),139000.0)</f>
        <v>139000</v>
      </c>
      <c r="E1299" s="1">
        <f>IFERROR(__xludf.DUMMYFUNCTION("""COMPUTED_VALUE"""),141400.0)</f>
        <v>141400</v>
      </c>
      <c r="F1299" s="1">
        <f>IFERROR(__xludf.DUMMYFUNCTION("""COMPUTED_VALUE"""),106455.0)</f>
        <v>106455</v>
      </c>
    </row>
    <row r="1300">
      <c r="A1300" s="2">
        <f>IFERROR(__xludf.DUMMYFUNCTION("""COMPUTED_VALUE"""),42501.64583333333)</f>
        <v>42501.64583</v>
      </c>
      <c r="B1300" s="1">
        <f>IFERROR(__xludf.DUMMYFUNCTION("""COMPUTED_VALUE"""),140000.0)</f>
        <v>140000</v>
      </c>
      <c r="C1300" s="1">
        <f>IFERROR(__xludf.DUMMYFUNCTION("""COMPUTED_VALUE"""),140400.0)</f>
        <v>140400</v>
      </c>
      <c r="D1300" s="1">
        <f>IFERROR(__xludf.DUMMYFUNCTION("""COMPUTED_VALUE"""),138000.0)</f>
        <v>138000</v>
      </c>
      <c r="E1300" s="1">
        <f>IFERROR(__xludf.DUMMYFUNCTION("""COMPUTED_VALUE"""),138600.0)</f>
        <v>138600</v>
      </c>
      <c r="F1300" s="1">
        <f>IFERROR(__xludf.DUMMYFUNCTION("""COMPUTED_VALUE"""),88336.0)</f>
        <v>88336</v>
      </c>
    </row>
    <row r="1301">
      <c r="A1301" s="2">
        <f>IFERROR(__xludf.DUMMYFUNCTION("""COMPUTED_VALUE"""),42502.64583333333)</f>
        <v>42502.64583</v>
      </c>
      <c r="B1301" s="1">
        <f>IFERROR(__xludf.DUMMYFUNCTION("""COMPUTED_VALUE"""),139000.0)</f>
        <v>139000</v>
      </c>
      <c r="C1301" s="1">
        <f>IFERROR(__xludf.DUMMYFUNCTION("""COMPUTED_VALUE"""),139400.0)</f>
        <v>139400</v>
      </c>
      <c r="D1301" s="1">
        <f>IFERROR(__xludf.DUMMYFUNCTION("""COMPUTED_VALUE"""),135200.0)</f>
        <v>135200</v>
      </c>
      <c r="E1301" s="1">
        <f>IFERROR(__xludf.DUMMYFUNCTION("""COMPUTED_VALUE"""),135200.0)</f>
        <v>135200</v>
      </c>
      <c r="F1301" s="1">
        <f>IFERROR(__xludf.DUMMYFUNCTION("""COMPUTED_VALUE"""),67686.0)</f>
        <v>67686</v>
      </c>
    </row>
    <row r="1302">
      <c r="A1302" s="2">
        <f>IFERROR(__xludf.DUMMYFUNCTION("""COMPUTED_VALUE"""),42503.64583333333)</f>
        <v>42503.64583</v>
      </c>
      <c r="B1302" s="1">
        <f>IFERROR(__xludf.DUMMYFUNCTION("""COMPUTED_VALUE"""),135000.0)</f>
        <v>135000</v>
      </c>
      <c r="C1302" s="1">
        <f>IFERROR(__xludf.DUMMYFUNCTION("""COMPUTED_VALUE"""),137400.0)</f>
        <v>137400</v>
      </c>
      <c r="D1302" s="1">
        <f>IFERROR(__xludf.DUMMYFUNCTION("""COMPUTED_VALUE"""),133600.0)</f>
        <v>133600</v>
      </c>
      <c r="E1302" s="1">
        <f>IFERROR(__xludf.DUMMYFUNCTION("""COMPUTED_VALUE"""),135400.0)</f>
        <v>135400</v>
      </c>
      <c r="F1302" s="1">
        <f>IFERROR(__xludf.DUMMYFUNCTION("""COMPUTED_VALUE"""),92573.0)</f>
        <v>92573</v>
      </c>
    </row>
    <row r="1303">
      <c r="A1303" s="2">
        <f>IFERROR(__xludf.DUMMYFUNCTION("""COMPUTED_VALUE"""),42506.64583333333)</f>
        <v>42506.64583</v>
      </c>
      <c r="B1303" s="1">
        <f>IFERROR(__xludf.DUMMYFUNCTION("""COMPUTED_VALUE"""),134200.0)</f>
        <v>134200</v>
      </c>
      <c r="C1303" s="1">
        <f>IFERROR(__xludf.DUMMYFUNCTION("""COMPUTED_VALUE"""),139000.0)</f>
        <v>139000</v>
      </c>
      <c r="D1303" s="1">
        <f>IFERROR(__xludf.DUMMYFUNCTION("""COMPUTED_VALUE"""),134200.0)</f>
        <v>134200</v>
      </c>
      <c r="E1303" s="1">
        <f>IFERROR(__xludf.DUMMYFUNCTION("""COMPUTED_VALUE"""),138400.0)</f>
        <v>138400</v>
      </c>
      <c r="F1303" s="1">
        <f>IFERROR(__xludf.DUMMYFUNCTION("""COMPUTED_VALUE"""),64530.0)</f>
        <v>64530</v>
      </c>
    </row>
    <row r="1304">
      <c r="A1304" s="2">
        <f>IFERROR(__xludf.DUMMYFUNCTION("""COMPUTED_VALUE"""),42507.64583333333)</f>
        <v>42507.64583</v>
      </c>
      <c r="B1304" s="1">
        <f>IFERROR(__xludf.DUMMYFUNCTION("""COMPUTED_VALUE"""),138200.0)</f>
        <v>138200</v>
      </c>
      <c r="C1304" s="1">
        <f>IFERROR(__xludf.DUMMYFUNCTION("""COMPUTED_VALUE"""),138800.0)</f>
        <v>138800</v>
      </c>
      <c r="D1304" s="1">
        <f>IFERROR(__xludf.DUMMYFUNCTION("""COMPUTED_VALUE"""),137200.0)</f>
        <v>137200</v>
      </c>
      <c r="E1304" s="1">
        <f>IFERROR(__xludf.DUMMYFUNCTION("""COMPUTED_VALUE"""),138800.0)</f>
        <v>138800</v>
      </c>
      <c r="F1304" s="1">
        <f>IFERROR(__xludf.DUMMYFUNCTION("""COMPUTED_VALUE"""),68326.0)</f>
        <v>68326</v>
      </c>
    </row>
    <row r="1305">
      <c r="A1305" s="2">
        <f>IFERROR(__xludf.DUMMYFUNCTION("""COMPUTED_VALUE"""),42508.64583333333)</f>
        <v>42508.64583</v>
      </c>
      <c r="B1305" s="1">
        <f>IFERROR(__xludf.DUMMYFUNCTION("""COMPUTED_VALUE"""),138800.0)</f>
        <v>138800</v>
      </c>
      <c r="C1305" s="1">
        <f>IFERROR(__xludf.DUMMYFUNCTION("""COMPUTED_VALUE"""),139600.0)</f>
        <v>139600</v>
      </c>
      <c r="D1305" s="1">
        <f>IFERROR(__xludf.DUMMYFUNCTION("""COMPUTED_VALUE"""),136400.0)</f>
        <v>136400</v>
      </c>
      <c r="E1305" s="1">
        <f>IFERROR(__xludf.DUMMYFUNCTION("""COMPUTED_VALUE"""),139600.0)</f>
        <v>139600</v>
      </c>
      <c r="F1305" s="1">
        <f>IFERROR(__xludf.DUMMYFUNCTION("""COMPUTED_VALUE"""),175078.0)</f>
        <v>175078</v>
      </c>
    </row>
    <row r="1306">
      <c r="A1306" s="2">
        <f>IFERROR(__xludf.DUMMYFUNCTION("""COMPUTED_VALUE"""),42509.64583333333)</f>
        <v>42509.64583</v>
      </c>
      <c r="B1306" s="1">
        <f>IFERROR(__xludf.DUMMYFUNCTION("""COMPUTED_VALUE"""),137400.0)</f>
        <v>137400</v>
      </c>
      <c r="C1306" s="1">
        <f>IFERROR(__xludf.DUMMYFUNCTION("""COMPUTED_VALUE"""),140200.0)</f>
        <v>140200</v>
      </c>
      <c r="D1306" s="1">
        <f>IFERROR(__xludf.DUMMYFUNCTION("""COMPUTED_VALUE"""),137400.0)</f>
        <v>137400</v>
      </c>
      <c r="E1306" s="1">
        <f>IFERROR(__xludf.DUMMYFUNCTION("""COMPUTED_VALUE"""),140200.0)</f>
        <v>140200</v>
      </c>
      <c r="F1306" s="1">
        <f>IFERROR(__xludf.DUMMYFUNCTION("""COMPUTED_VALUE"""),50218.0)</f>
        <v>50218</v>
      </c>
    </row>
    <row r="1307">
      <c r="A1307" s="2">
        <f>IFERROR(__xludf.DUMMYFUNCTION("""COMPUTED_VALUE"""),42510.64583333333)</f>
        <v>42510.64583</v>
      </c>
      <c r="B1307" s="1">
        <f>IFERROR(__xludf.DUMMYFUNCTION("""COMPUTED_VALUE"""),141600.0)</f>
        <v>141600</v>
      </c>
      <c r="C1307" s="1">
        <f>IFERROR(__xludf.DUMMYFUNCTION("""COMPUTED_VALUE"""),142000.0)</f>
        <v>142000</v>
      </c>
      <c r="D1307" s="1">
        <f>IFERROR(__xludf.DUMMYFUNCTION("""COMPUTED_VALUE"""),136400.0)</f>
        <v>136400</v>
      </c>
      <c r="E1307" s="1">
        <f>IFERROR(__xludf.DUMMYFUNCTION("""COMPUTED_VALUE"""),137600.0)</f>
        <v>137600</v>
      </c>
      <c r="F1307" s="1">
        <f>IFERROR(__xludf.DUMMYFUNCTION("""COMPUTED_VALUE"""),76520.0)</f>
        <v>76520</v>
      </c>
    </row>
    <row r="1308">
      <c r="A1308" s="2">
        <f>IFERROR(__xludf.DUMMYFUNCTION("""COMPUTED_VALUE"""),42513.64583333333)</f>
        <v>42513.64583</v>
      </c>
      <c r="B1308" s="1">
        <f>IFERROR(__xludf.DUMMYFUNCTION("""COMPUTED_VALUE"""),138000.0)</f>
        <v>138000</v>
      </c>
      <c r="C1308" s="1">
        <f>IFERROR(__xludf.DUMMYFUNCTION("""COMPUTED_VALUE"""),138000.0)</f>
        <v>138000</v>
      </c>
      <c r="D1308" s="1">
        <f>IFERROR(__xludf.DUMMYFUNCTION("""COMPUTED_VALUE"""),134600.0)</f>
        <v>134600</v>
      </c>
      <c r="E1308" s="1">
        <f>IFERROR(__xludf.DUMMYFUNCTION("""COMPUTED_VALUE"""),138000.0)</f>
        <v>138000</v>
      </c>
      <c r="F1308" s="1">
        <f>IFERROR(__xludf.DUMMYFUNCTION("""COMPUTED_VALUE"""),57779.0)</f>
        <v>57779</v>
      </c>
    </row>
    <row r="1309">
      <c r="A1309" s="2">
        <f>IFERROR(__xludf.DUMMYFUNCTION("""COMPUTED_VALUE"""),42514.64583333333)</f>
        <v>42514.64583</v>
      </c>
      <c r="B1309" s="1">
        <f>IFERROR(__xludf.DUMMYFUNCTION("""COMPUTED_VALUE"""),138000.0)</f>
        <v>138000</v>
      </c>
      <c r="C1309" s="1">
        <f>IFERROR(__xludf.DUMMYFUNCTION("""COMPUTED_VALUE"""),140600.0)</f>
        <v>140600</v>
      </c>
      <c r="D1309" s="1">
        <f>IFERROR(__xludf.DUMMYFUNCTION("""COMPUTED_VALUE"""),137200.0)</f>
        <v>137200</v>
      </c>
      <c r="E1309" s="1">
        <f>IFERROR(__xludf.DUMMYFUNCTION("""COMPUTED_VALUE"""),138800.0)</f>
        <v>138800</v>
      </c>
      <c r="F1309" s="1">
        <f>IFERROR(__xludf.DUMMYFUNCTION("""COMPUTED_VALUE"""),55240.0)</f>
        <v>55240</v>
      </c>
    </row>
    <row r="1310">
      <c r="A1310" s="2">
        <f>IFERROR(__xludf.DUMMYFUNCTION("""COMPUTED_VALUE"""),42515.64583333333)</f>
        <v>42515.64583</v>
      </c>
      <c r="B1310" s="1">
        <f>IFERROR(__xludf.DUMMYFUNCTION("""COMPUTED_VALUE"""),140200.0)</f>
        <v>140200</v>
      </c>
      <c r="C1310" s="1">
        <f>IFERROR(__xludf.DUMMYFUNCTION("""COMPUTED_VALUE"""),141800.0)</f>
        <v>141800</v>
      </c>
      <c r="D1310" s="1">
        <f>IFERROR(__xludf.DUMMYFUNCTION("""COMPUTED_VALUE"""),139000.0)</f>
        <v>139000</v>
      </c>
      <c r="E1310" s="1">
        <f>IFERROR(__xludf.DUMMYFUNCTION("""COMPUTED_VALUE"""),140800.0)</f>
        <v>140800</v>
      </c>
      <c r="F1310" s="1">
        <f>IFERROR(__xludf.DUMMYFUNCTION("""COMPUTED_VALUE"""),92645.0)</f>
        <v>92645</v>
      </c>
    </row>
    <row r="1311">
      <c r="A1311" s="2">
        <f>IFERROR(__xludf.DUMMYFUNCTION("""COMPUTED_VALUE"""),42516.64583333333)</f>
        <v>42516.64583</v>
      </c>
      <c r="B1311" s="1">
        <f>IFERROR(__xludf.DUMMYFUNCTION("""COMPUTED_VALUE"""),140800.0)</f>
        <v>140800</v>
      </c>
      <c r="C1311" s="1">
        <f>IFERROR(__xludf.DUMMYFUNCTION("""COMPUTED_VALUE"""),141800.0)</f>
        <v>141800</v>
      </c>
      <c r="D1311" s="1">
        <f>IFERROR(__xludf.DUMMYFUNCTION("""COMPUTED_VALUE"""),139800.0)</f>
        <v>139800</v>
      </c>
      <c r="E1311" s="1">
        <f>IFERROR(__xludf.DUMMYFUNCTION("""COMPUTED_VALUE"""),140600.0)</f>
        <v>140600</v>
      </c>
      <c r="F1311" s="1">
        <f>IFERROR(__xludf.DUMMYFUNCTION("""COMPUTED_VALUE"""),45223.0)</f>
        <v>45223</v>
      </c>
    </row>
    <row r="1312">
      <c r="A1312" s="2">
        <f>IFERROR(__xludf.DUMMYFUNCTION("""COMPUTED_VALUE"""),42517.64583333333)</f>
        <v>42517.64583</v>
      </c>
      <c r="B1312" s="1">
        <f>IFERROR(__xludf.DUMMYFUNCTION("""COMPUTED_VALUE"""),141000.0)</f>
        <v>141000</v>
      </c>
      <c r="C1312" s="1">
        <f>IFERROR(__xludf.DUMMYFUNCTION("""COMPUTED_VALUE"""),141200.0)</f>
        <v>141200</v>
      </c>
      <c r="D1312" s="1">
        <f>IFERROR(__xludf.DUMMYFUNCTION("""COMPUTED_VALUE"""),139000.0)</f>
        <v>139000</v>
      </c>
      <c r="E1312" s="1">
        <f>IFERROR(__xludf.DUMMYFUNCTION("""COMPUTED_VALUE"""),140000.0)</f>
        <v>140000</v>
      </c>
      <c r="F1312" s="1">
        <f>IFERROR(__xludf.DUMMYFUNCTION("""COMPUTED_VALUE"""),45014.0)</f>
        <v>45014</v>
      </c>
    </row>
    <row r="1313">
      <c r="A1313" s="2">
        <f>IFERROR(__xludf.DUMMYFUNCTION("""COMPUTED_VALUE"""),42520.64583333333)</f>
        <v>42520.64583</v>
      </c>
      <c r="B1313" s="1">
        <f>IFERROR(__xludf.DUMMYFUNCTION("""COMPUTED_VALUE"""),141000.0)</f>
        <v>141000</v>
      </c>
      <c r="C1313" s="1">
        <f>IFERROR(__xludf.DUMMYFUNCTION("""COMPUTED_VALUE"""),142400.0)</f>
        <v>142400</v>
      </c>
      <c r="D1313" s="1">
        <f>IFERROR(__xludf.DUMMYFUNCTION("""COMPUTED_VALUE"""),140400.0)</f>
        <v>140400</v>
      </c>
      <c r="E1313" s="1">
        <f>IFERROR(__xludf.DUMMYFUNCTION("""COMPUTED_VALUE"""),142000.0)</f>
        <v>142000</v>
      </c>
      <c r="F1313" s="1">
        <f>IFERROR(__xludf.DUMMYFUNCTION("""COMPUTED_VALUE"""),82852.0)</f>
        <v>82852</v>
      </c>
    </row>
    <row r="1314">
      <c r="A1314" s="2">
        <f>IFERROR(__xludf.DUMMYFUNCTION("""COMPUTED_VALUE"""),42521.64583333333)</f>
        <v>42521.64583</v>
      </c>
      <c r="B1314" s="1">
        <f>IFERROR(__xludf.DUMMYFUNCTION("""COMPUTED_VALUE"""),142000.0)</f>
        <v>142000</v>
      </c>
      <c r="C1314" s="1">
        <f>IFERROR(__xludf.DUMMYFUNCTION("""COMPUTED_VALUE"""),144000.0)</f>
        <v>144000</v>
      </c>
      <c r="D1314" s="1">
        <f>IFERROR(__xludf.DUMMYFUNCTION("""COMPUTED_VALUE"""),141200.0)</f>
        <v>141200</v>
      </c>
      <c r="E1314" s="1">
        <f>IFERROR(__xludf.DUMMYFUNCTION("""COMPUTED_VALUE"""),144000.0)</f>
        <v>144000</v>
      </c>
      <c r="F1314" s="1">
        <f>IFERROR(__xludf.DUMMYFUNCTION("""COMPUTED_VALUE"""),115867.0)</f>
        <v>115867</v>
      </c>
    </row>
    <row r="1315">
      <c r="A1315" s="2">
        <f>IFERROR(__xludf.DUMMYFUNCTION("""COMPUTED_VALUE"""),42522.64583333333)</f>
        <v>42522.64583</v>
      </c>
      <c r="B1315" s="1">
        <f>IFERROR(__xludf.DUMMYFUNCTION("""COMPUTED_VALUE"""),140000.0)</f>
        <v>140000</v>
      </c>
      <c r="C1315" s="1">
        <f>IFERROR(__xludf.DUMMYFUNCTION("""COMPUTED_VALUE"""),140200.0)</f>
        <v>140200</v>
      </c>
      <c r="D1315" s="1">
        <f>IFERROR(__xludf.DUMMYFUNCTION("""COMPUTED_VALUE"""),133200.0)</f>
        <v>133200</v>
      </c>
      <c r="E1315" s="1">
        <f>IFERROR(__xludf.DUMMYFUNCTION("""COMPUTED_VALUE"""),137400.0)</f>
        <v>137400</v>
      </c>
      <c r="F1315" s="1">
        <f>IFERROR(__xludf.DUMMYFUNCTION("""COMPUTED_VALUE"""),336227.0)</f>
        <v>336227</v>
      </c>
    </row>
    <row r="1316">
      <c r="A1316" s="2">
        <f>IFERROR(__xludf.DUMMYFUNCTION("""COMPUTED_VALUE"""),42523.64583333333)</f>
        <v>42523.64583</v>
      </c>
      <c r="B1316" s="1">
        <f>IFERROR(__xludf.DUMMYFUNCTION("""COMPUTED_VALUE"""),138800.0)</f>
        <v>138800</v>
      </c>
      <c r="C1316" s="1">
        <f>IFERROR(__xludf.DUMMYFUNCTION("""COMPUTED_VALUE"""),142600.0)</f>
        <v>142600</v>
      </c>
      <c r="D1316" s="1">
        <f>IFERROR(__xludf.DUMMYFUNCTION("""COMPUTED_VALUE"""),138200.0)</f>
        <v>138200</v>
      </c>
      <c r="E1316" s="1">
        <f>IFERROR(__xludf.DUMMYFUNCTION("""COMPUTED_VALUE"""),139400.0)</f>
        <v>139400</v>
      </c>
      <c r="F1316" s="1">
        <f>IFERROR(__xludf.DUMMYFUNCTION("""COMPUTED_VALUE"""),101813.0)</f>
        <v>101813</v>
      </c>
    </row>
    <row r="1317">
      <c r="A1317" s="2">
        <f>IFERROR(__xludf.DUMMYFUNCTION("""COMPUTED_VALUE"""),42524.64583333333)</f>
        <v>42524.64583</v>
      </c>
      <c r="B1317" s="1">
        <f>IFERROR(__xludf.DUMMYFUNCTION("""COMPUTED_VALUE"""),140400.0)</f>
        <v>140400</v>
      </c>
      <c r="C1317" s="1">
        <f>IFERROR(__xludf.DUMMYFUNCTION("""COMPUTED_VALUE"""),141600.0)</f>
        <v>141600</v>
      </c>
      <c r="D1317" s="1">
        <f>IFERROR(__xludf.DUMMYFUNCTION("""COMPUTED_VALUE"""),139000.0)</f>
        <v>139000</v>
      </c>
      <c r="E1317" s="1">
        <f>IFERROR(__xludf.DUMMYFUNCTION("""COMPUTED_VALUE"""),141400.0)</f>
        <v>141400</v>
      </c>
      <c r="F1317" s="1">
        <f>IFERROR(__xludf.DUMMYFUNCTION("""COMPUTED_VALUE"""),87753.0)</f>
        <v>87753</v>
      </c>
    </row>
    <row r="1318">
      <c r="A1318" s="2">
        <f>IFERROR(__xludf.DUMMYFUNCTION("""COMPUTED_VALUE"""),42528.64583333333)</f>
        <v>42528.64583</v>
      </c>
      <c r="B1318" s="1">
        <f>IFERROR(__xludf.DUMMYFUNCTION("""COMPUTED_VALUE"""),145600.0)</f>
        <v>145600</v>
      </c>
      <c r="C1318" s="1">
        <f>IFERROR(__xludf.DUMMYFUNCTION("""COMPUTED_VALUE"""),145800.0)</f>
        <v>145800</v>
      </c>
      <c r="D1318" s="1">
        <f>IFERROR(__xludf.DUMMYFUNCTION("""COMPUTED_VALUE"""),141000.0)</f>
        <v>141000</v>
      </c>
      <c r="E1318" s="1">
        <f>IFERROR(__xludf.DUMMYFUNCTION("""COMPUTED_VALUE"""),141400.0)</f>
        <v>141400</v>
      </c>
      <c r="F1318" s="1">
        <f>IFERROR(__xludf.DUMMYFUNCTION("""COMPUTED_VALUE"""),99661.0)</f>
        <v>99661</v>
      </c>
    </row>
    <row r="1319">
      <c r="A1319" s="2">
        <f>IFERROR(__xludf.DUMMYFUNCTION("""COMPUTED_VALUE"""),42529.64583333333)</f>
        <v>42529.64583</v>
      </c>
      <c r="B1319" s="1">
        <f>IFERROR(__xludf.DUMMYFUNCTION("""COMPUTED_VALUE"""),141800.0)</f>
        <v>141800</v>
      </c>
      <c r="C1319" s="1">
        <f>IFERROR(__xludf.DUMMYFUNCTION("""COMPUTED_VALUE"""),145000.0)</f>
        <v>145000</v>
      </c>
      <c r="D1319" s="1">
        <f>IFERROR(__xludf.DUMMYFUNCTION("""COMPUTED_VALUE"""),141600.0)</f>
        <v>141600</v>
      </c>
      <c r="E1319" s="1">
        <f>IFERROR(__xludf.DUMMYFUNCTION("""COMPUTED_VALUE"""),144400.0)</f>
        <v>144400</v>
      </c>
      <c r="F1319" s="1">
        <f>IFERROR(__xludf.DUMMYFUNCTION("""COMPUTED_VALUE"""),111238.0)</f>
        <v>111238</v>
      </c>
    </row>
    <row r="1320">
      <c r="A1320" s="2">
        <f>IFERROR(__xludf.DUMMYFUNCTION("""COMPUTED_VALUE"""),42530.64583333333)</f>
        <v>42530.64583</v>
      </c>
      <c r="B1320" s="1">
        <f>IFERROR(__xludf.DUMMYFUNCTION("""COMPUTED_VALUE"""),146200.0)</f>
        <v>146200</v>
      </c>
      <c r="C1320" s="1">
        <f>IFERROR(__xludf.DUMMYFUNCTION("""COMPUTED_VALUE"""),146600.0)</f>
        <v>146600</v>
      </c>
      <c r="D1320" s="1">
        <f>IFERROR(__xludf.DUMMYFUNCTION("""COMPUTED_VALUE"""),142400.0)</f>
        <v>142400</v>
      </c>
      <c r="E1320" s="1">
        <f>IFERROR(__xludf.DUMMYFUNCTION("""COMPUTED_VALUE"""),144000.0)</f>
        <v>144000</v>
      </c>
      <c r="F1320" s="1">
        <f>IFERROR(__xludf.DUMMYFUNCTION("""COMPUTED_VALUE"""),134568.0)</f>
        <v>134568</v>
      </c>
    </row>
    <row r="1321">
      <c r="A1321" s="2">
        <f>IFERROR(__xludf.DUMMYFUNCTION("""COMPUTED_VALUE"""),42531.64583333333)</f>
        <v>42531.64583</v>
      </c>
      <c r="B1321" s="1">
        <f>IFERROR(__xludf.DUMMYFUNCTION("""COMPUTED_VALUE"""),146200.0)</f>
        <v>146200</v>
      </c>
      <c r="C1321" s="1">
        <f>IFERROR(__xludf.DUMMYFUNCTION("""COMPUTED_VALUE"""),146600.0)</f>
        <v>146600</v>
      </c>
      <c r="D1321" s="1">
        <f>IFERROR(__xludf.DUMMYFUNCTION("""COMPUTED_VALUE"""),143400.0)</f>
        <v>143400</v>
      </c>
      <c r="E1321" s="1">
        <f>IFERROR(__xludf.DUMMYFUNCTION("""COMPUTED_VALUE"""),144000.0)</f>
        <v>144000</v>
      </c>
      <c r="F1321" s="1">
        <f>IFERROR(__xludf.DUMMYFUNCTION("""COMPUTED_VALUE"""),95001.0)</f>
        <v>95001</v>
      </c>
    </row>
    <row r="1322">
      <c r="A1322" s="2">
        <f>IFERROR(__xludf.DUMMYFUNCTION("""COMPUTED_VALUE"""),42534.64583333333)</f>
        <v>42534.64583</v>
      </c>
      <c r="B1322" s="1">
        <f>IFERROR(__xludf.DUMMYFUNCTION("""COMPUTED_VALUE"""),142800.0)</f>
        <v>142800</v>
      </c>
      <c r="C1322" s="1">
        <f>IFERROR(__xludf.DUMMYFUNCTION("""COMPUTED_VALUE"""),142800.0)</f>
        <v>142800</v>
      </c>
      <c r="D1322" s="1">
        <f>IFERROR(__xludf.DUMMYFUNCTION("""COMPUTED_VALUE"""),137200.0)</f>
        <v>137200</v>
      </c>
      <c r="E1322" s="1">
        <f>IFERROR(__xludf.DUMMYFUNCTION("""COMPUTED_VALUE"""),139400.0)</f>
        <v>139400</v>
      </c>
      <c r="F1322" s="1">
        <f>IFERROR(__xludf.DUMMYFUNCTION("""COMPUTED_VALUE"""),160118.0)</f>
        <v>160118</v>
      </c>
    </row>
    <row r="1323">
      <c r="A1323" s="2">
        <f>IFERROR(__xludf.DUMMYFUNCTION("""COMPUTED_VALUE"""),42535.64583333333)</f>
        <v>42535.64583</v>
      </c>
      <c r="B1323" s="1">
        <f>IFERROR(__xludf.DUMMYFUNCTION("""COMPUTED_VALUE"""),137800.0)</f>
        <v>137800</v>
      </c>
      <c r="C1323" s="1">
        <f>IFERROR(__xludf.DUMMYFUNCTION("""COMPUTED_VALUE"""),140400.0)</f>
        <v>140400</v>
      </c>
      <c r="D1323" s="1">
        <f>IFERROR(__xludf.DUMMYFUNCTION("""COMPUTED_VALUE"""),135800.0)</f>
        <v>135800</v>
      </c>
      <c r="E1323" s="1">
        <f>IFERROR(__xludf.DUMMYFUNCTION("""COMPUTED_VALUE"""),139400.0)</f>
        <v>139400</v>
      </c>
      <c r="F1323" s="1">
        <f>IFERROR(__xludf.DUMMYFUNCTION("""COMPUTED_VALUE"""),130979.0)</f>
        <v>130979</v>
      </c>
    </row>
    <row r="1324">
      <c r="A1324" s="2">
        <f>IFERROR(__xludf.DUMMYFUNCTION("""COMPUTED_VALUE"""),42536.64583333333)</f>
        <v>42536.64583</v>
      </c>
      <c r="B1324" s="1">
        <f>IFERROR(__xludf.DUMMYFUNCTION("""COMPUTED_VALUE"""),140800.0)</f>
        <v>140800</v>
      </c>
      <c r="C1324" s="1">
        <f>IFERROR(__xludf.DUMMYFUNCTION("""COMPUTED_VALUE"""),141800.0)</f>
        <v>141800</v>
      </c>
      <c r="D1324" s="1">
        <f>IFERROR(__xludf.DUMMYFUNCTION("""COMPUTED_VALUE"""),138400.0)</f>
        <v>138400</v>
      </c>
      <c r="E1324" s="1">
        <f>IFERROR(__xludf.DUMMYFUNCTION("""COMPUTED_VALUE"""),139400.0)</f>
        <v>139400</v>
      </c>
      <c r="F1324" s="1">
        <f>IFERROR(__xludf.DUMMYFUNCTION("""COMPUTED_VALUE"""),70465.0)</f>
        <v>70465</v>
      </c>
    </row>
    <row r="1325">
      <c r="A1325" s="2">
        <f>IFERROR(__xludf.DUMMYFUNCTION("""COMPUTED_VALUE"""),42537.64583333333)</f>
        <v>42537.64583</v>
      </c>
      <c r="B1325" s="1">
        <f>IFERROR(__xludf.DUMMYFUNCTION("""COMPUTED_VALUE"""),138200.0)</f>
        <v>138200</v>
      </c>
      <c r="C1325" s="1">
        <f>IFERROR(__xludf.DUMMYFUNCTION("""COMPUTED_VALUE"""),140200.0)</f>
        <v>140200</v>
      </c>
      <c r="D1325" s="1">
        <f>IFERROR(__xludf.DUMMYFUNCTION("""COMPUTED_VALUE"""),138200.0)</f>
        <v>138200</v>
      </c>
      <c r="E1325" s="1">
        <f>IFERROR(__xludf.DUMMYFUNCTION("""COMPUTED_VALUE"""),140200.0)</f>
        <v>140200</v>
      </c>
      <c r="F1325" s="1">
        <f>IFERROR(__xludf.DUMMYFUNCTION("""COMPUTED_VALUE"""),59844.0)</f>
        <v>59844</v>
      </c>
    </row>
    <row r="1326">
      <c r="A1326" s="2">
        <f>IFERROR(__xludf.DUMMYFUNCTION("""COMPUTED_VALUE"""),42538.64583333333)</f>
        <v>42538.64583</v>
      </c>
      <c r="B1326" s="1">
        <f>IFERROR(__xludf.DUMMYFUNCTION("""COMPUTED_VALUE"""),140200.0)</f>
        <v>140200</v>
      </c>
      <c r="C1326" s="1">
        <f>IFERROR(__xludf.DUMMYFUNCTION("""COMPUTED_VALUE"""),140400.0)</f>
        <v>140400</v>
      </c>
      <c r="D1326" s="1">
        <f>IFERROR(__xludf.DUMMYFUNCTION("""COMPUTED_VALUE"""),137600.0)</f>
        <v>137600</v>
      </c>
      <c r="E1326" s="1">
        <f>IFERROR(__xludf.DUMMYFUNCTION("""COMPUTED_VALUE"""),137800.0)</f>
        <v>137800</v>
      </c>
      <c r="F1326" s="1">
        <f>IFERROR(__xludf.DUMMYFUNCTION("""COMPUTED_VALUE"""),73560.0)</f>
        <v>73560</v>
      </c>
    </row>
    <row r="1327">
      <c r="A1327" s="2">
        <f>IFERROR(__xludf.DUMMYFUNCTION("""COMPUTED_VALUE"""),42541.64583333333)</f>
        <v>42541.64583</v>
      </c>
      <c r="B1327" s="1">
        <f>IFERROR(__xludf.DUMMYFUNCTION("""COMPUTED_VALUE"""),139400.0)</f>
        <v>139400</v>
      </c>
      <c r="C1327" s="1">
        <f>IFERROR(__xludf.DUMMYFUNCTION("""COMPUTED_VALUE"""),139400.0)</f>
        <v>139400</v>
      </c>
      <c r="D1327" s="1">
        <f>IFERROR(__xludf.DUMMYFUNCTION("""COMPUTED_VALUE"""),136800.0)</f>
        <v>136800</v>
      </c>
      <c r="E1327" s="1">
        <f>IFERROR(__xludf.DUMMYFUNCTION("""COMPUTED_VALUE"""),138400.0)</f>
        <v>138400</v>
      </c>
      <c r="F1327" s="1">
        <f>IFERROR(__xludf.DUMMYFUNCTION("""COMPUTED_VALUE"""),61510.0)</f>
        <v>61510</v>
      </c>
    </row>
    <row r="1328">
      <c r="A1328" s="2">
        <f>IFERROR(__xludf.DUMMYFUNCTION("""COMPUTED_VALUE"""),42542.64583333333)</f>
        <v>42542.64583</v>
      </c>
      <c r="B1328" s="1">
        <f>IFERROR(__xludf.DUMMYFUNCTION("""COMPUTED_VALUE"""),138800.0)</f>
        <v>138800</v>
      </c>
      <c r="C1328" s="1">
        <f>IFERROR(__xludf.DUMMYFUNCTION("""COMPUTED_VALUE"""),139600.0)</f>
        <v>139600</v>
      </c>
      <c r="D1328" s="1">
        <f>IFERROR(__xludf.DUMMYFUNCTION("""COMPUTED_VALUE"""),137600.0)</f>
        <v>137600</v>
      </c>
      <c r="E1328" s="1">
        <f>IFERROR(__xludf.DUMMYFUNCTION("""COMPUTED_VALUE"""),139400.0)</f>
        <v>139400</v>
      </c>
      <c r="F1328" s="1">
        <f>IFERROR(__xludf.DUMMYFUNCTION("""COMPUTED_VALUE"""),61540.0)</f>
        <v>61540</v>
      </c>
    </row>
    <row r="1329">
      <c r="A1329" s="2">
        <f>IFERROR(__xludf.DUMMYFUNCTION("""COMPUTED_VALUE"""),42543.64583333333)</f>
        <v>42543.64583</v>
      </c>
      <c r="B1329" s="1">
        <f>IFERROR(__xludf.DUMMYFUNCTION("""COMPUTED_VALUE"""),139800.0)</f>
        <v>139800</v>
      </c>
      <c r="C1329" s="1">
        <f>IFERROR(__xludf.DUMMYFUNCTION("""COMPUTED_VALUE"""),146000.0)</f>
        <v>146000</v>
      </c>
      <c r="D1329" s="1">
        <f>IFERROR(__xludf.DUMMYFUNCTION("""COMPUTED_VALUE"""),139800.0)</f>
        <v>139800</v>
      </c>
      <c r="E1329" s="1">
        <f>IFERROR(__xludf.DUMMYFUNCTION("""COMPUTED_VALUE"""),146000.0)</f>
        <v>146000</v>
      </c>
      <c r="F1329" s="1">
        <f>IFERROR(__xludf.DUMMYFUNCTION("""COMPUTED_VALUE"""),201087.0)</f>
        <v>201087</v>
      </c>
    </row>
    <row r="1330">
      <c r="A1330" s="2">
        <f>IFERROR(__xludf.DUMMYFUNCTION("""COMPUTED_VALUE"""),42544.64583333333)</f>
        <v>42544.64583</v>
      </c>
      <c r="B1330" s="1">
        <f>IFERROR(__xludf.DUMMYFUNCTION("""COMPUTED_VALUE"""),146600.0)</f>
        <v>146600</v>
      </c>
      <c r="C1330" s="1">
        <f>IFERROR(__xludf.DUMMYFUNCTION("""COMPUTED_VALUE"""),152000.0)</f>
        <v>152000</v>
      </c>
      <c r="D1330" s="1">
        <f>IFERROR(__xludf.DUMMYFUNCTION("""COMPUTED_VALUE"""),146400.0)</f>
        <v>146400</v>
      </c>
      <c r="E1330" s="1">
        <f>IFERROR(__xludf.DUMMYFUNCTION("""COMPUTED_VALUE"""),149400.0)</f>
        <v>149400</v>
      </c>
      <c r="F1330" s="1">
        <f>IFERROR(__xludf.DUMMYFUNCTION("""COMPUTED_VALUE"""),226122.0)</f>
        <v>226122</v>
      </c>
    </row>
    <row r="1331">
      <c r="A1331" s="2">
        <f>IFERROR(__xludf.DUMMYFUNCTION("""COMPUTED_VALUE"""),42545.64583333333)</f>
        <v>42545.64583</v>
      </c>
      <c r="B1331" s="1">
        <f>IFERROR(__xludf.DUMMYFUNCTION("""COMPUTED_VALUE"""),149000.0)</f>
        <v>149000</v>
      </c>
      <c r="C1331" s="1">
        <f>IFERROR(__xludf.DUMMYFUNCTION("""COMPUTED_VALUE"""),151800.0)</f>
        <v>151800</v>
      </c>
      <c r="D1331" s="1">
        <f>IFERROR(__xludf.DUMMYFUNCTION("""COMPUTED_VALUE"""),144200.0)</f>
        <v>144200</v>
      </c>
      <c r="E1331" s="1">
        <f>IFERROR(__xludf.DUMMYFUNCTION("""COMPUTED_VALUE"""),147800.0)</f>
        <v>147800</v>
      </c>
      <c r="F1331" s="1">
        <f>IFERROR(__xludf.DUMMYFUNCTION("""COMPUTED_VALUE"""),173581.0)</f>
        <v>173581</v>
      </c>
    </row>
    <row r="1332">
      <c r="A1332" s="2">
        <f>IFERROR(__xludf.DUMMYFUNCTION("""COMPUTED_VALUE"""),42548.64583333333)</f>
        <v>42548.64583</v>
      </c>
      <c r="B1332" s="1">
        <f>IFERROR(__xludf.DUMMYFUNCTION("""COMPUTED_VALUE"""),145600.0)</f>
        <v>145600</v>
      </c>
      <c r="C1332" s="1">
        <f>IFERROR(__xludf.DUMMYFUNCTION("""COMPUTED_VALUE"""),146000.0)</f>
        <v>146000</v>
      </c>
      <c r="D1332" s="1">
        <f>IFERROR(__xludf.DUMMYFUNCTION("""COMPUTED_VALUE"""),141200.0)</f>
        <v>141200</v>
      </c>
      <c r="E1332" s="1">
        <f>IFERROR(__xludf.DUMMYFUNCTION("""COMPUTED_VALUE"""),142000.0)</f>
        <v>142000</v>
      </c>
      <c r="F1332" s="1">
        <f>IFERROR(__xludf.DUMMYFUNCTION("""COMPUTED_VALUE"""),234896.0)</f>
        <v>234896</v>
      </c>
    </row>
    <row r="1333">
      <c r="A1333" s="2">
        <f>IFERROR(__xludf.DUMMYFUNCTION("""COMPUTED_VALUE"""),42549.64583333333)</f>
        <v>42549.64583</v>
      </c>
      <c r="B1333" s="1">
        <f>IFERROR(__xludf.DUMMYFUNCTION("""COMPUTED_VALUE"""),140200.0)</f>
        <v>140200</v>
      </c>
      <c r="C1333" s="1">
        <f>IFERROR(__xludf.DUMMYFUNCTION("""COMPUTED_VALUE"""),143800.0)</f>
        <v>143800</v>
      </c>
      <c r="D1333" s="1">
        <f>IFERROR(__xludf.DUMMYFUNCTION("""COMPUTED_VALUE"""),140000.0)</f>
        <v>140000</v>
      </c>
      <c r="E1333" s="1">
        <f>IFERROR(__xludf.DUMMYFUNCTION("""COMPUTED_VALUE"""),143800.0)</f>
        <v>143800</v>
      </c>
      <c r="F1333" s="1">
        <f>IFERROR(__xludf.DUMMYFUNCTION("""COMPUTED_VALUE"""),154017.0)</f>
        <v>154017</v>
      </c>
    </row>
    <row r="1334">
      <c r="A1334" s="2">
        <f>IFERROR(__xludf.DUMMYFUNCTION("""COMPUTED_VALUE"""),42550.64583333333)</f>
        <v>42550.64583</v>
      </c>
      <c r="B1334" s="1">
        <f>IFERROR(__xludf.DUMMYFUNCTION("""COMPUTED_VALUE"""),143000.0)</f>
        <v>143000</v>
      </c>
      <c r="C1334" s="1">
        <f>IFERROR(__xludf.DUMMYFUNCTION("""COMPUTED_VALUE"""),144800.0)</f>
        <v>144800</v>
      </c>
      <c r="D1334" s="1">
        <f>IFERROR(__xludf.DUMMYFUNCTION("""COMPUTED_VALUE"""),142600.0)</f>
        <v>142600</v>
      </c>
      <c r="E1334" s="1">
        <f>IFERROR(__xludf.DUMMYFUNCTION("""COMPUTED_VALUE"""),142600.0)</f>
        <v>142600</v>
      </c>
      <c r="F1334" s="1">
        <f>IFERROR(__xludf.DUMMYFUNCTION("""COMPUTED_VALUE"""),148394.0)</f>
        <v>148394</v>
      </c>
    </row>
    <row r="1335">
      <c r="A1335" s="2">
        <f>IFERROR(__xludf.DUMMYFUNCTION("""COMPUTED_VALUE"""),42551.64583333333)</f>
        <v>42551.64583</v>
      </c>
      <c r="B1335" s="1">
        <f>IFERROR(__xludf.DUMMYFUNCTION("""COMPUTED_VALUE"""),142000.0)</f>
        <v>142000</v>
      </c>
      <c r="C1335" s="1">
        <f>IFERROR(__xludf.DUMMYFUNCTION("""COMPUTED_VALUE"""),143400.0)</f>
        <v>143400</v>
      </c>
      <c r="D1335" s="1">
        <f>IFERROR(__xludf.DUMMYFUNCTION("""COMPUTED_VALUE"""),141400.0)</f>
        <v>141400</v>
      </c>
      <c r="E1335" s="1">
        <f>IFERROR(__xludf.DUMMYFUNCTION("""COMPUTED_VALUE"""),142000.0)</f>
        <v>142000</v>
      </c>
      <c r="F1335" s="1">
        <f>IFERROR(__xludf.DUMMYFUNCTION("""COMPUTED_VALUE"""),153533.0)</f>
        <v>153533</v>
      </c>
    </row>
    <row r="1336">
      <c r="A1336" s="2">
        <f>IFERROR(__xludf.DUMMYFUNCTION("""COMPUTED_VALUE"""),42552.64583333333)</f>
        <v>42552.64583</v>
      </c>
      <c r="B1336" s="1">
        <f>IFERROR(__xludf.DUMMYFUNCTION("""COMPUTED_VALUE"""),142600.0)</f>
        <v>142600</v>
      </c>
      <c r="C1336" s="1">
        <f>IFERROR(__xludf.DUMMYFUNCTION("""COMPUTED_VALUE"""),144600.0)</f>
        <v>144600</v>
      </c>
      <c r="D1336" s="1">
        <f>IFERROR(__xludf.DUMMYFUNCTION("""COMPUTED_VALUE"""),142600.0)</f>
        <v>142600</v>
      </c>
      <c r="E1336" s="1">
        <f>IFERROR(__xludf.DUMMYFUNCTION("""COMPUTED_VALUE"""),142600.0)</f>
        <v>142600</v>
      </c>
      <c r="F1336" s="1">
        <f>IFERROR(__xludf.DUMMYFUNCTION("""COMPUTED_VALUE"""),76569.0)</f>
        <v>76569</v>
      </c>
    </row>
    <row r="1337">
      <c r="A1337" s="2">
        <f>IFERROR(__xludf.DUMMYFUNCTION("""COMPUTED_VALUE"""),42555.64583333333)</f>
        <v>42555.64583</v>
      </c>
      <c r="B1337" s="1">
        <f>IFERROR(__xludf.DUMMYFUNCTION("""COMPUTED_VALUE"""),143200.0)</f>
        <v>143200</v>
      </c>
      <c r="C1337" s="1">
        <f>IFERROR(__xludf.DUMMYFUNCTION("""COMPUTED_VALUE"""),145800.0)</f>
        <v>145800</v>
      </c>
      <c r="D1337" s="1">
        <f>IFERROR(__xludf.DUMMYFUNCTION("""COMPUTED_VALUE"""),142400.0)</f>
        <v>142400</v>
      </c>
      <c r="E1337" s="1">
        <f>IFERROR(__xludf.DUMMYFUNCTION("""COMPUTED_VALUE"""),145400.0)</f>
        <v>145400</v>
      </c>
      <c r="F1337" s="1">
        <f>IFERROR(__xludf.DUMMYFUNCTION("""COMPUTED_VALUE"""),117837.0)</f>
        <v>117837</v>
      </c>
    </row>
    <row r="1338">
      <c r="A1338" s="2">
        <f>IFERROR(__xludf.DUMMYFUNCTION("""COMPUTED_VALUE"""),42556.64583333333)</f>
        <v>42556.64583</v>
      </c>
      <c r="B1338" s="1">
        <f>IFERROR(__xludf.DUMMYFUNCTION("""COMPUTED_VALUE"""),146000.0)</f>
        <v>146000</v>
      </c>
      <c r="C1338" s="1">
        <f>IFERROR(__xludf.DUMMYFUNCTION("""COMPUTED_VALUE"""),151200.0)</f>
        <v>151200</v>
      </c>
      <c r="D1338" s="1">
        <f>IFERROR(__xludf.DUMMYFUNCTION("""COMPUTED_VALUE"""),146000.0)</f>
        <v>146000</v>
      </c>
      <c r="E1338" s="1">
        <f>IFERROR(__xludf.DUMMYFUNCTION("""COMPUTED_VALUE"""),150000.0)</f>
        <v>150000</v>
      </c>
      <c r="F1338" s="1">
        <f>IFERROR(__xludf.DUMMYFUNCTION("""COMPUTED_VALUE"""),127066.0)</f>
        <v>127066</v>
      </c>
    </row>
    <row r="1339">
      <c r="A1339" s="2">
        <f>IFERROR(__xludf.DUMMYFUNCTION("""COMPUTED_VALUE"""),42557.64583333333)</f>
        <v>42557.64583</v>
      </c>
      <c r="B1339" s="1">
        <f>IFERROR(__xludf.DUMMYFUNCTION("""COMPUTED_VALUE"""),150000.0)</f>
        <v>150000</v>
      </c>
      <c r="C1339" s="1">
        <f>IFERROR(__xludf.DUMMYFUNCTION("""COMPUTED_VALUE"""),150000.0)</f>
        <v>150000</v>
      </c>
      <c r="D1339" s="1">
        <f>IFERROR(__xludf.DUMMYFUNCTION("""COMPUTED_VALUE"""),146000.0)</f>
        <v>146000</v>
      </c>
      <c r="E1339" s="1">
        <f>IFERROR(__xludf.DUMMYFUNCTION("""COMPUTED_VALUE"""),149000.0)</f>
        <v>149000</v>
      </c>
      <c r="F1339" s="1">
        <f>IFERROR(__xludf.DUMMYFUNCTION("""COMPUTED_VALUE"""),122446.0)</f>
        <v>122446</v>
      </c>
    </row>
    <row r="1340">
      <c r="A1340" s="2">
        <f>IFERROR(__xludf.DUMMYFUNCTION("""COMPUTED_VALUE"""),42558.64583333333)</f>
        <v>42558.64583</v>
      </c>
      <c r="B1340" s="1">
        <f>IFERROR(__xludf.DUMMYFUNCTION("""COMPUTED_VALUE"""),150400.0)</f>
        <v>150400</v>
      </c>
      <c r="C1340" s="1">
        <f>IFERROR(__xludf.DUMMYFUNCTION("""COMPUTED_VALUE"""),154000.0)</f>
        <v>154000</v>
      </c>
      <c r="D1340" s="1">
        <f>IFERROR(__xludf.DUMMYFUNCTION("""COMPUTED_VALUE"""),149600.0)</f>
        <v>149600</v>
      </c>
      <c r="E1340" s="1">
        <f>IFERROR(__xludf.DUMMYFUNCTION("""COMPUTED_VALUE"""),150600.0)</f>
        <v>150600</v>
      </c>
      <c r="F1340" s="1">
        <f>IFERROR(__xludf.DUMMYFUNCTION("""COMPUTED_VALUE"""),68516.0)</f>
        <v>68516</v>
      </c>
    </row>
    <row r="1341">
      <c r="A1341" s="2">
        <f>IFERROR(__xludf.DUMMYFUNCTION("""COMPUTED_VALUE"""),42559.64583333333)</f>
        <v>42559.64583</v>
      </c>
      <c r="B1341" s="1">
        <f>IFERROR(__xludf.DUMMYFUNCTION("""COMPUTED_VALUE"""),150200.0)</f>
        <v>150200</v>
      </c>
      <c r="C1341" s="1">
        <f>IFERROR(__xludf.DUMMYFUNCTION("""COMPUTED_VALUE"""),151200.0)</f>
        <v>151200</v>
      </c>
      <c r="D1341" s="1">
        <f>IFERROR(__xludf.DUMMYFUNCTION("""COMPUTED_VALUE"""),149600.0)</f>
        <v>149600</v>
      </c>
      <c r="E1341" s="1">
        <f>IFERROR(__xludf.DUMMYFUNCTION("""COMPUTED_VALUE"""),150000.0)</f>
        <v>150000</v>
      </c>
      <c r="F1341" s="1">
        <f>IFERROR(__xludf.DUMMYFUNCTION("""COMPUTED_VALUE"""),73753.0)</f>
        <v>73753</v>
      </c>
    </row>
    <row r="1342">
      <c r="A1342" s="2">
        <f>IFERROR(__xludf.DUMMYFUNCTION("""COMPUTED_VALUE"""),42562.64583333333)</f>
        <v>42562.64583</v>
      </c>
      <c r="B1342" s="1">
        <f>IFERROR(__xludf.DUMMYFUNCTION("""COMPUTED_VALUE"""),149000.0)</f>
        <v>149000</v>
      </c>
      <c r="C1342" s="1">
        <f>IFERROR(__xludf.DUMMYFUNCTION("""COMPUTED_VALUE"""),151600.0)</f>
        <v>151600</v>
      </c>
      <c r="D1342" s="1">
        <f>IFERROR(__xludf.DUMMYFUNCTION("""COMPUTED_VALUE"""),148600.0)</f>
        <v>148600</v>
      </c>
      <c r="E1342" s="1">
        <f>IFERROR(__xludf.DUMMYFUNCTION("""COMPUTED_VALUE"""),150800.0)</f>
        <v>150800</v>
      </c>
      <c r="F1342" s="1">
        <f>IFERROR(__xludf.DUMMYFUNCTION("""COMPUTED_VALUE"""),108205.0)</f>
        <v>108205</v>
      </c>
    </row>
    <row r="1343">
      <c r="A1343" s="2">
        <f>IFERROR(__xludf.DUMMYFUNCTION("""COMPUTED_VALUE"""),42563.64583333333)</f>
        <v>42563.64583</v>
      </c>
      <c r="B1343" s="1">
        <f>IFERROR(__xludf.DUMMYFUNCTION("""COMPUTED_VALUE"""),151800.0)</f>
        <v>151800</v>
      </c>
      <c r="C1343" s="1">
        <f>IFERROR(__xludf.DUMMYFUNCTION("""COMPUTED_VALUE"""),153600.0)</f>
        <v>153600</v>
      </c>
      <c r="D1343" s="1">
        <f>IFERROR(__xludf.DUMMYFUNCTION("""COMPUTED_VALUE"""),149600.0)</f>
        <v>149600</v>
      </c>
      <c r="E1343" s="1">
        <f>IFERROR(__xludf.DUMMYFUNCTION("""COMPUTED_VALUE"""),151000.0)</f>
        <v>151000</v>
      </c>
      <c r="F1343" s="1">
        <f>IFERROR(__xludf.DUMMYFUNCTION("""COMPUTED_VALUE"""),127011.0)</f>
        <v>127011</v>
      </c>
    </row>
    <row r="1344">
      <c r="A1344" s="2">
        <f>IFERROR(__xludf.DUMMYFUNCTION("""COMPUTED_VALUE"""),42564.64583333333)</f>
        <v>42564.64583</v>
      </c>
      <c r="B1344" s="1">
        <f>IFERROR(__xludf.DUMMYFUNCTION("""COMPUTED_VALUE"""),152000.0)</f>
        <v>152000</v>
      </c>
      <c r="C1344" s="1">
        <f>IFERROR(__xludf.DUMMYFUNCTION("""COMPUTED_VALUE"""),153600.0)</f>
        <v>153600</v>
      </c>
      <c r="D1344" s="1">
        <f>IFERROR(__xludf.DUMMYFUNCTION("""COMPUTED_VALUE"""),149600.0)</f>
        <v>149600</v>
      </c>
      <c r="E1344" s="1">
        <f>IFERROR(__xludf.DUMMYFUNCTION("""COMPUTED_VALUE"""),151600.0)</f>
        <v>151600</v>
      </c>
      <c r="F1344" s="1">
        <f>IFERROR(__xludf.DUMMYFUNCTION("""COMPUTED_VALUE"""),155150.0)</f>
        <v>155150</v>
      </c>
    </row>
    <row r="1345">
      <c r="A1345" s="2">
        <f>IFERROR(__xludf.DUMMYFUNCTION("""COMPUTED_VALUE"""),42565.64583333333)</f>
        <v>42565.64583</v>
      </c>
      <c r="B1345" s="1">
        <f>IFERROR(__xludf.DUMMYFUNCTION("""COMPUTED_VALUE"""),150200.0)</f>
        <v>150200</v>
      </c>
      <c r="C1345" s="1">
        <f>IFERROR(__xludf.DUMMYFUNCTION("""COMPUTED_VALUE"""),150800.0)</f>
        <v>150800</v>
      </c>
      <c r="D1345" s="1">
        <f>IFERROR(__xludf.DUMMYFUNCTION("""COMPUTED_VALUE"""),146800.0)</f>
        <v>146800</v>
      </c>
      <c r="E1345" s="1">
        <f>IFERROR(__xludf.DUMMYFUNCTION("""COMPUTED_VALUE"""),146800.0)</f>
        <v>146800</v>
      </c>
      <c r="F1345" s="1">
        <f>IFERROR(__xludf.DUMMYFUNCTION("""COMPUTED_VALUE"""),165410.0)</f>
        <v>165410</v>
      </c>
    </row>
    <row r="1346">
      <c r="A1346" s="2">
        <f>IFERROR(__xludf.DUMMYFUNCTION("""COMPUTED_VALUE"""),42566.64583333333)</f>
        <v>42566.64583</v>
      </c>
      <c r="B1346" s="1">
        <f>IFERROR(__xludf.DUMMYFUNCTION("""COMPUTED_VALUE"""),150000.0)</f>
        <v>150000</v>
      </c>
      <c r="C1346" s="1">
        <f>IFERROR(__xludf.DUMMYFUNCTION("""COMPUTED_VALUE"""),150600.0)</f>
        <v>150600</v>
      </c>
      <c r="D1346" s="1">
        <f>IFERROR(__xludf.DUMMYFUNCTION("""COMPUTED_VALUE"""),141200.0)</f>
        <v>141200</v>
      </c>
      <c r="E1346" s="1">
        <f>IFERROR(__xludf.DUMMYFUNCTION("""COMPUTED_VALUE"""),143200.0)</f>
        <v>143200</v>
      </c>
      <c r="F1346" s="1">
        <f>IFERROR(__xludf.DUMMYFUNCTION("""COMPUTED_VALUE"""),306084.0)</f>
        <v>306084</v>
      </c>
    </row>
    <row r="1347">
      <c r="A1347" s="2">
        <f>IFERROR(__xludf.DUMMYFUNCTION("""COMPUTED_VALUE"""),42569.64583333333)</f>
        <v>42569.64583</v>
      </c>
      <c r="B1347" s="1">
        <f>IFERROR(__xludf.DUMMYFUNCTION("""COMPUTED_VALUE"""),143400.0)</f>
        <v>143400</v>
      </c>
      <c r="C1347" s="1">
        <f>IFERROR(__xludf.DUMMYFUNCTION("""COMPUTED_VALUE"""),143600.0)</f>
        <v>143600</v>
      </c>
      <c r="D1347" s="1">
        <f>IFERROR(__xludf.DUMMYFUNCTION("""COMPUTED_VALUE"""),141200.0)</f>
        <v>141200</v>
      </c>
      <c r="E1347" s="1">
        <f>IFERROR(__xludf.DUMMYFUNCTION("""COMPUTED_VALUE"""),142400.0)</f>
        <v>142400</v>
      </c>
      <c r="F1347" s="1">
        <f>IFERROR(__xludf.DUMMYFUNCTION("""COMPUTED_VALUE"""),150928.0)</f>
        <v>150928</v>
      </c>
    </row>
    <row r="1348">
      <c r="A1348" s="2">
        <f>IFERROR(__xludf.DUMMYFUNCTION("""COMPUTED_VALUE"""),42570.64583333333)</f>
        <v>42570.64583</v>
      </c>
      <c r="B1348" s="1">
        <f>IFERROR(__xludf.DUMMYFUNCTION("""COMPUTED_VALUE"""),143600.0)</f>
        <v>143600</v>
      </c>
      <c r="C1348" s="1">
        <f>IFERROR(__xludf.DUMMYFUNCTION("""COMPUTED_VALUE"""),144200.0)</f>
        <v>144200</v>
      </c>
      <c r="D1348" s="1">
        <f>IFERROR(__xludf.DUMMYFUNCTION("""COMPUTED_VALUE"""),141400.0)</f>
        <v>141400</v>
      </c>
      <c r="E1348" s="1">
        <f>IFERROR(__xludf.DUMMYFUNCTION("""COMPUTED_VALUE"""),143600.0)</f>
        <v>143600</v>
      </c>
      <c r="F1348" s="1">
        <f>IFERROR(__xludf.DUMMYFUNCTION("""COMPUTED_VALUE"""),110798.0)</f>
        <v>110798</v>
      </c>
    </row>
    <row r="1349">
      <c r="A1349" s="2">
        <f>IFERROR(__xludf.DUMMYFUNCTION("""COMPUTED_VALUE"""),42571.64583333333)</f>
        <v>42571.64583</v>
      </c>
      <c r="B1349" s="1">
        <f>IFERROR(__xludf.DUMMYFUNCTION("""COMPUTED_VALUE"""),143000.0)</f>
        <v>143000</v>
      </c>
      <c r="C1349" s="1">
        <f>IFERROR(__xludf.DUMMYFUNCTION("""COMPUTED_VALUE"""),143400.0)</f>
        <v>143400</v>
      </c>
      <c r="D1349" s="1">
        <f>IFERROR(__xludf.DUMMYFUNCTION("""COMPUTED_VALUE"""),138200.0)</f>
        <v>138200</v>
      </c>
      <c r="E1349" s="1">
        <f>IFERROR(__xludf.DUMMYFUNCTION("""COMPUTED_VALUE"""),139000.0)</f>
        <v>139000</v>
      </c>
      <c r="F1349" s="1">
        <f>IFERROR(__xludf.DUMMYFUNCTION("""COMPUTED_VALUE"""),201850.0)</f>
        <v>201850</v>
      </c>
    </row>
    <row r="1350">
      <c r="A1350" s="2">
        <f>IFERROR(__xludf.DUMMYFUNCTION("""COMPUTED_VALUE"""),42572.64583333333)</f>
        <v>42572.64583</v>
      </c>
      <c r="B1350" s="1">
        <f>IFERROR(__xludf.DUMMYFUNCTION("""COMPUTED_VALUE"""),139600.0)</f>
        <v>139600</v>
      </c>
      <c r="C1350" s="1">
        <f>IFERROR(__xludf.DUMMYFUNCTION("""COMPUTED_VALUE"""),141200.0)</f>
        <v>141200</v>
      </c>
      <c r="D1350" s="1">
        <f>IFERROR(__xludf.DUMMYFUNCTION("""COMPUTED_VALUE"""),139400.0)</f>
        <v>139400</v>
      </c>
      <c r="E1350" s="1">
        <f>IFERROR(__xludf.DUMMYFUNCTION("""COMPUTED_VALUE"""),140800.0)</f>
        <v>140800</v>
      </c>
      <c r="F1350" s="1">
        <f>IFERROR(__xludf.DUMMYFUNCTION("""COMPUTED_VALUE"""),108311.0)</f>
        <v>108311</v>
      </c>
    </row>
    <row r="1351">
      <c r="A1351" s="2">
        <f>IFERROR(__xludf.DUMMYFUNCTION("""COMPUTED_VALUE"""),42573.64583333333)</f>
        <v>42573.64583</v>
      </c>
      <c r="B1351" s="1">
        <f>IFERROR(__xludf.DUMMYFUNCTION("""COMPUTED_VALUE"""),141200.0)</f>
        <v>141200</v>
      </c>
      <c r="C1351" s="1">
        <f>IFERROR(__xludf.DUMMYFUNCTION("""COMPUTED_VALUE"""),142400.0)</f>
        <v>142400</v>
      </c>
      <c r="D1351" s="1">
        <f>IFERROR(__xludf.DUMMYFUNCTION("""COMPUTED_VALUE"""),140800.0)</f>
        <v>140800</v>
      </c>
      <c r="E1351" s="1">
        <f>IFERROR(__xludf.DUMMYFUNCTION("""COMPUTED_VALUE"""),141000.0)</f>
        <v>141000</v>
      </c>
      <c r="F1351" s="1">
        <f>IFERROR(__xludf.DUMMYFUNCTION("""COMPUTED_VALUE"""),90330.0)</f>
        <v>90330</v>
      </c>
    </row>
    <row r="1352">
      <c r="A1352" s="2">
        <f>IFERROR(__xludf.DUMMYFUNCTION("""COMPUTED_VALUE"""),42576.64583333333)</f>
        <v>42576.64583</v>
      </c>
      <c r="B1352" s="1">
        <f>IFERROR(__xludf.DUMMYFUNCTION("""COMPUTED_VALUE"""),141600.0)</f>
        <v>141600</v>
      </c>
      <c r="C1352" s="1">
        <f>IFERROR(__xludf.DUMMYFUNCTION("""COMPUTED_VALUE"""),142800.0)</f>
        <v>142800</v>
      </c>
      <c r="D1352" s="1">
        <f>IFERROR(__xludf.DUMMYFUNCTION("""COMPUTED_VALUE"""),141600.0)</f>
        <v>141600</v>
      </c>
      <c r="E1352" s="1">
        <f>IFERROR(__xludf.DUMMYFUNCTION("""COMPUTED_VALUE"""),142000.0)</f>
        <v>142000</v>
      </c>
      <c r="F1352" s="1">
        <f>IFERROR(__xludf.DUMMYFUNCTION("""COMPUTED_VALUE"""),51417.0)</f>
        <v>51417</v>
      </c>
    </row>
    <row r="1353">
      <c r="A1353" s="2">
        <f>IFERROR(__xludf.DUMMYFUNCTION("""COMPUTED_VALUE"""),42577.64583333333)</f>
        <v>42577.64583</v>
      </c>
      <c r="B1353" s="1">
        <f>IFERROR(__xludf.DUMMYFUNCTION("""COMPUTED_VALUE"""),142200.0)</f>
        <v>142200</v>
      </c>
      <c r="C1353" s="1">
        <f>IFERROR(__xludf.DUMMYFUNCTION("""COMPUTED_VALUE"""),142800.0)</f>
        <v>142800</v>
      </c>
      <c r="D1353" s="1">
        <f>IFERROR(__xludf.DUMMYFUNCTION("""COMPUTED_VALUE"""),140400.0)</f>
        <v>140400</v>
      </c>
      <c r="E1353" s="1">
        <f>IFERROR(__xludf.DUMMYFUNCTION("""COMPUTED_VALUE"""),142000.0)</f>
        <v>142000</v>
      </c>
      <c r="F1353" s="1">
        <f>IFERROR(__xludf.DUMMYFUNCTION("""COMPUTED_VALUE"""),57867.0)</f>
        <v>57867</v>
      </c>
    </row>
    <row r="1354">
      <c r="A1354" s="2">
        <f>IFERROR(__xludf.DUMMYFUNCTION("""COMPUTED_VALUE"""),42578.64583333333)</f>
        <v>42578.64583</v>
      </c>
      <c r="B1354" s="1">
        <f>IFERROR(__xludf.DUMMYFUNCTION("""COMPUTED_VALUE"""),142000.0)</f>
        <v>142000</v>
      </c>
      <c r="C1354" s="1">
        <f>IFERROR(__xludf.DUMMYFUNCTION("""COMPUTED_VALUE"""),143600.0)</f>
        <v>143600</v>
      </c>
      <c r="D1354" s="1">
        <f>IFERROR(__xludf.DUMMYFUNCTION("""COMPUTED_VALUE"""),142000.0)</f>
        <v>142000</v>
      </c>
      <c r="E1354" s="1">
        <f>IFERROR(__xludf.DUMMYFUNCTION("""COMPUTED_VALUE"""),142400.0)</f>
        <v>142400</v>
      </c>
      <c r="F1354" s="1">
        <f>IFERROR(__xludf.DUMMYFUNCTION("""COMPUTED_VALUE"""),58607.0)</f>
        <v>58607</v>
      </c>
    </row>
    <row r="1355">
      <c r="A1355" s="2">
        <f>IFERROR(__xludf.DUMMYFUNCTION("""COMPUTED_VALUE"""),42579.64583333333)</f>
        <v>42579.64583</v>
      </c>
      <c r="B1355" s="1">
        <f>IFERROR(__xludf.DUMMYFUNCTION("""COMPUTED_VALUE"""),143400.0)</f>
        <v>143400</v>
      </c>
      <c r="C1355" s="1">
        <f>IFERROR(__xludf.DUMMYFUNCTION("""COMPUTED_VALUE"""),143800.0)</f>
        <v>143800</v>
      </c>
      <c r="D1355" s="1">
        <f>IFERROR(__xludf.DUMMYFUNCTION("""COMPUTED_VALUE"""),141400.0)</f>
        <v>141400</v>
      </c>
      <c r="E1355" s="1">
        <f>IFERROR(__xludf.DUMMYFUNCTION("""COMPUTED_VALUE"""),142000.0)</f>
        <v>142000</v>
      </c>
      <c r="F1355" s="1">
        <f>IFERROR(__xludf.DUMMYFUNCTION("""COMPUTED_VALUE"""),98214.0)</f>
        <v>98214</v>
      </c>
    </row>
    <row r="1356">
      <c r="A1356" s="2">
        <f>IFERROR(__xludf.DUMMYFUNCTION("""COMPUTED_VALUE"""),42580.64583333333)</f>
        <v>42580.64583</v>
      </c>
      <c r="B1356" s="1">
        <f>IFERROR(__xludf.DUMMYFUNCTION("""COMPUTED_VALUE"""),142000.0)</f>
        <v>142000</v>
      </c>
      <c r="C1356" s="1">
        <f>IFERROR(__xludf.DUMMYFUNCTION("""COMPUTED_VALUE"""),143400.0)</f>
        <v>143400</v>
      </c>
      <c r="D1356" s="1">
        <f>IFERROR(__xludf.DUMMYFUNCTION("""COMPUTED_VALUE"""),141600.0)</f>
        <v>141600</v>
      </c>
      <c r="E1356" s="1">
        <f>IFERROR(__xludf.DUMMYFUNCTION("""COMPUTED_VALUE"""),142000.0)</f>
        <v>142000</v>
      </c>
      <c r="F1356" s="1">
        <f>IFERROR(__xludf.DUMMYFUNCTION("""COMPUTED_VALUE"""),106351.0)</f>
        <v>106351</v>
      </c>
    </row>
    <row r="1357">
      <c r="A1357" s="2">
        <f>IFERROR(__xludf.DUMMYFUNCTION("""COMPUTED_VALUE"""),42583.64583333333)</f>
        <v>42583.64583</v>
      </c>
      <c r="B1357" s="1">
        <f>IFERROR(__xludf.DUMMYFUNCTION("""COMPUTED_VALUE"""),142200.0)</f>
        <v>142200</v>
      </c>
      <c r="C1357" s="1">
        <f>IFERROR(__xludf.DUMMYFUNCTION("""COMPUTED_VALUE"""),142600.0)</f>
        <v>142600</v>
      </c>
      <c r="D1357" s="1">
        <f>IFERROR(__xludf.DUMMYFUNCTION("""COMPUTED_VALUE"""),135600.0)</f>
        <v>135600</v>
      </c>
      <c r="E1357" s="1">
        <f>IFERROR(__xludf.DUMMYFUNCTION("""COMPUTED_VALUE"""),140200.0)</f>
        <v>140200</v>
      </c>
      <c r="F1357" s="1">
        <f>IFERROR(__xludf.DUMMYFUNCTION("""COMPUTED_VALUE"""),145886.0)</f>
        <v>145886</v>
      </c>
    </row>
    <row r="1358">
      <c r="A1358" s="2">
        <f>IFERROR(__xludf.DUMMYFUNCTION("""COMPUTED_VALUE"""),42584.64583333333)</f>
        <v>42584.64583</v>
      </c>
      <c r="B1358" s="1">
        <f>IFERROR(__xludf.DUMMYFUNCTION("""COMPUTED_VALUE"""),140200.0)</f>
        <v>140200</v>
      </c>
      <c r="C1358" s="1">
        <f>IFERROR(__xludf.DUMMYFUNCTION("""COMPUTED_VALUE"""),143000.0)</f>
        <v>143000</v>
      </c>
      <c r="D1358" s="1">
        <f>IFERROR(__xludf.DUMMYFUNCTION("""COMPUTED_VALUE"""),139800.0)</f>
        <v>139800</v>
      </c>
      <c r="E1358" s="1">
        <f>IFERROR(__xludf.DUMMYFUNCTION("""COMPUTED_VALUE"""),142600.0)</f>
        <v>142600</v>
      </c>
      <c r="F1358" s="1">
        <f>IFERROR(__xludf.DUMMYFUNCTION("""COMPUTED_VALUE"""),48938.0)</f>
        <v>48938</v>
      </c>
    </row>
    <row r="1359">
      <c r="A1359" s="2">
        <f>IFERROR(__xludf.DUMMYFUNCTION("""COMPUTED_VALUE"""),42585.64583333333)</f>
        <v>42585.64583</v>
      </c>
      <c r="B1359" s="1">
        <f>IFERROR(__xludf.DUMMYFUNCTION("""COMPUTED_VALUE"""),142000.0)</f>
        <v>142000</v>
      </c>
      <c r="C1359" s="1">
        <f>IFERROR(__xludf.DUMMYFUNCTION("""COMPUTED_VALUE"""),142600.0)</f>
        <v>142600</v>
      </c>
      <c r="D1359" s="1">
        <f>IFERROR(__xludf.DUMMYFUNCTION("""COMPUTED_VALUE"""),140400.0)</f>
        <v>140400</v>
      </c>
      <c r="E1359" s="1">
        <f>IFERROR(__xludf.DUMMYFUNCTION("""COMPUTED_VALUE"""),141000.0)</f>
        <v>141000</v>
      </c>
      <c r="F1359" s="1">
        <f>IFERROR(__xludf.DUMMYFUNCTION("""COMPUTED_VALUE"""),49681.0)</f>
        <v>49681</v>
      </c>
    </row>
    <row r="1360">
      <c r="A1360" s="2">
        <f>IFERROR(__xludf.DUMMYFUNCTION("""COMPUTED_VALUE"""),42586.64583333333)</f>
        <v>42586.64583</v>
      </c>
      <c r="B1360" s="1">
        <f>IFERROR(__xludf.DUMMYFUNCTION("""COMPUTED_VALUE"""),142600.0)</f>
        <v>142600</v>
      </c>
      <c r="C1360" s="1">
        <f>IFERROR(__xludf.DUMMYFUNCTION("""COMPUTED_VALUE"""),142800.0)</f>
        <v>142800</v>
      </c>
      <c r="D1360" s="1">
        <f>IFERROR(__xludf.DUMMYFUNCTION("""COMPUTED_VALUE"""),140200.0)</f>
        <v>140200</v>
      </c>
      <c r="E1360" s="1">
        <f>IFERROR(__xludf.DUMMYFUNCTION("""COMPUTED_VALUE"""),141400.0)</f>
        <v>141400</v>
      </c>
      <c r="F1360" s="1">
        <f>IFERROR(__xludf.DUMMYFUNCTION("""COMPUTED_VALUE"""),51248.0)</f>
        <v>51248</v>
      </c>
    </row>
    <row r="1361">
      <c r="A1361" s="2">
        <f>IFERROR(__xludf.DUMMYFUNCTION("""COMPUTED_VALUE"""),42587.64583333333)</f>
        <v>42587.64583</v>
      </c>
      <c r="B1361" s="1">
        <f>IFERROR(__xludf.DUMMYFUNCTION("""COMPUTED_VALUE"""),142200.0)</f>
        <v>142200</v>
      </c>
      <c r="C1361" s="1">
        <f>IFERROR(__xludf.DUMMYFUNCTION("""COMPUTED_VALUE"""),145000.0)</f>
        <v>145000</v>
      </c>
      <c r="D1361" s="1">
        <f>IFERROR(__xludf.DUMMYFUNCTION("""COMPUTED_VALUE"""),141000.0)</f>
        <v>141000</v>
      </c>
      <c r="E1361" s="1">
        <f>IFERROR(__xludf.DUMMYFUNCTION("""COMPUTED_VALUE"""),144600.0)</f>
        <v>144600</v>
      </c>
      <c r="F1361" s="1">
        <f>IFERROR(__xludf.DUMMYFUNCTION("""COMPUTED_VALUE"""),55159.0)</f>
        <v>55159</v>
      </c>
    </row>
    <row r="1362">
      <c r="A1362" s="2">
        <f>IFERROR(__xludf.DUMMYFUNCTION("""COMPUTED_VALUE"""),42590.64583333333)</f>
        <v>42590.64583</v>
      </c>
      <c r="B1362" s="1">
        <f>IFERROR(__xludf.DUMMYFUNCTION("""COMPUTED_VALUE"""),145600.0)</f>
        <v>145600</v>
      </c>
      <c r="C1362" s="1">
        <f>IFERROR(__xludf.DUMMYFUNCTION("""COMPUTED_VALUE"""),149800.0)</f>
        <v>149800</v>
      </c>
      <c r="D1362" s="1">
        <f>IFERROR(__xludf.DUMMYFUNCTION("""COMPUTED_VALUE"""),145400.0)</f>
        <v>145400</v>
      </c>
      <c r="E1362" s="1">
        <f>IFERROR(__xludf.DUMMYFUNCTION("""COMPUTED_VALUE"""),149800.0)</f>
        <v>149800</v>
      </c>
      <c r="F1362" s="1">
        <f>IFERROR(__xludf.DUMMYFUNCTION("""COMPUTED_VALUE"""),116945.0)</f>
        <v>116945</v>
      </c>
    </row>
    <row r="1363">
      <c r="A1363" s="2">
        <f>IFERROR(__xludf.DUMMYFUNCTION("""COMPUTED_VALUE"""),42591.64583333333)</f>
        <v>42591.64583</v>
      </c>
      <c r="B1363" s="1">
        <f>IFERROR(__xludf.DUMMYFUNCTION("""COMPUTED_VALUE"""),150800.0)</f>
        <v>150800</v>
      </c>
      <c r="C1363" s="1">
        <f>IFERROR(__xludf.DUMMYFUNCTION("""COMPUTED_VALUE"""),151400.0)</f>
        <v>151400</v>
      </c>
      <c r="D1363" s="1">
        <f>IFERROR(__xludf.DUMMYFUNCTION("""COMPUTED_VALUE"""),150000.0)</f>
        <v>150000</v>
      </c>
      <c r="E1363" s="1">
        <f>IFERROR(__xludf.DUMMYFUNCTION("""COMPUTED_VALUE"""),151000.0)</f>
        <v>151000</v>
      </c>
      <c r="F1363" s="1">
        <f>IFERROR(__xludf.DUMMYFUNCTION("""COMPUTED_VALUE"""),168810.0)</f>
        <v>168810</v>
      </c>
    </row>
    <row r="1364">
      <c r="A1364" s="2">
        <f>IFERROR(__xludf.DUMMYFUNCTION("""COMPUTED_VALUE"""),42592.64583333333)</f>
        <v>42592.64583</v>
      </c>
      <c r="B1364" s="1">
        <f>IFERROR(__xludf.DUMMYFUNCTION("""COMPUTED_VALUE"""),153000.0)</f>
        <v>153000</v>
      </c>
      <c r="C1364" s="1">
        <f>IFERROR(__xludf.DUMMYFUNCTION("""COMPUTED_VALUE"""),155200.0)</f>
        <v>155200</v>
      </c>
      <c r="D1364" s="1">
        <f>IFERROR(__xludf.DUMMYFUNCTION("""COMPUTED_VALUE"""),151800.0)</f>
        <v>151800</v>
      </c>
      <c r="E1364" s="1">
        <f>IFERROR(__xludf.DUMMYFUNCTION("""COMPUTED_VALUE"""),155000.0)</f>
        <v>155000</v>
      </c>
      <c r="F1364" s="1">
        <f>IFERROR(__xludf.DUMMYFUNCTION("""COMPUTED_VALUE"""),160412.0)</f>
        <v>160412</v>
      </c>
    </row>
    <row r="1365">
      <c r="A1365" s="2">
        <f>IFERROR(__xludf.DUMMYFUNCTION("""COMPUTED_VALUE"""),42593.64583333333)</f>
        <v>42593.64583</v>
      </c>
      <c r="B1365" s="1">
        <f>IFERROR(__xludf.DUMMYFUNCTION("""COMPUTED_VALUE"""),155800.0)</f>
        <v>155800</v>
      </c>
      <c r="C1365" s="1">
        <f>IFERROR(__xludf.DUMMYFUNCTION("""COMPUTED_VALUE"""),155800.0)</f>
        <v>155800</v>
      </c>
      <c r="D1365" s="1">
        <f>IFERROR(__xludf.DUMMYFUNCTION("""COMPUTED_VALUE"""),153800.0)</f>
        <v>153800</v>
      </c>
      <c r="E1365" s="1">
        <f>IFERROR(__xludf.DUMMYFUNCTION("""COMPUTED_VALUE"""),155600.0)</f>
        <v>155600</v>
      </c>
      <c r="F1365" s="1">
        <f>IFERROR(__xludf.DUMMYFUNCTION("""COMPUTED_VALUE"""),76227.0)</f>
        <v>76227</v>
      </c>
    </row>
    <row r="1366">
      <c r="A1366" s="2">
        <f>IFERROR(__xludf.DUMMYFUNCTION("""COMPUTED_VALUE"""),42594.64583333333)</f>
        <v>42594.64583</v>
      </c>
      <c r="B1366" s="1">
        <f>IFERROR(__xludf.DUMMYFUNCTION("""COMPUTED_VALUE"""),155400.0)</f>
        <v>155400</v>
      </c>
      <c r="C1366" s="1">
        <f>IFERROR(__xludf.DUMMYFUNCTION("""COMPUTED_VALUE"""),156800.0)</f>
        <v>156800</v>
      </c>
      <c r="D1366" s="1">
        <f>IFERROR(__xludf.DUMMYFUNCTION("""COMPUTED_VALUE"""),155400.0)</f>
        <v>155400</v>
      </c>
      <c r="E1366" s="1">
        <f>IFERROR(__xludf.DUMMYFUNCTION("""COMPUTED_VALUE"""),156400.0)</f>
        <v>156400</v>
      </c>
      <c r="F1366" s="1">
        <f>IFERROR(__xludf.DUMMYFUNCTION("""COMPUTED_VALUE"""),51184.0)</f>
        <v>51184</v>
      </c>
    </row>
    <row r="1367">
      <c r="A1367" s="2">
        <f>IFERROR(__xludf.DUMMYFUNCTION("""COMPUTED_VALUE"""),42598.64583333333)</f>
        <v>42598.64583</v>
      </c>
      <c r="B1367" s="1">
        <f>IFERROR(__xludf.DUMMYFUNCTION("""COMPUTED_VALUE"""),156800.0)</f>
        <v>156800</v>
      </c>
      <c r="C1367" s="1">
        <f>IFERROR(__xludf.DUMMYFUNCTION("""COMPUTED_VALUE"""),159600.0)</f>
        <v>159600</v>
      </c>
      <c r="D1367" s="1">
        <f>IFERROR(__xludf.DUMMYFUNCTION("""COMPUTED_VALUE"""),156600.0)</f>
        <v>156600</v>
      </c>
      <c r="E1367" s="1">
        <f>IFERROR(__xludf.DUMMYFUNCTION("""COMPUTED_VALUE"""),158000.0)</f>
        <v>158000</v>
      </c>
      <c r="F1367" s="1">
        <f>IFERROR(__xludf.DUMMYFUNCTION("""COMPUTED_VALUE"""),112935.0)</f>
        <v>112935</v>
      </c>
    </row>
    <row r="1368">
      <c r="A1368" s="2">
        <f>IFERROR(__xludf.DUMMYFUNCTION("""COMPUTED_VALUE"""),42599.64583333333)</f>
        <v>42599.64583</v>
      </c>
      <c r="B1368" s="1">
        <f>IFERROR(__xludf.DUMMYFUNCTION("""COMPUTED_VALUE"""),155000.0)</f>
        <v>155000</v>
      </c>
      <c r="C1368" s="1">
        <f>IFERROR(__xludf.DUMMYFUNCTION("""COMPUTED_VALUE"""),158400.0)</f>
        <v>158400</v>
      </c>
      <c r="D1368" s="1">
        <f>IFERROR(__xludf.DUMMYFUNCTION("""COMPUTED_VALUE"""),155000.0)</f>
        <v>155000</v>
      </c>
      <c r="E1368" s="1">
        <f>IFERROR(__xludf.DUMMYFUNCTION("""COMPUTED_VALUE"""),158000.0)</f>
        <v>158000</v>
      </c>
      <c r="F1368" s="1">
        <f>IFERROR(__xludf.DUMMYFUNCTION("""COMPUTED_VALUE"""),69851.0)</f>
        <v>69851</v>
      </c>
    </row>
    <row r="1369">
      <c r="A1369" s="2">
        <f>IFERROR(__xludf.DUMMYFUNCTION("""COMPUTED_VALUE"""),42600.64583333333)</f>
        <v>42600.64583</v>
      </c>
      <c r="B1369" s="1">
        <f>IFERROR(__xludf.DUMMYFUNCTION("""COMPUTED_VALUE"""),158400.0)</f>
        <v>158400</v>
      </c>
      <c r="C1369" s="1">
        <f>IFERROR(__xludf.DUMMYFUNCTION("""COMPUTED_VALUE"""),160200.0)</f>
        <v>160200</v>
      </c>
      <c r="D1369" s="1">
        <f>IFERROR(__xludf.DUMMYFUNCTION("""COMPUTED_VALUE"""),158000.0)</f>
        <v>158000</v>
      </c>
      <c r="E1369" s="1">
        <f>IFERROR(__xludf.DUMMYFUNCTION("""COMPUTED_VALUE"""),160200.0)</f>
        <v>160200</v>
      </c>
      <c r="F1369" s="1">
        <f>IFERROR(__xludf.DUMMYFUNCTION("""COMPUTED_VALUE"""),92495.0)</f>
        <v>92495</v>
      </c>
    </row>
    <row r="1370">
      <c r="A1370" s="2">
        <f>IFERROR(__xludf.DUMMYFUNCTION("""COMPUTED_VALUE"""),42601.64583333333)</f>
        <v>42601.64583</v>
      </c>
      <c r="B1370" s="1">
        <f>IFERROR(__xludf.DUMMYFUNCTION("""COMPUTED_VALUE"""),161400.0)</f>
        <v>161400</v>
      </c>
      <c r="C1370" s="1">
        <f>IFERROR(__xludf.DUMMYFUNCTION("""COMPUTED_VALUE"""),162200.0)</f>
        <v>162200</v>
      </c>
      <c r="D1370" s="1">
        <f>IFERROR(__xludf.DUMMYFUNCTION("""COMPUTED_VALUE"""),159600.0)</f>
        <v>159600</v>
      </c>
      <c r="E1370" s="1">
        <f>IFERROR(__xludf.DUMMYFUNCTION("""COMPUTED_VALUE"""),161000.0)</f>
        <v>161000</v>
      </c>
      <c r="F1370" s="1">
        <f>IFERROR(__xludf.DUMMYFUNCTION("""COMPUTED_VALUE"""),137384.0)</f>
        <v>137384</v>
      </c>
    </row>
    <row r="1371">
      <c r="A1371" s="2">
        <f>IFERROR(__xludf.DUMMYFUNCTION("""COMPUTED_VALUE"""),42604.64583333333)</f>
        <v>42604.64583</v>
      </c>
      <c r="B1371" s="1">
        <f>IFERROR(__xludf.DUMMYFUNCTION("""COMPUTED_VALUE"""),160000.0)</f>
        <v>160000</v>
      </c>
      <c r="C1371" s="1">
        <f>IFERROR(__xludf.DUMMYFUNCTION("""COMPUTED_VALUE"""),160600.0)</f>
        <v>160600</v>
      </c>
      <c r="D1371" s="1">
        <f>IFERROR(__xludf.DUMMYFUNCTION("""COMPUTED_VALUE"""),158600.0)</f>
        <v>158600</v>
      </c>
      <c r="E1371" s="1">
        <f>IFERROR(__xludf.DUMMYFUNCTION("""COMPUTED_VALUE"""),159000.0)</f>
        <v>159000</v>
      </c>
      <c r="F1371" s="1">
        <f>IFERROR(__xludf.DUMMYFUNCTION("""COMPUTED_VALUE"""),80005.0)</f>
        <v>80005</v>
      </c>
    </row>
    <row r="1372">
      <c r="A1372" s="2">
        <f>IFERROR(__xludf.DUMMYFUNCTION("""COMPUTED_VALUE"""),42605.64583333333)</f>
        <v>42605.64583</v>
      </c>
      <c r="B1372" s="1">
        <f>IFERROR(__xludf.DUMMYFUNCTION("""COMPUTED_VALUE"""),160200.0)</f>
        <v>160200</v>
      </c>
      <c r="C1372" s="1">
        <f>IFERROR(__xludf.DUMMYFUNCTION("""COMPUTED_VALUE"""),161600.0)</f>
        <v>161600</v>
      </c>
      <c r="D1372" s="1">
        <f>IFERROR(__xludf.DUMMYFUNCTION("""COMPUTED_VALUE"""),159000.0)</f>
        <v>159000</v>
      </c>
      <c r="E1372" s="1">
        <f>IFERROR(__xludf.DUMMYFUNCTION("""COMPUTED_VALUE"""),161200.0)</f>
        <v>161200</v>
      </c>
      <c r="F1372" s="1">
        <f>IFERROR(__xludf.DUMMYFUNCTION("""COMPUTED_VALUE"""),69435.0)</f>
        <v>69435</v>
      </c>
    </row>
    <row r="1373">
      <c r="A1373" s="2">
        <f>IFERROR(__xludf.DUMMYFUNCTION("""COMPUTED_VALUE"""),42606.64583333333)</f>
        <v>42606.64583</v>
      </c>
      <c r="B1373" s="1">
        <f>IFERROR(__xludf.DUMMYFUNCTION("""COMPUTED_VALUE"""),161400.0)</f>
        <v>161400</v>
      </c>
      <c r="C1373" s="1">
        <f>IFERROR(__xludf.DUMMYFUNCTION("""COMPUTED_VALUE"""),162800.0)</f>
        <v>162800</v>
      </c>
      <c r="D1373" s="1">
        <f>IFERROR(__xludf.DUMMYFUNCTION("""COMPUTED_VALUE"""),160000.0)</f>
        <v>160000</v>
      </c>
      <c r="E1373" s="1">
        <f>IFERROR(__xludf.DUMMYFUNCTION("""COMPUTED_VALUE"""),162400.0)</f>
        <v>162400</v>
      </c>
      <c r="F1373" s="1">
        <f>IFERROR(__xludf.DUMMYFUNCTION("""COMPUTED_VALUE"""),71904.0)</f>
        <v>71904</v>
      </c>
    </row>
    <row r="1374">
      <c r="A1374" s="2">
        <f>IFERROR(__xludf.DUMMYFUNCTION("""COMPUTED_VALUE"""),42607.64583333333)</f>
        <v>42607.64583</v>
      </c>
      <c r="B1374" s="1">
        <f>IFERROR(__xludf.DUMMYFUNCTION("""COMPUTED_VALUE"""),162400.0)</f>
        <v>162400</v>
      </c>
      <c r="C1374" s="1">
        <f>IFERROR(__xludf.DUMMYFUNCTION("""COMPUTED_VALUE"""),162400.0)</f>
        <v>162400</v>
      </c>
      <c r="D1374" s="1">
        <f>IFERROR(__xludf.DUMMYFUNCTION("""COMPUTED_VALUE"""),160400.0)</f>
        <v>160400</v>
      </c>
      <c r="E1374" s="1">
        <f>IFERROR(__xludf.DUMMYFUNCTION("""COMPUTED_VALUE"""),160800.0)</f>
        <v>160800</v>
      </c>
      <c r="F1374" s="1">
        <f>IFERROR(__xludf.DUMMYFUNCTION("""COMPUTED_VALUE"""),96952.0)</f>
        <v>96952</v>
      </c>
    </row>
    <row r="1375">
      <c r="A1375" s="2">
        <f>IFERROR(__xludf.DUMMYFUNCTION("""COMPUTED_VALUE"""),42608.64583333333)</f>
        <v>42608.64583</v>
      </c>
      <c r="B1375" s="1">
        <f>IFERROR(__xludf.DUMMYFUNCTION("""COMPUTED_VALUE"""),159200.0)</f>
        <v>159200</v>
      </c>
      <c r="C1375" s="1">
        <f>IFERROR(__xludf.DUMMYFUNCTION("""COMPUTED_VALUE"""),161800.0)</f>
        <v>161800</v>
      </c>
      <c r="D1375" s="1">
        <f>IFERROR(__xludf.DUMMYFUNCTION("""COMPUTED_VALUE"""),159200.0)</f>
        <v>159200</v>
      </c>
      <c r="E1375" s="1">
        <f>IFERROR(__xludf.DUMMYFUNCTION("""COMPUTED_VALUE"""),161000.0)</f>
        <v>161000</v>
      </c>
      <c r="F1375" s="1">
        <f>IFERROR(__xludf.DUMMYFUNCTION("""COMPUTED_VALUE"""),75008.0)</f>
        <v>75008</v>
      </c>
    </row>
    <row r="1376">
      <c r="A1376" s="2">
        <f>IFERROR(__xludf.DUMMYFUNCTION("""COMPUTED_VALUE"""),42611.64583333333)</f>
        <v>42611.64583</v>
      </c>
      <c r="B1376" s="1">
        <f>IFERROR(__xludf.DUMMYFUNCTION("""COMPUTED_VALUE"""),161200.0)</f>
        <v>161200</v>
      </c>
      <c r="C1376" s="1">
        <f>IFERROR(__xludf.DUMMYFUNCTION("""COMPUTED_VALUE"""),163800.0)</f>
        <v>163800</v>
      </c>
      <c r="D1376" s="1">
        <f>IFERROR(__xludf.DUMMYFUNCTION("""COMPUTED_VALUE"""),160000.0)</f>
        <v>160000</v>
      </c>
      <c r="E1376" s="1">
        <f>IFERROR(__xludf.DUMMYFUNCTION("""COMPUTED_VALUE"""),162000.0)</f>
        <v>162000</v>
      </c>
      <c r="F1376" s="1">
        <f>IFERROR(__xludf.DUMMYFUNCTION("""COMPUTED_VALUE"""),84039.0)</f>
        <v>84039</v>
      </c>
    </row>
    <row r="1377">
      <c r="A1377" s="2">
        <f>IFERROR(__xludf.DUMMYFUNCTION("""COMPUTED_VALUE"""),42612.64583333333)</f>
        <v>42612.64583</v>
      </c>
      <c r="B1377" s="1">
        <f>IFERROR(__xludf.DUMMYFUNCTION("""COMPUTED_VALUE"""),162200.0)</f>
        <v>162200</v>
      </c>
      <c r="C1377" s="1">
        <f>IFERROR(__xludf.DUMMYFUNCTION("""COMPUTED_VALUE"""),164200.0)</f>
        <v>164200</v>
      </c>
      <c r="D1377" s="1">
        <f>IFERROR(__xludf.DUMMYFUNCTION("""COMPUTED_VALUE"""),161000.0)</f>
        <v>161000</v>
      </c>
      <c r="E1377" s="1">
        <f>IFERROR(__xludf.DUMMYFUNCTION("""COMPUTED_VALUE"""),164200.0)</f>
        <v>164200</v>
      </c>
      <c r="F1377" s="1">
        <f>IFERROR(__xludf.DUMMYFUNCTION("""COMPUTED_VALUE"""),70624.0)</f>
        <v>70624</v>
      </c>
    </row>
    <row r="1378">
      <c r="A1378" s="2">
        <f>IFERROR(__xludf.DUMMYFUNCTION("""COMPUTED_VALUE"""),42613.64583333333)</f>
        <v>42613.64583</v>
      </c>
      <c r="B1378" s="1">
        <f>IFERROR(__xludf.DUMMYFUNCTION("""COMPUTED_VALUE"""),168600.0)</f>
        <v>168600</v>
      </c>
      <c r="C1378" s="1">
        <f>IFERROR(__xludf.DUMMYFUNCTION("""COMPUTED_VALUE"""),170000.0)</f>
        <v>170000</v>
      </c>
      <c r="D1378" s="1">
        <f>IFERROR(__xludf.DUMMYFUNCTION("""COMPUTED_VALUE"""),165400.0)</f>
        <v>165400</v>
      </c>
      <c r="E1378" s="1">
        <f>IFERROR(__xludf.DUMMYFUNCTION("""COMPUTED_VALUE"""),169000.0)</f>
        <v>169000</v>
      </c>
      <c r="F1378" s="1">
        <f>IFERROR(__xludf.DUMMYFUNCTION("""COMPUTED_VALUE"""),158267.0)</f>
        <v>158267</v>
      </c>
    </row>
    <row r="1379">
      <c r="A1379" s="2">
        <f>IFERROR(__xludf.DUMMYFUNCTION("""COMPUTED_VALUE"""),42614.64583333333)</f>
        <v>42614.64583</v>
      </c>
      <c r="B1379" s="1">
        <f>IFERROR(__xludf.DUMMYFUNCTION("""COMPUTED_VALUE"""),169000.0)</f>
        <v>169000</v>
      </c>
      <c r="C1379" s="1">
        <f>IFERROR(__xludf.DUMMYFUNCTION("""COMPUTED_VALUE"""),169400.0)</f>
        <v>169400</v>
      </c>
      <c r="D1379" s="1">
        <f>IFERROR(__xludf.DUMMYFUNCTION("""COMPUTED_VALUE"""),163800.0)</f>
        <v>163800</v>
      </c>
      <c r="E1379" s="1">
        <f>IFERROR(__xludf.DUMMYFUNCTION("""COMPUTED_VALUE"""),165800.0)</f>
        <v>165800</v>
      </c>
      <c r="F1379" s="1">
        <f>IFERROR(__xludf.DUMMYFUNCTION("""COMPUTED_VALUE"""),90304.0)</f>
        <v>90304</v>
      </c>
    </row>
    <row r="1380">
      <c r="A1380" s="2">
        <f>IFERROR(__xludf.DUMMYFUNCTION("""COMPUTED_VALUE"""),42615.64583333333)</f>
        <v>42615.64583</v>
      </c>
      <c r="B1380" s="1">
        <f>IFERROR(__xludf.DUMMYFUNCTION("""COMPUTED_VALUE"""),166600.0)</f>
        <v>166600</v>
      </c>
      <c r="C1380" s="1">
        <f>IFERROR(__xludf.DUMMYFUNCTION("""COMPUTED_VALUE"""),167000.0)</f>
        <v>167000</v>
      </c>
      <c r="D1380" s="1">
        <f>IFERROR(__xludf.DUMMYFUNCTION("""COMPUTED_VALUE"""),164400.0)</f>
        <v>164400</v>
      </c>
      <c r="E1380" s="1">
        <f>IFERROR(__xludf.DUMMYFUNCTION("""COMPUTED_VALUE"""),166200.0)</f>
        <v>166200</v>
      </c>
      <c r="F1380" s="1">
        <f>IFERROR(__xludf.DUMMYFUNCTION("""COMPUTED_VALUE"""),65593.0)</f>
        <v>65593</v>
      </c>
    </row>
    <row r="1381">
      <c r="A1381" s="2">
        <f>IFERROR(__xludf.DUMMYFUNCTION("""COMPUTED_VALUE"""),42618.64583333333)</f>
        <v>42618.64583</v>
      </c>
      <c r="B1381" s="1">
        <f>IFERROR(__xludf.DUMMYFUNCTION("""COMPUTED_VALUE"""),168400.0)</f>
        <v>168400</v>
      </c>
      <c r="C1381" s="1">
        <f>IFERROR(__xludf.DUMMYFUNCTION("""COMPUTED_VALUE"""),171000.0)</f>
        <v>171000</v>
      </c>
      <c r="D1381" s="1">
        <f>IFERROR(__xludf.DUMMYFUNCTION("""COMPUTED_VALUE"""),168400.0)</f>
        <v>168400</v>
      </c>
      <c r="E1381" s="1">
        <f>IFERROR(__xludf.DUMMYFUNCTION("""COMPUTED_VALUE"""),170000.0)</f>
        <v>170000</v>
      </c>
      <c r="F1381" s="1">
        <f>IFERROR(__xludf.DUMMYFUNCTION("""COMPUTED_VALUE"""),51800.0)</f>
        <v>51800</v>
      </c>
    </row>
    <row r="1382">
      <c r="A1382" s="2">
        <f>IFERROR(__xludf.DUMMYFUNCTION("""COMPUTED_VALUE"""),42619.64583333333)</f>
        <v>42619.64583</v>
      </c>
      <c r="B1382" s="1">
        <f>IFERROR(__xludf.DUMMYFUNCTION("""COMPUTED_VALUE"""),171600.0)</f>
        <v>171600</v>
      </c>
      <c r="C1382" s="1">
        <f>IFERROR(__xludf.DUMMYFUNCTION("""COMPUTED_VALUE"""),175000.0)</f>
        <v>175000</v>
      </c>
      <c r="D1382" s="1">
        <f>IFERROR(__xludf.DUMMYFUNCTION("""COMPUTED_VALUE"""),166600.0)</f>
        <v>166600</v>
      </c>
      <c r="E1382" s="1">
        <f>IFERROR(__xludf.DUMMYFUNCTION("""COMPUTED_VALUE"""),168600.0)</f>
        <v>168600</v>
      </c>
      <c r="F1382" s="1">
        <f>IFERROR(__xludf.DUMMYFUNCTION("""COMPUTED_VALUE"""),120907.0)</f>
        <v>120907</v>
      </c>
    </row>
    <row r="1383">
      <c r="A1383" s="2">
        <f>IFERROR(__xludf.DUMMYFUNCTION("""COMPUTED_VALUE"""),42620.64583333333)</f>
        <v>42620.64583</v>
      </c>
      <c r="B1383" s="1">
        <f>IFERROR(__xludf.DUMMYFUNCTION("""COMPUTED_VALUE"""),168600.0)</f>
        <v>168600</v>
      </c>
      <c r="C1383" s="1">
        <f>IFERROR(__xludf.DUMMYFUNCTION("""COMPUTED_VALUE"""),174800.0)</f>
        <v>174800</v>
      </c>
      <c r="D1383" s="1">
        <f>IFERROR(__xludf.DUMMYFUNCTION("""COMPUTED_VALUE"""),167600.0)</f>
        <v>167600</v>
      </c>
      <c r="E1383" s="1">
        <f>IFERROR(__xludf.DUMMYFUNCTION("""COMPUTED_VALUE"""),174400.0)</f>
        <v>174400</v>
      </c>
      <c r="F1383" s="1">
        <f>IFERROR(__xludf.DUMMYFUNCTION("""COMPUTED_VALUE"""),87219.0)</f>
        <v>87219</v>
      </c>
    </row>
    <row r="1384">
      <c r="A1384" s="2">
        <f>IFERROR(__xludf.DUMMYFUNCTION("""COMPUTED_VALUE"""),42621.64583333333)</f>
        <v>42621.64583</v>
      </c>
      <c r="B1384" s="1">
        <f>IFERROR(__xludf.DUMMYFUNCTION("""COMPUTED_VALUE"""),173800.0)</f>
        <v>173800</v>
      </c>
      <c r="C1384" s="1">
        <f>IFERROR(__xludf.DUMMYFUNCTION("""COMPUTED_VALUE"""),174400.0)</f>
        <v>174400</v>
      </c>
      <c r="D1384" s="1">
        <f>IFERROR(__xludf.DUMMYFUNCTION("""COMPUTED_VALUE"""),170200.0)</f>
        <v>170200</v>
      </c>
      <c r="E1384" s="1">
        <f>IFERROR(__xludf.DUMMYFUNCTION("""COMPUTED_VALUE"""),173800.0)</f>
        <v>173800</v>
      </c>
      <c r="F1384" s="1">
        <f>IFERROR(__xludf.DUMMYFUNCTION("""COMPUTED_VALUE"""),78393.0)</f>
        <v>78393</v>
      </c>
    </row>
    <row r="1385">
      <c r="A1385" s="2">
        <f>IFERROR(__xludf.DUMMYFUNCTION("""COMPUTED_VALUE"""),42622.64583333333)</f>
        <v>42622.64583</v>
      </c>
      <c r="B1385" s="1">
        <f>IFERROR(__xludf.DUMMYFUNCTION("""COMPUTED_VALUE"""),170400.0)</f>
        <v>170400</v>
      </c>
      <c r="C1385" s="1">
        <f>IFERROR(__xludf.DUMMYFUNCTION("""COMPUTED_VALUE"""),172000.0)</f>
        <v>172000</v>
      </c>
      <c r="D1385" s="1">
        <f>IFERROR(__xludf.DUMMYFUNCTION("""COMPUTED_VALUE"""),168200.0)</f>
        <v>168200</v>
      </c>
      <c r="E1385" s="1">
        <f>IFERROR(__xludf.DUMMYFUNCTION("""COMPUTED_VALUE"""),169400.0)</f>
        <v>169400</v>
      </c>
      <c r="F1385" s="1">
        <f>IFERROR(__xludf.DUMMYFUNCTION("""COMPUTED_VALUE"""),83335.0)</f>
        <v>83335</v>
      </c>
    </row>
    <row r="1386">
      <c r="A1386" s="2">
        <f>IFERROR(__xludf.DUMMYFUNCTION("""COMPUTED_VALUE"""),42625.64583333333)</f>
        <v>42625.64583</v>
      </c>
      <c r="B1386" s="1">
        <f>IFERROR(__xludf.DUMMYFUNCTION("""COMPUTED_VALUE"""),167000.0)</f>
        <v>167000</v>
      </c>
      <c r="C1386" s="1">
        <f>IFERROR(__xludf.DUMMYFUNCTION("""COMPUTED_VALUE"""),168600.0)</f>
        <v>168600</v>
      </c>
      <c r="D1386" s="1">
        <f>IFERROR(__xludf.DUMMYFUNCTION("""COMPUTED_VALUE"""),166200.0)</f>
        <v>166200</v>
      </c>
      <c r="E1386" s="1">
        <f>IFERROR(__xludf.DUMMYFUNCTION("""COMPUTED_VALUE"""),168000.0)</f>
        <v>168000</v>
      </c>
      <c r="F1386" s="1">
        <f>IFERROR(__xludf.DUMMYFUNCTION("""COMPUTED_VALUE"""),69512.0)</f>
        <v>69512</v>
      </c>
    </row>
    <row r="1387">
      <c r="A1387" s="2">
        <f>IFERROR(__xludf.DUMMYFUNCTION("""COMPUTED_VALUE"""),42626.64583333333)</f>
        <v>42626.64583</v>
      </c>
      <c r="B1387" s="1">
        <f>IFERROR(__xludf.DUMMYFUNCTION("""COMPUTED_VALUE"""),170000.0)</f>
        <v>170000</v>
      </c>
      <c r="C1387" s="1">
        <f>IFERROR(__xludf.DUMMYFUNCTION("""COMPUTED_VALUE"""),170200.0)</f>
        <v>170200</v>
      </c>
      <c r="D1387" s="1">
        <f>IFERROR(__xludf.DUMMYFUNCTION("""COMPUTED_VALUE"""),166600.0)</f>
        <v>166600</v>
      </c>
      <c r="E1387" s="1">
        <f>IFERROR(__xludf.DUMMYFUNCTION("""COMPUTED_VALUE"""),168200.0)</f>
        <v>168200</v>
      </c>
      <c r="F1387" s="1">
        <f>IFERROR(__xludf.DUMMYFUNCTION("""COMPUTED_VALUE"""),69669.0)</f>
        <v>69669</v>
      </c>
    </row>
    <row r="1388">
      <c r="A1388" s="2">
        <f>IFERROR(__xludf.DUMMYFUNCTION("""COMPUTED_VALUE"""),42632.64583333333)</f>
        <v>42632.64583</v>
      </c>
      <c r="B1388" s="1">
        <f>IFERROR(__xludf.DUMMYFUNCTION("""COMPUTED_VALUE"""),170600.0)</f>
        <v>170600</v>
      </c>
      <c r="C1388" s="1">
        <f>IFERROR(__xludf.DUMMYFUNCTION("""COMPUTED_VALUE"""),174000.0)</f>
        <v>174000</v>
      </c>
      <c r="D1388" s="1">
        <f>IFERROR(__xludf.DUMMYFUNCTION("""COMPUTED_VALUE"""),169000.0)</f>
        <v>169000</v>
      </c>
      <c r="E1388" s="1">
        <f>IFERROR(__xludf.DUMMYFUNCTION("""COMPUTED_VALUE"""),171200.0)</f>
        <v>171200</v>
      </c>
      <c r="F1388" s="1">
        <f>IFERROR(__xludf.DUMMYFUNCTION("""COMPUTED_VALUE"""),117354.0)</f>
        <v>117354</v>
      </c>
    </row>
    <row r="1389">
      <c r="A1389" s="2">
        <f>IFERROR(__xludf.DUMMYFUNCTION("""COMPUTED_VALUE"""),42633.64583333333)</f>
        <v>42633.64583</v>
      </c>
      <c r="B1389" s="1">
        <f>IFERROR(__xludf.DUMMYFUNCTION("""COMPUTED_VALUE"""),171600.0)</f>
        <v>171600</v>
      </c>
      <c r="C1389" s="1">
        <f>IFERROR(__xludf.DUMMYFUNCTION("""COMPUTED_VALUE"""),173400.0)</f>
        <v>173400</v>
      </c>
      <c r="D1389" s="1">
        <f>IFERROR(__xludf.DUMMYFUNCTION("""COMPUTED_VALUE"""),167000.0)</f>
        <v>167000</v>
      </c>
      <c r="E1389" s="1">
        <f>IFERROR(__xludf.DUMMYFUNCTION("""COMPUTED_VALUE"""),167200.0)</f>
        <v>167200</v>
      </c>
      <c r="F1389" s="1">
        <f>IFERROR(__xludf.DUMMYFUNCTION("""COMPUTED_VALUE"""),109454.0)</f>
        <v>109454</v>
      </c>
    </row>
    <row r="1390">
      <c r="A1390" s="2">
        <f>IFERROR(__xludf.DUMMYFUNCTION("""COMPUTED_VALUE"""),42634.64583333333)</f>
        <v>42634.64583</v>
      </c>
      <c r="B1390" s="1">
        <f>IFERROR(__xludf.DUMMYFUNCTION("""COMPUTED_VALUE"""),167200.0)</f>
        <v>167200</v>
      </c>
      <c r="C1390" s="1">
        <f>IFERROR(__xludf.DUMMYFUNCTION("""COMPUTED_VALUE"""),172800.0)</f>
        <v>172800</v>
      </c>
      <c r="D1390" s="1">
        <f>IFERROR(__xludf.DUMMYFUNCTION("""COMPUTED_VALUE"""),167200.0)</f>
        <v>167200</v>
      </c>
      <c r="E1390" s="1">
        <f>IFERROR(__xludf.DUMMYFUNCTION("""COMPUTED_VALUE"""),171000.0)</f>
        <v>171000</v>
      </c>
      <c r="F1390" s="1">
        <f>IFERROR(__xludf.DUMMYFUNCTION("""COMPUTED_VALUE"""),108756.0)</f>
        <v>108756</v>
      </c>
    </row>
    <row r="1391">
      <c r="A1391" s="2">
        <f>IFERROR(__xludf.DUMMYFUNCTION("""COMPUTED_VALUE"""),42635.64583333333)</f>
        <v>42635.64583</v>
      </c>
      <c r="B1391" s="1">
        <f>IFERROR(__xludf.DUMMYFUNCTION("""COMPUTED_VALUE"""),173400.0)</f>
        <v>173400</v>
      </c>
      <c r="C1391" s="1">
        <f>IFERROR(__xludf.DUMMYFUNCTION("""COMPUTED_VALUE"""),174800.0)</f>
        <v>174800</v>
      </c>
      <c r="D1391" s="1">
        <f>IFERROR(__xludf.DUMMYFUNCTION("""COMPUTED_VALUE"""),171000.0)</f>
        <v>171000</v>
      </c>
      <c r="E1391" s="1">
        <f>IFERROR(__xludf.DUMMYFUNCTION("""COMPUTED_VALUE"""),174600.0)</f>
        <v>174600</v>
      </c>
      <c r="F1391" s="1">
        <f>IFERROR(__xludf.DUMMYFUNCTION("""COMPUTED_VALUE"""),112398.0)</f>
        <v>112398</v>
      </c>
    </row>
    <row r="1392">
      <c r="A1392" s="2">
        <f>IFERROR(__xludf.DUMMYFUNCTION("""COMPUTED_VALUE"""),42636.64583333333)</f>
        <v>42636.64583</v>
      </c>
      <c r="B1392" s="1">
        <f>IFERROR(__xludf.DUMMYFUNCTION("""COMPUTED_VALUE"""),176400.0)</f>
        <v>176400</v>
      </c>
      <c r="C1392" s="1">
        <f>IFERROR(__xludf.DUMMYFUNCTION("""COMPUTED_VALUE"""),176400.0)</f>
        <v>176400</v>
      </c>
      <c r="D1392" s="1">
        <f>IFERROR(__xludf.DUMMYFUNCTION("""COMPUTED_VALUE"""),172200.0)</f>
        <v>172200</v>
      </c>
      <c r="E1392" s="1">
        <f>IFERROR(__xludf.DUMMYFUNCTION("""COMPUTED_VALUE"""),175600.0)</f>
        <v>175600</v>
      </c>
      <c r="F1392" s="1">
        <f>IFERROR(__xludf.DUMMYFUNCTION("""COMPUTED_VALUE"""),74094.0)</f>
        <v>74094</v>
      </c>
    </row>
    <row r="1393">
      <c r="A1393" s="2">
        <f>IFERROR(__xludf.DUMMYFUNCTION("""COMPUTED_VALUE"""),42639.64583333333)</f>
        <v>42639.64583</v>
      </c>
      <c r="B1393" s="1">
        <f>IFERROR(__xludf.DUMMYFUNCTION("""COMPUTED_VALUE"""),175800.0)</f>
        <v>175800</v>
      </c>
      <c r="C1393" s="1">
        <f>IFERROR(__xludf.DUMMYFUNCTION("""COMPUTED_VALUE"""),176800.0)</f>
        <v>176800</v>
      </c>
      <c r="D1393" s="1">
        <f>IFERROR(__xludf.DUMMYFUNCTION("""COMPUTED_VALUE"""),173800.0)</f>
        <v>173800</v>
      </c>
      <c r="E1393" s="1">
        <f>IFERROR(__xludf.DUMMYFUNCTION("""COMPUTED_VALUE"""),175200.0)</f>
        <v>175200</v>
      </c>
      <c r="F1393" s="1">
        <f>IFERROR(__xludf.DUMMYFUNCTION("""COMPUTED_VALUE"""),42051.0)</f>
        <v>42051</v>
      </c>
    </row>
    <row r="1394">
      <c r="A1394" s="2">
        <f>IFERROR(__xludf.DUMMYFUNCTION("""COMPUTED_VALUE"""),42640.64583333333)</f>
        <v>42640.64583</v>
      </c>
      <c r="B1394" s="1">
        <f>IFERROR(__xludf.DUMMYFUNCTION("""COMPUTED_VALUE"""),175200.0)</f>
        <v>175200</v>
      </c>
      <c r="C1394" s="1">
        <f>IFERROR(__xludf.DUMMYFUNCTION("""COMPUTED_VALUE"""),178000.0)</f>
        <v>178000</v>
      </c>
      <c r="D1394" s="1">
        <f>IFERROR(__xludf.DUMMYFUNCTION("""COMPUTED_VALUE"""),173200.0)</f>
        <v>173200</v>
      </c>
      <c r="E1394" s="1">
        <f>IFERROR(__xludf.DUMMYFUNCTION("""COMPUTED_VALUE"""),176800.0)</f>
        <v>176800</v>
      </c>
      <c r="F1394" s="1">
        <f>IFERROR(__xludf.DUMMYFUNCTION("""COMPUTED_VALUE"""),80703.0)</f>
        <v>80703</v>
      </c>
    </row>
    <row r="1395">
      <c r="A1395" s="2">
        <f>IFERROR(__xludf.DUMMYFUNCTION("""COMPUTED_VALUE"""),42641.64583333333)</f>
        <v>42641.64583</v>
      </c>
      <c r="B1395" s="1">
        <f>IFERROR(__xludf.DUMMYFUNCTION("""COMPUTED_VALUE"""),177200.0)</f>
        <v>177200</v>
      </c>
      <c r="C1395" s="1">
        <f>IFERROR(__xludf.DUMMYFUNCTION("""COMPUTED_VALUE"""),179000.0)</f>
        <v>179000</v>
      </c>
      <c r="D1395" s="1">
        <f>IFERROR(__xludf.DUMMYFUNCTION("""COMPUTED_VALUE"""),176800.0)</f>
        <v>176800</v>
      </c>
      <c r="E1395" s="1">
        <f>IFERROR(__xludf.DUMMYFUNCTION("""COMPUTED_VALUE"""),177400.0)</f>
        <v>177400</v>
      </c>
      <c r="F1395" s="1">
        <f>IFERROR(__xludf.DUMMYFUNCTION("""COMPUTED_VALUE"""),54783.0)</f>
        <v>54783</v>
      </c>
    </row>
    <row r="1396">
      <c r="A1396" s="2">
        <f>IFERROR(__xludf.DUMMYFUNCTION("""COMPUTED_VALUE"""),42642.64583333333)</f>
        <v>42642.64583</v>
      </c>
      <c r="B1396" s="1">
        <f>IFERROR(__xludf.DUMMYFUNCTION("""COMPUTED_VALUE"""),178000.0)</f>
        <v>178000</v>
      </c>
      <c r="C1396" s="1">
        <f>IFERROR(__xludf.DUMMYFUNCTION("""COMPUTED_VALUE"""),180600.0)</f>
        <v>180600</v>
      </c>
      <c r="D1396" s="1">
        <f>IFERROR(__xludf.DUMMYFUNCTION("""COMPUTED_VALUE"""),177400.0)</f>
        <v>177400</v>
      </c>
      <c r="E1396" s="1">
        <f>IFERROR(__xludf.DUMMYFUNCTION("""COMPUTED_VALUE"""),180000.0)</f>
        <v>180000</v>
      </c>
      <c r="F1396" s="1">
        <f>IFERROR(__xludf.DUMMYFUNCTION("""COMPUTED_VALUE"""),77187.0)</f>
        <v>77187</v>
      </c>
    </row>
    <row r="1397">
      <c r="A1397" s="2">
        <f>IFERROR(__xludf.DUMMYFUNCTION("""COMPUTED_VALUE"""),42643.64583333333)</f>
        <v>42643.64583</v>
      </c>
      <c r="B1397" s="1">
        <f>IFERROR(__xludf.DUMMYFUNCTION("""COMPUTED_VALUE"""),177200.0)</f>
        <v>177200</v>
      </c>
      <c r="C1397" s="1">
        <f>IFERROR(__xludf.DUMMYFUNCTION("""COMPUTED_VALUE"""),177600.0)</f>
        <v>177600</v>
      </c>
      <c r="D1397" s="1">
        <f>IFERROR(__xludf.DUMMYFUNCTION("""COMPUTED_VALUE"""),171800.0)</f>
        <v>171800</v>
      </c>
      <c r="E1397" s="1">
        <f>IFERROR(__xludf.DUMMYFUNCTION("""COMPUTED_VALUE"""),176600.0)</f>
        <v>176600</v>
      </c>
      <c r="F1397" s="1">
        <f>IFERROR(__xludf.DUMMYFUNCTION("""COMPUTED_VALUE"""),172513.0)</f>
        <v>172513</v>
      </c>
    </row>
    <row r="1398">
      <c r="A1398" s="2">
        <f>IFERROR(__xludf.DUMMYFUNCTION("""COMPUTED_VALUE"""),42647.64583333333)</f>
        <v>42647.64583</v>
      </c>
      <c r="B1398" s="1">
        <f>IFERROR(__xludf.DUMMYFUNCTION("""COMPUTED_VALUE"""),176600.0)</f>
        <v>176600</v>
      </c>
      <c r="C1398" s="1">
        <f>IFERROR(__xludf.DUMMYFUNCTION("""COMPUTED_VALUE"""),176800.0)</f>
        <v>176800</v>
      </c>
      <c r="D1398" s="1">
        <f>IFERROR(__xludf.DUMMYFUNCTION("""COMPUTED_VALUE"""),170000.0)</f>
        <v>170000</v>
      </c>
      <c r="E1398" s="1">
        <f>IFERROR(__xludf.DUMMYFUNCTION("""COMPUTED_VALUE"""),171600.0)</f>
        <v>171600</v>
      </c>
      <c r="F1398" s="1">
        <f>IFERROR(__xludf.DUMMYFUNCTION("""COMPUTED_VALUE"""),109200.0)</f>
        <v>109200</v>
      </c>
    </row>
    <row r="1399">
      <c r="A1399" s="2">
        <f>IFERROR(__xludf.DUMMYFUNCTION("""COMPUTED_VALUE"""),42648.64583333333)</f>
        <v>42648.64583</v>
      </c>
      <c r="B1399" s="1">
        <f>IFERROR(__xludf.DUMMYFUNCTION("""COMPUTED_VALUE"""),170600.0)</f>
        <v>170600</v>
      </c>
      <c r="C1399" s="1">
        <f>IFERROR(__xludf.DUMMYFUNCTION("""COMPUTED_VALUE"""),175000.0)</f>
        <v>175000</v>
      </c>
      <c r="D1399" s="1">
        <f>IFERROR(__xludf.DUMMYFUNCTION("""COMPUTED_VALUE"""),170200.0)</f>
        <v>170200</v>
      </c>
      <c r="E1399" s="1">
        <f>IFERROR(__xludf.DUMMYFUNCTION("""COMPUTED_VALUE"""),173400.0)</f>
        <v>173400</v>
      </c>
      <c r="F1399" s="1">
        <f>IFERROR(__xludf.DUMMYFUNCTION("""COMPUTED_VALUE"""),66523.0)</f>
        <v>66523</v>
      </c>
    </row>
    <row r="1400">
      <c r="A1400" s="2">
        <f>IFERROR(__xludf.DUMMYFUNCTION("""COMPUTED_VALUE"""),42649.64583333333)</f>
        <v>42649.64583</v>
      </c>
      <c r="B1400" s="1">
        <f>IFERROR(__xludf.DUMMYFUNCTION("""COMPUTED_VALUE"""),173800.0)</f>
        <v>173800</v>
      </c>
      <c r="C1400" s="1">
        <f>IFERROR(__xludf.DUMMYFUNCTION("""COMPUTED_VALUE"""),174800.0)</f>
        <v>174800</v>
      </c>
      <c r="D1400" s="1">
        <f>IFERROR(__xludf.DUMMYFUNCTION("""COMPUTED_VALUE"""),170400.0)</f>
        <v>170400</v>
      </c>
      <c r="E1400" s="1">
        <f>IFERROR(__xludf.DUMMYFUNCTION("""COMPUTED_VALUE"""),172200.0)</f>
        <v>172200</v>
      </c>
      <c r="F1400" s="1">
        <f>IFERROR(__xludf.DUMMYFUNCTION("""COMPUTED_VALUE"""),54843.0)</f>
        <v>54843</v>
      </c>
    </row>
    <row r="1401">
      <c r="A1401" s="2">
        <f>IFERROR(__xludf.DUMMYFUNCTION("""COMPUTED_VALUE"""),42650.64583333333)</f>
        <v>42650.64583</v>
      </c>
      <c r="B1401" s="1">
        <f>IFERROR(__xludf.DUMMYFUNCTION("""COMPUTED_VALUE"""),172000.0)</f>
        <v>172000</v>
      </c>
      <c r="C1401" s="1">
        <f>IFERROR(__xludf.DUMMYFUNCTION("""COMPUTED_VALUE"""),172200.0)</f>
        <v>172200</v>
      </c>
      <c r="D1401" s="1">
        <f>IFERROR(__xludf.DUMMYFUNCTION("""COMPUTED_VALUE"""),166800.0)</f>
        <v>166800</v>
      </c>
      <c r="E1401" s="1">
        <f>IFERROR(__xludf.DUMMYFUNCTION("""COMPUTED_VALUE"""),168600.0)</f>
        <v>168600</v>
      </c>
      <c r="F1401" s="1">
        <f>IFERROR(__xludf.DUMMYFUNCTION("""COMPUTED_VALUE"""),75928.0)</f>
        <v>75928</v>
      </c>
    </row>
    <row r="1402">
      <c r="A1402" s="2">
        <f>IFERROR(__xludf.DUMMYFUNCTION("""COMPUTED_VALUE"""),42653.64583333333)</f>
        <v>42653.64583</v>
      </c>
      <c r="B1402" s="1">
        <f>IFERROR(__xludf.DUMMYFUNCTION("""COMPUTED_VALUE"""),170600.0)</f>
        <v>170600</v>
      </c>
      <c r="C1402" s="1">
        <f>IFERROR(__xludf.DUMMYFUNCTION("""COMPUTED_VALUE"""),176000.0)</f>
        <v>176000</v>
      </c>
      <c r="D1402" s="1">
        <f>IFERROR(__xludf.DUMMYFUNCTION("""COMPUTED_VALUE"""),169600.0)</f>
        <v>169600</v>
      </c>
      <c r="E1402" s="1">
        <f>IFERROR(__xludf.DUMMYFUNCTION("""COMPUTED_VALUE"""),174400.0)</f>
        <v>174400</v>
      </c>
      <c r="F1402" s="1">
        <f>IFERROR(__xludf.DUMMYFUNCTION("""COMPUTED_VALUE"""),69249.0)</f>
        <v>69249</v>
      </c>
    </row>
    <row r="1403">
      <c r="A1403" s="2">
        <f>IFERROR(__xludf.DUMMYFUNCTION("""COMPUTED_VALUE"""),42654.64583333333)</f>
        <v>42654.64583</v>
      </c>
      <c r="B1403" s="1">
        <f>IFERROR(__xludf.DUMMYFUNCTION("""COMPUTED_VALUE"""),177600.0)</f>
        <v>177600</v>
      </c>
      <c r="C1403" s="1">
        <f>IFERROR(__xludf.DUMMYFUNCTION("""COMPUTED_VALUE"""),178800.0)</f>
        <v>178800</v>
      </c>
      <c r="D1403" s="1">
        <f>IFERROR(__xludf.DUMMYFUNCTION("""COMPUTED_VALUE"""),170600.0)</f>
        <v>170600</v>
      </c>
      <c r="E1403" s="1">
        <f>IFERROR(__xludf.DUMMYFUNCTION("""COMPUTED_VALUE"""),172400.0)</f>
        <v>172400</v>
      </c>
      <c r="F1403" s="1">
        <f>IFERROR(__xludf.DUMMYFUNCTION("""COMPUTED_VALUE"""),70122.0)</f>
        <v>70122</v>
      </c>
    </row>
    <row r="1404">
      <c r="A1404" s="2">
        <f>IFERROR(__xludf.DUMMYFUNCTION("""COMPUTED_VALUE"""),42655.64583333333)</f>
        <v>42655.64583</v>
      </c>
      <c r="B1404" s="1">
        <f>IFERROR(__xludf.DUMMYFUNCTION("""COMPUTED_VALUE"""),174000.0)</f>
        <v>174000</v>
      </c>
      <c r="C1404" s="1">
        <f>IFERROR(__xludf.DUMMYFUNCTION("""COMPUTED_VALUE"""),176000.0)</f>
        <v>176000</v>
      </c>
      <c r="D1404" s="1">
        <f>IFERROR(__xludf.DUMMYFUNCTION("""COMPUTED_VALUE"""),172400.0)</f>
        <v>172400</v>
      </c>
      <c r="E1404" s="1">
        <f>IFERROR(__xludf.DUMMYFUNCTION("""COMPUTED_VALUE"""),172800.0)</f>
        <v>172800</v>
      </c>
      <c r="F1404" s="1">
        <f>IFERROR(__xludf.DUMMYFUNCTION("""COMPUTED_VALUE"""),64084.0)</f>
        <v>64084</v>
      </c>
    </row>
    <row r="1405">
      <c r="A1405" s="2">
        <f>IFERROR(__xludf.DUMMYFUNCTION("""COMPUTED_VALUE"""),42656.64583333333)</f>
        <v>42656.64583</v>
      </c>
      <c r="B1405" s="1">
        <f>IFERROR(__xludf.DUMMYFUNCTION("""COMPUTED_VALUE"""),171800.0)</f>
        <v>171800</v>
      </c>
      <c r="C1405" s="1">
        <f>IFERROR(__xludf.DUMMYFUNCTION("""COMPUTED_VALUE"""),172600.0)</f>
        <v>172600</v>
      </c>
      <c r="D1405" s="1">
        <f>IFERROR(__xludf.DUMMYFUNCTION("""COMPUTED_VALUE"""),165400.0)</f>
        <v>165400</v>
      </c>
      <c r="E1405" s="1">
        <f>IFERROR(__xludf.DUMMYFUNCTION("""COMPUTED_VALUE"""),165400.0)</f>
        <v>165400</v>
      </c>
      <c r="F1405" s="1">
        <f>IFERROR(__xludf.DUMMYFUNCTION("""COMPUTED_VALUE"""),96099.0)</f>
        <v>96099</v>
      </c>
    </row>
    <row r="1406">
      <c r="A1406" s="2">
        <f>IFERROR(__xludf.DUMMYFUNCTION("""COMPUTED_VALUE"""),42657.64583333333)</f>
        <v>42657.64583</v>
      </c>
      <c r="B1406" s="1">
        <f>IFERROR(__xludf.DUMMYFUNCTION("""COMPUTED_VALUE"""),166200.0)</f>
        <v>166200</v>
      </c>
      <c r="C1406" s="1">
        <f>IFERROR(__xludf.DUMMYFUNCTION("""COMPUTED_VALUE"""),169800.0)</f>
        <v>169800</v>
      </c>
      <c r="D1406" s="1">
        <f>IFERROR(__xludf.DUMMYFUNCTION("""COMPUTED_VALUE"""),166200.0)</f>
        <v>166200</v>
      </c>
      <c r="E1406" s="1">
        <f>IFERROR(__xludf.DUMMYFUNCTION("""COMPUTED_VALUE"""),168800.0)</f>
        <v>168800</v>
      </c>
      <c r="F1406" s="1">
        <f>IFERROR(__xludf.DUMMYFUNCTION("""COMPUTED_VALUE"""),56239.0)</f>
        <v>56239</v>
      </c>
    </row>
    <row r="1407">
      <c r="A1407" s="2">
        <f>IFERROR(__xludf.DUMMYFUNCTION("""COMPUTED_VALUE"""),42660.64583333333)</f>
        <v>42660.64583</v>
      </c>
      <c r="B1407" s="1">
        <f>IFERROR(__xludf.DUMMYFUNCTION("""COMPUTED_VALUE"""),168400.0)</f>
        <v>168400</v>
      </c>
      <c r="C1407" s="1">
        <f>IFERROR(__xludf.DUMMYFUNCTION("""COMPUTED_VALUE"""),171400.0)</f>
        <v>171400</v>
      </c>
      <c r="D1407" s="1">
        <f>IFERROR(__xludf.DUMMYFUNCTION("""COMPUTED_VALUE"""),166600.0)</f>
        <v>166600</v>
      </c>
      <c r="E1407" s="1">
        <f>IFERROR(__xludf.DUMMYFUNCTION("""COMPUTED_VALUE"""),170200.0)</f>
        <v>170200</v>
      </c>
      <c r="F1407" s="1">
        <f>IFERROR(__xludf.DUMMYFUNCTION("""COMPUTED_VALUE"""),77721.0)</f>
        <v>77721</v>
      </c>
    </row>
    <row r="1408">
      <c r="A1408" s="2">
        <f>IFERROR(__xludf.DUMMYFUNCTION("""COMPUTED_VALUE"""),42661.64583333333)</f>
        <v>42661.64583</v>
      </c>
      <c r="B1408" s="1">
        <f>IFERROR(__xludf.DUMMYFUNCTION("""COMPUTED_VALUE"""),170800.0)</f>
        <v>170800</v>
      </c>
      <c r="C1408" s="1">
        <f>IFERROR(__xludf.DUMMYFUNCTION("""COMPUTED_VALUE"""),171600.0)</f>
        <v>171600</v>
      </c>
      <c r="D1408" s="1">
        <f>IFERROR(__xludf.DUMMYFUNCTION("""COMPUTED_VALUE"""),167600.0)</f>
        <v>167600</v>
      </c>
      <c r="E1408" s="1">
        <f>IFERROR(__xludf.DUMMYFUNCTION("""COMPUTED_VALUE"""),169200.0)</f>
        <v>169200</v>
      </c>
      <c r="F1408" s="1">
        <f>IFERROR(__xludf.DUMMYFUNCTION("""COMPUTED_VALUE"""),81061.0)</f>
        <v>81061</v>
      </c>
    </row>
    <row r="1409">
      <c r="A1409" s="2">
        <f>IFERROR(__xludf.DUMMYFUNCTION("""COMPUTED_VALUE"""),42662.64583333333)</f>
        <v>42662.64583</v>
      </c>
      <c r="B1409" s="1">
        <f>IFERROR(__xludf.DUMMYFUNCTION("""COMPUTED_VALUE"""),168200.0)</f>
        <v>168200</v>
      </c>
      <c r="C1409" s="1">
        <f>IFERROR(__xludf.DUMMYFUNCTION("""COMPUTED_VALUE"""),169000.0)</f>
        <v>169000</v>
      </c>
      <c r="D1409" s="1">
        <f>IFERROR(__xludf.DUMMYFUNCTION("""COMPUTED_VALUE"""),164600.0)</f>
        <v>164600</v>
      </c>
      <c r="E1409" s="1">
        <f>IFERROR(__xludf.DUMMYFUNCTION("""COMPUTED_VALUE"""),165800.0)</f>
        <v>165800</v>
      </c>
      <c r="F1409" s="1">
        <f>IFERROR(__xludf.DUMMYFUNCTION("""COMPUTED_VALUE"""),85601.0)</f>
        <v>85601</v>
      </c>
    </row>
    <row r="1410">
      <c r="A1410" s="2">
        <f>IFERROR(__xludf.DUMMYFUNCTION("""COMPUTED_VALUE"""),42663.64583333333)</f>
        <v>42663.64583</v>
      </c>
      <c r="B1410" s="1">
        <f>IFERROR(__xludf.DUMMYFUNCTION("""COMPUTED_VALUE"""),166000.0)</f>
        <v>166000</v>
      </c>
      <c r="C1410" s="1">
        <f>IFERROR(__xludf.DUMMYFUNCTION("""COMPUTED_VALUE"""),169000.0)</f>
        <v>169000</v>
      </c>
      <c r="D1410" s="1">
        <f>IFERROR(__xludf.DUMMYFUNCTION("""COMPUTED_VALUE"""),165200.0)</f>
        <v>165200</v>
      </c>
      <c r="E1410" s="1">
        <f>IFERROR(__xludf.DUMMYFUNCTION("""COMPUTED_VALUE"""),168800.0)</f>
        <v>168800</v>
      </c>
      <c r="F1410" s="1">
        <f>IFERROR(__xludf.DUMMYFUNCTION("""COMPUTED_VALUE"""),116179.0)</f>
        <v>116179</v>
      </c>
    </row>
    <row r="1411">
      <c r="A1411" s="2">
        <f>IFERROR(__xludf.DUMMYFUNCTION("""COMPUTED_VALUE"""),42664.64583333333)</f>
        <v>42664.64583</v>
      </c>
      <c r="B1411" s="1">
        <f>IFERROR(__xludf.DUMMYFUNCTION("""COMPUTED_VALUE"""),167600.0)</f>
        <v>167600</v>
      </c>
      <c r="C1411" s="1">
        <f>IFERROR(__xludf.DUMMYFUNCTION("""COMPUTED_VALUE"""),168000.0)</f>
        <v>168000</v>
      </c>
      <c r="D1411" s="1">
        <f>IFERROR(__xludf.DUMMYFUNCTION("""COMPUTED_VALUE"""),165800.0)</f>
        <v>165800</v>
      </c>
      <c r="E1411" s="1">
        <f>IFERROR(__xludf.DUMMYFUNCTION("""COMPUTED_VALUE"""),166200.0)</f>
        <v>166200</v>
      </c>
      <c r="F1411" s="1">
        <f>IFERROR(__xludf.DUMMYFUNCTION("""COMPUTED_VALUE"""),60552.0)</f>
        <v>60552</v>
      </c>
    </row>
    <row r="1412">
      <c r="A1412" s="2">
        <f>IFERROR(__xludf.DUMMYFUNCTION("""COMPUTED_VALUE"""),42667.64583333333)</f>
        <v>42667.64583</v>
      </c>
      <c r="B1412" s="1">
        <f>IFERROR(__xludf.DUMMYFUNCTION("""COMPUTED_VALUE"""),165200.0)</f>
        <v>165200</v>
      </c>
      <c r="C1412" s="1">
        <f>IFERROR(__xludf.DUMMYFUNCTION("""COMPUTED_VALUE"""),167200.0)</f>
        <v>167200</v>
      </c>
      <c r="D1412" s="1">
        <f>IFERROR(__xludf.DUMMYFUNCTION("""COMPUTED_VALUE"""),165200.0)</f>
        <v>165200</v>
      </c>
      <c r="E1412" s="1">
        <f>IFERROR(__xludf.DUMMYFUNCTION("""COMPUTED_VALUE"""),166600.0)</f>
        <v>166600</v>
      </c>
      <c r="F1412" s="1">
        <f>IFERROR(__xludf.DUMMYFUNCTION("""COMPUTED_VALUE"""),135275.0)</f>
        <v>135275</v>
      </c>
    </row>
    <row r="1413">
      <c r="A1413" s="2">
        <f>IFERROR(__xludf.DUMMYFUNCTION("""COMPUTED_VALUE"""),42668.64583333333)</f>
        <v>42668.64583</v>
      </c>
      <c r="B1413" s="1">
        <f>IFERROR(__xludf.DUMMYFUNCTION("""COMPUTED_VALUE"""),165000.0)</f>
        <v>165000</v>
      </c>
      <c r="C1413" s="1">
        <f>IFERROR(__xludf.DUMMYFUNCTION("""COMPUTED_VALUE"""),168600.0)</f>
        <v>168600</v>
      </c>
      <c r="D1413" s="1">
        <f>IFERROR(__xludf.DUMMYFUNCTION("""COMPUTED_VALUE"""),165000.0)</f>
        <v>165000</v>
      </c>
      <c r="E1413" s="1">
        <f>IFERROR(__xludf.DUMMYFUNCTION("""COMPUTED_VALUE"""),167400.0)</f>
        <v>167400</v>
      </c>
      <c r="F1413" s="1">
        <f>IFERROR(__xludf.DUMMYFUNCTION("""COMPUTED_VALUE"""),86741.0)</f>
        <v>86741</v>
      </c>
    </row>
    <row r="1414">
      <c r="A1414" s="2">
        <f>IFERROR(__xludf.DUMMYFUNCTION("""COMPUTED_VALUE"""),42669.64583333333)</f>
        <v>42669.64583</v>
      </c>
      <c r="B1414" s="1">
        <f>IFERROR(__xludf.DUMMYFUNCTION("""COMPUTED_VALUE"""),165400.0)</f>
        <v>165400</v>
      </c>
      <c r="C1414" s="1">
        <f>IFERROR(__xludf.DUMMYFUNCTION("""COMPUTED_VALUE"""),170400.0)</f>
        <v>170400</v>
      </c>
      <c r="D1414" s="1">
        <f>IFERROR(__xludf.DUMMYFUNCTION("""COMPUTED_VALUE"""),165400.0)</f>
        <v>165400</v>
      </c>
      <c r="E1414" s="1">
        <f>IFERROR(__xludf.DUMMYFUNCTION("""COMPUTED_VALUE"""),169600.0)</f>
        <v>169600</v>
      </c>
      <c r="F1414" s="1">
        <f>IFERROR(__xludf.DUMMYFUNCTION("""COMPUTED_VALUE"""),71085.0)</f>
        <v>71085</v>
      </c>
    </row>
    <row r="1415">
      <c r="A1415" s="2">
        <f>IFERROR(__xludf.DUMMYFUNCTION("""COMPUTED_VALUE"""),42670.64583333333)</f>
        <v>42670.64583</v>
      </c>
      <c r="B1415" s="1">
        <f>IFERROR(__xludf.DUMMYFUNCTION("""COMPUTED_VALUE"""),172600.0)</f>
        <v>172600</v>
      </c>
      <c r="C1415" s="1">
        <f>IFERROR(__xludf.DUMMYFUNCTION("""COMPUTED_VALUE"""),176600.0)</f>
        <v>176600</v>
      </c>
      <c r="D1415" s="1">
        <f>IFERROR(__xludf.DUMMYFUNCTION("""COMPUTED_VALUE"""),170600.0)</f>
        <v>170600</v>
      </c>
      <c r="E1415" s="1">
        <f>IFERROR(__xludf.DUMMYFUNCTION("""COMPUTED_VALUE"""),171800.0)</f>
        <v>171800</v>
      </c>
      <c r="F1415" s="1">
        <f>IFERROR(__xludf.DUMMYFUNCTION("""COMPUTED_VALUE"""),178398.0)</f>
        <v>178398</v>
      </c>
    </row>
    <row r="1416">
      <c r="A1416" s="2">
        <f>IFERROR(__xludf.DUMMYFUNCTION("""COMPUTED_VALUE"""),42671.64583333333)</f>
        <v>42671.64583</v>
      </c>
      <c r="B1416" s="1">
        <f>IFERROR(__xludf.DUMMYFUNCTION("""COMPUTED_VALUE"""),174200.0)</f>
        <v>174200</v>
      </c>
      <c r="C1416" s="1">
        <f>IFERROR(__xludf.DUMMYFUNCTION("""COMPUTED_VALUE"""),175200.0)</f>
        <v>175200</v>
      </c>
      <c r="D1416" s="1">
        <f>IFERROR(__xludf.DUMMYFUNCTION("""COMPUTED_VALUE"""),171000.0)</f>
        <v>171000</v>
      </c>
      <c r="E1416" s="1">
        <f>IFERROR(__xludf.DUMMYFUNCTION("""COMPUTED_VALUE"""),172000.0)</f>
        <v>172000</v>
      </c>
      <c r="F1416" s="1">
        <f>IFERROR(__xludf.DUMMYFUNCTION("""COMPUTED_VALUE"""),80422.0)</f>
        <v>80422</v>
      </c>
    </row>
    <row r="1417">
      <c r="A1417" s="2">
        <f>IFERROR(__xludf.DUMMYFUNCTION("""COMPUTED_VALUE"""),42674.64583333333)</f>
        <v>42674.64583</v>
      </c>
      <c r="B1417" s="1">
        <f>IFERROR(__xludf.DUMMYFUNCTION("""COMPUTED_VALUE"""),171600.0)</f>
        <v>171600</v>
      </c>
      <c r="C1417" s="1">
        <f>IFERROR(__xludf.DUMMYFUNCTION("""COMPUTED_VALUE"""),173200.0)</f>
        <v>173200</v>
      </c>
      <c r="D1417" s="1">
        <f>IFERROR(__xludf.DUMMYFUNCTION("""COMPUTED_VALUE"""),169400.0)</f>
        <v>169400</v>
      </c>
      <c r="E1417" s="1">
        <f>IFERROR(__xludf.DUMMYFUNCTION("""COMPUTED_VALUE"""),171400.0)</f>
        <v>171400</v>
      </c>
      <c r="F1417" s="1">
        <f>IFERROR(__xludf.DUMMYFUNCTION("""COMPUTED_VALUE"""),66212.0)</f>
        <v>66212</v>
      </c>
    </row>
    <row r="1418">
      <c r="A1418" s="2">
        <f>IFERROR(__xludf.DUMMYFUNCTION("""COMPUTED_VALUE"""),42675.64583333333)</f>
        <v>42675.64583</v>
      </c>
      <c r="B1418" s="1">
        <f>IFERROR(__xludf.DUMMYFUNCTION("""COMPUTED_VALUE"""),172000.0)</f>
        <v>172000</v>
      </c>
      <c r="C1418" s="1">
        <f>IFERROR(__xludf.DUMMYFUNCTION("""COMPUTED_VALUE"""),172000.0)</f>
        <v>172000</v>
      </c>
      <c r="D1418" s="1">
        <f>IFERROR(__xludf.DUMMYFUNCTION("""COMPUTED_VALUE"""),166400.0)</f>
        <v>166400</v>
      </c>
      <c r="E1418" s="1">
        <f>IFERROR(__xludf.DUMMYFUNCTION("""COMPUTED_VALUE"""),169400.0)</f>
        <v>169400</v>
      </c>
      <c r="F1418" s="1">
        <f>IFERROR(__xludf.DUMMYFUNCTION("""COMPUTED_VALUE"""),224653.0)</f>
        <v>224653</v>
      </c>
    </row>
    <row r="1419">
      <c r="A1419" s="2">
        <f>IFERROR(__xludf.DUMMYFUNCTION("""COMPUTED_VALUE"""),42676.64583333333)</f>
        <v>42676.64583</v>
      </c>
      <c r="B1419" s="1">
        <f>IFERROR(__xludf.DUMMYFUNCTION("""COMPUTED_VALUE"""),169800.0)</f>
        <v>169800</v>
      </c>
      <c r="C1419" s="1">
        <f>IFERROR(__xludf.DUMMYFUNCTION("""COMPUTED_VALUE"""),170000.0)</f>
        <v>170000</v>
      </c>
      <c r="D1419" s="1">
        <f>IFERROR(__xludf.DUMMYFUNCTION("""COMPUTED_VALUE"""),164600.0)</f>
        <v>164600</v>
      </c>
      <c r="E1419" s="1">
        <f>IFERROR(__xludf.DUMMYFUNCTION("""COMPUTED_VALUE"""),165200.0)</f>
        <v>165200</v>
      </c>
      <c r="F1419" s="1">
        <f>IFERROR(__xludf.DUMMYFUNCTION("""COMPUTED_VALUE"""),85366.0)</f>
        <v>85366</v>
      </c>
    </row>
    <row r="1420">
      <c r="A1420" s="2">
        <f>IFERROR(__xludf.DUMMYFUNCTION("""COMPUTED_VALUE"""),42677.64583333333)</f>
        <v>42677.64583</v>
      </c>
      <c r="B1420" s="1">
        <f>IFERROR(__xludf.DUMMYFUNCTION("""COMPUTED_VALUE"""),165200.0)</f>
        <v>165200</v>
      </c>
      <c r="C1420" s="1">
        <f>IFERROR(__xludf.DUMMYFUNCTION("""COMPUTED_VALUE"""),165200.0)</f>
        <v>165200</v>
      </c>
      <c r="D1420" s="1">
        <f>IFERROR(__xludf.DUMMYFUNCTION("""COMPUTED_VALUE"""),162400.0)</f>
        <v>162400</v>
      </c>
      <c r="E1420" s="1">
        <f>IFERROR(__xludf.DUMMYFUNCTION("""COMPUTED_VALUE"""),162400.0)</f>
        <v>162400</v>
      </c>
      <c r="F1420" s="1">
        <f>IFERROR(__xludf.DUMMYFUNCTION("""COMPUTED_VALUE"""),68345.0)</f>
        <v>68345</v>
      </c>
    </row>
    <row r="1421">
      <c r="A1421" s="2">
        <f>IFERROR(__xludf.DUMMYFUNCTION("""COMPUTED_VALUE"""),42678.64583333333)</f>
        <v>42678.64583</v>
      </c>
      <c r="B1421" s="1">
        <f>IFERROR(__xludf.DUMMYFUNCTION("""COMPUTED_VALUE"""),161600.0)</f>
        <v>161600</v>
      </c>
      <c r="C1421" s="1">
        <f>IFERROR(__xludf.DUMMYFUNCTION("""COMPUTED_VALUE"""),162000.0)</f>
        <v>162000</v>
      </c>
      <c r="D1421" s="1">
        <f>IFERROR(__xludf.DUMMYFUNCTION("""COMPUTED_VALUE"""),157000.0)</f>
        <v>157000</v>
      </c>
      <c r="E1421" s="1">
        <f>IFERROR(__xludf.DUMMYFUNCTION("""COMPUTED_VALUE"""),157800.0)</f>
        <v>157800</v>
      </c>
      <c r="F1421" s="1">
        <f>IFERROR(__xludf.DUMMYFUNCTION("""COMPUTED_VALUE"""),102475.0)</f>
        <v>102475</v>
      </c>
    </row>
    <row r="1422">
      <c r="A1422" s="2">
        <f>IFERROR(__xludf.DUMMYFUNCTION("""COMPUTED_VALUE"""),42681.64583333333)</f>
        <v>42681.64583</v>
      </c>
      <c r="B1422" s="1">
        <f>IFERROR(__xludf.DUMMYFUNCTION("""COMPUTED_VALUE"""),159600.0)</f>
        <v>159600</v>
      </c>
      <c r="C1422" s="1">
        <f>IFERROR(__xludf.DUMMYFUNCTION("""COMPUTED_VALUE"""),165800.0)</f>
        <v>165800</v>
      </c>
      <c r="D1422" s="1">
        <f>IFERROR(__xludf.DUMMYFUNCTION("""COMPUTED_VALUE"""),159000.0)</f>
        <v>159000</v>
      </c>
      <c r="E1422" s="1">
        <f>IFERROR(__xludf.DUMMYFUNCTION("""COMPUTED_VALUE"""),164000.0)</f>
        <v>164000</v>
      </c>
      <c r="F1422" s="1">
        <f>IFERROR(__xludf.DUMMYFUNCTION("""COMPUTED_VALUE"""),99899.0)</f>
        <v>99899</v>
      </c>
    </row>
    <row r="1423">
      <c r="A1423" s="2">
        <f>IFERROR(__xludf.DUMMYFUNCTION("""COMPUTED_VALUE"""),42682.64583333333)</f>
        <v>42682.64583</v>
      </c>
      <c r="B1423" s="1">
        <f>IFERROR(__xludf.DUMMYFUNCTION("""COMPUTED_VALUE"""),165800.0)</f>
        <v>165800</v>
      </c>
      <c r="C1423" s="1">
        <f>IFERROR(__xludf.DUMMYFUNCTION("""COMPUTED_VALUE"""),167600.0)</f>
        <v>167600</v>
      </c>
      <c r="D1423" s="1">
        <f>IFERROR(__xludf.DUMMYFUNCTION("""COMPUTED_VALUE"""),162200.0)</f>
        <v>162200</v>
      </c>
      <c r="E1423" s="1">
        <f>IFERROR(__xludf.DUMMYFUNCTION("""COMPUTED_VALUE"""),163000.0)</f>
        <v>163000</v>
      </c>
      <c r="F1423" s="1">
        <f>IFERROR(__xludf.DUMMYFUNCTION("""COMPUTED_VALUE"""),62904.0)</f>
        <v>62904</v>
      </c>
    </row>
    <row r="1424">
      <c r="A1424" s="2">
        <f>IFERROR(__xludf.DUMMYFUNCTION("""COMPUTED_VALUE"""),42683.64583333333)</f>
        <v>42683.64583</v>
      </c>
      <c r="B1424" s="1">
        <f>IFERROR(__xludf.DUMMYFUNCTION("""COMPUTED_VALUE"""),165200.0)</f>
        <v>165200</v>
      </c>
      <c r="C1424" s="1">
        <f>IFERROR(__xludf.DUMMYFUNCTION("""COMPUTED_VALUE"""),165400.0)</f>
        <v>165400</v>
      </c>
      <c r="D1424" s="1">
        <f>IFERROR(__xludf.DUMMYFUNCTION("""COMPUTED_VALUE"""),156800.0)</f>
        <v>156800</v>
      </c>
      <c r="E1424" s="1">
        <f>IFERROR(__xludf.DUMMYFUNCTION("""COMPUTED_VALUE"""),161000.0)</f>
        <v>161000</v>
      </c>
      <c r="F1424" s="1">
        <f>IFERROR(__xludf.DUMMYFUNCTION("""COMPUTED_VALUE"""),124375.0)</f>
        <v>124375</v>
      </c>
    </row>
    <row r="1425">
      <c r="A1425" s="2">
        <f>IFERROR(__xludf.DUMMYFUNCTION("""COMPUTED_VALUE"""),42684.64583333333)</f>
        <v>42684.64583</v>
      </c>
      <c r="B1425" s="1">
        <f>IFERROR(__xludf.DUMMYFUNCTION("""COMPUTED_VALUE"""),163200.0)</f>
        <v>163200</v>
      </c>
      <c r="C1425" s="1">
        <f>IFERROR(__xludf.DUMMYFUNCTION("""COMPUTED_VALUE"""),163800.0)</f>
        <v>163800</v>
      </c>
      <c r="D1425" s="1">
        <f>IFERROR(__xludf.DUMMYFUNCTION("""COMPUTED_VALUE"""),160200.0)</f>
        <v>160200</v>
      </c>
      <c r="E1425" s="1">
        <f>IFERROR(__xludf.DUMMYFUNCTION("""COMPUTED_VALUE"""),161200.0)</f>
        <v>161200</v>
      </c>
      <c r="F1425" s="1">
        <f>IFERROR(__xludf.DUMMYFUNCTION("""COMPUTED_VALUE"""),82529.0)</f>
        <v>82529</v>
      </c>
    </row>
    <row r="1426">
      <c r="A1426" s="2">
        <f>IFERROR(__xludf.DUMMYFUNCTION("""COMPUTED_VALUE"""),42685.64583333333)</f>
        <v>42685.64583</v>
      </c>
      <c r="B1426" s="1">
        <f>IFERROR(__xludf.DUMMYFUNCTION("""COMPUTED_VALUE"""),156200.0)</f>
        <v>156200</v>
      </c>
      <c r="C1426" s="1">
        <f>IFERROR(__xludf.DUMMYFUNCTION("""COMPUTED_VALUE"""),158000.0)</f>
        <v>158000</v>
      </c>
      <c r="D1426" s="1">
        <f>IFERROR(__xludf.DUMMYFUNCTION("""COMPUTED_VALUE"""),151400.0)</f>
        <v>151400</v>
      </c>
      <c r="E1426" s="1">
        <f>IFERROR(__xludf.DUMMYFUNCTION("""COMPUTED_VALUE"""),152000.0)</f>
        <v>152000</v>
      </c>
      <c r="F1426" s="1">
        <f>IFERROR(__xludf.DUMMYFUNCTION("""COMPUTED_VALUE"""),214331.0)</f>
        <v>214331</v>
      </c>
    </row>
    <row r="1427">
      <c r="A1427" s="2">
        <f>IFERROR(__xludf.DUMMYFUNCTION("""COMPUTED_VALUE"""),42688.64583333333)</f>
        <v>42688.64583</v>
      </c>
      <c r="B1427" s="1">
        <f>IFERROR(__xludf.DUMMYFUNCTION("""COMPUTED_VALUE"""),152000.0)</f>
        <v>152000</v>
      </c>
      <c r="C1427" s="1">
        <f>IFERROR(__xludf.DUMMYFUNCTION("""COMPUTED_VALUE"""),155800.0)</f>
        <v>155800</v>
      </c>
      <c r="D1427" s="1">
        <f>IFERROR(__xludf.DUMMYFUNCTION("""COMPUTED_VALUE"""),149200.0)</f>
        <v>149200</v>
      </c>
      <c r="E1427" s="1">
        <f>IFERROR(__xludf.DUMMYFUNCTION("""COMPUTED_VALUE"""),149200.0)</f>
        <v>149200</v>
      </c>
      <c r="F1427" s="1">
        <f>IFERROR(__xludf.DUMMYFUNCTION("""COMPUTED_VALUE"""),139465.0)</f>
        <v>139465</v>
      </c>
    </row>
    <row r="1428">
      <c r="A1428" s="2">
        <f>IFERROR(__xludf.DUMMYFUNCTION("""COMPUTED_VALUE"""),42689.64583333333)</f>
        <v>42689.64583</v>
      </c>
      <c r="B1428" s="1">
        <f>IFERROR(__xludf.DUMMYFUNCTION("""COMPUTED_VALUE"""),149200.0)</f>
        <v>149200</v>
      </c>
      <c r="C1428" s="1">
        <f>IFERROR(__xludf.DUMMYFUNCTION("""COMPUTED_VALUE"""),152400.0)</f>
        <v>152400</v>
      </c>
      <c r="D1428" s="1">
        <f>IFERROR(__xludf.DUMMYFUNCTION("""COMPUTED_VALUE"""),147800.0)</f>
        <v>147800</v>
      </c>
      <c r="E1428" s="1">
        <f>IFERROR(__xludf.DUMMYFUNCTION("""COMPUTED_VALUE"""),148800.0)</f>
        <v>148800</v>
      </c>
      <c r="F1428" s="1">
        <f>IFERROR(__xludf.DUMMYFUNCTION("""COMPUTED_VALUE"""),133064.0)</f>
        <v>133064</v>
      </c>
    </row>
    <row r="1429">
      <c r="A1429" s="2">
        <f>IFERROR(__xludf.DUMMYFUNCTION("""COMPUTED_VALUE"""),42690.64583333333)</f>
        <v>42690.64583</v>
      </c>
      <c r="B1429" s="1">
        <f>IFERROR(__xludf.DUMMYFUNCTION("""COMPUTED_VALUE"""),150200.0)</f>
        <v>150200</v>
      </c>
      <c r="C1429" s="1">
        <f>IFERROR(__xludf.DUMMYFUNCTION("""COMPUTED_VALUE"""),151800.0)</f>
        <v>151800</v>
      </c>
      <c r="D1429" s="1">
        <f>IFERROR(__xludf.DUMMYFUNCTION("""COMPUTED_VALUE"""),148200.0)</f>
        <v>148200</v>
      </c>
      <c r="E1429" s="1">
        <f>IFERROR(__xludf.DUMMYFUNCTION("""COMPUTED_VALUE"""),150200.0)</f>
        <v>150200</v>
      </c>
      <c r="F1429" s="1">
        <f>IFERROR(__xludf.DUMMYFUNCTION("""COMPUTED_VALUE"""),154996.0)</f>
        <v>154996</v>
      </c>
    </row>
    <row r="1430">
      <c r="A1430" s="2">
        <f>IFERROR(__xludf.DUMMYFUNCTION("""COMPUTED_VALUE"""),42691.64583333333)</f>
        <v>42691.64583</v>
      </c>
      <c r="B1430" s="1">
        <f>IFERROR(__xludf.DUMMYFUNCTION("""COMPUTED_VALUE"""),149600.0)</f>
        <v>149600</v>
      </c>
      <c r="C1430" s="1">
        <f>IFERROR(__xludf.DUMMYFUNCTION("""COMPUTED_VALUE"""),151000.0)</f>
        <v>151000</v>
      </c>
      <c r="D1430" s="1">
        <f>IFERROR(__xludf.DUMMYFUNCTION("""COMPUTED_VALUE"""),148600.0)</f>
        <v>148600</v>
      </c>
      <c r="E1430" s="1">
        <f>IFERROR(__xludf.DUMMYFUNCTION("""COMPUTED_VALUE"""),149000.0)</f>
        <v>149000</v>
      </c>
      <c r="F1430" s="1">
        <f>IFERROR(__xludf.DUMMYFUNCTION("""COMPUTED_VALUE"""),99389.0)</f>
        <v>99389</v>
      </c>
    </row>
    <row r="1431">
      <c r="A1431" s="2">
        <f>IFERROR(__xludf.DUMMYFUNCTION("""COMPUTED_VALUE"""),42692.64583333333)</f>
        <v>42692.64583</v>
      </c>
      <c r="B1431" s="1">
        <f>IFERROR(__xludf.DUMMYFUNCTION("""COMPUTED_VALUE"""),152000.0)</f>
        <v>152000</v>
      </c>
      <c r="C1431" s="1">
        <f>IFERROR(__xludf.DUMMYFUNCTION("""COMPUTED_VALUE"""),154600.0)</f>
        <v>154600</v>
      </c>
      <c r="D1431" s="1">
        <f>IFERROR(__xludf.DUMMYFUNCTION("""COMPUTED_VALUE"""),150000.0)</f>
        <v>150000</v>
      </c>
      <c r="E1431" s="1">
        <f>IFERROR(__xludf.DUMMYFUNCTION("""COMPUTED_VALUE"""),154200.0)</f>
        <v>154200</v>
      </c>
      <c r="F1431" s="1">
        <f>IFERROR(__xludf.DUMMYFUNCTION("""COMPUTED_VALUE"""),144474.0)</f>
        <v>144474</v>
      </c>
    </row>
    <row r="1432">
      <c r="A1432" s="2">
        <f>IFERROR(__xludf.DUMMYFUNCTION("""COMPUTED_VALUE"""),42695.64583333333)</f>
        <v>42695.64583</v>
      </c>
      <c r="B1432" s="1">
        <f>IFERROR(__xludf.DUMMYFUNCTION("""COMPUTED_VALUE"""),154200.0)</f>
        <v>154200</v>
      </c>
      <c r="C1432" s="1">
        <f>IFERROR(__xludf.DUMMYFUNCTION("""COMPUTED_VALUE"""),159800.0)</f>
        <v>159800</v>
      </c>
      <c r="D1432" s="1">
        <f>IFERROR(__xludf.DUMMYFUNCTION("""COMPUTED_VALUE"""),151800.0)</f>
        <v>151800</v>
      </c>
      <c r="E1432" s="1">
        <f>IFERROR(__xludf.DUMMYFUNCTION("""COMPUTED_VALUE"""),157200.0)</f>
        <v>157200</v>
      </c>
      <c r="F1432" s="1">
        <f>IFERROR(__xludf.DUMMYFUNCTION("""COMPUTED_VALUE"""),147242.0)</f>
        <v>147242</v>
      </c>
    </row>
    <row r="1433">
      <c r="A1433" s="2">
        <f>IFERROR(__xludf.DUMMYFUNCTION("""COMPUTED_VALUE"""),42696.64583333333)</f>
        <v>42696.64583</v>
      </c>
      <c r="B1433" s="1">
        <f>IFERROR(__xludf.DUMMYFUNCTION("""COMPUTED_VALUE"""),157600.0)</f>
        <v>157600</v>
      </c>
      <c r="C1433" s="1">
        <f>IFERROR(__xludf.DUMMYFUNCTION("""COMPUTED_VALUE"""),162600.0)</f>
        <v>162600</v>
      </c>
      <c r="D1433" s="1">
        <f>IFERROR(__xludf.DUMMYFUNCTION("""COMPUTED_VALUE"""),157400.0)</f>
        <v>157400</v>
      </c>
      <c r="E1433" s="1">
        <f>IFERROR(__xludf.DUMMYFUNCTION("""COMPUTED_VALUE"""),162000.0)</f>
        <v>162000</v>
      </c>
      <c r="F1433" s="1">
        <f>IFERROR(__xludf.DUMMYFUNCTION("""COMPUTED_VALUE"""),105354.0)</f>
        <v>105354</v>
      </c>
    </row>
    <row r="1434">
      <c r="A1434" s="2">
        <f>IFERROR(__xludf.DUMMYFUNCTION("""COMPUTED_VALUE"""),42697.64583333333)</f>
        <v>42697.64583</v>
      </c>
      <c r="B1434" s="1">
        <f>IFERROR(__xludf.DUMMYFUNCTION("""COMPUTED_VALUE"""),159000.0)</f>
        <v>159000</v>
      </c>
      <c r="C1434" s="1">
        <f>IFERROR(__xludf.DUMMYFUNCTION("""COMPUTED_VALUE"""),161800.0)</f>
        <v>161800</v>
      </c>
      <c r="D1434" s="1">
        <f>IFERROR(__xludf.DUMMYFUNCTION("""COMPUTED_VALUE"""),158400.0)</f>
        <v>158400</v>
      </c>
      <c r="E1434" s="1">
        <f>IFERROR(__xludf.DUMMYFUNCTION("""COMPUTED_VALUE"""),159000.0)</f>
        <v>159000</v>
      </c>
      <c r="F1434" s="1">
        <f>IFERROR(__xludf.DUMMYFUNCTION("""COMPUTED_VALUE"""),75510.0)</f>
        <v>75510</v>
      </c>
    </row>
    <row r="1435">
      <c r="A1435" s="2">
        <f>IFERROR(__xludf.DUMMYFUNCTION("""COMPUTED_VALUE"""),42698.64583333333)</f>
        <v>42698.64583</v>
      </c>
      <c r="B1435" s="1">
        <f>IFERROR(__xludf.DUMMYFUNCTION("""COMPUTED_VALUE"""),157800.0)</f>
        <v>157800</v>
      </c>
      <c r="C1435" s="1">
        <f>IFERROR(__xludf.DUMMYFUNCTION("""COMPUTED_VALUE"""),161000.0)</f>
        <v>161000</v>
      </c>
      <c r="D1435" s="1">
        <f>IFERROR(__xludf.DUMMYFUNCTION("""COMPUTED_VALUE"""),156600.0)</f>
        <v>156600</v>
      </c>
      <c r="E1435" s="1">
        <f>IFERROR(__xludf.DUMMYFUNCTION("""COMPUTED_VALUE"""),160400.0)</f>
        <v>160400</v>
      </c>
      <c r="F1435" s="1">
        <f>IFERROR(__xludf.DUMMYFUNCTION("""COMPUTED_VALUE"""),70341.0)</f>
        <v>70341</v>
      </c>
    </row>
    <row r="1436">
      <c r="A1436" s="2">
        <f>IFERROR(__xludf.DUMMYFUNCTION("""COMPUTED_VALUE"""),42699.64583333333)</f>
        <v>42699.64583</v>
      </c>
      <c r="B1436" s="1">
        <f>IFERROR(__xludf.DUMMYFUNCTION("""COMPUTED_VALUE"""),162000.0)</f>
        <v>162000</v>
      </c>
      <c r="C1436" s="1">
        <f>IFERROR(__xludf.DUMMYFUNCTION("""COMPUTED_VALUE"""),163400.0)</f>
        <v>163400</v>
      </c>
      <c r="D1436" s="1">
        <f>IFERROR(__xludf.DUMMYFUNCTION("""COMPUTED_VALUE"""),160400.0)</f>
        <v>160400</v>
      </c>
      <c r="E1436" s="1">
        <f>IFERROR(__xludf.DUMMYFUNCTION("""COMPUTED_VALUE"""),161000.0)</f>
        <v>161000</v>
      </c>
      <c r="F1436" s="1">
        <f>IFERROR(__xludf.DUMMYFUNCTION("""COMPUTED_VALUE"""),124784.0)</f>
        <v>124784</v>
      </c>
    </row>
    <row r="1437">
      <c r="A1437" s="2">
        <f>IFERROR(__xludf.DUMMYFUNCTION("""COMPUTED_VALUE"""),42702.64583333333)</f>
        <v>42702.64583</v>
      </c>
      <c r="B1437" s="1">
        <f>IFERROR(__xludf.DUMMYFUNCTION("""COMPUTED_VALUE"""),160400.0)</f>
        <v>160400</v>
      </c>
      <c r="C1437" s="1">
        <f>IFERROR(__xludf.DUMMYFUNCTION("""COMPUTED_VALUE"""),163000.0)</f>
        <v>163000</v>
      </c>
      <c r="D1437" s="1">
        <f>IFERROR(__xludf.DUMMYFUNCTION("""COMPUTED_VALUE"""),158400.0)</f>
        <v>158400</v>
      </c>
      <c r="E1437" s="1">
        <f>IFERROR(__xludf.DUMMYFUNCTION("""COMPUTED_VALUE"""),161600.0)</f>
        <v>161600</v>
      </c>
      <c r="F1437" s="1">
        <f>IFERROR(__xludf.DUMMYFUNCTION("""COMPUTED_VALUE"""),76152.0)</f>
        <v>76152</v>
      </c>
    </row>
    <row r="1438">
      <c r="A1438" s="2">
        <f>IFERROR(__xludf.DUMMYFUNCTION("""COMPUTED_VALUE"""),42703.64583333333)</f>
        <v>42703.64583</v>
      </c>
      <c r="B1438" s="1">
        <f>IFERROR(__xludf.DUMMYFUNCTION("""COMPUTED_VALUE"""),160400.0)</f>
        <v>160400</v>
      </c>
      <c r="C1438" s="1">
        <f>IFERROR(__xludf.DUMMYFUNCTION("""COMPUTED_VALUE"""),163000.0)</f>
        <v>163000</v>
      </c>
      <c r="D1438" s="1">
        <f>IFERROR(__xludf.DUMMYFUNCTION("""COMPUTED_VALUE"""),160200.0)</f>
        <v>160200</v>
      </c>
      <c r="E1438" s="1">
        <f>IFERROR(__xludf.DUMMYFUNCTION("""COMPUTED_VALUE"""),160200.0)</f>
        <v>160200</v>
      </c>
      <c r="F1438" s="1">
        <f>IFERROR(__xludf.DUMMYFUNCTION("""COMPUTED_VALUE"""),56621.0)</f>
        <v>56621</v>
      </c>
    </row>
    <row r="1439">
      <c r="A1439" s="2">
        <f>IFERROR(__xludf.DUMMYFUNCTION("""COMPUTED_VALUE"""),42704.64583333333)</f>
        <v>42704.64583</v>
      </c>
      <c r="B1439" s="1">
        <f>IFERROR(__xludf.DUMMYFUNCTION("""COMPUTED_VALUE"""),160400.0)</f>
        <v>160400</v>
      </c>
      <c r="C1439" s="1">
        <f>IFERROR(__xludf.DUMMYFUNCTION("""COMPUTED_VALUE"""),162000.0)</f>
        <v>162000</v>
      </c>
      <c r="D1439" s="1">
        <f>IFERROR(__xludf.DUMMYFUNCTION("""COMPUTED_VALUE"""),157200.0)</f>
        <v>157200</v>
      </c>
      <c r="E1439" s="1">
        <f>IFERROR(__xludf.DUMMYFUNCTION("""COMPUTED_VALUE"""),159600.0)</f>
        <v>159600</v>
      </c>
      <c r="F1439" s="1">
        <f>IFERROR(__xludf.DUMMYFUNCTION("""COMPUTED_VALUE"""),168587.0)</f>
        <v>168587</v>
      </c>
    </row>
    <row r="1440">
      <c r="A1440" s="2">
        <f>IFERROR(__xludf.DUMMYFUNCTION("""COMPUTED_VALUE"""),42705.64583333333)</f>
        <v>42705.64583</v>
      </c>
      <c r="B1440" s="1">
        <f>IFERROR(__xludf.DUMMYFUNCTION("""COMPUTED_VALUE"""),158000.0)</f>
        <v>158000</v>
      </c>
      <c r="C1440" s="1">
        <f>IFERROR(__xludf.DUMMYFUNCTION("""COMPUTED_VALUE"""),159600.0)</f>
        <v>159600</v>
      </c>
      <c r="D1440" s="1">
        <f>IFERROR(__xludf.DUMMYFUNCTION("""COMPUTED_VALUE"""),152800.0)</f>
        <v>152800</v>
      </c>
      <c r="E1440" s="1">
        <f>IFERROR(__xludf.DUMMYFUNCTION("""COMPUTED_VALUE"""),152800.0)</f>
        <v>152800</v>
      </c>
      <c r="F1440" s="1">
        <f>IFERROR(__xludf.DUMMYFUNCTION("""COMPUTED_VALUE"""),103862.0)</f>
        <v>103862</v>
      </c>
    </row>
    <row r="1441">
      <c r="A1441" s="2">
        <f>IFERROR(__xludf.DUMMYFUNCTION("""COMPUTED_VALUE"""),42706.64583333333)</f>
        <v>42706.64583</v>
      </c>
      <c r="B1441" s="1">
        <f>IFERROR(__xludf.DUMMYFUNCTION("""COMPUTED_VALUE"""),155400.0)</f>
        <v>155400</v>
      </c>
      <c r="C1441" s="1">
        <f>IFERROR(__xludf.DUMMYFUNCTION("""COMPUTED_VALUE"""),155400.0)</f>
        <v>155400</v>
      </c>
      <c r="D1441" s="1">
        <f>IFERROR(__xludf.DUMMYFUNCTION("""COMPUTED_VALUE"""),150800.0)</f>
        <v>150800</v>
      </c>
      <c r="E1441" s="1">
        <f>IFERROR(__xludf.DUMMYFUNCTION("""COMPUTED_VALUE"""),151000.0)</f>
        <v>151000</v>
      </c>
      <c r="F1441" s="1">
        <f>IFERROR(__xludf.DUMMYFUNCTION("""COMPUTED_VALUE"""),79960.0)</f>
        <v>79960</v>
      </c>
    </row>
    <row r="1442">
      <c r="A1442" s="2">
        <f>IFERROR(__xludf.DUMMYFUNCTION("""COMPUTED_VALUE"""),42709.64583333333)</f>
        <v>42709.64583</v>
      </c>
      <c r="B1442" s="1">
        <f>IFERROR(__xludf.DUMMYFUNCTION("""COMPUTED_VALUE"""),149800.0)</f>
        <v>149800</v>
      </c>
      <c r="C1442" s="1">
        <f>IFERROR(__xludf.DUMMYFUNCTION("""COMPUTED_VALUE"""),153800.0)</f>
        <v>153800</v>
      </c>
      <c r="D1442" s="1">
        <f>IFERROR(__xludf.DUMMYFUNCTION("""COMPUTED_VALUE"""),148800.0)</f>
        <v>148800</v>
      </c>
      <c r="E1442" s="1">
        <f>IFERROR(__xludf.DUMMYFUNCTION("""COMPUTED_VALUE"""),152800.0)</f>
        <v>152800</v>
      </c>
      <c r="F1442" s="1">
        <f>IFERROR(__xludf.DUMMYFUNCTION("""COMPUTED_VALUE"""),82134.0)</f>
        <v>82134</v>
      </c>
    </row>
    <row r="1443">
      <c r="A1443" s="2">
        <f>IFERROR(__xludf.DUMMYFUNCTION("""COMPUTED_VALUE"""),42710.64583333333)</f>
        <v>42710.64583</v>
      </c>
      <c r="B1443" s="1">
        <f>IFERROR(__xludf.DUMMYFUNCTION("""COMPUTED_VALUE"""),154800.0)</f>
        <v>154800</v>
      </c>
      <c r="C1443" s="1">
        <f>IFERROR(__xludf.DUMMYFUNCTION("""COMPUTED_VALUE"""),155600.0)</f>
        <v>155600</v>
      </c>
      <c r="D1443" s="1">
        <f>IFERROR(__xludf.DUMMYFUNCTION("""COMPUTED_VALUE"""),150000.0)</f>
        <v>150000</v>
      </c>
      <c r="E1443" s="1">
        <f>IFERROR(__xludf.DUMMYFUNCTION("""COMPUTED_VALUE"""),151200.0)</f>
        <v>151200</v>
      </c>
      <c r="F1443" s="1">
        <f>IFERROR(__xludf.DUMMYFUNCTION("""COMPUTED_VALUE"""),98542.0)</f>
        <v>98542</v>
      </c>
    </row>
    <row r="1444">
      <c r="A1444" s="2">
        <f>IFERROR(__xludf.DUMMYFUNCTION("""COMPUTED_VALUE"""),42711.64583333333)</f>
        <v>42711.64583</v>
      </c>
      <c r="B1444" s="1">
        <f>IFERROR(__xludf.DUMMYFUNCTION("""COMPUTED_VALUE"""),151400.0)</f>
        <v>151400</v>
      </c>
      <c r="C1444" s="1">
        <f>IFERROR(__xludf.DUMMYFUNCTION("""COMPUTED_VALUE"""),152400.0)</f>
        <v>152400</v>
      </c>
      <c r="D1444" s="1">
        <f>IFERROR(__xludf.DUMMYFUNCTION("""COMPUTED_VALUE"""),149800.0)</f>
        <v>149800</v>
      </c>
      <c r="E1444" s="1">
        <f>IFERROR(__xludf.DUMMYFUNCTION("""COMPUTED_VALUE"""),150000.0)</f>
        <v>150000</v>
      </c>
      <c r="F1444" s="1">
        <f>IFERROR(__xludf.DUMMYFUNCTION("""COMPUTED_VALUE"""),52901.0)</f>
        <v>52901</v>
      </c>
    </row>
    <row r="1445">
      <c r="A1445" s="2">
        <f>IFERROR(__xludf.DUMMYFUNCTION("""COMPUTED_VALUE"""),42712.64583333333)</f>
        <v>42712.64583</v>
      </c>
      <c r="B1445" s="1">
        <f>IFERROR(__xludf.DUMMYFUNCTION("""COMPUTED_VALUE"""),151200.0)</f>
        <v>151200</v>
      </c>
      <c r="C1445" s="1">
        <f>IFERROR(__xludf.DUMMYFUNCTION("""COMPUTED_VALUE"""),160800.0)</f>
        <v>160800</v>
      </c>
      <c r="D1445" s="1">
        <f>IFERROR(__xludf.DUMMYFUNCTION("""COMPUTED_VALUE"""),151200.0)</f>
        <v>151200</v>
      </c>
      <c r="E1445" s="1">
        <f>IFERROR(__xludf.DUMMYFUNCTION("""COMPUTED_VALUE"""),160800.0)</f>
        <v>160800</v>
      </c>
      <c r="F1445" s="1">
        <f>IFERROR(__xludf.DUMMYFUNCTION("""COMPUTED_VALUE"""),134987.0)</f>
        <v>134987</v>
      </c>
    </row>
    <row r="1446">
      <c r="A1446" s="2">
        <f>IFERROR(__xludf.DUMMYFUNCTION("""COMPUTED_VALUE"""),42713.64583333333)</f>
        <v>42713.64583</v>
      </c>
      <c r="B1446" s="1">
        <f>IFERROR(__xludf.DUMMYFUNCTION("""COMPUTED_VALUE"""),160800.0)</f>
        <v>160800</v>
      </c>
      <c r="C1446" s="1">
        <f>IFERROR(__xludf.DUMMYFUNCTION("""COMPUTED_VALUE"""),162800.0)</f>
        <v>162800</v>
      </c>
      <c r="D1446" s="1">
        <f>IFERROR(__xludf.DUMMYFUNCTION("""COMPUTED_VALUE"""),159200.0)</f>
        <v>159200</v>
      </c>
      <c r="E1446" s="1">
        <f>IFERROR(__xludf.DUMMYFUNCTION("""COMPUTED_VALUE"""),160000.0)</f>
        <v>160000</v>
      </c>
      <c r="F1446" s="1">
        <f>IFERROR(__xludf.DUMMYFUNCTION("""COMPUTED_VALUE"""),82302.0)</f>
        <v>82302</v>
      </c>
    </row>
    <row r="1447">
      <c r="A1447" s="2">
        <f>IFERROR(__xludf.DUMMYFUNCTION("""COMPUTED_VALUE"""),42716.64583333333)</f>
        <v>42716.64583</v>
      </c>
      <c r="B1447" s="1">
        <f>IFERROR(__xludf.DUMMYFUNCTION("""COMPUTED_VALUE"""),160800.0)</f>
        <v>160800</v>
      </c>
      <c r="C1447" s="1">
        <f>IFERROR(__xludf.DUMMYFUNCTION("""COMPUTED_VALUE"""),161600.0)</f>
        <v>161600</v>
      </c>
      <c r="D1447" s="1">
        <f>IFERROR(__xludf.DUMMYFUNCTION("""COMPUTED_VALUE"""),157600.0)</f>
        <v>157600</v>
      </c>
      <c r="E1447" s="1">
        <f>IFERROR(__xludf.DUMMYFUNCTION("""COMPUTED_VALUE"""),158400.0)</f>
        <v>158400</v>
      </c>
      <c r="F1447" s="1">
        <f>IFERROR(__xludf.DUMMYFUNCTION("""COMPUTED_VALUE"""),60521.0)</f>
        <v>60521</v>
      </c>
    </row>
    <row r="1448">
      <c r="A1448" s="2">
        <f>IFERROR(__xludf.DUMMYFUNCTION("""COMPUTED_VALUE"""),42717.64583333333)</f>
        <v>42717.64583</v>
      </c>
      <c r="B1448" s="1">
        <f>IFERROR(__xludf.DUMMYFUNCTION("""COMPUTED_VALUE"""),158800.0)</f>
        <v>158800</v>
      </c>
      <c r="C1448" s="1">
        <f>IFERROR(__xludf.DUMMYFUNCTION("""COMPUTED_VALUE"""),159000.0)</f>
        <v>159000</v>
      </c>
      <c r="D1448" s="1">
        <f>IFERROR(__xludf.DUMMYFUNCTION("""COMPUTED_VALUE"""),156400.0)</f>
        <v>156400</v>
      </c>
      <c r="E1448" s="1">
        <f>IFERROR(__xludf.DUMMYFUNCTION("""COMPUTED_VALUE"""),157200.0)</f>
        <v>157200</v>
      </c>
      <c r="F1448" s="1">
        <f>IFERROR(__xludf.DUMMYFUNCTION("""COMPUTED_VALUE"""),60797.0)</f>
        <v>60797</v>
      </c>
    </row>
    <row r="1449">
      <c r="A1449" s="2">
        <f>IFERROR(__xludf.DUMMYFUNCTION("""COMPUTED_VALUE"""),42718.64583333333)</f>
        <v>42718.64583</v>
      </c>
      <c r="B1449" s="1">
        <f>IFERROR(__xludf.DUMMYFUNCTION("""COMPUTED_VALUE"""),158600.0)</f>
        <v>158600</v>
      </c>
      <c r="C1449" s="1">
        <f>IFERROR(__xludf.DUMMYFUNCTION("""COMPUTED_VALUE"""),159200.0)</f>
        <v>159200</v>
      </c>
      <c r="D1449" s="1">
        <f>IFERROR(__xludf.DUMMYFUNCTION("""COMPUTED_VALUE"""),156200.0)</f>
        <v>156200</v>
      </c>
      <c r="E1449" s="1">
        <f>IFERROR(__xludf.DUMMYFUNCTION("""COMPUTED_VALUE"""),157000.0)</f>
        <v>157000</v>
      </c>
      <c r="F1449" s="1">
        <f>IFERROR(__xludf.DUMMYFUNCTION("""COMPUTED_VALUE"""),52767.0)</f>
        <v>52767</v>
      </c>
    </row>
    <row r="1450">
      <c r="A1450" s="2">
        <f>IFERROR(__xludf.DUMMYFUNCTION("""COMPUTED_VALUE"""),42719.64583333333)</f>
        <v>42719.64583</v>
      </c>
      <c r="B1450" s="1">
        <f>IFERROR(__xludf.DUMMYFUNCTION("""COMPUTED_VALUE"""),157000.0)</f>
        <v>157000</v>
      </c>
      <c r="C1450" s="1">
        <f>IFERROR(__xludf.DUMMYFUNCTION("""COMPUTED_VALUE"""),158800.0)</f>
        <v>158800</v>
      </c>
      <c r="D1450" s="1">
        <f>IFERROR(__xludf.DUMMYFUNCTION("""COMPUTED_VALUE"""),156800.0)</f>
        <v>156800</v>
      </c>
      <c r="E1450" s="1">
        <f>IFERROR(__xludf.DUMMYFUNCTION("""COMPUTED_VALUE"""),157200.0)</f>
        <v>157200</v>
      </c>
      <c r="F1450" s="1">
        <f>IFERROR(__xludf.DUMMYFUNCTION("""COMPUTED_VALUE"""),83964.0)</f>
        <v>83964</v>
      </c>
    </row>
    <row r="1451">
      <c r="A1451" s="2">
        <f>IFERROR(__xludf.DUMMYFUNCTION("""COMPUTED_VALUE"""),42720.64583333333)</f>
        <v>42720.64583</v>
      </c>
      <c r="B1451" s="1">
        <f>IFERROR(__xludf.DUMMYFUNCTION("""COMPUTED_VALUE"""),159400.0)</f>
        <v>159400</v>
      </c>
      <c r="C1451" s="1">
        <f>IFERROR(__xludf.DUMMYFUNCTION("""COMPUTED_VALUE"""),161200.0)</f>
        <v>161200</v>
      </c>
      <c r="D1451" s="1">
        <f>IFERROR(__xludf.DUMMYFUNCTION("""COMPUTED_VALUE"""),157800.0)</f>
        <v>157800</v>
      </c>
      <c r="E1451" s="1">
        <f>IFERROR(__xludf.DUMMYFUNCTION("""COMPUTED_VALUE"""),161200.0)</f>
        <v>161200</v>
      </c>
      <c r="F1451" s="1">
        <f>IFERROR(__xludf.DUMMYFUNCTION("""COMPUTED_VALUE"""),100221.0)</f>
        <v>100221</v>
      </c>
    </row>
    <row r="1452">
      <c r="A1452" s="2">
        <f>IFERROR(__xludf.DUMMYFUNCTION("""COMPUTED_VALUE"""),42723.64583333333)</f>
        <v>42723.64583</v>
      </c>
      <c r="B1452" s="1">
        <f>IFERROR(__xludf.DUMMYFUNCTION("""COMPUTED_VALUE"""),160200.0)</f>
        <v>160200</v>
      </c>
      <c r="C1452" s="1">
        <f>IFERROR(__xludf.DUMMYFUNCTION("""COMPUTED_VALUE"""),161200.0)</f>
        <v>161200</v>
      </c>
      <c r="D1452" s="1">
        <f>IFERROR(__xludf.DUMMYFUNCTION("""COMPUTED_VALUE"""),159200.0)</f>
        <v>159200</v>
      </c>
      <c r="E1452" s="1">
        <f>IFERROR(__xludf.DUMMYFUNCTION("""COMPUTED_VALUE"""),160000.0)</f>
        <v>160000</v>
      </c>
      <c r="F1452" s="1">
        <f>IFERROR(__xludf.DUMMYFUNCTION("""COMPUTED_VALUE"""),47789.0)</f>
        <v>47789</v>
      </c>
    </row>
    <row r="1453">
      <c r="A1453" s="2">
        <f>IFERROR(__xludf.DUMMYFUNCTION("""COMPUTED_VALUE"""),42724.64583333333)</f>
        <v>42724.64583</v>
      </c>
      <c r="B1453" s="1">
        <f>IFERROR(__xludf.DUMMYFUNCTION("""COMPUTED_VALUE"""),160000.0)</f>
        <v>160000</v>
      </c>
      <c r="C1453" s="1">
        <f>IFERROR(__xludf.DUMMYFUNCTION("""COMPUTED_VALUE"""),160400.0)</f>
        <v>160400</v>
      </c>
      <c r="D1453" s="1">
        <f>IFERROR(__xludf.DUMMYFUNCTION("""COMPUTED_VALUE"""),157000.0)</f>
        <v>157000</v>
      </c>
      <c r="E1453" s="1">
        <f>IFERROR(__xludf.DUMMYFUNCTION("""COMPUTED_VALUE"""),157400.0)</f>
        <v>157400</v>
      </c>
      <c r="F1453" s="1">
        <f>IFERROR(__xludf.DUMMYFUNCTION("""COMPUTED_VALUE"""),65614.0)</f>
        <v>65614</v>
      </c>
    </row>
    <row r="1454">
      <c r="A1454" s="2">
        <f>IFERROR(__xludf.DUMMYFUNCTION("""COMPUTED_VALUE"""),42725.64583333333)</f>
        <v>42725.64583</v>
      </c>
      <c r="B1454" s="1">
        <f>IFERROR(__xludf.DUMMYFUNCTION("""COMPUTED_VALUE"""),159000.0)</f>
        <v>159000</v>
      </c>
      <c r="C1454" s="1">
        <f>IFERROR(__xludf.DUMMYFUNCTION("""COMPUTED_VALUE"""),159400.0)</f>
        <v>159400</v>
      </c>
      <c r="D1454" s="1">
        <f>IFERROR(__xludf.DUMMYFUNCTION("""COMPUTED_VALUE"""),155800.0)</f>
        <v>155800</v>
      </c>
      <c r="E1454" s="1">
        <f>IFERROR(__xludf.DUMMYFUNCTION("""COMPUTED_VALUE"""),155800.0)</f>
        <v>155800</v>
      </c>
      <c r="F1454" s="1">
        <f>IFERROR(__xludf.DUMMYFUNCTION("""COMPUTED_VALUE"""),44194.0)</f>
        <v>44194</v>
      </c>
    </row>
    <row r="1455">
      <c r="A1455" s="2">
        <f>IFERROR(__xludf.DUMMYFUNCTION("""COMPUTED_VALUE"""),42726.64583333333)</f>
        <v>42726.64583</v>
      </c>
      <c r="B1455" s="1">
        <f>IFERROR(__xludf.DUMMYFUNCTION("""COMPUTED_VALUE"""),155800.0)</f>
        <v>155800</v>
      </c>
      <c r="C1455" s="1">
        <f>IFERROR(__xludf.DUMMYFUNCTION("""COMPUTED_VALUE"""),157200.0)</f>
        <v>157200</v>
      </c>
      <c r="D1455" s="1">
        <f>IFERROR(__xludf.DUMMYFUNCTION("""COMPUTED_VALUE"""),153400.0)</f>
        <v>153400</v>
      </c>
      <c r="E1455" s="1">
        <f>IFERROR(__xludf.DUMMYFUNCTION("""COMPUTED_VALUE"""),154600.0)</f>
        <v>154600</v>
      </c>
      <c r="F1455" s="1">
        <f>IFERROR(__xludf.DUMMYFUNCTION("""COMPUTED_VALUE"""),78677.0)</f>
        <v>78677</v>
      </c>
    </row>
    <row r="1456">
      <c r="A1456" s="2">
        <f>IFERROR(__xludf.DUMMYFUNCTION("""COMPUTED_VALUE"""),42727.64583333333)</f>
        <v>42727.64583</v>
      </c>
      <c r="B1456" s="1">
        <f>IFERROR(__xludf.DUMMYFUNCTION("""COMPUTED_VALUE"""),154200.0)</f>
        <v>154200</v>
      </c>
      <c r="C1456" s="1">
        <f>IFERROR(__xludf.DUMMYFUNCTION("""COMPUTED_VALUE"""),155400.0)</f>
        <v>155400</v>
      </c>
      <c r="D1456" s="1">
        <f>IFERROR(__xludf.DUMMYFUNCTION("""COMPUTED_VALUE"""),152400.0)</f>
        <v>152400</v>
      </c>
      <c r="E1456" s="1">
        <f>IFERROR(__xludf.DUMMYFUNCTION("""COMPUTED_VALUE"""),153600.0)</f>
        <v>153600</v>
      </c>
      <c r="F1456" s="1">
        <f>IFERROR(__xludf.DUMMYFUNCTION("""COMPUTED_VALUE"""),53375.0)</f>
        <v>53375</v>
      </c>
    </row>
    <row r="1457">
      <c r="A1457" s="2">
        <f>IFERROR(__xludf.DUMMYFUNCTION("""COMPUTED_VALUE"""),42730.64583333333)</f>
        <v>42730.64583</v>
      </c>
      <c r="B1457" s="1">
        <f>IFERROR(__xludf.DUMMYFUNCTION("""COMPUTED_VALUE"""),153200.0)</f>
        <v>153200</v>
      </c>
      <c r="C1457" s="1">
        <f>IFERROR(__xludf.DUMMYFUNCTION("""COMPUTED_VALUE"""),154600.0)</f>
        <v>154600</v>
      </c>
      <c r="D1457" s="1">
        <f>IFERROR(__xludf.DUMMYFUNCTION("""COMPUTED_VALUE"""),153000.0)</f>
        <v>153000</v>
      </c>
      <c r="E1457" s="1">
        <f>IFERROR(__xludf.DUMMYFUNCTION("""COMPUTED_VALUE"""),153000.0)</f>
        <v>153000</v>
      </c>
      <c r="F1457" s="1">
        <f>IFERROR(__xludf.DUMMYFUNCTION("""COMPUTED_VALUE"""),20665.0)</f>
        <v>20665</v>
      </c>
    </row>
    <row r="1458">
      <c r="A1458" s="2">
        <f>IFERROR(__xludf.DUMMYFUNCTION("""COMPUTED_VALUE"""),42731.64583333333)</f>
        <v>42731.64583</v>
      </c>
      <c r="B1458" s="1">
        <f>IFERROR(__xludf.DUMMYFUNCTION("""COMPUTED_VALUE"""),153200.0)</f>
        <v>153200</v>
      </c>
      <c r="C1458" s="1">
        <f>IFERROR(__xludf.DUMMYFUNCTION("""COMPUTED_VALUE"""),154600.0)</f>
        <v>154600</v>
      </c>
      <c r="D1458" s="1">
        <f>IFERROR(__xludf.DUMMYFUNCTION("""COMPUTED_VALUE"""),152600.0)</f>
        <v>152600</v>
      </c>
      <c r="E1458" s="1">
        <f>IFERROR(__xludf.DUMMYFUNCTION("""COMPUTED_VALUE"""),154400.0)</f>
        <v>154400</v>
      </c>
      <c r="F1458" s="1">
        <f>IFERROR(__xludf.DUMMYFUNCTION("""COMPUTED_VALUE"""),31962.0)</f>
        <v>31962</v>
      </c>
    </row>
    <row r="1459">
      <c r="A1459" s="2">
        <f>IFERROR(__xludf.DUMMYFUNCTION("""COMPUTED_VALUE"""),42732.64583333333)</f>
        <v>42732.64583</v>
      </c>
      <c r="B1459" s="1">
        <f>IFERROR(__xludf.DUMMYFUNCTION("""COMPUTED_VALUE"""),157000.0)</f>
        <v>157000</v>
      </c>
      <c r="C1459" s="1">
        <f>IFERROR(__xludf.DUMMYFUNCTION("""COMPUTED_VALUE"""),157000.0)</f>
        <v>157000</v>
      </c>
      <c r="D1459" s="1">
        <f>IFERROR(__xludf.DUMMYFUNCTION("""COMPUTED_VALUE"""),152600.0)</f>
        <v>152600</v>
      </c>
      <c r="E1459" s="1">
        <f>IFERROR(__xludf.DUMMYFUNCTION("""COMPUTED_VALUE"""),152600.0)</f>
        <v>152600</v>
      </c>
      <c r="F1459" s="1">
        <f>IFERROR(__xludf.DUMMYFUNCTION("""COMPUTED_VALUE"""),57737.0)</f>
        <v>57737</v>
      </c>
    </row>
    <row r="1460">
      <c r="A1460" s="2">
        <f>IFERROR(__xludf.DUMMYFUNCTION("""COMPUTED_VALUE"""),42733.64583333333)</f>
        <v>42733.64583</v>
      </c>
      <c r="B1460" s="1">
        <f>IFERROR(__xludf.DUMMYFUNCTION("""COMPUTED_VALUE"""),151600.0)</f>
        <v>151600</v>
      </c>
      <c r="C1460" s="1">
        <f>IFERROR(__xludf.DUMMYFUNCTION("""COMPUTED_VALUE"""),155400.0)</f>
        <v>155400</v>
      </c>
      <c r="D1460" s="1">
        <f>IFERROR(__xludf.DUMMYFUNCTION("""COMPUTED_VALUE"""),150800.0)</f>
        <v>150800</v>
      </c>
      <c r="E1460" s="1">
        <f>IFERROR(__xludf.DUMMYFUNCTION("""COMPUTED_VALUE"""),155000.0)</f>
        <v>155000</v>
      </c>
      <c r="F1460" s="1">
        <f>IFERROR(__xludf.DUMMYFUNCTION("""COMPUTED_VALUE"""),56324.0)</f>
        <v>56324</v>
      </c>
    </row>
    <row r="1461">
      <c r="A1461" s="2">
        <f>IFERROR(__xludf.DUMMYFUNCTION("""COMPUTED_VALUE"""),42737.64583333333)</f>
        <v>42737.64583</v>
      </c>
      <c r="B1461" s="1">
        <f>IFERROR(__xludf.DUMMYFUNCTION("""COMPUTED_VALUE"""),155600.0)</f>
        <v>155600</v>
      </c>
      <c r="C1461" s="1">
        <f>IFERROR(__xludf.DUMMYFUNCTION("""COMPUTED_VALUE"""),157400.0)</f>
        <v>157400</v>
      </c>
      <c r="D1461" s="1">
        <f>IFERROR(__xludf.DUMMYFUNCTION("""COMPUTED_VALUE"""),155000.0)</f>
        <v>155000</v>
      </c>
      <c r="E1461" s="1">
        <f>IFERROR(__xludf.DUMMYFUNCTION("""COMPUTED_VALUE"""),155400.0)</f>
        <v>155400</v>
      </c>
      <c r="F1461" s="1">
        <f>IFERROR(__xludf.DUMMYFUNCTION("""COMPUTED_VALUE"""),30777.0)</f>
        <v>30777</v>
      </c>
    </row>
    <row r="1462">
      <c r="A1462" s="2">
        <f>IFERROR(__xludf.DUMMYFUNCTION("""COMPUTED_VALUE"""),42738.64583333333)</f>
        <v>42738.64583</v>
      </c>
      <c r="B1462" s="1">
        <f>IFERROR(__xludf.DUMMYFUNCTION("""COMPUTED_VALUE"""),155400.0)</f>
        <v>155400</v>
      </c>
      <c r="C1462" s="1">
        <f>IFERROR(__xludf.DUMMYFUNCTION("""COMPUTED_VALUE"""),155400.0)</f>
        <v>155400</v>
      </c>
      <c r="D1462" s="1">
        <f>IFERROR(__xludf.DUMMYFUNCTION("""COMPUTED_VALUE"""),153400.0)</f>
        <v>153400</v>
      </c>
      <c r="E1462" s="1">
        <f>IFERROR(__xludf.DUMMYFUNCTION("""COMPUTED_VALUE"""),153400.0)</f>
        <v>153400</v>
      </c>
      <c r="F1462" s="1">
        <f>IFERROR(__xludf.DUMMYFUNCTION("""COMPUTED_VALUE"""),51766.0)</f>
        <v>51766</v>
      </c>
    </row>
    <row r="1463">
      <c r="A1463" s="2">
        <f>IFERROR(__xludf.DUMMYFUNCTION("""COMPUTED_VALUE"""),42739.64583333333)</f>
        <v>42739.64583</v>
      </c>
      <c r="B1463" s="1">
        <f>IFERROR(__xludf.DUMMYFUNCTION("""COMPUTED_VALUE"""),155000.0)</f>
        <v>155000</v>
      </c>
      <c r="C1463" s="1">
        <f>IFERROR(__xludf.DUMMYFUNCTION("""COMPUTED_VALUE"""),162000.0)</f>
        <v>162000</v>
      </c>
      <c r="D1463" s="1">
        <f>IFERROR(__xludf.DUMMYFUNCTION("""COMPUTED_VALUE"""),154200.0)</f>
        <v>154200</v>
      </c>
      <c r="E1463" s="1">
        <f>IFERROR(__xludf.DUMMYFUNCTION("""COMPUTED_VALUE"""),162000.0)</f>
        <v>162000</v>
      </c>
      <c r="F1463" s="1">
        <f>IFERROR(__xludf.DUMMYFUNCTION("""COMPUTED_VALUE"""),120359.0)</f>
        <v>120359</v>
      </c>
    </row>
    <row r="1464">
      <c r="A1464" s="2">
        <f>IFERROR(__xludf.DUMMYFUNCTION("""COMPUTED_VALUE"""),42740.64583333333)</f>
        <v>42740.64583</v>
      </c>
      <c r="B1464" s="1">
        <f>IFERROR(__xludf.DUMMYFUNCTION("""COMPUTED_VALUE"""),162000.0)</f>
        <v>162000</v>
      </c>
      <c r="C1464" s="1">
        <f>IFERROR(__xludf.DUMMYFUNCTION("""COMPUTED_VALUE"""),162000.0)</f>
        <v>162000</v>
      </c>
      <c r="D1464" s="1">
        <f>IFERROR(__xludf.DUMMYFUNCTION("""COMPUTED_VALUE"""),158200.0)</f>
        <v>158200</v>
      </c>
      <c r="E1464" s="1">
        <f>IFERROR(__xludf.DUMMYFUNCTION("""COMPUTED_VALUE"""),158200.0)</f>
        <v>158200</v>
      </c>
      <c r="F1464" s="1">
        <f>IFERROR(__xludf.DUMMYFUNCTION("""COMPUTED_VALUE"""),68724.0)</f>
        <v>68724</v>
      </c>
    </row>
    <row r="1465">
      <c r="A1465" s="2">
        <f>IFERROR(__xludf.DUMMYFUNCTION("""COMPUTED_VALUE"""),42741.64583333333)</f>
        <v>42741.64583</v>
      </c>
      <c r="B1465" s="1">
        <f>IFERROR(__xludf.DUMMYFUNCTION("""COMPUTED_VALUE"""),158200.0)</f>
        <v>158200</v>
      </c>
      <c r="C1465" s="1">
        <f>IFERROR(__xludf.DUMMYFUNCTION("""COMPUTED_VALUE"""),160200.0)</f>
        <v>160200</v>
      </c>
      <c r="D1465" s="1">
        <f>IFERROR(__xludf.DUMMYFUNCTION("""COMPUTED_VALUE"""),157200.0)</f>
        <v>157200</v>
      </c>
      <c r="E1465" s="1">
        <f>IFERROR(__xludf.DUMMYFUNCTION("""COMPUTED_VALUE"""),159800.0)</f>
        <v>159800</v>
      </c>
      <c r="F1465" s="1">
        <f>IFERROR(__xludf.DUMMYFUNCTION("""COMPUTED_VALUE"""),50269.0)</f>
        <v>50269</v>
      </c>
    </row>
    <row r="1466">
      <c r="A1466" s="2">
        <f>IFERROR(__xludf.DUMMYFUNCTION("""COMPUTED_VALUE"""),42744.64583333333)</f>
        <v>42744.64583</v>
      </c>
      <c r="B1466" s="1">
        <f>IFERROR(__xludf.DUMMYFUNCTION("""COMPUTED_VALUE"""),158200.0)</f>
        <v>158200</v>
      </c>
      <c r="C1466" s="1">
        <f>IFERROR(__xludf.DUMMYFUNCTION("""COMPUTED_VALUE"""),159800.0)</f>
        <v>159800</v>
      </c>
      <c r="D1466" s="1">
        <f>IFERROR(__xludf.DUMMYFUNCTION("""COMPUTED_VALUE"""),155400.0)</f>
        <v>155400</v>
      </c>
      <c r="E1466" s="1">
        <f>IFERROR(__xludf.DUMMYFUNCTION("""COMPUTED_VALUE"""),155800.0)</f>
        <v>155800</v>
      </c>
      <c r="F1466" s="1">
        <f>IFERROR(__xludf.DUMMYFUNCTION("""COMPUTED_VALUE"""),76688.0)</f>
        <v>76688</v>
      </c>
    </row>
    <row r="1467">
      <c r="A1467" s="2">
        <f>IFERROR(__xludf.DUMMYFUNCTION("""COMPUTED_VALUE"""),42745.64583333333)</f>
        <v>42745.64583</v>
      </c>
      <c r="B1467" s="1">
        <f>IFERROR(__xludf.DUMMYFUNCTION("""COMPUTED_VALUE"""),157400.0)</f>
        <v>157400</v>
      </c>
      <c r="C1467" s="1">
        <f>IFERROR(__xludf.DUMMYFUNCTION("""COMPUTED_VALUE"""),158600.0)</f>
        <v>158600</v>
      </c>
      <c r="D1467" s="1">
        <f>IFERROR(__xludf.DUMMYFUNCTION("""COMPUTED_VALUE"""),155800.0)</f>
        <v>155800</v>
      </c>
      <c r="E1467" s="1">
        <f>IFERROR(__xludf.DUMMYFUNCTION("""COMPUTED_VALUE"""),158400.0)</f>
        <v>158400</v>
      </c>
      <c r="F1467" s="1">
        <f>IFERROR(__xludf.DUMMYFUNCTION("""COMPUTED_VALUE"""),47372.0)</f>
        <v>47372</v>
      </c>
    </row>
    <row r="1468">
      <c r="A1468" s="2">
        <f>IFERROR(__xludf.DUMMYFUNCTION("""COMPUTED_VALUE"""),42746.64583333333)</f>
        <v>42746.64583</v>
      </c>
      <c r="B1468" s="1">
        <f>IFERROR(__xludf.DUMMYFUNCTION("""COMPUTED_VALUE"""),157200.0)</f>
        <v>157200</v>
      </c>
      <c r="C1468" s="1">
        <f>IFERROR(__xludf.DUMMYFUNCTION("""COMPUTED_VALUE"""),160400.0)</f>
        <v>160400</v>
      </c>
      <c r="D1468" s="1">
        <f>IFERROR(__xludf.DUMMYFUNCTION("""COMPUTED_VALUE"""),157200.0)</f>
        <v>157200</v>
      </c>
      <c r="E1468" s="1">
        <f>IFERROR(__xludf.DUMMYFUNCTION("""COMPUTED_VALUE"""),159200.0)</f>
        <v>159200</v>
      </c>
      <c r="F1468" s="1">
        <f>IFERROR(__xludf.DUMMYFUNCTION("""COMPUTED_VALUE"""),48742.0)</f>
        <v>48742</v>
      </c>
    </row>
    <row r="1469">
      <c r="A1469" s="2">
        <f>IFERROR(__xludf.DUMMYFUNCTION("""COMPUTED_VALUE"""),42747.64583333333)</f>
        <v>42747.64583</v>
      </c>
      <c r="B1469" s="1">
        <f>IFERROR(__xludf.DUMMYFUNCTION("""COMPUTED_VALUE"""),159800.0)</f>
        <v>159800</v>
      </c>
      <c r="C1469" s="1">
        <f>IFERROR(__xludf.DUMMYFUNCTION("""COMPUTED_VALUE"""),163000.0)</f>
        <v>163000</v>
      </c>
      <c r="D1469" s="1">
        <f>IFERROR(__xludf.DUMMYFUNCTION("""COMPUTED_VALUE"""),159200.0)</f>
        <v>159200</v>
      </c>
      <c r="E1469" s="1">
        <f>IFERROR(__xludf.DUMMYFUNCTION("""COMPUTED_VALUE"""),160400.0)</f>
        <v>160400</v>
      </c>
      <c r="F1469" s="1">
        <f>IFERROR(__xludf.DUMMYFUNCTION("""COMPUTED_VALUE"""),56389.0)</f>
        <v>56389</v>
      </c>
    </row>
    <row r="1470">
      <c r="A1470" s="2">
        <f>IFERROR(__xludf.DUMMYFUNCTION("""COMPUTED_VALUE"""),42748.64583333333)</f>
        <v>42748.64583</v>
      </c>
      <c r="B1470" s="1">
        <f>IFERROR(__xludf.DUMMYFUNCTION("""COMPUTED_VALUE"""),160400.0)</f>
        <v>160400</v>
      </c>
      <c r="C1470" s="1">
        <f>IFERROR(__xludf.DUMMYFUNCTION("""COMPUTED_VALUE"""),161000.0)</f>
        <v>161000</v>
      </c>
      <c r="D1470" s="1">
        <f>IFERROR(__xludf.DUMMYFUNCTION("""COMPUTED_VALUE"""),157400.0)</f>
        <v>157400</v>
      </c>
      <c r="E1470" s="1">
        <f>IFERROR(__xludf.DUMMYFUNCTION("""COMPUTED_VALUE"""),158000.0)</f>
        <v>158000</v>
      </c>
      <c r="F1470" s="1">
        <f>IFERROR(__xludf.DUMMYFUNCTION("""COMPUTED_VALUE"""),68231.0)</f>
        <v>68231</v>
      </c>
    </row>
    <row r="1471">
      <c r="A1471" s="2">
        <f>IFERROR(__xludf.DUMMYFUNCTION("""COMPUTED_VALUE"""),42751.64583333333)</f>
        <v>42751.64583</v>
      </c>
      <c r="B1471" s="1">
        <f>IFERROR(__xludf.DUMMYFUNCTION("""COMPUTED_VALUE"""),158400.0)</f>
        <v>158400</v>
      </c>
      <c r="C1471" s="1">
        <f>IFERROR(__xludf.DUMMYFUNCTION("""COMPUTED_VALUE"""),160200.0)</f>
        <v>160200</v>
      </c>
      <c r="D1471" s="1">
        <f>IFERROR(__xludf.DUMMYFUNCTION("""COMPUTED_VALUE"""),154800.0)</f>
        <v>154800</v>
      </c>
      <c r="E1471" s="1">
        <f>IFERROR(__xludf.DUMMYFUNCTION("""COMPUTED_VALUE"""),158800.0)</f>
        <v>158800</v>
      </c>
      <c r="F1471" s="1">
        <f>IFERROR(__xludf.DUMMYFUNCTION("""COMPUTED_VALUE"""),55042.0)</f>
        <v>55042</v>
      </c>
    </row>
    <row r="1472">
      <c r="A1472" s="2">
        <f>IFERROR(__xludf.DUMMYFUNCTION("""COMPUTED_VALUE"""),42752.64583333333)</f>
        <v>42752.64583</v>
      </c>
      <c r="B1472" s="1">
        <f>IFERROR(__xludf.DUMMYFUNCTION("""COMPUTED_VALUE"""),157400.0)</f>
        <v>157400</v>
      </c>
      <c r="C1472" s="1">
        <f>IFERROR(__xludf.DUMMYFUNCTION("""COMPUTED_VALUE"""),159400.0)</f>
        <v>159400</v>
      </c>
      <c r="D1472" s="1">
        <f>IFERROR(__xludf.DUMMYFUNCTION("""COMPUTED_VALUE"""),156400.0)</f>
        <v>156400</v>
      </c>
      <c r="E1472" s="1">
        <f>IFERROR(__xludf.DUMMYFUNCTION("""COMPUTED_VALUE"""),159000.0)</f>
        <v>159000</v>
      </c>
      <c r="F1472" s="1">
        <f>IFERROR(__xludf.DUMMYFUNCTION("""COMPUTED_VALUE"""),50942.0)</f>
        <v>50942</v>
      </c>
    </row>
    <row r="1473">
      <c r="A1473" s="2">
        <f>IFERROR(__xludf.DUMMYFUNCTION("""COMPUTED_VALUE"""),42753.64583333333)</f>
        <v>42753.64583</v>
      </c>
      <c r="B1473" s="1">
        <f>IFERROR(__xludf.DUMMYFUNCTION("""COMPUTED_VALUE"""),160000.0)</f>
        <v>160000</v>
      </c>
      <c r="C1473" s="1">
        <f>IFERROR(__xludf.DUMMYFUNCTION("""COMPUTED_VALUE"""),160000.0)</f>
        <v>160000</v>
      </c>
      <c r="D1473" s="1">
        <f>IFERROR(__xludf.DUMMYFUNCTION("""COMPUTED_VALUE"""),157400.0)</f>
        <v>157400</v>
      </c>
      <c r="E1473" s="1">
        <f>IFERROR(__xludf.DUMMYFUNCTION("""COMPUTED_VALUE"""),157600.0)</f>
        <v>157600</v>
      </c>
      <c r="F1473" s="1">
        <f>IFERROR(__xludf.DUMMYFUNCTION("""COMPUTED_VALUE"""),55176.0)</f>
        <v>55176</v>
      </c>
    </row>
    <row r="1474">
      <c r="A1474" s="2">
        <f>IFERROR(__xludf.DUMMYFUNCTION("""COMPUTED_VALUE"""),42754.64583333333)</f>
        <v>42754.64583</v>
      </c>
      <c r="B1474" s="1">
        <f>IFERROR(__xludf.DUMMYFUNCTION("""COMPUTED_VALUE"""),157400.0)</f>
        <v>157400</v>
      </c>
      <c r="C1474" s="1">
        <f>IFERROR(__xludf.DUMMYFUNCTION("""COMPUTED_VALUE"""),161200.0)</f>
        <v>161200</v>
      </c>
      <c r="D1474" s="1">
        <f>IFERROR(__xludf.DUMMYFUNCTION("""COMPUTED_VALUE"""),157400.0)</f>
        <v>157400</v>
      </c>
      <c r="E1474" s="1">
        <f>IFERROR(__xludf.DUMMYFUNCTION("""COMPUTED_VALUE"""),160200.0)</f>
        <v>160200</v>
      </c>
      <c r="F1474" s="1">
        <f>IFERROR(__xludf.DUMMYFUNCTION("""COMPUTED_VALUE"""),67811.0)</f>
        <v>67811</v>
      </c>
    </row>
    <row r="1475">
      <c r="A1475" s="2">
        <f>IFERROR(__xludf.DUMMYFUNCTION("""COMPUTED_VALUE"""),42755.64583333333)</f>
        <v>42755.64583</v>
      </c>
      <c r="B1475" s="1">
        <f>IFERROR(__xludf.DUMMYFUNCTION("""COMPUTED_VALUE"""),159400.0)</f>
        <v>159400</v>
      </c>
      <c r="C1475" s="1">
        <f>IFERROR(__xludf.DUMMYFUNCTION("""COMPUTED_VALUE"""),159600.0)</f>
        <v>159600</v>
      </c>
      <c r="D1475" s="1">
        <f>IFERROR(__xludf.DUMMYFUNCTION("""COMPUTED_VALUE"""),157000.0)</f>
        <v>157000</v>
      </c>
      <c r="E1475" s="1">
        <f>IFERROR(__xludf.DUMMYFUNCTION("""COMPUTED_VALUE"""),157000.0)</f>
        <v>157000</v>
      </c>
      <c r="F1475" s="1">
        <f>IFERROR(__xludf.DUMMYFUNCTION("""COMPUTED_VALUE"""),73435.0)</f>
        <v>73435</v>
      </c>
    </row>
    <row r="1476">
      <c r="A1476" s="2">
        <f>IFERROR(__xludf.DUMMYFUNCTION("""COMPUTED_VALUE"""),42758.64583333333)</f>
        <v>42758.64583</v>
      </c>
      <c r="B1476" s="1">
        <f>IFERROR(__xludf.DUMMYFUNCTION("""COMPUTED_VALUE"""),155600.0)</f>
        <v>155600</v>
      </c>
      <c r="C1476" s="1">
        <f>IFERROR(__xludf.DUMMYFUNCTION("""COMPUTED_VALUE"""),155800.0)</f>
        <v>155800</v>
      </c>
      <c r="D1476" s="1">
        <f>IFERROR(__xludf.DUMMYFUNCTION("""COMPUTED_VALUE"""),152600.0)</f>
        <v>152600</v>
      </c>
      <c r="E1476" s="1">
        <f>IFERROR(__xludf.DUMMYFUNCTION("""COMPUTED_VALUE"""),154200.0)</f>
        <v>154200</v>
      </c>
      <c r="F1476" s="1">
        <f>IFERROR(__xludf.DUMMYFUNCTION("""COMPUTED_VALUE"""),90668.0)</f>
        <v>90668</v>
      </c>
    </row>
    <row r="1477">
      <c r="A1477" s="2">
        <f>IFERROR(__xludf.DUMMYFUNCTION("""COMPUTED_VALUE"""),42759.64583333333)</f>
        <v>42759.64583</v>
      </c>
      <c r="B1477" s="1">
        <f>IFERROR(__xludf.DUMMYFUNCTION("""COMPUTED_VALUE"""),154200.0)</f>
        <v>154200</v>
      </c>
      <c r="C1477" s="1">
        <f>IFERROR(__xludf.DUMMYFUNCTION("""COMPUTED_VALUE"""),154200.0)</f>
        <v>154200</v>
      </c>
      <c r="D1477" s="1">
        <f>IFERROR(__xludf.DUMMYFUNCTION("""COMPUTED_VALUE"""),152000.0)</f>
        <v>152000</v>
      </c>
      <c r="E1477" s="1">
        <f>IFERROR(__xludf.DUMMYFUNCTION("""COMPUTED_VALUE"""),152200.0)</f>
        <v>152200</v>
      </c>
      <c r="F1477" s="1">
        <f>IFERROR(__xludf.DUMMYFUNCTION("""COMPUTED_VALUE"""),106880.0)</f>
        <v>106880</v>
      </c>
    </row>
    <row r="1478">
      <c r="A1478" s="2">
        <f>IFERROR(__xludf.DUMMYFUNCTION("""COMPUTED_VALUE"""),42760.64583333333)</f>
        <v>42760.64583</v>
      </c>
      <c r="B1478" s="1">
        <f>IFERROR(__xludf.DUMMYFUNCTION("""COMPUTED_VALUE"""),152600.0)</f>
        <v>152600</v>
      </c>
      <c r="C1478" s="1">
        <f>IFERROR(__xludf.DUMMYFUNCTION("""COMPUTED_VALUE"""),153600.0)</f>
        <v>153600</v>
      </c>
      <c r="D1478" s="1">
        <f>IFERROR(__xludf.DUMMYFUNCTION("""COMPUTED_VALUE"""),152000.0)</f>
        <v>152000</v>
      </c>
      <c r="E1478" s="1">
        <f>IFERROR(__xludf.DUMMYFUNCTION("""COMPUTED_VALUE"""),152600.0)</f>
        <v>152600</v>
      </c>
      <c r="F1478" s="1">
        <f>IFERROR(__xludf.DUMMYFUNCTION("""COMPUTED_VALUE"""),119005.0)</f>
        <v>119005</v>
      </c>
    </row>
    <row r="1479">
      <c r="A1479" s="2">
        <f>IFERROR(__xludf.DUMMYFUNCTION("""COMPUTED_VALUE"""),42761.64583333333)</f>
        <v>42761.64583</v>
      </c>
      <c r="B1479" s="1">
        <f>IFERROR(__xludf.DUMMYFUNCTION("""COMPUTED_VALUE"""),150200.0)</f>
        <v>150200</v>
      </c>
      <c r="C1479" s="1">
        <f>IFERROR(__xludf.DUMMYFUNCTION("""COMPUTED_VALUE"""),152600.0)</f>
        <v>152600</v>
      </c>
      <c r="D1479" s="1">
        <f>IFERROR(__xludf.DUMMYFUNCTION("""COMPUTED_VALUE"""),147200.0)</f>
        <v>147200</v>
      </c>
      <c r="E1479" s="1">
        <f>IFERROR(__xludf.DUMMYFUNCTION("""COMPUTED_VALUE"""),150600.0)</f>
        <v>150600</v>
      </c>
      <c r="F1479" s="1">
        <f>IFERROR(__xludf.DUMMYFUNCTION("""COMPUTED_VALUE"""),274419.0)</f>
        <v>274419</v>
      </c>
    </row>
    <row r="1480">
      <c r="A1480" s="2">
        <f>IFERROR(__xludf.DUMMYFUNCTION("""COMPUTED_VALUE"""),42766.64583333333)</f>
        <v>42766.64583</v>
      </c>
      <c r="B1480" s="1">
        <f>IFERROR(__xludf.DUMMYFUNCTION("""COMPUTED_VALUE"""),150000.0)</f>
        <v>150000</v>
      </c>
      <c r="C1480" s="1">
        <f>IFERROR(__xludf.DUMMYFUNCTION("""COMPUTED_VALUE"""),153400.0)</f>
        <v>153400</v>
      </c>
      <c r="D1480" s="1">
        <f>IFERROR(__xludf.DUMMYFUNCTION("""COMPUTED_VALUE"""),148600.0)</f>
        <v>148600</v>
      </c>
      <c r="E1480" s="1">
        <f>IFERROR(__xludf.DUMMYFUNCTION("""COMPUTED_VALUE"""),151600.0)</f>
        <v>151600</v>
      </c>
      <c r="F1480" s="1">
        <f>IFERROR(__xludf.DUMMYFUNCTION("""COMPUTED_VALUE"""),127610.0)</f>
        <v>127610</v>
      </c>
    </row>
    <row r="1481">
      <c r="A1481" s="2">
        <f>IFERROR(__xludf.DUMMYFUNCTION("""COMPUTED_VALUE"""),42767.64583333333)</f>
        <v>42767.64583</v>
      </c>
      <c r="B1481" s="1">
        <f>IFERROR(__xludf.DUMMYFUNCTION("""COMPUTED_VALUE"""),152200.0)</f>
        <v>152200</v>
      </c>
      <c r="C1481" s="1">
        <f>IFERROR(__xludf.DUMMYFUNCTION("""COMPUTED_VALUE"""),154800.0)</f>
        <v>154800</v>
      </c>
      <c r="D1481" s="1">
        <f>IFERROR(__xludf.DUMMYFUNCTION("""COMPUTED_VALUE"""),152000.0)</f>
        <v>152000</v>
      </c>
      <c r="E1481" s="1">
        <f>IFERROR(__xludf.DUMMYFUNCTION("""COMPUTED_VALUE"""),154200.0)</f>
        <v>154200</v>
      </c>
      <c r="F1481" s="1">
        <f>IFERROR(__xludf.DUMMYFUNCTION("""COMPUTED_VALUE"""),92541.0)</f>
        <v>92541</v>
      </c>
    </row>
    <row r="1482">
      <c r="A1482" s="2">
        <f>IFERROR(__xludf.DUMMYFUNCTION("""COMPUTED_VALUE"""),42768.64583333333)</f>
        <v>42768.64583</v>
      </c>
      <c r="B1482" s="1">
        <f>IFERROR(__xludf.DUMMYFUNCTION("""COMPUTED_VALUE"""),155200.0)</f>
        <v>155200</v>
      </c>
      <c r="C1482" s="1">
        <f>IFERROR(__xludf.DUMMYFUNCTION("""COMPUTED_VALUE"""),156000.0)</f>
        <v>156000</v>
      </c>
      <c r="D1482" s="1">
        <f>IFERROR(__xludf.DUMMYFUNCTION("""COMPUTED_VALUE"""),154000.0)</f>
        <v>154000</v>
      </c>
      <c r="E1482" s="1">
        <f>IFERROR(__xludf.DUMMYFUNCTION("""COMPUTED_VALUE"""),154400.0)</f>
        <v>154400</v>
      </c>
      <c r="F1482" s="1">
        <f>IFERROR(__xludf.DUMMYFUNCTION("""COMPUTED_VALUE"""),121050.0)</f>
        <v>121050</v>
      </c>
    </row>
    <row r="1483">
      <c r="A1483" s="2">
        <f>IFERROR(__xludf.DUMMYFUNCTION("""COMPUTED_VALUE"""),42769.64583333333)</f>
        <v>42769.64583</v>
      </c>
      <c r="B1483" s="1">
        <f>IFERROR(__xludf.DUMMYFUNCTION("""COMPUTED_VALUE"""),154000.0)</f>
        <v>154000</v>
      </c>
      <c r="C1483" s="1">
        <f>IFERROR(__xludf.DUMMYFUNCTION("""COMPUTED_VALUE"""),155200.0)</f>
        <v>155200</v>
      </c>
      <c r="D1483" s="1">
        <f>IFERROR(__xludf.DUMMYFUNCTION("""COMPUTED_VALUE"""),153400.0)</f>
        <v>153400</v>
      </c>
      <c r="E1483" s="1">
        <f>IFERROR(__xludf.DUMMYFUNCTION("""COMPUTED_VALUE"""),154800.0)</f>
        <v>154800</v>
      </c>
      <c r="F1483" s="1">
        <f>IFERROR(__xludf.DUMMYFUNCTION("""COMPUTED_VALUE"""),142414.0)</f>
        <v>142414</v>
      </c>
    </row>
    <row r="1484">
      <c r="A1484" s="2">
        <f>IFERROR(__xludf.DUMMYFUNCTION("""COMPUTED_VALUE"""),42772.64583333333)</f>
        <v>42772.64583</v>
      </c>
      <c r="B1484" s="1">
        <f>IFERROR(__xludf.DUMMYFUNCTION("""COMPUTED_VALUE"""),156200.0)</f>
        <v>156200</v>
      </c>
      <c r="C1484" s="1">
        <f>IFERROR(__xludf.DUMMYFUNCTION("""COMPUTED_VALUE"""),156200.0)</f>
        <v>156200</v>
      </c>
      <c r="D1484" s="1">
        <f>IFERROR(__xludf.DUMMYFUNCTION("""COMPUTED_VALUE"""),154400.0)</f>
        <v>154400</v>
      </c>
      <c r="E1484" s="1">
        <f>IFERROR(__xludf.DUMMYFUNCTION("""COMPUTED_VALUE"""),155800.0)</f>
        <v>155800</v>
      </c>
      <c r="F1484" s="1">
        <f>IFERROR(__xludf.DUMMYFUNCTION("""COMPUTED_VALUE"""),127029.0)</f>
        <v>127029</v>
      </c>
    </row>
    <row r="1485">
      <c r="A1485" s="2">
        <f>IFERROR(__xludf.DUMMYFUNCTION("""COMPUTED_VALUE"""),42773.64583333333)</f>
        <v>42773.64583</v>
      </c>
      <c r="B1485" s="1">
        <f>IFERROR(__xludf.DUMMYFUNCTION("""COMPUTED_VALUE"""),155600.0)</f>
        <v>155600</v>
      </c>
      <c r="C1485" s="1">
        <f>IFERROR(__xludf.DUMMYFUNCTION("""COMPUTED_VALUE"""),160400.0)</f>
        <v>160400</v>
      </c>
      <c r="D1485" s="1">
        <f>IFERROR(__xludf.DUMMYFUNCTION("""COMPUTED_VALUE"""),155000.0)</f>
        <v>155000</v>
      </c>
      <c r="E1485" s="1">
        <f>IFERROR(__xludf.DUMMYFUNCTION("""COMPUTED_VALUE"""),160000.0)</f>
        <v>160000</v>
      </c>
      <c r="F1485" s="1">
        <f>IFERROR(__xludf.DUMMYFUNCTION("""COMPUTED_VALUE"""),135111.0)</f>
        <v>135111</v>
      </c>
    </row>
    <row r="1486">
      <c r="A1486" s="2">
        <f>IFERROR(__xludf.DUMMYFUNCTION("""COMPUTED_VALUE"""),42774.64583333333)</f>
        <v>42774.64583</v>
      </c>
      <c r="B1486" s="1">
        <f>IFERROR(__xludf.DUMMYFUNCTION("""COMPUTED_VALUE"""),159800.0)</f>
        <v>159800</v>
      </c>
      <c r="C1486" s="1">
        <f>IFERROR(__xludf.DUMMYFUNCTION("""COMPUTED_VALUE"""),159800.0)</f>
        <v>159800</v>
      </c>
      <c r="D1486" s="1">
        <f>IFERROR(__xludf.DUMMYFUNCTION("""COMPUTED_VALUE"""),158200.0)</f>
        <v>158200</v>
      </c>
      <c r="E1486" s="1">
        <f>IFERROR(__xludf.DUMMYFUNCTION("""COMPUTED_VALUE"""),159000.0)</f>
        <v>159000</v>
      </c>
      <c r="F1486" s="1">
        <f>IFERROR(__xludf.DUMMYFUNCTION("""COMPUTED_VALUE"""),77643.0)</f>
        <v>77643</v>
      </c>
    </row>
    <row r="1487">
      <c r="A1487" s="2">
        <f>IFERROR(__xludf.DUMMYFUNCTION("""COMPUTED_VALUE"""),42775.64583333333)</f>
        <v>42775.64583</v>
      </c>
      <c r="B1487" s="1">
        <f>IFERROR(__xludf.DUMMYFUNCTION("""COMPUTED_VALUE"""),157600.0)</f>
        <v>157600</v>
      </c>
      <c r="C1487" s="1">
        <f>IFERROR(__xludf.DUMMYFUNCTION("""COMPUTED_VALUE"""),159200.0)</f>
        <v>159200</v>
      </c>
      <c r="D1487" s="1">
        <f>IFERROR(__xludf.DUMMYFUNCTION("""COMPUTED_VALUE"""),156600.0)</f>
        <v>156600</v>
      </c>
      <c r="E1487" s="1">
        <f>IFERROR(__xludf.DUMMYFUNCTION("""COMPUTED_VALUE"""),157400.0)</f>
        <v>157400</v>
      </c>
      <c r="F1487" s="1">
        <f>IFERROR(__xludf.DUMMYFUNCTION("""COMPUTED_VALUE"""),102023.0)</f>
        <v>102023</v>
      </c>
    </row>
    <row r="1488">
      <c r="A1488" s="2">
        <f>IFERROR(__xludf.DUMMYFUNCTION("""COMPUTED_VALUE"""),42776.64583333333)</f>
        <v>42776.64583</v>
      </c>
      <c r="B1488" s="1">
        <f>IFERROR(__xludf.DUMMYFUNCTION("""COMPUTED_VALUE"""),159000.0)</f>
        <v>159000</v>
      </c>
      <c r="C1488" s="1">
        <f>IFERROR(__xludf.DUMMYFUNCTION("""COMPUTED_VALUE"""),159000.0)</f>
        <v>159000</v>
      </c>
      <c r="D1488" s="1">
        <f>IFERROR(__xludf.DUMMYFUNCTION("""COMPUTED_VALUE"""),157400.0)</f>
        <v>157400</v>
      </c>
      <c r="E1488" s="1">
        <f>IFERROR(__xludf.DUMMYFUNCTION("""COMPUTED_VALUE"""),159000.0)</f>
        <v>159000</v>
      </c>
      <c r="F1488" s="1">
        <f>IFERROR(__xludf.DUMMYFUNCTION("""COMPUTED_VALUE"""),67489.0)</f>
        <v>67489</v>
      </c>
    </row>
    <row r="1489">
      <c r="A1489" s="2">
        <f>IFERROR(__xludf.DUMMYFUNCTION("""COMPUTED_VALUE"""),42779.64583333333)</f>
        <v>42779.64583</v>
      </c>
      <c r="B1489" s="1">
        <f>IFERROR(__xludf.DUMMYFUNCTION("""COMPUTED_VALUE"""),160000.0)</f>
        <v>160000</v>
      </c>
      <c r="C1489" s="1">
        <f>IFERROR(__xludf.DUMMYFUNCTION("""COMPUTED_VALUE"""),160600.0)</f>
        <v>160600</v>
      </c>
      <c r="D1489" s="1">
        <f>IFERROR(__xludf.DUMMYFUNCTION("""COMPUTED_VALUE"""),157600.0)</f>
        <v>157600</v>
      </c>
      <c r="E1489" s="1">
        <f>IFERROR(__xludf.DUMMYFUNCTION("""COMPUTED_VALUE"""),159000.0)</f>
        <v>159000</v>
      </c>
      <c r="F1489" s="1">
        <f>IFERROR(__xludf.DUMMYFUNCTION("""COMPUTED_VALUE"""),59380.0)</f>
        <v>59380</v>
      </c>
    </row>
    <row r="1490">
      <c r="A1490" s="2">
        <f>IFERROR(__xludf.DUMMYFUNCTION("""COMPUTED_VALUE"""),42780.64583333333)</f>
        <v>42780.64583</v>
      </c>
      <c r="B1490" s="1">
        <f>IFERROR(__xludf.DUMMYFUNCTION("""COMPUTED_VALUE"""),157000.0)</f>
        <v>157000</v>
      </c>
      <c r="C1490" s="1">
        <f>IFERROR(__xludf.DUMMYFUNCTION("""COMPUTED_VALUE"""),158000.0)</f>
        <v>158000</v>
      </c>
      <c r="D1490" s="1">
        <f>IFERROR(__xludf.DUMMYFUNCTION("""COMPUTED_VALUE"""),153200.0)</f>
        <v>153200</v>
      </c>
      <c r="E1490" s="1">
        <f>IFERROR(__xludf.DUMMYFUNCTION("""COMPUTED_VALUE"""),154000.0)</f>
        <v>154000</v>
      </c>
      <c r="F1490" s="1">
        <f>IFERROR(__xludf.DUMMYFUNCTION("""COMPUTED_VALUE"""),119907.0)</f>
        <v>119907</v>
      </c>
    </row>
    <row r="1491">
      <c r="A1491" s="2">
        <f>IFERROR(__xludf.DUMMYFUNCTION("""COMPUTED_VALUE"""),42781.64583333333)</f>
        <v>42781.64583</v>
      </c>
      <c r="B1491" s="1">
        <f>IFERROR(__xludf.DUMMYFUNCTION("""COMPUTED_VALUE"""),153800.0)</f>
        <v>153800</v>
      </c>
      <c r="C1491" s="1">
        <f>IFERROR(__xludf.DUMMYFUNCTION("""COMPUTED_VALUE"""),155400.0)</f>
        <v>155400</v>
      </c>
      <c r="D1491" s="1">
        <f>IFERROR(__xludf.DUMMYFUNCTION("""COMPUTED_VALUE"""),153600.0)</f>
        <v>153600</v>
      </c>
      <c r="E1491" s="1">
        <f>IFERROR(__xludf.DUMMYFUNCTION("""COMPUTED_VALUE"""),154600.0)</f>
        <v>154600</v>
      </c>
      <c r="F1491" s="1">
        <f>IFERROR(__xludf.DUMMYFUNCTION("""COMPUTED_VALUE"""),66435.0)</f>
        <v>66435</v>
      </c>
    </row>
    <row r="1492">
      <c r="A1492" s="2">
        <f>IFERROR(__xludf.DUMMYFUNCTION("""COMPUTED_VALUE"""),42782.64583333333)</f>
        <v>42782.64583</v>
      </c>
      <c r="B1492" s="1">
        <f>IFERROR(__xludf.DUMMYFUNCTION("""COMPUTED_VALUE"""),154000.0)</f>
        <v>154000</v>
      </c>
      <c r="C1492" s="1">
        <f>IFERROR(__xludf.DUMMYFUNCTION("""COMPUTED_VALUE"""),155400.0)</f>
        <v>155400</v>
      </c>
      <c r="D1492" s="1">
        <f>IFERROR(__xludf.DUMMYFUNCTION("""COMPUTED_VALUE"""),153800.0)</f>
        <v>153800</v>
      </c>
      <c r="E1492" s="1">
        <f>IFERROR(__xludf.DUMMYFUNCTION("""COMPUTED_VALUE"""),155400.0)</f>
        <v>155400</v>
      </c>
      <c r="F1492" s="1">
        <f>IFERROR(__xludf.DUMMYFUNCTION("""COMPUTED_VALUE"""),73821.0)</f>
        <v>73821</v>
      </c>
    </row>
    <row r="1493">
      <c r="A1493" s="2">
        <f>IFERROR(__xludf.DUMMYFUNCTION("""COMPUTED_VALUE"""),42783.64583333333)</f>
        <v>42783.64583</v>
      </c>
      <c r="B1493" s="1">
        <f>IFERROR(__xludf.DUMMYFUNCTION("""COMPUTED_VALUE"""),154600.0)</f>
        <v>154600</v>
      </c>
      <c r="C1493" s="1">
        <f>IFERROR(__xludf.DUMMYFUNCTION("""COMPUTED_VALUE"""),157000.0)</f>
        <v>157000</v>
      </c>
      <c r="D1493" s="1">
        <f>IFERROR(__xludf.DUMMYFUNCTION("""COMPUTED_VALUE"""),154400.0)</f>
        <v>154400</v>
      </c>
      <c r="E1493" s="1">
        <f>IFERROR(__xludf.DUMMYFUNCTION("""COMPUTED_VALUE"""),156000.0)</f>
        <v>156000</v>
      </c>
      <c r="F1493" s="1">
        <f>IFERROR(__xludf.DUMMYFUNCTION("""COMPUTED_VALUE"""),104341.0)</f>
        <v>104341</v>
      </c>
    </row>
    <row r="1494">
      <c r="A1494" s="2">
        <f>IFERROR(__xludf.DUMMYFUNCTION("""COMPUTED_VALUE"""),42786.64583333333)</f>
        <v>42786.64583</v>
      </c>
      <c r="B1494" s="1">
        <f>IFERROR(__xludf.DUMMYFUNCTION("""COMPUTED_VALUE"""),154600.0)</f>
        <v>154600</v>
      </c>
      <c r="C1494" s="1">
        <f>IFERROR(__xludf.DUMMYFUNCTION("""COMPUTED_VALUE"""),156800.0)</f>
        <v>156800</v>
      </c>
      <c r="D1494" s="1">
        <f>IFERROR(__xludf.DUMMYFUNCTION("""COMPUTED_VALUE"""),154400.0)</f>
        <v>154400</v>
      </c>
      <c r="E1494" s="1">
        <f>IFERROR(__xludf.DUMMYFUNCTION("""COMPUTED_VALUE"""),156200.0)</f>
        <v>156200</v>
      </c>
      <c r="F1494" s="1">
        <f>IFERROR(__xludf.DUMMYFUNCTION("""COMPUTED_VALUE"""),75042.0)</f>
        <v>75042</v>
      </c>
    </row>
    <row r="1495">
      <c r="A1495" s="2">
        <f>IFERROR(__xludf.DUMMYFUNCTION("""COMPUTED_VALUE"""),42787.64583333333)</f>
        <v>42787.64583</v>
      </c>
      <c r="B1495" s="1">
        <f>IFERROR(__xludf.DUMMYFUNCTION("""COMPUTED_VALUE"""),155600.0)</f>
        <v>155600</v>
      </c>
      <c r="C1495" s="1">
        <f>IFERROR(__xludf.DUMMYFUNCTION("""COMPUTED_VALUE"""),158600.0)</f>
        <v>158600</v>
      </c>
      <c r="D1495" s="1">
        <f>IFERROR(__xludf.DUMMYFUNCTION("""COMPUTED_VALUE"""),155200.0)</f>
        <v>155200</v>
      </c>
      <c r="E1495" s="1">
        <f>IFERROR(__xludf.DUMMYFUNCTION("""COMPUTED_VALUE"""),158000.0)</f>
        <v>158000</v>
      </c>
      <c r="F1495" s="1">
        <f>IFERROR(__xludf.DUMMYFUNCTION("""COMPUTED_VALUE"""),115574.0)</f>
        <v>115574</v>
      </c>
    </row>
    <row r="1496">
      <c r="A1496" s="2">
        <f>IFERROR(__xludf.DUMMYFUNCTION("""COMPUTED_VALUE"""),42788.64583333333)</f>
        <v>42788.64583</v>
      </c>
      <c r="B1496" s="1">
        <f>IFERROR(__xludf.DUMMYFUNCTION("""COMPUTED_VALUE"""),157600.0)</f>
        <v>157600</v>
      </c>
      <c r="C1496" s="1">
        <f>IFERROR(__xludf.DUMMYFUNCTION("""COMPUTED_VALUE"""),160000.0)</f>
        <v>160000</v>
      </c>
      <c r="D1496" s="1">
        <f>IFERROR(__xludf.DUMMYFUNCTION("""COMPUTED_VALUE"""),157200.0)</f>
        <v>157200</v>
      </c>
      <c r="E1496" s="1">
        <f>IFERROR(__xludf.DUMMYFUNCTION("""COMPUTED_VALUE"""),159400.0)</f>
        <v>159400</v>
      </c>
      <c r="F1496" s="1">
        <f>IFERROR(__xludf.DUMMYFUNCTION("""COMPUTED_VALUE"""),107372.0)</f>
        <v>107372</v>
      </c>
    </row>
    <row r="1497">
      <c r="A1497" s="2">
        <f>IFERROR(__xludf.DUMMYFUNCTION("""COMPUTED_VALUE"""),42789.64583333333)</f>
        <v>42789.64583</v>
      </c>
      <c r="B1497" s="1">
        <f>IFERROR(__xludf.DUMMYFUNCTION("""COMPUTED_VALUE"""),161000.0)</f>
        <v>161000</v>
      </c>
      <c r="C1497" s="1">
        <f>IFERROR(__xludf.DUMMYFUNCTION("""COMPUTED_VALUE"""),163000.0)</f>
        <v>163000</v>
      </c>
      <c r="D1497" s="1">
        <f>IFERROR(__xludf.DUMMYFUNCTION("""COMPUTED_VALUE"""),160800.0)</f>
        <v>160800</v>
      </c>
      <c r="E1497" s="1">
        <f>IFERROR(__xludf.DUMMYFUNCTION("""COMPUTED_VALUE"""),161600.0)</f>
        <v>161600</v>
      </c>
      <c r="F1497" s="1">
        <f>IFERROR(__xludf.DUMMYFUNCTION("""COMPUTED_VALUE"""),96955.0)</f>
        <v>96955</v>
      </c>
    </row>
    <row r="1498">
      <c r="A1498" s="2">
        <f>IFERROR(__xludf.DUMMYFUNCTION("""COMPUTED_VALUE"""),42790.64583333333)</f>
        <v>42790.64583</v>
      </c>
      <c r="B1498" s="1">
        <f>IFERROR(__xludf.DUMMYFUNCTION("""COMPUTED_VALUE"""),160600.0)</f>
        <v>160600</v>
      </c>
      <c r="C1498" s="1">
        <f>IFERROR(__xludf.DUMMYFUNCTION("""COMPUTED_VALUE"""),161400.0)</f>
        <v>161400</v>
      </c>
      <c r="D1498" s="1">
        <f>IFERROR(__xludf.DUMMYFUNCTION("""COMPUTED_VALUE"""),158600.0)</f>
        <v>158600</v>
      </c>
      <c r="E1498" s="1">
        <f>IFERROR(__xludf.DUMMYFUNCTION("""COMPUTED_VALUE"""),160600.0)</f>
        <v>160600</v>
      </c>
      <c r="F1498" s="1">
        <f>IFERROR(__xludf.DUMMYFUNCTION("""COMPUTED_VALUE"""),77173.0)</f>
        <v>77173</v>
      </c>
    </row>
    <row r="1499">
      <c r="A1499" s="2">
        <f>IFERROR(__xludf.DUMMYFUNCTION("""COMPUTED_VALUE"""),42793.64583333333)</f>
        <v>42793.64583</v>
      </c>
      <c r="B1499" s="1">
        <f>IFERROR(__xludf.DUMMYFUNCTION("""COMPUTED_VALUE"""),160000.0)</f>
        <v>160000</v>
      </c>
      <c r="C1499" s="1">
        <f>IFERROR(__xludf.DUMMYFUNCTION("""COMPUTED_VALUE"""),161400.0)</f>
        <v>161400</v>
      </c>
      <c r="D1499" s="1">
        <f>IFERROR(__xludf.DUMMYFUNCTION("""COMPUTED_VALUE"""),158400.0)</f>
        <v>158400</v>
      </c>
      <c r="E1499" s="1">
        <f>IFERROR(__xludf.DUMMYFUNCTION("""COMPUTED_VALUE"""),159200.0)</f>
        <v>159200</v>
      </c>
      <c r="F1499" s="1">
        <f>IFERROR(__xludf.DUMMYFUNCTION("""COMPUTED_VALUE"""),33895.0)</f>
        <v>33895</v>
      </c>
    </row>
    <row r="1500">
      <c r="A1500" s="2">
        <f>IFERROR(__xludf.DUMMYFUNCTION("""COMPUTED_VALUE"""),42794.64583333333)</f>
        <v>42794.64583</v>
      </c>
      <c r="B1500" s="1">
        <f>IFERROR(__xludf.DUMMYFUNCTION("""COMPUTED_VALUE"""),158800.0)</f>
        <v>158800</v>
      </c>
      <c r="C1500" s="1">
        <f>IFERROR(__xludf.DUMMYFUNCTION("""COMPUTED_VALUE"""),160000.0)</f>
        <v>160000</v>
      </c>
      <c r="D1500" s="1">
        <f>IFERROR(__xludf.DUMMYFUNCTION("""COMPUTED_VALUE"""),155200.0)</f>
        <v>155200</v>
      </c>
      <c r="E1500" s="1">
        <f>IFERROR(__xludf.DUMMYFUNCTION("""COMPUTED_VALUE"""),155200.0)</f>
        <v>155200</v>
      </c>
      <c r="F1500" s="1">
        <f>IFERROR(__xludf.DUMMYFUNCTION("""COMPUTED_VALUE"""),97398.0)</f>
        <v>97398</v>
      </c>
    </row>
    <row r="1501">
      <c r="A1501" s="2">
        <f>IFERROR(__xludf.DUMMYFUNCTION("""COMPUTED_VALUE"""),42796.64583333333)</f>
        <v>42796.64583</v>
      </c>
      <c r="B1501" s="1">
        <f>IFERROR(__xludf.DUMMYFUNCTION("""COMPUTED_VALUE"""),159800.0)</f>
        <v>159800</v>
      </c>
      <c r="C1501" s="1">
        <f>IFERROR(__xludf.DUMMYFUNCTION("""COMPUTED_VALUE"""),163800.0)</f>
        <v>163800</v>
      </c>
      <c r="D1501" s="1">
        <f>IFERROR(__xludf.DUMMYFUNCTION("""COMPUTED_VALUE"""),158000.0)</f>
        <v>158000</v>
      </c>
      <c r="E1501" s="1">
        <f>IFERROR(__xludf.DUMMYFUNCTION("""COMPUTED_VALUE"""),163000.0)</f>
        <v>163000</v>
      </c>
      <c r="F1501" s="1">
        <f>IFERROR(__xludf.DUMMYFUNCTION("""COMPUTED_VALUE"""),150962.0)</f>
        <v>150962</v>
      </c>
    </row>
    <row r="1502">
      <c r="A1502" s="2">
        <f>IFERROR(__xludf.DUMMYFUNCTION("""COMPUTED_VALUE"""),42797.64583333333)</f>
        <v>42797.64583</v>
      </c>
      <c r="B1502" s="1">
        <f>IFERROR(__xludf.DUMMYFUNCTION("""COMPUTED_VALUE"""),163200.0)</f>
        <v>163200</v>
      </c>
      <c r="C1502" s="1">
        <f>IFERROR(__xludf.DUMMYFUNCTION("""COMPUTED_VALUE"""),167800.0)</f>
        <v>167800</v>
      </c>
      <c r="D1502" s="1">
        <f>IFERROR(__xludf.DUMMYFUNCTION("""COMPUTED_VALUE"""),158800.0)</f>
        <v>158800</v>
      </c>
      <c r="E1502" s="1">
        <f>IFERROR(__xludf.DUMMYFUNCTION("""COMPUTED_VALUE"""),161800.0)</f>
        <v>161800</v>
      </c>
      <c r="F1502" s="1">
        <f>IFERROR(__xludf.DUMMYFUNCTION("""COMPUTED_VALUE"""),98302.0)</f>
        <v>98302</v>
      </c>
    </row>
    <row r="1503">
      <c r="A1503" s="2">
        <f>IFERROR(__xludf.DUMMYFUNCTION("""COMPUTED_VALUE"""),42800.64583333333)</f>
        <v>42800.64583</v>
      </c>
      <c r="B1503" s="1">
        <f>IFERROR(__xludf.DUMMYFUNCTION("""COMPUTED_VALUE"""),162000.0)</f>
        <v>162000</v>
      </c>
      <c r="C1503" s="1">
        <f>IFERROR(__xludf.DUMMYFUNCTION("""COMPUTED_VALUE"""),163400.0)</f>
        <v>163400</v>
      </c>
      <c r="D1503" s="1">
        <f>IFERROR(__xludf.DUMMYFUNCTION("""COMPUTED_VALUE"""),159000.0)</f>
        <v>159000</v>
      </c>
      <c r="E1503" s="1">
        <f>IFERROR(__xludf.DUMMYFUNCTION("""COMPUTED_VALUE"""),160000.0)</f>
        <v>160000</v>
      </c>
      <c r="F1503" s="1">
        <f>IFERROR(__xludf.DUMMYFUNCTION("""COMPUTED_VALUE"""),57995.0)</f>
        <v>57995</v>
      </c>
    </row>
    <row r="1504">
      <c r="A1504" s="2">
        <f>IFERROR(__xludf.DUMMYFUNCTION("""COMPUTED_VALUE"""),42801.64583333333)</f>
        <v>42801.64583</v>
      </c>
      <c r="B1504" s="1">
        <f>IFERROR(__xludf.DUMMYFUNCTION("""COMPUTED_VALUE"""),160000.0)</f>
        <v>160000</v>
      </c>
      <c r="C1504" s="1">
        <f>IFERROR(__xludf.DUMMYFUNCTION("""COMPUTED_VALUE"""),161200.0)</f>
        <v>161200</v>
      </c>
      <c r="D1504" s="1">
        <f>IFERROR(__xludf.DUMMYFUNCTION("""COMPUTED_VALUE"""),158800.0)</f>
        <v>158800</v>
      </c>
      <c r="E1504" s="1">
        <f>IFERROR(__xludf.DUMMYFUNCTION("""COMPUTED_VALUE"""),159800.0)</f>
        <v>159800</v>
      </c>
      <c r="F1504" s="1">
        <f>IFERROR(__xludf.DUMMYFUNCTION("""COMPUTED_VALUE"""),48316.0)</f>
        <v>48316</v>
      </c>
    </row>
    <row r="1505">
      <c r="A1505" s="2">
        <f>IFERROR(__xludf.DUMMYFUNCTION("""COMPUTED_VALUE"""),42802.64583333333)</f>
        <v>42802.64583</v>
      </c>
      <c r="B1505" s="1">
        <f>IFERROR(__xludf.DUMMYFUNCTION("""COMPUTED_VALUE"""),159600.0)</f>
        <v>159600</v>
      </c>
      <c r="C1505" s="1">
        <f>IFERROR(__xludf.DUMMYFUNCTION("""COMPUTED_VALUE"""),161400.0)</f>
        <v>161400</v>
      </c>
      <c r="D1505" s="1">
        <f>IFERROR(__xludf.DUMMYFUNCTION("""COMPUTED_VALUE"""),158200.0)</f>
        <v>158200</v>
      </c>
      <c r="E1505" s="1">
        <f>IFERROR(__xludf.DUMMYFUNCTION("""COMPUTED_VALUE"""),160000.0)</f>
        <v>160000</v>
      </c>
      <c r="F1505" s="1">
        <f>IFERROR(__xludf.DUMMYFUNCTION("""COMPUTED_VALUE"""),56378.0)</f>
        <v>56378</v>
      </c>
    </row>
    <row r="1506">
      <c r="A1506" s="2">
        <f>IFERROR(__xludf.DUMMYFUNCTION("""COMPUTED_VALUE"""),42803.64583333333)</f>
        <v>42803.64583</v>
      </c>
      <c r="B1506" s="1">
        <f>IFERROR(__xludf.DUMMYFUNCTION("""COMPUTED_VALUE"""),160200.0)</f>
        <v>160200</v>
      </c>
      <c r="C1506" s="1">
        <f>IFERROR(__xludf.DUMMYFUNCTION("""COMPUTED_VALUE"""),161200.0)</f>
        <v>161200</v>
      </c>
      <c r="D1506" s="1">
        <f>IFERROR(__xludf.DUMMYFUNCTION("""COMPUTED_VALUE"""),157800.0)</f>
        <v>157800</v>
      </c>
      <c r="E1506" s="1">
        <f>IFERROR(__xludf.DUMMYFUNCTION("""COMPUTED_VALUE"""),157800.0)</f>
        <v>157800</v>
      </c>
      <c r="F1506" s="1">
        <f>IFERROR(__xludf.DUMMYFUNCTION("""COMPUTED_VALUE"""),75785.0)</f>
        <v>75785</v>
      </c>
    </row>
    <row r="1507">
      <c r="A1507" s="2">
        <f>IFERROR(__xludf.DUMMYFUNCTION("""COMPUTED_VALUE"""),42804.64583333333)</f>
        <v>42804.64583</v>
      </c>
      <c r="B1507" s="1">
        <f>IFERROR(__xludf.DUMMYFUNCTION("""COMPUTED_VALUE"""),157800.0)</f>
        <v>157800</v>
      </c>
      <c r="C1507" s="1">
        <f>IFERROR(__xludf.DUMMYFUNCTION("""COMPUTED_VALUE"""),160400.0)</f>
        <v>160400</v>
      </c>
      <c r="D1507" s="1">
        <f>IFERROR(__xludf.DUMMYFUNCTION("""COMPUTED_VALUE"""),156600.0)</f>
        <v>156600</v>
      </c>
      <c r="E1507" s="1">
        <f>IFERROR(__xludf.DUMMYFUNCTION("""COMPUTED_VALUE"""),160000.0)</f>
        <v>160000</v>
      </c>
      <c r="F1507" s="1">
        <f>IFERROR(__xludf.DUMMYFUNCTION("""COMPUTED_VALUE"""),48907.0)</f>
        <v>48907</v>
      </c>
    </row>
    <row r="1508">
      <c r="A1508" s="2">
        <f>IFERROR(__xludf.DUMMYFUNCTION("""COMPUTED_VALUE"""),42807.64583333333)</f>
        <v>42807.64583</v>
      </c>
      <c r="B1508" s="1">
        <f>IFERROR(__xludf.DUMMYFUNCTION("""COMPUTED_VALUE"""),160000.0)</f>
        <v>160000</v>
      </c>
      <c r="C1508" s="1">
        <f>IFERROR(__xludf.DUMMYFUNCTION("""COMPUTED_VALUE"""),166600.0)</f>
        <v>166600</v>
      </c>
      <c r="D1508" s="1">
        <f>IFERROR(__xludf.DUMMYFUNCTION("""COMPUTED_VALUE"""),159800.0)</f>
        <v>159800</v>
      </c>
      <c r="E1508" s="1">
        <f>IFERROR(__xludf.DUMMYFUNCTION("""COMPUTED_VALUE"""),165200.0)</f>
        <v>165200</v>
      </c>
      <c r="F1508" s="1">
        <f>IFERROR(__xludf.DUMMYFUNCTION("""COMPUTED_VALUE"""),83464.0)</f>
        <v>83464</v>
      </c>
    </row>
    <row r="1509">
      <c r="A1509" s="2">
        <f>IFERROR(__xludf.DUMMYFUNCTION("""COMPUTED_VALUE"""),42808.64583333333)</f>
        <v>42808.64583</v>
      </c>
      <c r="B1509" s="1">
        <f>IFERROR(__xludf.DUMMYFUNCTION("""COMPUTED_VALUE"""),165400.0)</f>
        <v>165400</v>
      </c>
      <c r="C1509" s="1">
        <f>IFERROR(__xludf.DUMMYFUNCTION("""COMPUTED_VALUE"""),166600.0)</f>
        <v>166600</v>
      </c>
      <c r="D1509" s="1">
        <f>IFERROR(__xludf.DUMMYFUNCTION("""COMPUTED_VALUE"""),162200.0)</f>
        <v>162200</v>
      </c>
      <c r="E1509" s="1">
        <f>IFERROR(__xludf.DUMMYFUNCTION("""COMPUTED_VALUE"""),163000.0)</f>
        <v>163000</v>
      </c>
      <c r="F1509" s="1">
        <f>IFERROR(__xludf.DUMMYFUNCTION("""COMPUTED_VALUE"""),94487.0)</f>
        <v>94487</v>
      </c>
    </row>
    <row r="1510">
      <c r="A1510" s="2">
        <f>IFERROR(__xludf.DUMMYFUNCTION("""COMPUTED_VALUE"""),42809.64583333333)</f>
        <v>42809.64583</v>
      </c>
      <c r="B1510" s="1">
        <f>IFERROR(__xludf.DUMMYFUNCTION("""COMPUTED_VALUE"""),163400.0)</f>
        <v>163400</v>
      </c>
      <c r="C1510" s="1">
        <f>IFERROR(__xludf.DUMMYFUNCTION("""COMPUTED_VALUE"""),165200.0)</f>
        <v>165200</v>
      </c>
      <c r="D1510" s="1">
        <f>IFERROR(__xludf.DUMMYFUNCTION("""COMPUTED_VALUE"""),162000.0)</f>
        <v>162000</v>
      </c>
      <c r="E1510" s="1">
        <f>IFERROR(__xludf.DUMMYFUNCTION("""COMPUTED_VALUE"""),164000.0)</f>
        <v>164000</v>
      </c>
      <c r="F1510" s="1">
        <f>IFERROR(__xludf.DUMMYFUNCTION("""COMPUTED_VALUE"""),40787.0)</f>
        <v>40787</v>
      </c>
    </row>
    <row r="1511">
      <c r="A1511" s="2">
        <f>IFERROR(__xludf.DUMMYFUNCTION("""COMPUTED_VALUE"""),42810.64583333333)</f>
        <v>42810.64583</v>
      </c>
      <c r="B1511" s="1">
        <f>IFERROR(__xludf.DUMMYFUNCTION("""COMPUTED_VALUE"""),166800.0)</f>
        <v>166800</v>
      </c>
      <c r="C1511" s="1">
        <f>IFERROR(__xludf.DUMMYFUNCTION("""COMPUTED_VALUE"""),167000.0)</f>
        <v>167000</v>
      </c>
      <c r="D1511" s="1">
        <f>IFERROR(__xludf.DUMMYFUNCTION("""COMPUTED_VALUE"""),163400.0)</f>
        <v>163400</v>
      </c>
      <c r="E1511" s="1">
        <f>IFERROR(__xludf.DUMMYFUNCTION("""COMPUTED_VALUE"""),163800.0)</f>
        <v>163800</v>
      </c>
      <c r="F1511" s="1">
        <f>IFERROR(__xludf.DUMMYFUNCTION("""COMPUTED_VALUE"""),53315.0)</f>
        <v>53315</v>
      </c>
    </row>
    <row r="1512">
      <c r="A1512" s="2">
        <f>IFERROR(__xludf.DUMMYFUNCTION("""COMPUTED_VALUE"""),42811.64583333333)</f>
        <v>42811.64583</v>
      </c>
      <c r="B1512" s="1">
        <f>IFERROR(__xludf.DUMMYFUNCTION("""COMPUTED_VALUE"""),165000.0)</f>
        <v>165000</v>
      </c>
      <c r="C1512" s="1">
        <f>IFERROR(__xludf.DUMMYFUNCTION("""COMPUTED_VALUE"""),166600.0)</f>
        <v>166600</v>
      </c>
      <c r="D1512" s="1">
        <f>IFERROR(__xludf.DUMMYFUNCTION("""COMPUTED_VALUE"""),163800.0)</f>
        <v>163800</v>
      </c>
      <c r="E1512" s="1">
        <f>IFERROR(__xludf.DUMMYFUNCTION("""COMPUTED_VALUE"""),165400.0)</f>
        <v>165400</v>
      </c>
      <c r="F1512" s="1">
        <f>IFERROR(__xludf.DUMMYFUNCTION("""COMPUTED_VALUE"""),59069.0)</f>
        <v>59069</v>
      </c>
    </row>
    <row r="1513">
      <c r="A1513" s="2">
        <f>IFERROR(__xludf.DUMMYFUNCTION("""COMPUTED_VALUE"""),42814.64583333333)</f>
        <v>42814.64583</v>
      </c>
      <c r="B1513" s="1">
        <f>IFERROR(__xludf.DUMMYFUNCTION("""COMPUTED_VALUE"""),166000.0)</f>
        <v>166000</v>
      </c>
      <c r="C1513" s="1">
        <f>IFERROR(__xludf.DUMMYFUNCTION("""COMPUTED_VALUE"""),166000.0)</f>
        <v>166000</v>
      </c>
      <c r="D1513" s="1">
        <f>IFERROR(__xludf.DUMMYFUNCTION("""COMPUTED_VALUE"""),162000.0)</f>
        <v>162000</v>
      </c>
      <c r="E1513" s="1">
        <f>IFERROR(__xludf.DUMMYFUNCTION("""COMPUTED_VALUE"""),163600.0)</f>
        <v>163600</v>
      </c>
      <c r="F1513" s="1">
        <f>IFERROR(__xludf.DUMMYFUNCTION("""COMPUTED_VALUE"""),59293.0)</f>
        <v>59293</v>
      </c>
    </row>
    <row r="1514">
      <c r="A1514" s="2">
        <f>IFERROR(__xludf.DUMMYFUNCTION("""COMPUTED_VALUE"""),42815.64583333333)</f>
        <v>42815.64583</v>
      </c>
      <c r="B1514" s="1">
        <f>IFERROR(__xludf.DUMMYFUNCTION("""COMPUTED_VALUE"""),165600.0)</f>
        <v>165600</v>
      </c>
      <c r="C1514" s="1">
        <f>IFERROR(__xludf.DUMMYFUNCTION("""COMPUTED_VALUE"""),174400.0)</f>
        <v>174400</v>
      </c>
      <c r="D1514" s="1">
        <f>IFERROR(__xludf.DUMMYFUNCTION("""COMPUTED_VALUE"""),165000.0)</f>
        <v>165000</v>
      </c>
      <c r="E1514" s="1">
        <f>IFERROR(__xludf.DUMMYFUNCTION("""COMPUTED_VALUE"""),174200.0)</f>
        <v>174200</v>
      </c>
      <c r="F1514" s="1">
        <f>IFERROR(__xludf.DUMMYFUNCTION("""COMPUTED_VALUE"""),150195.0)</f>
        <v>150195</v>
      </c>
    </row>
    <row r="1515">
      <c r="A1515" s="2">
        <f>IFERROR(__xludf.DUMMYFUNCTION("""COMPUTED_VALUE"""),42816.64583333333)</f>
        <v>42816.64583</v>
      </c>
      <c r="B1515" s="1">
        <f>IFERROR(__xludf.DUMMYFUNCTION("""COMPUTED_VALUE"""),174000.0)</f>
        <v>174000</v>
      </c>
      <c r="C1515" s="1">
        <f>IFERROR(__xludf.DUMMYFUNCTION("""COMPUTED_VALUE"""),174200.0)</f>
        <v>174200</v>
      </c>
      <c r="D1515" s="1">
        <f>IFERROR(__xludf.DUMMYFUNCTION("""COMPUTED_VALUE"""),169200.0)</f>
        <v>169200</v>
      </c>
      <c r="E1515" s="1">
        <f>IFERROR(__xludf.DUMMYFUNCTION("""COMPUTED_VALUE"""),169800.0)</f>
        <v>169800</v>
      </c>
      <c r="F1515" s="1">
        <f>IFERROR(__xludf.DUMMYFUNCTION("""COMPUTED_VALUE"""),79212.0)</f>
        <v>79212</v>
      </c>
    </row>
    <row r="1516">
      <c r="A1516" s="2">
        <f>IFERROR(__xludf.DUMMYFUNCTION("""COMPUTED_VALUE"""),42817.64583333333)</f>
        <v>42817.64583</v>
      </c>
      <c r="B1516" s="1">
        <f>IFERROR(__xludf.DUMMYFUNCTION("""COMPUTED_VALUE"""),172000.0)</f>
        <v>172000</v>
      </c>
      <c r="C1516" s="1">
        <f>IFERROR(__xludf.DUMMYFUNCTION("""COMPUTED_VALUE"""),174400.0)</f>
        <v>174400</v>
      </c>
      <c r="D1516" s="1">
        <f>IFERROR(__xludf.DUMMYFUNCTION("""COMPUTED_VALUE"""),170200.0)</f>
        <v>170200</v>
      </c>
      <c r="E1516" s="1">
        <f>IFERROR(__xludf.DUMMYFUNCTION("""COMPUTED_VALUE"""),172800.0)</f>
        <v>172800</v>
      </c>
      <c r="F1516" s="1">
        <f>IFERROR(__xludf.DUMMYFUNCTION("""COMPUTED_VALUE"""),80062.0)</f>
        <v>80062</v>
      </c>
    </row>
    <row r="1517">
      <c r="A1517" s="2">
        <f>IFERROR(__xludf.DUMMYFUNCTION("""COMPUTED_VALUE"""),42818.64583333333)</f>
        <v>42818.64583</v>
      </c>
      <c r="B1517" s="1">
        <f>IFERROR(__xludf.DUMMYFUNCTION("""COMPUTED_VALUE"""),172800.0)</f>
        <v>172800</v>
      </c>
      <c r="C1517" s="1">
        <f>IFERROR(__xludf.DUMMYFUNCTION("""COMPUTED_VALUE"""),176000.0)</f>
        <v>176000</v>
      </c>
      <c r="D1517" s="1">
        <f>IFERROR(__xludf.DUMMYFUNCTION("""COMPUTED_VALUE"""),172800.0)</f>
        <v>172800</v>
      </c>
      <c r="E1517" s="1">
        <f>IFERROR(__xludf.DUMMYFUNCTION("""COMPUTED_VALUE"""),174400.0)</f>
        <v>174400</v>
      </c>
      <c r="F1517" s="1">
        <f>IFERROR(__xludf.DUMMYFUNCTION("""COMPUTED_VALUE"""),55786.0)</f>
        <v>55786</v>
      </c>
    </row>
    <row r="1518">
      <c r="A1518" s="2">
        <f>IFERROR(__xludf.DUMMYFUNCTION("""COMPUTED_VALUE"""),42821.64583333333)</f>
        <v>42821.64583</v>
      </c>
      <c r="B1518" s="1">
        <f>IFERROR(__xludf.DUMMYFUNCTION("""COMPUTED_VALUE"""),173000.0)</f>
        <v>173000</v>
      </c>
      <c r="C1518" s="1">
        <f>IFERROR(__xludf.DUMMYFUNCTION("""COMPUTED_VALUE"""),178400.0)</f>
        <v>178400</v>
      </c>
      <c r="D1518" s="1">
        <f>IFERROR(__xludf.DUMMYFUNCTION("""COMPUTED_VALUE"""),173000.0)</f>
        <v>173000</v>
      </c>
      <c r="E1518" s="1">
        <f>IFERROR(__xludf.DUMMYFUNCTION("""COMPUTED_VALUE"""),177000.0)</f>
        <v>177000</v>
      </c>
      <c r="F1518" s="1">
        <f>IFERROR(__xludf.DUMMYFUNCTION("""COMPUTED_VALUE"""),60459.0)</f>
        <v>60459</v>
      </c>
    </row>
    <row r="1519">
      <c r="A1519" s="2">
        <f>IFERROR(__xludf.DUMMYFUNCTION("""COMPUTED_VALUE"""),42822.64583333333)</f>
        <v>42822.64583</v>
      </c>
      <c r="B1519" s="1">
        <f>IFERROR(__xludf.DUMMYFUNCTION("""COMPUTED_VALUE"""),177000.0)</f>
        <v>177000</v>
      </c>
      <c r="C1519" s="1">
        <f>IFERROR(__xludf.DUMMYFUNCTION("""COMPUTED_VALUE"""),177200.0)</f>
        <v>177200</v>
      </c>
      <c r="D1519" s="1">
        <f>IFERROR(__xludf.DUMMYFUNCTION("""COMPUTED_VALUE"""),170200.0)</f>
        <v>170200</v>
      </c>
      <c r="E1519" s="1">
        <f>IFERROR(__xludf.DUMMYFUNCTION("""COMPUTED_VALUE"""),170600.0)</f>
        <v>170600</v>
      </c>
      <c r="F1519" s="1">
        <f>IFERROR(__xludf.DUMMYFUNCTION("""COMPUTED_VALUE"""),82475.0)</f>
        <v>82475</v>
      </c>
    </row>
    <row r="1520">
      <c r="A1520" s="2">
        <f>IFERROR(__xludf.DUMMYFUNCTION("""COMPUTED_VALUE"""),42823.64583333333)</f>
        <v>42823.64583</v>
      </c>
      <c r="B1520" s="1">
        <f>IFERROR(__xludf.DUMMYFUNCTION("""COMPUTED_VALUE"""),171800.0)</f>
        <v>171800</v>
      </c>
      <c r="C1520" s="1">
        <f>IFERROR(__xludf.DUMMYFUNCTION("""COMPUTED_VALUE"""),173000.0)</f>
        <v>173000</v>
      </c>
      <c r="D1520" s="1">
        <f>IFERROR(__xludf.DUMMYFUNCTION("""COMPUTED_VALUE"""),170800.0)</f>
        <v>170800</v>
      </c>
      <c r="E1520" s="1">
        <f>IFERROR(__xludf.DUMMYFUNCTION("""COMPUTED_VALUE"""),172800.0)</f>
        <v>172800</v>
      </c>
      <c r="F1520" s="1">
        <f>IFERROR(__xludf.DUMMYFUNCTION("""COMPUTED_VALUE"""),58716.0)</f>
        <v>58716</v>
      </c>
    </row>
    <row r="1521">
      <c r="A1521" s="2">
        <f>IFERROR(__xludf.DUMMYFUNCTION("""COMPUTED_VALUE"""),42824.64583333333)</f>
        <v>42824.64583</v>
      </c>
      <c r="B1521" s="1">
        <f>IFERROR(__xludf.DUMMYFUNCTION("""COMPUTED_VALUE"""),173000.0)</f>
        <v>173000</v>
      </c>
      <c r="C1521" s="1">
        <f>IFERROR(__xludf.DUMMYFUNCTION("""COMPUTED_VALUE"""),174800.0)</f>
        <v>174800</v>
      </c>
      <c r="D1521" s="1">
        <f>IFERROR(__xludf.DUMMYFUNCTION("""COMPUTED_VALUE"""),171200.0)</f>
        <v>171200</v>
      </c>
      <c r="E1521" s="1">
        <f>IFERROR(__xludf.DUMMYFUNCTION("""COMPUTED_VALUE"""),172200.0)</f>
        <v>172200</v>
      </c>
      <c r="F1521" s="1">
        <f>IFERROR(__xludf.DUMMYFUNCTION("""COMPUTED_VALUE"""),57075.0)</f>
        <v>57075</v>
      </c>
    </row>
    <row r="1522">
      <c r="A1522" s="2">
        <f>IFERROR(__xludf.DUMMYFUNCTION("""COMPUTED_VALUE"""),42825.64583333333)</f>
        <v>42825.64583</v>
      </c>
      <c r="B1522" s="1">
        <f>IFERROR(__xludf.DUMMYFUNCTION("""COMPUTED_VALUE"""),172200.0)</f>
        <v>172200</v>
      </c>
      <c r="C1522" s="1">
        <f>IFERROR(__xludf.DUMMYFUNCTION("""COMPUTED_VALUE"""),174000.0)</f>
        <v>174000</v>
      </c>
      <c r="D1522" s="1">
        <f>IFERROR(__xludf.DUMMYFUNCTION("""COMPUTED_VALUE"""),170800.0)</f>
        <v>170800</v>
      </c>
      <c r="E1522" s="1">
        <f>IFERROR(__xludf.DUMMYFUNCTION("""COMPUTED_VALUE"""),171000.0)</f>
        <v>171000</v>
      </c>
      <c r="F1522" s="1">
        <f>IFERROR(__xludf.DUMMYFUNCTION("""COMPUTED_VALUE"""),50026.0)</f>
        <v>50026</v>
      </c>
    </row>
    <row r="1523">
      <c r="A1523" s="2">
        <f>IFERROR(__xludf.DUMMYFUNCTION("""COMPUTED_VALUE"""),42828.64583333333)</f>
        <v>42828.64583</v>
      </c>
      <c r="B1523" s="1">
        <f>IFERROR(__xludf.DUMMYFUNCTION("""COMPUTED_VALUE"""),171000.0)</f>
        <v>171000</v>
      </c>
      <c r="C1523" s="1">
        <f>IFERROR(__xludf.DUMMYFUNCTION("""COMPUTED_VALUE"""),175600.0)</f>
        <v>175600</v>
      </c>
      <c r="D1523" s="1">
        <f>IFERROR(__xludf.DUMMYFUNCTION("""COMPUTED_VALUE"""),168600.0)</f>
        <v>168600</v>
      </c>
      <c r="E1523" s="1">
        <f>IFERROR(__xludf.DUMMYFUNCTION("""COMPUTED_VALUE"""),174600.0)</f>
        <v>174600</v>
      </c>
      <c r="F1523" s="1">
        <f>IFERROR(__xludf.DUMMYFUNCTION("""COMPUTED_VALUE"""),54884.0)</f>
        <v>54884</v>
      </c>
    </row>
    <row r="1524">
      <c r="A1524" s="2">
        <f>IFERROR(__xludf.DUMMYFUNCTION("""COMPUTED_VALUE"""),42829.64583333333)</f>
        <v>42829.64583</v>
      </c>
      <c r="B1524" s="1">
        <f>IFERROR(__xludf.DUMMYFUNCTION("""COMPUTED_VALUE"""),173600.0)</f>
        <v>173600</v>
      </c>
      <c r="C1524" s="1">
        <f>IFERROR(__xludf.DUMMYFUNCTION("""COMPUTED_VALUE"""),173800.0)</f>
        <v>173800</v>
      </c>
      <c r="D1524" s="1">
        <f>IFERROR(__xludf.DUMMYFUNCTION("""COMPUTED_VALUE"""),169200.0)</f>
        <v>169200</v>
      </c>
      <c r="E1524" s="1">
        <f>IFERROR(__xludf.DUMMYFUNCTION("""COMPUTED_VALUE"""),170000.0)</f>
        <v>170000</v>
      </c>
      <c r="F1524" s="1">
        <f>IFERROR(__xludf.DUMMYFUNCTION("""COMPUTED_VALUE"""),59594.0)</f>
        <v>59594</v>
      </c>
    </row>
    <row r="1525">
      <c r="A1525" s="2">
        <f>IFERROR(__xludf.DUMMYFUNCTION("""COMPUTED_VALUE"""),42830.64583333333)</f>
        <v>42830.64583</v>
      </c>
      <c r="B1525" s="1">
        <f>IFERROR(__xludf.DUMMYFUNCTION("""COMPUTED_VALUE"""),171400.0)</f>
        <v>171400</v>
      </c>
      <c r="C1525" s="1">
        <f>IFERROR(__xludf.DUMMYFUNCTION("""COMPUTED_VALUE"""),171800.0)</f>
        <v>171800</v>
      </c>
      <c r="D1525" s="1">
        <f>IFERROR(__xludf.DUMMYFUNCTION("""COMPUTED_VALUE"""),167000.0)</f>
        <v>167000</v>
      </c>
      <c r="E1525" s="1">
        <f>IFERROR(__xludf.DUMMYFUNCTION("""COMPUTED_VALUE"""),168600.0)</f>
        <v>168600</v>
      </c>
      <c r="F1525" s="1">
        <f>IFERROR(__xludf.DUMMYFUNCTION("""COMPUTED_VALUE"""),99674.0)</f>
        <v>99674</v>
      </c>
    </row>
    <row r="1526">
      <c r="A1526" s="2">
        <f>IFERROR(__xludf.DUMMYFUNCTION("""COMPUTED_VALUE"""),42831.64583333333)</f>
        <v>42831.64583</v>
      </c>
      <c r="B1526" s="1">
        <f>IFERROR(__xludf.DUMMYFUNCTION("""COMPUTED_VALUE"""),167600.0)</f>
        <v>167600</v>
      </c>
      <c r="C1526" s="1">
        <f>IFERROR(__xludf.DUMMYFUNCTION("""COMPUTED_VALUE"""),168000.0)</f>
        <v>168000</v>
      </c>
      <c r="D1526" s="1">
        <f>IFERROR(__xludf.DUMMYFUNCTION("""COMPUTED_VALUE"""),165200.0)</f>
        <v>165200</v>
      </c>
      <c r="E1526" s="1">
        <f>IFERROR(__xludf.DUMMYFUNCTION("""COMPUTED_VALUE"""),168000.0)</f>
        <v>168000</v>
      </c>
      <c r="F1526" s="1">
        <f>IFERROR(__xludf.DUMMYFUNCTION("""COMPUTED_VALUE"""),72103.0)</f>
        <v>72103</v>
      </c>
    </row>
    <row r="1527">
      <c r="A1527" s="2">
        <f>IFERROR(__xludf.DUMMYFUNCTION("""COMPUTED_VALUE"""),42832.64583333333)</f>
        <v>42832.64583</v>
      </c>
      <c r="B1527" s="1">
        <f>IFERROR(__xludf.DUMMYFUNCTION("""COMPUTED_VALUE"""),167400.0)</f>
        <v>167400</v>
      </c>
      <c r="C1527" s="1">
        <f>IFERROR(__xludf.DUMMYFUNCTION("""COMPUTED_VALUE"""),168400.0)</f>
        <v>168400</v>
      </c>
      <c r="D1527" s="1">
        <f>IFERROR(__xludf.DUMMYFUNCTION("""COMPUTED_VALUE"""),165000.0)</f>
        <v>165000</v>
      </c>
      <c r="E1527" s="1">
        <f>IFERROR(__xludf.DUMMYFUNCTION("""COMPUTED_VALUE"""),165600.0)</f>
        <v>165600</v>
      </c>
      <c r="F1527" s="1">
        <f>IFERROR(__xludf.DUMMYFUNCTION("""COMPUTED_VALUE"""),57671.0)</f>
        <v>57671</v>
      </c>
    </row>
    <row r="1528">
      <c r="A1528" s="2">
        <f>IFERROR(__xludf.DUMMYFUNCTION("""COMPUTED_VALUE"""),42835.64583333333)</f>
        <v>42835.64583</v>
      </c>
      <c r="B1528" s="1">
        <f>IFERROR(__xludf.DUMMYFUNCTION("""COMPUTED_VALUE"""),164600.0)</f>
        <v>164600</v>
      </c>
      <c r="C1528" s="1">
        <f>IFERROR(__xludf.DUMMYFUNCTION("""COMPUTED_VALUE"""),165600.0)</f>
        <v>165600</v>
      </c>
      <c r="D1528" s="1">
        <f>IFERROR(__xludf.DUMMYFUNCTION("""COMPUTED_VALUE"""),162200.0)</f>
        <v>162200</v>
      </c>
      <c r="E1528" s="1">
        <f>IFERROR(__xludf.DUMMYFUNCTION("""COMPUTED_VALUE"""),163600.0)</f>
        <v>163600</v>
      </c>
      <c r="F1528" s="1">
        <f>IFERROR(__xludf.DUMMYFUNCTION("""COMPUTED_VALUE"""),71406.0)</f>
        <v>71406</v>
      </c>
    </row>
    <row r="1529">
      <c r="A1529" s="2">
        <f>IFERROR(__xludf.DUMMYFUNCTION("""COMPUTED_VALUE"""),42836.64583333333)</f>
        <v>42836.64583</v>
      </c>
      <c r="B1529" s="1">
        <f>IFERROR(__xludf.DUMMYFUNCTION("""COMPUTED_VALUE"""),162000.0)</f>
        <v>162000</v>
      </c>
      <c r="C1529" s="1">
        <f>IFERROR(__xludf.DUMMYFUNCTION("""COMPUTED_VALUE"""),162200.0)</f>
        <v>162200</v>
      </c>
      <c r="D1529" s="1">
        <f>IFERROR(__xludf.DUMMYFUNCTION("""COMPUTED_VALUE"""),153400.0)</f>
        <v>153400</v>
      </c>
      <c r="E1529" s="1">
        <f>IFERROR(__xludf.DUMMYFUNCTION("""COMPUTED_VALUE"""),154000.0)</f>
        <v>154000</v>
      </c>
      <c r="F1529" s="1">
        <f>IFERROR(__xludf.DUMMYFUNCTION("""COMPUTED_VALUE"""),263066.0)</f>
        <v>263066</v>
      </c>
    </row>
    <row r="1530">
      <c r="A1530" s="2">
        <f>IFERROR(__xludf.DUMMYFUNCTION("""COMPUTED_VALUE"""),42837.64583333333)</f>
        <v>42837.64583</v>
      </c>
      <c r="B1530" s="1">
        <f>IFERROR(__xludf.DUMMYFUNCTION("""COMPUTED_VALUE"""),154600.0)</f>
        <v>154600</v>
      </c>
      <c r="C1530" s="1">
        <f>IFERROR(__xludf.DUMMYFUNCTION("""COMPUTED_VALUE"""),155400.0)</f>
        <v>155400</v>
      </c>
      <c r="D1530" s="1">
        <f>IFERROR(__xludf.DUMMYFUNCTION("""COMPUTED_VALUE"""),151400.0)</f>
        <v>151400</v>
      </c>
      <c r="E1530" s="1">
        <f>IFERROR(__xludf.DUMMYFUNCTION("""COMPUTED_VALUE"""),153600.0)</f>
        <v>153600</v>
      </c>
      <c r="F1530" s="1">
        <f>IFERROR(__xludf.DUMMYFUNCTION("""COMPUTED_VALUE"""),205449.0)</f>
        <v>205449</v>
      </c>
    </row>
    <row r="1531">
      <c r="A1531" s="2">
        <f>IFERROR(__xludf.DUMMYFUNCTION("""COMPUTED_VALUE"""),42838.64583333333)</f>
        <v>42838.64583</v>
      </c>
      <c r="B1531" s="1">
        <f>IFERROR(__xludf.DUMMYFUNCTION("""COMPUTED_VALUE"""),154600.0)</f>
        <v>154600</v>
      </c>
      <c r="C1531" s="1">
        <f>IFERROR(__xludf.DUMMYFUNCTION("""COMPUTED_VALUE"""),160600.0)</f>
        <v>160600</v>
      </c>
      <c r="D1531" s="1">
        <f>IFERROR(__xludf.DUMMYFUNCTION("""COMPUTED_VALUE"""),154000.0)</f>
        <v>154000</v>
      </c>
      <c r="E1531" s="1">
        <f>IFERROR(__xludf.DUMMYFUNCTION("""COMPUTED_VALUE"""),160400.0)</f>
        <v>160400</v>
      </c>
      <c r="F1531" s="1">
        <f>IFERROR(__xludf.DUMMYFUNCTION("""COMPUTED_VALUE"""),173040.0)</f>
        <v>173040</v>
      </c>
    </row>
    <row r="1532">
      <c r="A1532" s="2">
        <f>IFERROR(__xludf.DUMMYFUNCTION("""COMPUTED_VALUE"""),42839.64583333333)</f>
        <v>42839.64583</v>
      </c>
      <c r="B1532" s="1">
        <f>IFERROR(__xludf.DUMMYFUNCTION("""COMPUTED_VALUE"""),159600.0)</f>
        <v>159600</v>
      </c>
      <c r="C1532" s="1">
        <f>IFERROR(__xludf.DUMMYFUNCTION("""COMPUTED_VALUE"""),162200.0)</f>
        <v>162200</v>
      </c>
      <c r="D1532" s="1">
        <f>IFERROR(__xludf.DUMMYFUNCTION("""COMPUTED_VALUE"""),157200.0)</f>
        <v>157200</v>
      </c>
      <c r="E1532" s="1">
        <f>IFERROR(__xludf.DUMMYFUNCTION("""COMPUTED_VALUE"""),157400.0)</f>
        <v>157400</v>
      </c>
      <c r="F1532" s="1">
        <f>IFERROR(__xludf.DUMMYFUNCTION("""COMPUTED_VALUE"""),59789.0)</f>
        <v>59789</v>
      </c>
    </row>
    <row r="1533">
      <c r="A1533" s="2">
        <f>IFERROR(__xludf.DUMMYFUNCTION("""COMPUTED_VALUE"""),42842.64583333333)</f>
        <v>42842.64583</v>
      </c>
      <c r="B1533" s="1">
        <f>IFERROR(__xludf.DUMMYFUNCTION("""COMPUTED_VALUE"""),156000.0)</f>
        <v>156000</v>
      </c>
      <c r="C1533" s="1">
        <f>IFERROR(__xludf.DUMMYFUNCTION("""COMPUTED_VALUE"""),158600.0)</f>
        <v>158600</v>
      </c>
      <c r="D1533" s="1">
        <f>IFERROR(__xludf.DUMMYFUNCTION("""COMPUTED_VALUE"""),154600.0)</f>
        <v>154600</v>
      </c>
      <c r="E1533" s="1">
        <f>IFERROR(__xludf.DUMMYFUNCTION("""COMPUTED_VALUE"""),157000.0)</f>
        <v>157000</v>
      </c>
      <c r="F1533" s="1">
        <f>IFERROR(__xludf.DUMMYFUNCTION("""COMPUTED_VALUE"""),55583.0)</f>
        <v>55583</v>
      </c>
    </row>
    <row r="1534">
      <c r="A1534" s="2">
        <f>IFERROR(__xludf.DUMMYFUNCTION("""COMPUTED_VALUE"""),42843.64583333333)</f>
        <v>42843.64583</v>
      </c>
      <c r="B1534" s="1">
        <f>IFERROR(__xludf.DUMMYFUNCTION("""COMPUTED_VALUE"""),158200.0)</f>
        <v>158200</v>
      </c>
      <c r="C1534" s="1">
        <f>IFERROR(__xludf.DUMMYFUNCTION("""COMPUTED_VALUE"""),158200.0)</f>
        <v>158200</v>
      </c>
      <c r="D1534" s="1">
        <f>IFERROR(__xludf.DUMMYFUNCTION("""COMPUTED_VALUE"""),155400.0)</f>
        <v>155400</v>
      </c>
      <c r="E1534" s="1">
        <f>IFERROR(__xludf.DUMMYFUNCTION("""COMPUTED_VALUE"""),155600.0)</f>
        <v>155600</v>
      </c>
      <c r="F1534" s="1">
        <f>IFERROR(__xludf.DUMMYFUNCTION("""COMPUTED_VALUE"""),54222.0)</f>
        <v>54222</v>
      </c>
    </row>
    <row r="1535">
      <c r="A1535" s="2">
        <f>IFERROR(__xludf.DUMMYFUNCTION("""COMPUTED_VALUE"""),42844.64583333333)</f>
        <v>42844.64583</v>
      </c>
      <c r="B1535" s="1">
        <f>IFERROR(__xludf.DUMMYFUNCTION("""COMPUTED_VALUE"""),155600.0)</f>
        <v>155600</v>
      </c>
      <c r="C1535" s="1">
        <f>IFERROR(__xludf.DUMMYFUNCTION("""COMPUTED_VALUE"""),157000.0)</f>
        <v>157000</v>
      </c>
      <c r="D1535" s="1">
        <f>IFERROR(__xludf.DUMMYFUNCTION("""COMPUTED_VALUE"""),155400.0)</f>
        <v>155400</v>
      </c>
      <c r="E1535" s="1">
        <f>IFERROR(__xludf.DUMMYFUNCTION("""COMPUTED_VALUE"""),155400.0)</f>
        <v>155400</v>
      </c>
      <c r="F1535" s="1">
        <f>IFERROR(__xludf.DUMMYFUNCTION("""COMPUTED_VALUE"""),82834.0)</f>
        <v>82834</v>
      </c>
    </row>
    <row r="1536">
      <c r="A1536" s="2">
        <f>IFERROR(__xludf.DUMMYFUNCTION("""COMPUTED_VALUE"""),42845.64583333333)</f>
        <v>42845.64583</v>
      </c>
      <c r="B1536" s="1">
        <f>IFERROR(__xludf.DUMMYFUNCTION("""COMPUTED_VALUE"""),157000.0)</f>
        <v>157000</v>
      </c>
      <c r="C1536" s="1">
        <f>IFERROR(__xludf.DUMMYFUNCTION("""COMPUTED_VALUE"""),160000.0)</f>
        <v>160000</v>
      </c>
      <c r="D1536" s="1">
        <f>IFERROR(__xludf.DUMMYFUNCTION("""COMPUTED_VALUE"""),156200.0)</f>
        <v>156200</v>
      </c>
      <c r="E1536" s="1">
        <f>IFERROR(__xludf.DUMMYFUNCTION("""COMPUTED_VALUE"""),159200.0)</f>
        <v>159200</v>
      </c>
      <c r="F1536" s="1">
        <f>IFERROR(__xludf.DUMMYFUNCTION("""COMPUTED_VALUE"""),98297.0)</f>
        <v>98297</v>
      </c>
    </row>
    <row r="1537">
      <c r="A1537" s="2">
        <f>IFERROR(__xludf.DUMMYFUNCTION("""COMPUTED_VALUE"""),42846.64583333333)</f>
        <v>42846.64583</v>
      </c>
      <c r="B1537" s="1">
        <f>IFERROR(__xludf.DUMMYFUNCTION("""COMPUTED_VALUE"""),160200.0)</f>
        <v>160200</v>
      </c>
      <c r="C1537" s="1">
        <f>IFERROR(__xludf.DUMMYFUNCTION("""COMPUTED_VALUE"""),162600.0)</f>
        <v>162600</v>
      </c>
      <c r="D1537" s="1">
        <f>IFERROR(__xludf.DUMMYFUNCTION("""COMPUTED_VALUE"""),159200.0)</f>
        <v>159200</v>
      </c>
      <c r="E1537" s="1">
        <f>IFERROR(__xludf.DUMMYFUNCTION("""COMPUTED_VALUE"""),162600.0)</f>
        <v>162600</v>
      </c>
      <c r="F1537" s="1">
        <f>IFERROR(__xludf.DUMMYFUNCTION("""COMPUTED_VALUE"""),85913.0)</f>
        <v>85913</v>
      </c>
    </row>
    <row r="1538">
      <c r="A1538" s="2">
        <f>IFERROR(__xludf.DUMMYFUNCTION("""COMPUTED_VALUE"""),42849.64583333333)</f>
        <v>42849.64583</v>
      </c>
      <c r="B1538" s="1">
        <f>IFERROR(__xludf.DUMMYFUNCTION("""COMPUTED_VALUE"""),162200.0)</f>
        <v>162200</v>
      </c>
      <c r="C1538" s="1">
        <f>IFERROR(__xludf.DUMMYFUNCTION("""COMPUTED_VALUE"""),162600.0)</f>
        <v>162600</v>
      </c>
      <c r="D1538" s="1">
        <f>IFERROR(__xludf.DUMMYFUNCTION("""COMPUTED_VALUE"""),161000.0)</f>
        <v>161000</v>
      </c>
      <c r="E1538" s="1">
        <f>IFERROR(__xludf.DUMMYFUNCTION("""COMPUTED_VALUE"""),162000.0)</f>
        <v>162000</v>
      </c>
      <c r="F1538" s="1">
        <f>IFERROR(__xludf.DUMMYFUNCTION("""COMPUTED_VALUE"""),86866.0)</f>
        <v>86866</v>
      </c>
    </row>
    <row r="1539">
      <c r="A1539" s="2">
        <f>IFERROR(__xludf.DUMMYFUNCTION("""COMPUTED_VALUE"""),42850.64583333333)</f>
        <v>42850.64583</v>
      </c>
      <c r="B1539" s="1">
        <f>IFERROR(__xludf.DUMMYFUNCTION("""COMPUTED_VALUE"""),163000.0)</f>
        <v>163000</v>
      </c>
      <c r="C1539" s="1">
        <f>IFERROR(__xludf.DUMMYFUNCTION("""COMPUTED_VALUE"""),163000.0)</f>
        <v>163000</v>
      </c>
      <c r="D1539" s="1">
        <f>IFERROR(__xludf.DUMMYFUNCTION("""COMPUTED_VALUE"""),160600.0)</f>
        <v>160600</v>
      </c>
      <c r="E1539" s="1">
        <f>IFERROR(__xludf.DUMMYFUNCTION("""COMPUTED_VALUE"""),163000.0)</f>
        <v>163000</v>
      </c>
      <c r="F1539" s="1">
        <f>IFERROR(__xludf.DUMMYFUNCTION("""COMPUTED_VALUE"""),151351.0)</f>
        <v>151351</v>
      </c>
    </row>
    <row r="1540">
      <c r="A1540" s="2">
        <f>IFERROR(__xludf.DUMMYFUNCTION("""COMPUTED_VALUE"""),42851.64583333333)</f>
        <v>42851.64583</v>
      </c>
      <c r="B1540" s="1">
        <f>IFERROR(__xludf.DUMMYFUNCTION("""COMPUTED_VALUE"""),163000.0)</f>
        <v>163000</v>
      </c>
      <c r="C1540" s="1">
        <f>IFERROR(__xludf.DUMMYFUNCTION("""COMPUTED_VALUE"""),163200.0)</f>
        <v>163200</v>
      </c>
      <c r="D1540" s="1">
        <f>IFERROR(__xludf.DUMMYFUNCTION("""COMPUTED_VALUE"""),160800.0)</f>
        <v>160800</v>
      </c>
      <c r="E1540" s="1">
        <f>IFERROR(__xludf.DUMMYFUNCTION("""COMPUTED_VALUE"""),161400.0)</f>
        <v>161400</v>
      </c>
      <c r="F1540" s="1">
        <f>IFERROR(__xludf.DUMMYFUNCTION("""COMPUTED_VALUE"""),161105.0)</f>
        <v>161105</v>
      </c>
    </row>
    <row r="1541">
      <c r="A1541" s="2">
        <f>IFERROR(__xludf.DUMMYFUNCTION("""COMPUTED_VALUE"""),42852.64583333333)</f>
        <v>42852.64583</v>
      </c>
      <c r="B1541" s="1">
        <f>IFERROR(__xludf.DUMMYFUNCTION("""COMPUTED_VALUE"""),159200.0)</f>
        <v>159200</v>
      </c>
      <c r="C1541" s="1">
        <f>IFERROR(__xludf.DUMMYFUNCTION("""COMPUTED_VALUE"""),160000.0)</f>
        <v>160000</v>
      </c>
      <c r="D1541" s="1">
        <f>IFERROR(__xludf.DUMMYFUNCTION("""COMPUTED_VALUE"""),157000.0)</f>
        <v>157000</v>
      </c>
      <c r="E1541" s="1">
        <f>IFERROR(__xludf.DUMMYFUNCTION("""COMPUTED_VALUE"""),158200.0)</f>
        <v>158200</v>
      </c>
      <c r="F1541" s="1">
        <f>IFERROR(__xludf.DUMMYFUNCTION("""COMPUTED_VALUE"""),169134.0)</f>
        <v>169134</v>
      </c>
    </row>
    <row r="1542">
      <c r="A1542" s="2">
        <f>IFERROR(__xludf.DUMMYFUNCTION("""COMPUTED_VALUE"""),42853.64583333333)</f>
        <v>42853.64583</v>
      </c>
      <c r="B1542" s="1">
        <f>IFERROR(__xludf.DUMMYFUNCTION("""COMPUTED_VALUE"""),158200.0)</f>
        <v>158200</v>
      </c>
      <c r="C1542" s="1">
        <f>IFERROR(__xludf.DUMMYFUNCTION("""COMPUTED_VALUE"""),160600.0)</f>
        <v>160600</v>
      </c>
      <c r="D1542" s="1">
        <f>IFERROR(__xludf.DUMMYFUNCTION("""COMPUTED_VALUE"""),158200.0)</f>
        <v>158200</v>
      </c>
      <c r="E1542" s="1">
        <f>IFERROR(__xludf.DUMMYFUNCTION("""COMPUTED_VALUE"""),160000.0)</f>
        <v>160000</v>
      </c>
      <c r="F1542" s="1">
        <f>IFERROR(__xludf.DUMMYFUNCTION("""COMPUTED_VALUE"""),112573.0)</f>
        <v>112573</v>
      </c>
    </row>
    <row r="1543">
      <c r="A1543" s="2">
        <f>IFERROR(__xludf.DUMMYFUNCTION("""COMPUTED_VALUE"""),42857.64583333333)</f>
        <v>42857.64583</v>
      </c>
      <c r="B1543" s="1">
        <f>IFERROR(__xludf.DUMMYFUNCTION("""COMPUTED_VALUE"""),160000.0)</f>
        <v>160000</v>
      </c>
      <c r="C1543" s="1">
        <f>IFERROR(__xludf.DUMMYFUNCTION("""COMPUTED_VALUE"""),161400.0)</f>
        <v>161400</v>
      </c>
      <c r="D1543" s="1">
        <f>IFERROR(__xludf.DUMMYFUNCTION("""COMPUTED_VALUE"""),158000.0)</f>
        <v>158000</v>
      </c>
      <c r="E1543" s="1">
        <f>IFERROR(__xludf.DUMMYFUNCTION("""COMPUTED_VALUE"""),160200.0)</f>
        <v>160200</v>
      </c>
      <c r="F1543" s="1">
        <f>IFERROR(__xludf.DUMMYFUNCTION("""COMPUTED_VALUE"""),108742.0)</f>
        <v>108742</v>
      </c>
    </row>
    <row r="1544">
      <c r="A1544" s="2">
        <f>IFERROR(__xludf.DUMMYFUNCTION("""COMPUTED_VALUE"""),42859.64583333333)</f>
        <v>42859.64583</v>
      </c>
      <c r="B1544" s="1">
        <f>IFERROR(__xludf.DUMMYFUNCTION("""COMPUTED_VALUE"""),161200.0)</f>
        <v>161200</v>
      </c>
      <c r="C1544" s="1">
        <f>IFERROR(__xludf.DUMMYFUNCTION("""COMPUTED_VALUE"""),164600.0)</f>
        <v>164600</v>
      </c>
      <c r="D1544" s="1">
        <f>IFERROR(__xludf.DUMMYFUNCTION("""COMPUTED_VALUE"""),160600.0)</f>
        <v>160600</v>
      </c>
      <c r="E1544" s="1">
        <f>IFERROR(__xludf.DUMMYFUNCTION("""COMPUTED_VALUE"""),164600.0)</f>
        <v>164600</v>
      </c>
      <c r="F1544" s="1">
        <f>IFERROR(__xludf.DUMMYFUNCTION("""COMPUTED_VALUE"""),88182.0)</f>
        <v>88182</v>
      </c>
    </row>
    <row r="1545">
      <c r="A1545" s="2">
        <f>IFERROR(__xludf.DUMMYFUNCTION("""COMPUTED_VALUE"""),42863.64583333333)</f>
        <v>42863.64583</v>
      </c>
      <c r="B1545" s="1">
        <f>IFERROR(__xludf.DUMMYFUNCTION("""COMPUTED_VALUE"""),164600.0)</f>
        <v>164600</v>
      </c>
      <c r="C1545" s="1">
        <f>IFERROR(__xludf.DUMMYFUNCTION("""COMPUTED_VALUE"""),169000.0)</f>
        <v>169000</v>
      </c>
      <c r="D1545" s="1">
        <f>IFERROR(__xludf.DUMMYFUNCTION("""COMPUTED_VALUE"""),163000.0)</f>
        <v>163000</v>
      </c>
      <c r="E1545" s="1">
        <f>IFERROR(__xludf.DUMMYFUNCTION("""COMPUTED_VALUE"""),169000.0)</f>
        <v>169000</v>
      </c>
      <c r="F1545" s="1">
        <f>IFERROR(__xludf.DUMMYFUNCTION("""COMPUTED_VALUE"""),133891.0)</f>
        <v>133891</v>
      </c>
    </row>
    <row r="1546">
      <c r="A1546" s="2">
        <f>IFERROR(__xludf.DUMMYFUNCTION("""COMPUTED_VALUE"""),42865.64583333333)</f>
        <v>42865.64583</v>
      </c>
      <c r="B1546" s="1">
        <f>IFERROR(__xludf.DUMMYFUNCTION("""COMPUTED_VALUE"""),171800.0)</f>
        <v>171800</v>
      </c>
      <c r="C1546" s="1">
        <f>IFERROR(__xludf.DUMMYFUNCTION("""COMPUTED_VALUE"""),175600.0)</f>
        <v>175600</v>
      </c>
      <c r="D1546" s="1">
        <f>IFERROR(__xludf.DUMMYFUNCTION("""COMPUTED_VALUE"""),164600.0)</f>
        <v>164600</v>
      </c>
      <c r="E1546" s="1">
        <f>IFERROR(__xludf.DUMMYFUNCTION("""COMPUTED_VALUE"""),164800.0)</f>
        <v>164800</v>
      </c>
      <c r="F1546" s="1">
        <f>IFERROR(__xludf.DUMMYFUNCTION("""COMPUTED_VALUE"""),141076.0)</f>
        <v>141076</v>
      </c>
    </row>
    <row r="1547">
      <c r="A1547" s="2">
        <f>IFERROR(__xludf.DUMMYFUNCTION("""COMPUTED_VALUE"""),42866.64583333333)</f>
        <v>42866.64583</v>
      </c>
      <c r="B1547" s="1">
        <f>IFERROR(__xludf.DUMMYFUNCTION("""COMPUTED_VALUE"""),168200.0)</f>
        <v>168200</v>
      </c>
      <c r="C1547" s="1">
        <f>IFERROR(__xludf.DUMMYFUNCTION("""COMPUTED_VALUE"""),173200.0)</f>
        <v>173200</v>
      </c>
      <c r="D1547" s="1">
        <f>IFERROR(__xludf.DUMMYFUNCTION("""COMPUTED_VALUE"""),167400.0)</f>
        <v>167400</v>
      </c>
      <c r="E1547" s="1">
        <f>IFERROR(__xludf.DUMMYFUNCTION("""COMPUTED_VALUE"""),173200.0)</f>
        <v>173200</v>
      </c>
      <c r="F1547" s="1">
        <f>IFERROR(__xludf.DUMMYFUNCTION("""COMPUTED_VALUE"""),174898.0)</f>
        <v>174898</v>
      </c>
    </row>
    <row r="1548">
      <c r="A1548" s="2">
        <f>IFERROR(__xludf.DUMMYFUNCTION("""COMPUTED_VALUE"""),42867.64583333333)</f>
        <v>42867.64583</v>
      </c>
      <c r="B1548" s="1">
        <f>IFERROR(__xludf.DUMMYFUNCTION("""COMPUTED_VALUE"""),172800.0)</f>
        <v>172800</v>
      </c>
      <c r="C1548" s="1">
        <f>IFERROR(__xludf.DUMMYFUNCTION("""COMPUTED_VALUE"""),173000.0)</f>
        <v>173000</v>
      </c>
      <c r="D1548" s="1">
        <f>IFERROR(__xludf.DUMMYFUNCTION("""COMPUTED_VALUE"""),168400.0)</f>
        <v>168400</v>
      </c>
      <c r="E1548" s="1">
        <f>IFERROR(__xludf.DUMMYFUNCTION("""COMPUTED_VALUE"""),169600.0)</f>
        <v>169600</v>
      </c>
      <c r="F1548" s="1">
        <f>IFERROR(__xludf.DUMMYFUNCTION("""COMPUTED_VALUE"""),76597.0)</f>
        <v>76597</v>
      </c>
    </row>
    <row r="1549">
      <c r="A1549" s="2">
        <f>IFERROR(__xludf.DUMMYFUNCTION("""COMPUTED_VALUE"""),42870.64583333333)</f>
        <v>42870.64583</v>
      </c>
      <c r="B1549" s="1">
        <f>IFERROR(__xludf.DUMMYFUNCTION("""COMPUTED_VALUE"""),170600.0)</f>
        <v>170600</v>
      </c>
      <c r="C1549" s="1">
        <f>IFERROR(__xludf.DUMMYFUNCTION("""COMPUTED_VALUE"""),170800.0)</f>
        <v>170800</v>
      </c>
      <c r="D1549" s="1">
        <f>IFERROR(__xludf.DUMMYFUNCTION("""COMPUTED_VALUE"""),166800.0)</f>
        <v>166800</v>
      </c>
      <c r="E1549" s="1">
        <f>IFERROR(__xludf.DUMMYFUNCTION("""COMPUTED_VALUE"""),167800.0)</f>
        <v>167800</v>
      </c>
      <c r="F1549" s="1">
        <f>IFERROR(__xludf.DUMMYFUNCTION("""COMPUTED_VALUE"""),47526.0)</f>
        <v>47526</v>
      </c>
    </row>
    <row r="1550">
      <c r="A1550" s="2">
        <f>IFERROR(__xludf.DUMMYFUNCTION("""COMPUTED_VALUE"""),42871.64583333333)</f>
        <v>42871.64583</v>
      </c>
      <c r="B1550" s="1">
        <f>IFERROR(__xludf.DUMMYFUNCTION("""COMPUTED_VALUE"""),167800.0)</f>
        <v>167800</v>
      </c>
      <c r="C1550" s="1">
        <f>IFERROR(__xludf.DUMMYFUNCTION("""COMPUTED_VALUE"""),170000.0)</f>
        <v>170000</v>
      </c>
      <c r="D1550" s="1">
        <f>IFERROR(__xludf.DUMMYFUNCTION("""COMPUTED_VALUE"""),166000.0)</f>
        <v>166000</v>
      </c>
      <c r="E1550" s="1">
        <f>IFERROR(__xludf.DUMMYFUNCTION("""COMPUTED_VALUE"""),167800.0)</f>
        <v>167800</v>
      </c>
      <c r="F1550" s="1">
        <f>IFERROR(__xludf.DUMMYFUNCTION("""COMPUTED_VALUE"""),54957.0)</f>
        <v>54957</v>
      </c>
    </row>
    <row r="1551">
      <c r="A1551" s="2">
        <f>IFERROR(__xludf.DUMMYFUNCTION("""COMPUTED_VALUE"""),42872.64583333333)</f>
        <v>42872.64583</v>
      </c>
      <c r="B1551" s="1">
        <f>IFERROR(__xludf.DUMMYFUNCTION("""COMPUTED_VALUE"""),167000.0)</f>
        <v>167000</v>
      </c>
      <c r="C1551" s="1">
        <f>IFERROR(__xludf.DUMMYFUNCTION("""COMPUTED_VALUE"""),167600.0)</f>
        <v>167600</v>
      </c>
      <c r="D1551" s="1">
        <f>IFERROR(__xludf.DUMMYFUNCTION("""COMPUTED_VALUE"""),165800.0)</f>
        <v>165800</v>
      </c>
      <c r="E1551" s="1">
        <f>IFERROR(__xludf.DUMMYFUNCTION("""COMPUTED_VALUE"""),166400.0)</f>
        <v>166400</v>
      </c>
      <c r="F1551" s="1">
        <f>IFERROR(__xludf.DUMMYFUNCTION("""COMPUTED_VALUE"""),73344.0)</f>
        <v>73344</v>
      </c>
    </row>
    <row r="1552">
      <c r="A1552" s="2">
        <f>IFERROR(__xludf.DUMMYFUNCTION("""COMPUTED_VALUE"""),42873.64583333333)</f>
        <v>42873.64583</v>
      </c>
      <c r="B1552" s="1">
        <f>IFERROR(__xludf.DUMMYFUNCTION("""COMPUTED_VALUE"""),165800.0)</f>
        <v>165800</v>
      </c>
      <c r="C1552" s="1">
        <f>IFERROR(__xludf.DUMMYFUNCTION("""COMPUTED_VALUE"""),166400.0)</f>
        <v>166400</v>
      </c>
      <c r="D1552" s="1">
        <f>IFERROR(__xludf.DUMMYFUNCTION("""COMPUTED_VALUE"""),163400.0)</f>
        <v>163400</v>
      </c>
      <c r="E1552" s="1">
        <f>IFERROR(__xludf.DUMMYFUNCTION("""COMPUTED_VALUE"""),164800.0)</f>
        <v>164800</v>
      </c>
      <c r="F1552" s="1">
        <f>IFERROR(__xludf.DUMMYFUNCTION("""COMPUTED_VALUE"""),58999.0)</f>
        <v>58999</v>
      </c>
    </row>
    <row r="1553">
      <c r="A1553" s="2">
        <f>IFERROR(__xludf.DUMMYFUNCTION("""COMPUTED_VALUE"""),42874.64583333333)</f>
        <v>42874.64583</v>
      </c>
      <c r="B1553" s="1">
        <f>IFERROR(__xludf.DUMMYFUNCTION("""COMPUTED_VALUE"""),164400.0)</f>
        <v>164400</v>
      </c>
      <c r="C1553" s="1">
        <f>IFERROR(__xludf.DUMMYFUNCTION("""COMPUTED_VALUE"""),166600.0)</f>
        <v>166600</v>
      </c>
      <c r="D1553" s="1">
        <f>IFERROR(__xludf.DUMMYFUNCTION("""COMPUTED_VALUE"""),164400.0)</f>
        <v>164400</v>
      </c>
      <c r="E1553" s="1">
        <f>IFERROR(__xludf.DUMMYFUNCTION("""COMPUTED_VALUE"""),166400.0)</f>
        <v>166400</v>
      </c>
      <c r="F1553" s="1">
        <f>IFERROR(__xludf.DUMMYFUNCTION("""COMPUTED_VALUE"""),125157.0)</f>
        <v>125157</v>
      </c>
    </row>
    <row r="1554">
      <c r="A1554" s="2">
        <f>IFERROR(__xludf.DUMMYFUNCTION("""COMPUTED_VALUE"""),42877.64583333333)</f>
        <v>42877.64583</v>
      </c>
      <c r="B1554" s="1">
        <f>IFERROR(__xludf.DUMMYFUNCTION("""COMPUTED_VALUE"""),169600.0)</f>
        <v>169600</v>
      </c>
      <c r="C1554" s="1">
        <f>IFERROR(__xludf.DUMMYFUNCTION("""COMPUTED_VALUE"""),169600.0)</f>
        <v>169600</v>
      </c>
      <c r="D1554" s="1">
        <f>IFERROR(__xludf.DUMMYFUNCTION("""COMPUTED_VALUE"""),166800.0)</f>
        <v>166800</v>
      </c>
      <c r="E1554" s="1">
        <f>IFERROR(__xludf.DUMMYFUNCTION("""COMPUTED_VALUE"""),169400.0)</f>
        <v>169400</v>
      </c>
      <c r="F1554" s="1">
        <f>IFERROR(__xludf.DUMMYFUNCTION("""COMPUTED_VALUE"""),70139.0)</f>
        <v>70139</v>
      </c>
    </row>
    <row r="1555">
      <c r="A1555" s="2">
        <f>IFERROR(__xludf.DUMMYFUNCTION("""COMPUTED_VALUE"""),42878.64583333333)</f>
        <v>42878.64583</v>
      </c>
      <c r="B1555" s="1">
        <f>IFERROR(__xludf.DUMMYFUNCTION("""COMPUTED_VALUE"""),169200.0)</f>
        <v>169200</v>
      </c>
      <c r="C1555" s="1">
        <f>IFERROR(__xludf.DUMMYFUNCTION("""COMPUTED_VALUE"""),170000.0)</f>
        <v>170000</v>
      </c>
      <c r="D1555" s="1">
        <f>IFERROR(__xludf.DUMMYFUNCTION("""COMPUTED_VALUE"""),167600.0)</f>
        <v>167600</v>
      </c>
      <c r="E1555" s="1">
        <f>IFERROR(__xludf.DUMMYFUNCTION("""COMPUTED_VALUE"""),168400.0)</f>
        <v>168400</v>
      </c>
      <c r="F1555" s="1">
        <f>IFERROR(__xludf.DUMMYFUNCTION("""COMPUTED_VALUE"""),74596.0)</f>
        <v>74596</v>
      </c>
    </row>
    <row r="1556">
      <c r="A1556" s="2">
        <f>IFERROR(__xludf.DUMMYFUNCTION("""COMPUTED_VALUE"""),42879.64583333333)</f>
        <v>42879.64583</v>
      </c>
      <c r="B1556" s="1">
        <f>IFERROR(__xludf.DUMMYFUNCTION("""COMPUTED_VALUE"""),170000.0)</f>
        <v>170000</v>
      </c>
      <c r="C1556" s="1">
        <f>IFERROR(__xludf.DUMMYFUNCTION("""COMPUTED_VALUE"""),171000.0)</f>
        <v>171000</v>
      </c>
      <c r="D1556" s="1">
        <f>IFERROR(__xludf.DUMMYFUNCTION("""COMPUTED_VALUE"""),168400.0)</f>
        <v>168400</v>
      </c>
      <c r="E1556" s="1">
        <f>IFERROR(__xludf.DUMMYFUNCTION("""COMPUTED_VALUE"""),170400.0)</f>
        <v>170400</v>
      </c>
      <c r="F1556" s="1">
        <f>IFERROR(__xludf.DUMMYFUNCTION("""COMPUTED_VALUE"""),91609.0)</f>
        <v>91609</v>
      </c>
    </row>
    <row r="1557">
      <c r="A1557" s="2">
        <f>IFERROR(__xludf.DUMMYFUNCTION("""COMPUTED_VALUE"""),42880.64583333333)</f>
        <v>42880.64583</v>
      </c>
      <c r="B1557" s="1">
        <f>IFERROR(__xludf.DUMMYFUNCTION("""COMPUTED_VALUE"""),171000.0)</f>
        <v>171000</v>
      </c>
      <c r="C1557" s="1">
        <f>IFERROR(__xludf.DUMMYFUNCTION("""COMPUTED_VALUE"""),171600.0)</f>
        <v>171600</v>
      </c>
      <c r="D1557" s="1">
        <f>IFERROR(__xludf.DUMMYFUNCTION("""COMPUTED_VALUE"""),169600.0)</f>
        <v>169600</v>
      </c>
      <c r="E1557" s="1">
        <f>IFERROR(__xludf.DUMMYFUNCTION("""COMPUTED_VALUE"""),170400.0)</f>
        <v>170400</v>
      </c>
      <c r="F1557" s="1">
        <f>IFERROR(__xludf.DUMMYFUNCTION("""COMPUTED_VALUE"""),66807.0)</f>
        <v>66807</v>
      </c>
    </row>
    <row r="1558">
      <c r="A1558" s="2">
        <f>IFERROR(__xludf.DUMMYFUNCTION("""COMPUTED_VALUE"""),42881.64583333333)</f>
        <v>42881.64583</v>
      </c>
      <c r="B1558" s="1">
        <f>IFERROR(__xludf.DUMMYFUNCTION("""COMPUTED_VALUE"""),172000.0)</f>
        <v>172000</v>
      </c>
      <c r="C1558" s="1">
        <f>IFERROR(__xludf.DUMMYFUNCTION("""COMPUTED_VALUE"""),172600.0)</f>
        <v>172600</v>
      </c>
      <c r="D1558" s="1">
        <f>IFERROR(__xludf.DUMMYFUNCTION("""COMPUTED_VALUE"""),170800.0)</f>
        <v>170800</v>
      </c>
      <c r="E1558" s="1">
        <f>IFERROR(__xludf.DUMMYFUNCTION("""COMPUTED_VALUE"""),171000.0)</f>
        <v>171000</v>
      </c>
      <c r="F1558" s="1">
        <f>IFERROR(__xludf.DUMMYFUNCTION("""COMPUTED_VALUE"""),61658.0)</f>
        <v>61658</v>
      </c>
    </row>
    <row r="1559">
      <c r="A1559" s="2">
        <f>IFERROR(__xludf.DUMMYFUNCTION("""COMPUTED_VALUE"""),42884.64583333333)</f>
        <v>42884.64583</v>
      </c>
      <c r="B1559" s="1">
        <f>IFERROR(__xludf.DUMMYFUNCTION("""COMPUTED_VALUE"""),172000.0)</f>
        <v>172000</v>
      </c>
      <c r="C1559" s="1">
        <f>IFERROR(__xludf.DUMMYFUNCTION("""COMPUTED_VALUE"""),172800.0)</f>
        <v>172800</v>
      </c>
      <c r="D1559" s="1">
        <f>IFERROR(__xludf.DUMMYFUNCTION("""COMPUTED_VALUE"""),170400.0)</f>
        <v>170400</v>
      </c>
      <c r="E1559" s="1">
        <f>IFERROR(__xludf.DUMMYFUNCTION("""COMPUTED_VALUE"""),171200.0)</f>
        <v>171200</v>
      </c>
      <c r="F1559" s="1">
        <f>IFERROR(__xludf.DUMMYFUNCTION("""COMPUTED_VALUE"""),45405.0)</f>
        <v>45405</v>
      </c>
    </row>
    <row r="1560">
      <c r="A1560" s="2">
        <f>IFERROR(__xludf.DUMMYFUNCTION("""COMPUTED_VALUE"""),42885.64583333333)</f>
        <v>42885.64583</v>
      </c>
      <c r="B1560" s="1">
        <f>IFERROR(__xludf.DUMMYFUNCTION("""COMPUTED_VALUE"""),171200.0)</f>
        <v>171200</v>
      </c>
      <c r="C1560" s="1">
        <f>IFERROR(__xludf.DUMMYFUNCTION("""COMPUTED_VALUE"""),171800.0)</f>
        <v>171800</v>
      </c>
      <c r="D1560" s="1">
        <f>IFERROR(__xludf.DUMMYFUNCTION("""COMPUTED_VALUE"""),169000.0)</f>
        <v>169000</v>
      </c>
      <c r="E1560" s="1">
        <f>IFERROR(__xludf.DUMMYFUNCTION("""COMPUTED_VALUE"""),170400.0)</f>
        <v>170400</v>
      </c>
      <c r="F1560" s="1">
        <f>IFERROR(__xludf.DUMMYFUNCTION("""COMPUTED_VALUE"""),67161.0)</f>
        <v>67161</v>
      </c>
    </row>
    <row r="1561">
      <c r="A1561" s="2">
        <f>IFERROR(__xludf.DUMMYFUNCTION("""COMPUTED_VALUE"""),42886.64583333333)</f>
        <v>42886.64583</v>
      </c>
      <c r="B1561" s="1">
        <f>IFERROR(__xludf.DUMMYFUNCTION("""COMPUTED_VALUE"""),169800.0)</f>
        <v>169800</v>
      </c>
      <c r="C1561" s="1">
        <f>IFERROR(__xludf.DUMMYFUNCTION("""COMPUTED_VALUE"""),172800.0)</f>
        <v>172800</v>
      </c>
      <c r="D1561" s="1">
        <f>IFERROR(__xludf.DUMMYFUNCTION("""COMPUTED_VALUE"""),168600.0)</f>
        <v>168600</v>
      </c>
      <c r="E1561" s="1">
        <f>IFERROR(__xludf.DUMMYFUNCTION("""COMPUTED_VALUE"""),169000.0)</f>
        <v>169000</v>
      </c>
      <c r="F1561" s="1">
        <f>IFERROR(__xludf.DUMMYFUNCTION("""COMPUTED_VALUE"""),95528.0)</f>
        <v>95528</v>
      </c>
    </row>
    <row r="1562">
      <c r="A1562" s="2">
        <f>IFERROR(__xludf.DUMMYFUNCTION("""COMPUTED_VALUE"""),42887.64583333333)</f>
        <v>42887.64583</v>
      </c>
      <c r="B1562" s="1">
        <f>IFERROR(__xludf.DUMMYFUNCTION("""COMPUTED_VALUE"""),170000.0)</f>
        <v>170000</v>
      </c>
      <c r="C1562" s="1">
        <f>IFERROR(__xludf.DUMMYFUNCTION("""COMPUTED_VALUE"""),172000.0)</f>
        <v>172000</v>
      </c>
      <c r="D1562" s="1">
        <f>IFERROR(__xludf.DUMMYFUNCTION("""COMPUTED_VALUE"""),168400.0)</f>
        <v>168400</v>
      </c>
      <c r="E1562" s="1">
        <f>IFERROR(__xludf.DUMMYFUNCTION("""COMPUTED_VALUE"""),168400.0)</f>
        <v>168400</v>
      </c>
      <c r="F1562" s="1">
        <f>IFERROR(__xludf.DUMMYFUNCTION("""COMPUTED_VALUE"""),55107.0)</f>
        <v>55107</v>
      </c>
    </row>
    <row r="1563">
      <c r="A1563" s="2">
        <f>IFERROR(__xludf.DUMMYFUNCTION("""COMPUTED_VALUE"""),42888.64583333333)</f>
        <v>42888.64583</v>
      </c>
      <c r="B1563" s="1">
        <f>IFERROR(__xludf.DUMMYFUNCTION("""COMPUTED_VALUE"""),168600.0)</f>
        <v>168600</v>
      </c>
      <c r="C1563" s="1">
        <f>IFERROR(__xludf.DUMMYFUNCTION("""COMPUTED_VALUE"""),172800.0)</f>
        <v>172800</v>
      </c>
      <c r="D1563" s="1">
        <f>IFERROR(__xludf.DUMMYFUNCTION("""COMPUTED_VALUE"""),168600.0)</f>
        <v>168600</v>
      </c>
      <c r="E1563" s="1">
        <f>IFERROR(__xludf.DUMMYFUNCTION("""COMPUTED_VALUE"""),172800.0)</f>
        <v>172800</v>
      </c>
      <c r="F1563" s="1">
        <f>IFERROR(__xludf.DUMMYFUNCTION("""COMPUTED_VALUE"""),68640.0)</f>
        <v>68640</v>
      </c>
    </row>
    <row r="1564">
      <c r="A1564" s="2">
        <f>IFERROR(__xludf.DUMMYFUNCTION("""COMPUTED_VALUE"""),42891.64583333333)</f>
        <v>42891.64583</v>
      </c>
      <c r="B1564" s="1">
        <f>IFERROR(__xludf.DUMMYFUNCTION("""COMPUTED_VALUE"""),170800.0)</f>
        <v>170800</v>
      </c>
      <c r="C1564" s="1">
        <f>IFERROR(__xludf.DUMMYFUNCTION("""COMPUTED_VALUE"""),177400.0)</f>
        <v>177400</v>
      </c>
      <c r="D1564" s="1">
        <f>IFERROR(__xludf.DUMMYFUNCTION("""COMPUTED_VALUE"""),170800.0)</f>
        <v>170800</v>
      </c>
      <c r="E1564" s="1">
        <f>IFERROR(__xludf.DUMMYFUNCTION("""COMPUTED_VALUE"""),175200.0)</f>
        <v>175200</v>
      </c>
      <c r="F1564" s="1">
        <f>IFERROR(__xludf.DUMMYFUNCTION("""COMPUTED_VALUE"""),104348.0)</f>
        <v>104348</v>
      </c>
    </row>
    <row r="1565">
      <c r="A1565" s="2">
        <f>IFERROR(__xludf.DUMMYFUNCTION("""COMPUTED_VALUE"""),42893.64583333333)</f>
        <v>42893.64583</v>
      </c>
      <c r="B1565" s="1">
        <f>IFERROR(__xludf.DUMMYFUNCTION("""COMPUTED_VALUE"""),175200.0)</f>
        <v>175200</v>
      </c>
      <c r="C1565" s="1">
        <f>IFERROR(__xludf.DUMMYFUNCTION("""COMPUTED_VALUE"""),177600.0)</f>
        <v>177600</v>
      </c>
      <c r="D1565" s="1">
        <f>IFERROR(__xludf.DUMMYFUNCTION("""COMPUTED_VALUE"""),174200.0)</f>
        <v>174200</v>
      </c>
      <c r="E1565" s="1">
        <f>IFERROR(__xludf.DUMMYFUNCTION("""COMPUTED_VALUE"""),175200.0)</f>
        <v>175200</v>
      </c>
      <c r="F1565" s="1">
        <f>IFERROR(__xludf.DUMMYFUNCTION("""COMPUTED_VALUE"""),84108.0)</f>
        <v>84108</v>
      </c>
    </row>
    <row r="1566">
      <c r="A1566" s="2">
        <f>IFERROR(__xludf.DUMMYFUNCTION("""COMPUTED_VALUE"""),42894.64583333333)</f>
        <v>42894.64583</v>
      </c>
      <c r="B1566" s="1">
        <f>IFERROR(__xludf.DUMMYFUNCTION("""COMPUTED_VALUE"""),177000.0)</f>
        <v>177000</v>
      </c>
      <c r="C1566" s="1">
        <f>IFERROR(__xludf.DUMMYFUNCTION("""COMPUTED_VALUE"""),178600.0)</f>
        <v>178600</v>
      </c>
      <c r="D1566" s="1">
        <f>IFERROR(__xludf.DUMMYFUNCTION("""COMPUTED_VALUE"""),175400.0)</f>
        <v>175400</v>
      </c>
      <c r="E1566" s="1">
        <f>IFERROR(__xludf.DUMMYFUNCTION("""COMPUTED_VALUE"""),178000.0)</f>
        <v>178000</v>
      </c>
      <c r="F1566" s="1">
        <f>IFERROR(__xludf.DUMMYFUNCTION("""COMPUTED_VALUE"""),105056.0)</f>
        <v>105056</v>
      </c>
    </row>
    <row r="1567">
      <c r="A1567" s="2">
        <f>IFERROR(__xludf.DUMMYFUNCTION("""COMPUTED_VALUE"""),42895.64583333333)</f>
        <v>42895.64583</v>
      </c>
      <c r="B1567" s="1">
        <f>IFERROR(__xludf.DUMMYFUNCTION("""COMPUTED_VALUE"""),179000.0)</f>
        <v>179000</v>
      </c>
      <c r="C1567" s="1">
        <f>IFERROR(__xludf.DUMMYFUNCTION("""COMPUTED_VALUE"""),195000.0)</f>
        <v>195000</v>
      </c>
      <c r="D1567" s="1">
        <f>IFERROR(__xludf.DUMMYFUNCTION("""COMPUTED_VALUE"""),178800.0)</f>
        <v>178800</v>
      </c>
      <c r="E1567" s="1">
        <f>IFERROR(__xludf.DUMMYFUNCTION("""COMPUTED_VALUE"""),192000.0)</f>
        <v>192000</v>
      </c>
      <c r="F1567" s="1">
        <f>IFERROR(__xludf.DUMMYFUNCTION("""COMPUTED_VALUE"""),183462.0)</f>
        <v>183462</v>
      </c>
    </row>
    <row r="1568">
      <c r="A1568" s="2">
        <f>IFERROR(__xludf.DUMMYFUNCTION("""COMPUTED_VALUE"""),42898.64583333333)</f>
        <v>42898.64583</v>
      </c>
      <c r="B1568" s="1">
        <f>IFERROR(__xludf.DUMMYFUNCTION("""COMPUTED_VALUE"""),185200.0)</f>
        <v>185200</v>
      </c>
      <c r="C1568" s="1">
        <f>IFERROR(__xludf.DUMMYFUNCTION("""COMPUTED_VALUE"""),186600.0)</f>
        <v>186600</v>
      </c>
      <c r="D1568" s="1">
        <f>IFERROR(__xludf.DUMMYFUNCTION("""COMPUTED_VALUE"""),179000.0)</f>
        <v>179000</v>
      </c>
      <c r="E1568" s="1">
        <f>IFERROR(__xludf.DUMMYFUNCTION("""COMPUTED_VALUE"""),179000.0)</f>
        <v>179000</v>
      </c>
      <c r="F1568" s="1">
        <f>IFERROR(__xludf.DUMMYFUNCTION("""COMPUTED_VALUE"""),198383.0)</f>
        <v>198383</v>
      </c>
    </row>
    <row r="1569">
      <c r="A1569" s="2">
        <f>IFERROR(__xludf.DUMMYFUNCTION("""COMPUTED_VALUE"""),42899.64583333333)</f>
        <v>42899.64583</v>
      </c>
      <c r="B1569" s="1">
        <f>IFERROR(__xludf.DUMMYFUNCTION("""COMPUTED_VALUE"""),179000.0)</f>
        <v>179000</v>
      </c>
      <c r="C1569" s="1">
        <f>IFERROR(__xludf.DUMMYFUNCTION("""COMPUTED_VALUE"""),183800.0)</f>
        <v>183800</v>
      </c>
      <c r="D1569" s="1">
        <f>IFERROR(__xludf.DUMMYFUNCTION("""COMPUTED_VALUE"""),178200.0)</f>
        <v>178200</v>
      </c>
      <c r="E1569" s="1">
        <f>IFERROR(__xludf.DUMMYFUNCTION("""COMPUTED_VALUE"""),179000.0)</f>
        <v>179000</v>
      </c>
      <c r="F1569" s="1">
        <f>IFERROR(__xludf.DUMMYFUNCTION("""COMPUTED_VALUE"""),112622.0)</f>
        <v>112622</v>
      </c>
    </row>
    <row r="1570">
      <c r="A1570" s="2">
        <f>IFERROR(__xludf.DUMMYFUNCTION("""COMPUTED_VALUE"""),42900.64583333333)</f>
        <v>42900.64583</v>
      </c>
      <c r="B1570" s="1">
        <f>IFERROR(__xludf.DUMMYFUNCTION("""COMPUTED_VALUE"""),179600.0)</f>
        <v>179600</v>
      </c>
      <c r="C1570" s="1">
        <f>IFERROR(__xludf.DUMMYFUNCTION("""COMPUTED_VALUE"""),182800.0)</f>
        <v>182800</v>
      </c>
      <c r="D1570" s="1">
        <f>IFERROR(__xludf.DUMMYFUNCTION("""COMPUTED_VALUE"""),175000.0)</f>
        <v>175000</v>
      </c>
      <c r="E1570" s="1">
        <f>IFERROR(__xludf.DUMMYFUNCTION("""COMPUTED_VALUE"""),176600.0)</f>
        <v>176600</v>
      </c>
      <c r="F1570" s="1">
        <f>IFERROR(__xludf.DUMMYFUNCTION("""COMPUTED_VALUE"""),133198.0)</f>
        <v>133198</v>
      </c>
    </row>
    <row r="1571">
      <c r="A1571" s="2">
        <f>IFERROR(__xludf.DUMMYFUNCTION("""COMPUTED_VALUE"""),42901.64583333333)</f>
        <v>42901.64583</v>
      </c>
      <c r="B1571" s="1">
        <f>IFERROR(__xludf.DUMMYFUNCTION("""COMPUTED_VALUE"""),176000.0)</f>
        <v>176000</v>
      </c>
      <c r="C1571" s="1">
        <f>IFERROR(__xludf.DUMMYFUNCTION("""COMPUTED_VALUE"""),179200.0)</f>
        <v>179200</v>
      </c>
      <c r="D1571" s="1">
        <f>IFERROR(__xludf.DUMMYFUNCTION("""COMPUTED_VALUE"""),175800.0)</f>
        <v>175800</v>
      </c>
      <c r="E1571" s="1">
        <f>IFERROR(__xludf.DUMMYFUNCTION("""COMPUTED_VALUE"""),177000.0)</f>
        <v>177000</v>
      </c>
      <c r="F1571" s="1">
        <f>IFERROR(__xludf.DUMMYFUNCTION("""COMPUTED_VALUE"""),76874.0)</f>
        <v>76874</v>
      </c>
    </row>
    <row r="1572">
      <c r="A1572" s="2">
        <f>IFERROR(__xludf.DUMMYFUNCTION("""COMPUTED_VALUE"""),42905.64583333333)</f>
        <v>42905.64583</v>
      </c>
      <c r="B1572" s="1">
        <f>IFERROR(__xludf.DUMMYFUNCTION("""COMPUTED_VALUE"""),177400.0)</f>
        <v>177400</v>
      </c>
      <c r="C1572" s="1">
        <f>IFERROR(__xludf.DUMMYFUNCTION("""COMPUTED_VALUE"""),179600.0)</f>
        <v>179600</v>
      </c>
      <c r="D1572" s="1">
        <f>IFERROR(__xludf.DUMMYFUNCTION("""COMPUTED_VALUE"""),175200.0)</f>
        <v>175200</v>
      </c>
      <c r="E1572" s="1">
        <f>IFERROR(__xludf.DUMMYFUNCTION("""COMPUTED_VALUE"""),175600.0)</f>
        <v>175600</v>
      </c>
      <c r="F1572" s="1">
        <f>IFERROR(__xludf.DUMMYFUNCTION("""COMPUTED_VALUE"""),63532.0)</f>
        <v>63532</v>
      </c>
    </row>
    <row r="1573">
      <c r="A1573" s="2">
        <f>IFERROR(__xludf.DUMMYFUNCTION("""COMPUTED_VALUE"""),42906.64583333333)</f>
        <v>42906.64583</v>
      </c>
      <c r="B1573" s="1">
        <f>IFERROR(__xludf.DUMMYFUNCTION("""COMPUTED_VALUE"""),178400.0)</f>
        <v>178400</v>
      </c>
      <c r="C1573" s="1">
        <f>IFERROR(__xludf.DUMMYFUNCTION("""COMPUTED_VALUE"""),178600.0)</f>
        <v>178600</v>
      </c>
      <c r="D1573" s="1">
        <f>IFERROR(__xludf.DUMMYFUNCTION("""COMPUTED_VALUE"""),172800.0)</f>
        <v>172800</v>
      </c>
      <c r="E1573" s="1">
        <f>IFERROR(__xludf.DUMMYFUNCTION("""COMPUTED_VALUE"""),173200.0)</f>
        <v>173200</v>
      </c>
      <c r="F1573" s="1">
        <f>IFERROR(__xludf.DUMMYFUNCTION("""COMPUTED_VALUE"""),83933.0)</f>
        <v>83933</v>
      </c>
    </row>
    <row r="1574">
      <c r="A1574" s="2">
        <f>IFERROR(__xludf.DUMMYFUNCTION("""COMPUTED_VALUE"""),42907.64583333333)</f>
        <v>42907.64583</v>
      </c>
      <c r="B1574" s="1">
        <f>IFERROR(__xludf.DUMMYFUNCTION("""COMPUTED_VALUE"""),171400.0)</f>
        <v>171400</v>
      </c>
      <c r="C1574" s="1">
        <f>IFERROR(__xludf.DUMMYFUNCTION("""COMPUTED_VALUE"""),176200.0)</f>
        <v>176200</v>
      </c>
      <c r="D1574" s="1">
        <f>IFERROR(__xludf.DUMMYFUNCTION("""COMPUTED_VALUE"""),166400.0)</f>
        <v>166400</v>
      </c>
      <c r="E1574" s="1">
        <f>IFERROR(__xludf.DUMMYFUNCTION("""COMPUTED_VALUE"""),176000.0)</f>
        <v>176000</v>
      </c>
      <c r="F1574" s="1">
        <f>IFERROR(__xludf.DUMMYFUNCTION("""COMPUTED_VALUE"""),97753.0)</f>
        <v>97753</v>
      </c>
    </row>
    <row r="1575">
      <c r="A1575" s="2">
        <f>IFERROR(__xludf.DUMMYFUNCTION("""COMPUTED_VALUE"""),42908.64583333333)</f>
        <v>42908.64583</v>
      </c>
      <c r="B1575" s="1">
        <f>IFERROR(__xludf.DUMMYFUNCTION("""COMPUTED_VALUE"""),175600.0)</f>
        <v>175600</v>
      </c>
      <c r="C1575" s="1">
        <f>IFERROR(__xludf.DUMMYFUNCTION("""COMPUTED_VALUE"""),177600.0)</f>
        <v>177600</v>
      </c>
      <c r="D1575" s="1">
        <f>IFERROR(__xludf.DUMMYFUNCTION("""COMPUTED_VALUE"""),174200.0)</f>
        <v>174200</v>
      </c>
      <c r="E1575" s="1">
        <f>IFERROR(__xludf.DUMMYFUNCTION("""COMPUTED_VALUE"""),176000.0)</f>
        <v>176000</v>
      </c>
      <c r="F1575" s="1">
        <f>IFERROR(__xludf.DUMMYFUNCTION("""COMPUTED_VALUE"""),59325.0)</f>
        <v>59325</v>
      </c>
    </row>
    <row r="1576">
      <c r="A1576" s="2">
        <f>IFERROR(__xludf.DUMMYFUNCTION("""COMPUTED_VALUE"""),42909.64583333333)</f>
        <v>42909.64583</v>
      </c>
      <c r="B1576" s="1">
        <f>IFERROR(__xludf.DUMMYFUNCTION("""COMPUTED_VALUE"""),176800.0)</f>
        <v>176800</v>
      </c>
      <c r="C1576" s="1">
        <f>IFERROR(__xludf.DUMMYFUNCTION("""COMPUTED_VALUE"""),179200.0)</f>
        <v>179200</v>
      </c>
      <c r="D1576" s="1">
        <f>IFERROR(__xludf.DUMMYFUNCTION("""COMPUTED_VALUE"""),175000.0)</f>
        <v>175000</v>
      </c>
      <c r="E1576" s="1">
        <f>IFERROR(__xludf.DUMMYFUNCTION("""COMPUTED_VALUE"""),177400.0)</f>
        <v>177400</v>
      </c>
      <c r="F1576" s="1">
        <f>IFERROR(__xludf.DUMMYFUNCTION("""COMPUTED_VALUE"""),61621.0)</f>
        <v>61621</v>
      </c>
    </row>
    <row r="1577">
      <c r="A1577" s="2">
        <f>IFERROR(__xludf.DUMMYFUNCTION("""COMPUTED_VALUE"""),42912.64583333333)</f>
        <v>42912.64583</v>
      </c>
      <c r="B1577" s="1">
        <f>IFERROR(__xludf.DUMMYFUNCTION("""COMPUTED_VALUE"""),178200.0)</f>
        <v>178200</v>
      </c>
      <c r="C1577" s="1">
        <f>IFERROR(__xludf.DUMMYFUNCTION("""COMPUTED_VALUE"""),180600.0)</f>
        <v>180600</v>
      </c>
      <c r="D1577" s="1">
        <f>IFERROR(__xludf.DUMMYFUNCTION("""COMPUTED_VALUE"""),176200.0)</f>
        <v>176200</v>
      </c>
      <c r="E1577" s="1">
        <f>IFERROR(__xludf.DUMMYFUNCTION("""COMPUTED_VALUE"""),177600.0)</f>
        <v>177600</v>
      </c>
      <c r="F1577" s="1">
        <f>IFERROR(__xludf.DUMMYFUNCTION("""COMPUTED_VALUE"""),58948.0)</f>
        <v>58948</v>
      </c>
    </row>
    <row r="1578">
      <c r="A1578" s="2">
        <f>IFERROR(__xludf.DUMMYFUNCTION("""COMPUTED_VALUE"""),42913.64583333333)</f>
        <v>42913.64583</v>
      </c>
      <c r="B1578" s="1">
        <f>IFERROR(__xludf.DUMMYFUNCTION("""COMPUTED_VALUE"""),178000.0)</f>
        <v>178000</v>
      </c>
      <c r="C1578" s="1">
        <f>IFERROR(__xludf.DUMMYFUNCTION("""COMPUTED_VALUE"""),180400.0)</f>
        <v>180400</v>
      </c>
      <c r="D1578" s="1">
        <f>IFERROR(__xludf.DUMMYFUNCTION("""COMPUTED_VALUE"""),173200.0)</f>
        <v>173200</v>
      </c>
      <c r="E1578" s="1">
        <f>IFERROR(__xludf.DUMMYFUNCTION("""COMPUTED_VALUE"""),173800.0)</f>
        <v>173800</v>
      </c>
      <c r="F1578" s="1">
        <f>IFERROR(__xludf.DUMMYFUNCTION("""COMPUTED_VALUE"""),686346.0)</f>
        <v>686346</v>
      </c>
    </row>
    <row r="1579">
      <c r="A1579" s="2">
        <f>IFERROR(__xludf.DUMMYFUNCTION("""COMPUTED_VALUE"""),42914.64583333333)</f>
        <v>42914.64583</v>
      </c>
      <c r="B1579" s="1">
        <f>IFERROR(__xludf.DUMMYFUNCTION("""COMPUTED_VALUE"""),171600.0)</f>
        <v>171600</v>
      </c>
      <c r="C1579" s="1">
        <f>IFERROR(__xludf.DUMMYFUNCTION("""COMPUTED_VALUE"""),173000.0)</f>
        <v>173000</v>
      </c>
      <c r="D1579" s="1">
        <f>IFERROR(__xludf.DUMMYFUNCTION("""COMPUTED_VALUE"""),170200.0)</f>
        <v>170200</v>
      </c>
      <c r="E1579" s="1">
        <f>IFERROR(__xludf.DUMMYFUNCTION("""COMPUTED_VALUE"""),172200.0)</f>
        <v>172200</v>
      </c>
      <c r="F1579" s="1">
        <f>IFERROR(__xludf.DUMMYFUNCTION("""COMPUTED_VALUE"""),101311.0)</f>
        <v>101311</v>
      </c>
    </row>
    <row r="1580">
      <c r="A1580" s="2">
        <f>IFERROR(__xludf.DUMMYFUNCTION("""COMPUTED_VALUE"""),42915.64583333333)</f>
        <v>42915.64583</v>
      </c>
      <c r="B1580" s="1">
        <f>IFERROR(__xludf.DUMMYFUNCTION("""COMPUTED_VALUE"""),172800.0)</f>
        <v>172800</v>
      </c>
      <c r="C1580" s="1">
        <f>IFERROR(__xludf.DUMMYFUNCTION("""COMPUTED_VALUE"""),173600.0)</f>
        <v>173600</v>
      </c>
      <c r="D1580" s="1">
        <f>IFERROR(__xludf.DUMMYFUNCTION("""COMPUTED_VALUE"""),170200.0)</f>
        <v>170200</v>
      </c>
      <c r="E1580" s="1">
        <f>IFERROR(__xludf.DUMMYFUNCTION("""COMPUTED_VALUE"""),170600.0)</f>
        <v>170600</v>
      </c>
      <c r="F1580" s="1">
        <f>IFERROR(__xludf.DUMMYFUNCTION("""COMPUTED_VALUE"""),72186.0)</f>
        <v>72186</v>
      </c>
    </row>
    <row r="1581">
      <c r="A1581" s="2">
        <f>IFERROR(__xludf.DUMMYFUNCTION("""COMPUTED_VALUE"""),42916.64583333333)</f>
        <v>42916.64583</v>
      </c>
      <c r="B1581" s="1">
        <f>IFERROR(__xludf.DUMMYFUNCTION("""COMPUTED_VALUE"""),169000.0)</f>
        <v>169000</v>
      </c>
      <c r="C1581" s="1">
        <f>IFERROR(__xludf.DUMMYFUNCTION("""COMPUTED_VALUE"""),170000.0)</f>
        <v>170000</v>
      </c>
      <c r="D1581" s="1">
        <f>IFERROR(__xludf.DUMMYFUNCTION("""COMPUTED_VALUE"""),167000.0)</f>
        <v>167000</v>
      </c>
      <c r="E1581" s="1">
        <f>IFERROR(__xludf.DUMMYFUNCTION("""COMPUTED_VALUE"""),167600.0)</f>
        <v>167600</v>
      </c>
      <c r="F1581" s="1">
        <f>IFERROR(__xludf.DUMMYFUNCTION("""COMPUTED_VALUE"""),111979.0)</f>
        <v>111979</v>
      </c>
    </row>
    <row r="1582">
      <c r="A1582" s="2">
        <f>IFERROR(__xludf.DUMMYFUNCTION("""COMPUTED_VALUE"""),42919.64583333333)</f>
        <v>42919.64583</v>
      </c>
      <c r="B1582" s="1">
        <f>IFERROR(__xludf.DUMMYFUNCTION("""COMPUTED_VALUE"""),168800.0)</f>
        <v>168800</v>
      </c>
      <c r="C1582" s="1">
        <f>IFERROR(__xludf.DUMMYFUNCTION("""COMPUTED_VALUE"""),170000.0)</f>
        <v>170000</v>
      </c>
      <c r="D1582" s="1">
        <f>IFERROR(__xludf.DUMMYFUNCTION("""COMPUTED_VALUE"""),166600.0)</f>
        <v>166600</v>
      </c>
      <c r="E1582" s="1">
        <f>IFERROR(__xludf.DUMMYFUNCTION("""COMPUTED_VALUE"""),168800.0)</f>
        <v>168800</v>
      </c>
      <c r="F1582" s="1">
        <f>IFERROR(__xludf.DUMMYFUNCTION("""COMPUTED_VALUE"""),64145.0)</f>
        <v>64145</v>
      </c>
    </row>
    <row r="1583">
      <c r="A1583" s="2">
        <f>IFERROR(__xludf.DUMMYFUNCTION("""COMPUTED_VALUE"""),42920.64583333333)</f>
        <v>42920.64583</v>
      </c>
      <c r="B1583" s="1">
        <f>IFERROR(__xludf.DUMMYFUNCTION("""COMPUTED_VALUE"""),168000.0)</f>
        <v>168000</v>
      </c>
      <c r="C1583" s="1">
        <f>IFERROR(__xludf.DUMMYFUNCTION("""COMPUTED_VALUE"""),169400.0)</f>
        <v>169400</v>
      </c>
      <c r="D1583" s="1">
        <f>IFERROR(__xludf.DUMMYFUNCTION("""COMPUTED_VALUE"""),167400.0)</f>
        <v>167400</v>
      </c>
      <c r="E1583" s="1">
        <f>IFERROR(__xludf.DUMMYFUNCTION("""COMPUTED_VALUE"""),168000.0)</f>
        <v>168000</v>
      </c>
      <c r="F1583" s="1">
        <f>IFERROR(__xludf.DUMMYFUNCTION("""COMPUTED_VALUE"""),44926.0)</f>
        <v>44926</v>
      </c>
    </row>
    <row r="1584">
      <c r="A1584" s="2">
        <f>IFERROR(__xludf.DUMMYFUNCTION("""COMPUTED_VALUE"""),42921.64583333333)</f>
        <v>42921.64583</v>
      </c>
      <c r="B1584" s="1">
        <f>IFERROR(__xludf.DUMMYFUNCTION("""COMPUTED_VALUE"""),167400.0)</f>
        <v>167400</v>
      </c>
      <c r="C1584" s="1">
        <f>IFERROR(__xludf.DUMMYFUNCTION("""COMPUTED_VALUE"""),168000.0)</f>
        <v>168000</v>
      </c>
      <c r="D1584" s="1">
        <f>IFERROR(__xludf.DUMMYFUNCTION("""COMPUTED_VALUE"""),166200.0)</f>
        <v>166200</v>
      </c>
      <c r="E1584" s="1">
        <f>IFERROR(__xludf.DUMMYFUNCTION("""COMPUTED_VALUE"""),167000.0)</f>
        <v>167000</v>
      </c>
      <c r="F1584" s="1">
        <f>IFERROR(__xludf.DUMMYFUNCTION("""COMPUTED_VALUE"""),65120.0)</f>
        <v>65120</v>
      </c>
    </row>
    <row r="1585">
      <c r="A1585" s="2">
        <f>IFERROR(__xludf.DUMMYFUNCTION("""COMPUTED_VALUE"""),42922.64583333333)</f>
        <v>42922.64583</v>
      </c>
      <c r="B1585" s="1">
        <f>IFERROR(__xludf.DUMMYFUNCTION("""COMPUTED_VALUE"""),166800.0)</f>
        <v>166800</v>
      </c>
      <c r="C1585" s="1">
        <f>IFERROR(__xludf.DUMMYFUNCTION("""COMPUTED_VALUE"""),167000.0)</f>
        <v>167000</v>
      </c>
      <c r="D1585" s="1">
        <f>IFERROR(__xludf.DUMMYFUNCTION("""COMPUTED_VALUE"""),163600.0)</f>
        <v>163600</v>
      </c>
      <c r="E1585" s="1">
        <f>IFERROR(__xludf.DUMMYFUNCTION("""COMPUTED_VALUE"""),165000.0)</f>
        <v>165000</v>
      </c>
      <c r="F1585" s="1">
        <f>IFERROR(__xludf.DUMMYFUNCTION("""COMPUTED_VALUE"""),108236.0)</f>
        <v>108236</v>
      </c>
    </row>
    <row r="1586">
      <c r="A1586" s="2">
        <f>IFERROR(__xludf.DUMMYFUNCTION("""COMPUTED_VALUE"""),42923.64583333333)</f>
        <v>42923.64583</v>
      </c>
      <c r="B1586" s="1">
        <f>IFERROR(__xludf.DUMMYFUNCTION("""COMPUTED_VALUE"""),165000.0)</f>
        <v>165000</v>
      </c>
      <c r="C1586" s="1">
        <f>IFERROR(__xludf.DUMMYFUNCTION("""COMPUTED_VALUE"""),168200.0)</f>
        <v>168200</v>
      </c>
      <c r="D1586" s="1">
        <f>IFERROR(__xludf.DUMMYFUNCTION("""COMPUTED_VALUE"""),164400.0)</f>
        <v>164400</v>
      </c>
      <c r="E1586" s="1">
        <f>IFERROR(__xludf.DUMMYFUNCTION("""COMPUTED_VALUE"""),167600.0)</f>
        <v>167600</v>
      </c>
      <c r="F1586" s="1">
        <f>IFERROR(__xludf.DUMMYFUNCTION("""COMPUTED_VALUE"""),93149.0)</f>
        <v>93149</v>
      </c>
    </row>
    <row r="1587">
      <c r="A1587" s="2">
        <f>IFERROR(__xludf.DUMMYFUNCTION("""COMPUTED_VALUE"""),42926.64583333333)</f>
        <v>42926.64583</v>
      </c>
      <c r="B1587" s="1">
        <f>IFERROR(__xludf.DUMMYFUNCTION("""COMPUTED_VALUE"""),165800.0)</f>
        <v>165800</v>
      </c>
      <c r="C1587" s="1">
        <f>IFERROR(__xludf.DUMMYFUNCTION("""COMPUTED_VALUE"""),166800.0)</f>
        <v>166800</v>
      </c>
      <c r="D1587" s="1">
        <f>IFERROR(__xludf.DUMMYFUNCTION("""COMPUTED_VALUE"""),162600.0)</f>
        <v>162600</v>
      </c>
      <c r="E1587" s="1">
        <f>IFERROR(__xludf.DUMMYFUNCTION("""COMPUTED_VALUE"""),162600.0)</f>
        <v>162600</v>
      </c>
      <c r="F1587" s="1">
        <f>IFERROR(__xludf.DUMMYFUNCTION("""COMPUTED_VALUE"""),94323.0)</f>
        <v>94323</v>
      </c>
    </row>
    <row r="1588">
      <c r="A1588" s="2">
        <f>IFERROR(__xludf.DUMMYFUNCTION("""COMPUTED_VALUE"""),42927.64583333333)</f>
        <v>42927.64583</v>
      </c>
      <c r="B1588" s="1">
        <f>IFERROR(__xludf.DUMMYFUNCTION("""COMPUTED_VALUE"""),162600.0)</f>
        <v>162600</v>
      </c>
      <c r="C1588" s="1">
        <f>IFERROR(__xludf.DUMMYFUNCTION("""COMPUTED_VALUE"""),167000.0)</f>
        <v>167000</v>
      </c>
      <c r="D1588" s="1">
        <f>IFERROR(__xludf.DUMMYFUNCTION("""COMPUTED_VALUE"""),162600.0)</f>
        <v>162600</v>
      </c>
      <c r="E1588" s="1">
        <f>IFERROR(__xludf.DUMMYFUNCTION("""COMPUTED_VALUE"""),166000.0)</f>
        <v>166000</v>
      </c>
      <c r="F1588" s="1">
        <f>IFERROR(__xludf.DUMMYFUNCTION("""COMPUTED_VALUE"""),82714.0)</f>
        <v>82714</v>
      </c>
    </row>
    <row r="1589">
      <c r="A1589" s="2">
        <f>IFERROR(__xludf.DUMMYFUNCTION("""COMPUTED_VALUE"""),42928.64583333333)</f>
        <v>42928.64583</v>
      </c>
      <c r="B1589" s="1">
        <f>IFERROR(__xludf.DUMMYFUNCTION("""COMPUTED_VALUE"""),166200.0)</f>
        <v>166200</v>
      </c>
      <c r="C1589" s="1">
        <f>IFERROR(__xludf.DUMMYFUNCTION("""COMPUTED_VALUE"""),167800.0)</f>
        <v>167800</v>
      </c>
      <c r="D1589" s="1">
        <f>IFERROR(__xludf.DUMMYFUNCTION("""COMPUTED_VALUE"""),163000.0)</f>
        <v>163000</v>
      </c>
      <c r="E1589" s="1">
        <f>IFERROR(__xludf.DUMMYFUNCTION("""COMPUTED_VALUE"""),164200.0)</f>
        <v>164200</v>
      </c>
      <c r="F1589" s="1">
        <f>IFERROR(__xludf.DUMMYFUNCTION("""COMPUTED_VALUE"""),70912.0)</f>
        <v>70912</v>
      </c>
    </row>
    <row r="1590">
      <c r="A1590" s="2">
        <f>IFERROR(__xludf.DUMMYFUNCTION("""COMPUTED_VALUE"""),42929.64583333333)</f>
        <v>42929.64583</v>
      </c>
      <c r="B1590" s="1">
        <f>IFERROR(__xludf.DUMMYFUNCTION("""COMPUTED_VALUE"""),163400.0)</f>
        <v>163400</v>
      </c>
      <c r="C1590" s="1">
        <f>IFERROR(__xludf.DUMMYFUNCTION("""COMPUTED_VALUE"""),167400.0)</f>
        <v>167400</v>
      </c>
      <c r="D1590" s="1">
        <f>IFERROR(__xludf.DUMMYFUNCTION("""COMPUTED_VALUE"""),163400.0)</f>
        <v>163400</v>
      </c>
      <c r="E1590" s="1">
        <f>IFERROR(__xludf.DUMMYFUNCTION("""COMPUTED_VALUE"""),166000.0)</f>
        <v>166000</v>
      </c>
      <c r="F1590" s="1">
        <f>IFERROR(__xludf.DUMMYFUNCTION("""COMPUTED_VALUE"""),91884.0)</f>
        <v>91884</v>
      </c>
    </row>
    <row r="1591">
      <c r="A1591" s="2">
        <f>IFERROR(__xludf.DUMMYFUNCTION("""COMPUTED_VALUE"""),42930.64583333333)</f>
        <v>42930.64583</v>
      </c>
      <c r="B1591" s="1">
        <f>IFERROR(__xludf.DUMMYFUNCTION("""COMPUTED_VALUE"""),165800.0)</f>
        <v>165800</v>
      </c>
      <c r="C1591" s="1">
        <f>IFERROR(__xludf.DUMMYFUNCTION("""COMPUTED_VALUE"""),167800.0)</f>
        <v>167800</v>
      </c>
      <c r="D1591" s="1">
        <f>IFERROR(__xludf.DUMMYFUNCTION("""COMPUTED_VALUE"""),165200.0)</f>
        <v>165200</v>
      </c>
      <c r="E1591" s="1">
        <f>IFERROR(__xludf.DUMMYFUNCTION("""COMPUTED_VALUE"""),167800.0)</f>
        <v>167800</v>
      </c>
      <c r="F1591" s="1">
        <f>IFERROR(__xludf.DUMMYFUNCTION("""COMPUTED_VALUE"""),98662.0)</f>
        <v>98662</v>
      </c>
    </row>
    <row r="1592">
      <c r="A1592" s="2">
        <f>IFERROR(__xludf.DUMMYFUNCTION("""COMPUTED_VALUE"""),42933.64583333333)</f>
        <v>42933.64583</v>
      </c>
      <c r="B1592" s="1">
        <f>IFERROR(__xludf.DUMMYFUNCTION("""COMPUTED_VALUE"""),168000.0)</f>
        <v>168000</v>
      </c>
      <c r="C1592" s="1">
        <f>IFERROR(__xludf.DUMMYFUNCTION("""COMPUTED_VALUE"""),168800.0)</f>
        <v>168800</v>
      </c>
      <c r="D1592" s="1">
        <f>IFERROR(__xludf.DUMMYFUNCTION("""COMPUTED_VALUE"""),167000.0)</f>
        <v>167000</v>
      </c>
      <c r="E1592" s="1">
        <f>IFERROR(__xludf.DUMMYFUNCTION("""COMPUTED_VALUE"""),167800.0)</f>
        <v>167800</v>
      </c>
      <c r="F1592" s="1">
        <f>IFERROR(__xludf.DUMMYFUNCTION("""COMPUTED_VALUE"""),84952.0)</f>
        <v>84952</v>
      </c>
    </row>
    <row r="1593">
      <c r="A1593" s="2">
        <f>IFERROR(__xludf.DUMMYFUNCTION("""COMPUTED_VALUE"""),42934.64583333333)</f>
        <v>42934.64583</v>
      </c>
      <c r="B1593" s="1">
        <f>IFERROR(__xludf.DUMMYFUNCTION("""COMPUTED_VALUE"""),168200.0)</f>
        <v>168200</v>
      </c>
      <c r="C1593" s="1">
        <f>IFERROR(__xludf.DUMMYFUNCTION("""COMPUTED_VALUE"""),168800.0)</f>
        <v>168800</v>
      </c>
      <c r="D1593" s="1">
        <f>IFERROR(__xludf.DUMMYFUNCTION("""COMPUTED_VALUE"""),165200.0)</f>
        <v>165200</v>
      </c>
      <c r="E1593" s="1">
        <f>IFERROR(__xludf.DUMMYFUNCTION("""COMPUTED_VALUE"""),166000.0)</f>
        <v>166000</v>
      </c>
      <c r="F1593" s="1">
        <f>IFERROR(__xludf.DUMMYFUNCTION("""COMPUTED_VALUE"""),63292.0)</f>
        <v>63292</v>
      </c>
    </row>
    <row r="1594">
      <c r="A1594" s="2">
        <f>IFERROR(__xludf.DUMMYFUNCTION("""COMPUTED_VALUE"""),42935.64583333333)</f>
        <v>42935.64583</v>
      </c>
      <c r="B1594" s="1">
        <f>IFERROR(__xludf.DUMMYFUNCTION("""COMPUTED_VALUE"""),166200.0)</f>
        <v>166200</v>
      </c>
      <c r="C1594" s="1">
        <f>IFERROR(__xludf.DUMMYFUNCTION("""COMPUTED_VALUE"""),168400.0)</f>
        <v>168400</v>
      </c>
      <c r="D1594" s="1">
        <f>IFERROR(__xludf.DUMMYFUNCTION("""COMPUTED_VALUE"""),166000.0)</f>
        <v>166000</v>
      </c>
      <c r="E1594" s="1">
        <f>IFERROR(__xludf.DUMMYFUNCTION("""COMPUTED_VALUE"""),167000.0)</f>
        <v>167000</v>
      </c>
      <c r="F1594" s="1">
        <f>IFERROR(__xludf.DUMMYFUNCTION("""COMPUTED_VALUE"""),69438.0)</f>
        <v>69438</v>
      </c>
    </row>
    <row r="1595">
      <c r="A1595" s="2">
        <f>IFERROR(__xludf.DUMMYFUNCTION("""COMPUTED_VALUE"""),42936.64583333333)</f>
        <v>42936.64583</v>
      </c>
      <c r="B1595" s="1">
        <f>IFERROR(__xludf.DUMMYFUNCTION("""COMPUTED_VALUE"""),166600.0)</f>
        <v>166600</v>
      </c>
      <c r="C1595" s="1">
        <f>IFERROR(__xludf.DUMMYFUNCTION("""COMPUTED_VALUE"""),168400.0)</f>
        <v>168400</v>
      </c>
      <c r="D1595" s="1">
        <f>IFERROR(__xludf.DUMMYFUNCTION("""COMPUTED_VALUE"""),165400.0)</f>
        <v>165400</v>
      </c>
      <c r="E1595" s="1">
        <f>IFERROR(__xludf.DUMMYFUNCTION("""COMPUTED_VALUE"""),167000.0)</f>
        <v>167000</v>
      </c>
      <c r="F1595" s="1">
        <f>IFERROR(__xludf.DUMMYFUNCTION("""COMPUTED_VALUE"""),63638.0)</f>
        <v>63638</v>
      </c>
    </row>
    <row r="1596">
      <c r="A1596" s="2">
        <f>IFERROR(__xludf.DUMMYFUNCTION("""COMPUTED_VALUE"""),42937.64583333333)</f>
        <v>42937.64583</v>
      </c>
      <c r="B1596" s="1">
        <f>IFERROR(__xludf.DUMMYFUNCTION("""COMPUTED_VALUE"""),166400.0)</f>
        <v>166400</v>
      </c>
      <c r="C1596" s="1">
        <f>IFERROR(__xludf.DUMMYFUNCTION("""COMPUTED_VALUE"""),168000.0)</f>
        <v>168000</v>
      </c>
      <c r="D1596" s="1">
        <f>IFERROR(__xludf.DUMMYFUNCTION("""COMPUTED_VALUE"""),166400.0)</f>
        <v>166400</v>
      </c>
      <c r="E1596" s="1">
        <f>IFERROR(__xludf.DUMMYFUNCTION("""COMPUTED_VALUE"""),167800.0)</f>
        <v>167800</v>
      </c>
      <c r="F1596" s="1">
        <f>IFERROR(__xludf.DUMMYFUNCTION("""COMPUTED_VALUE"""),60799.0)</f>
        <v>60799</v>
      </c>
    </row>
    <row r="1597">
      <c r="A1597" s="2">
        <f>IFERROR(__xludf.DUMMYFUNCTION("""COMPUTED_VALUE"""),42940.64583333333)</f>
        <v>42940.64583</v>
      </c>
      <c r="B1597" s="1">
        <f>IFERROR(__xludf.DUMMYFUNCTION("""COMPUTED_VALUE"""),167400.0)</f>
        <v>167400</v>
      </c>
      <c r="C1597" s="1">
        <f>IFERROR(__xludf.DUMMYFUNCTION("""COMPUTED_VALUE"""),167600.0)</f>
        <v>167600</v>
      </c>
      <c r="D1597" s="1">
        <f>IFERROR(__xludf.DUMMYFUNCTION("""COMPUTED_VALUE"""),164200.0)</f>
        <v>164200</v>
      </c>
      <c r="E1597" s="1">
        <f>IFERROR(__xludf.DUMMYFUNCTION("""COMPUTED_VALUE"""),166600.0)</f>
        <v>166600</v>
      </c>
      <c r="F1597" s="1">
        <f>IFERROR(__xludf.DUMMYFUNCTION("""COMPUTED_VALUE"""),68561.0)</f>
        <v>68561</v>
      </c>
    </row>
    <row r="1598">
      <c r="A1598" s="2">
        <f>IFERROR(__xludf.DUMMYFUNCTION("""COMPUTED_VALUE"""),42941.64583333333)</f>
        <v>42941.64583</v>
      </c>
      <c r="B1598" s="1">
        <f>IFERROR(__xludf.DUMMYFUNCTION("""COMPUTED_VALUE"""),166800.0)</f>
        <v>166800</v>
      </c>
      <c r="C1598" s="1">
        <f>IFERROR(__xludf.DUMMYFUNCTION("""COMPUTED_VALUE"""),167600.0)</f>
        <v>167600</v>
      </c>
      <c r="D1598" s="1">
        <f>IFERROR(__xludf.DUMMYFUNCTION("""COMPUTED_VALUE"""),164800.0)</f>
        <v>164800</v>
      </c>
      <c r="E1598" s="1">
        <f>IFERROR(__xludf.DUMMYFUNCTION("""COMPUTED_VALUE"""),167400.0)</f>
        <v>167400</v>
      </c>
      <c r="F1598" s="1">
        <f>IFERROR(__xludf.DUMMYFUNCTION("""COMPUTED_VALUE"""),65990.0)</f>
        <v>65990</v>
      </c>
    </row>
    <row r="1599">
      <c r="A1599" s="2">
        <f>IFERROR(__xludf.DUMMYFUNCTION("""COMPUTED_VALUE"""),42942.64583333333)</f>
        <v>42942.64583</v>
      </c>
      <c r="B1599" s="1">
        <f>IFERROR(__xludf.DUMMYFUNCTION("""COMPUTED_VALUE"""),168000.0)</f>
        <v>168000</v>
      </c>
      <c r="C1599" s="1">
        <f>IFERROR(__xludf.DUMMYFUNCTION("""COMPUTED_VALUE"""),168200.0)</f>
        <v>168200</v>
      </c>
      <c r="D1599" s="1">
        <f>IFERROR(__xludf.DUMMYFUNCTION("""COMPUTED_VALUE"""),163800.0)</f>
        <v>163800</v>
      </c>
      <c r="E1599" s="1">
        <f>IFERROR(__xludf.DUMMYFUNCTION("""COMPUTED_VALUE"""),165000.0)</f>
        <v>165000</v>
      </c>
      <c r="F1599" s="1">
        <f>IFERROR(__xludf.DUMMYFUNCTION("""COMPUTED_VALUE"""),82343.0)</f>
        <v>82343</v>
      </c>
    </row>
    <row r="1600">
      <c r="A1600" s="2">
        <f>IFERROR(__xludf.DUMMYFUNCTION("""COMPUTED_VALUE"""),42943.64583333333)</f>
        <v>42943.64583</v>
      </c>
      <c r="B1600" s="1">
        <f>IFERROR(__xludf.DUMMYFUNCTION("""COMPUTED_VALUE"""),164000.0)</f>
        <v>164000</v>
      </c>
      <c r="C1600" s="1">
        <f>IFERROR(__xludf.DUMMYFUNCTION("""COMPUTED_VALUE"""),165800.0)</f>
        <v>165800</v>
      </c>
      <c r="D1600" s="1">
        <f>IFERROR(__xludf.DUMMYFUNCTION("""COMPUTED_VALUE"""),163800.0)</f>
        <v>163800</v>
      </c>
      <c r="E1600" s="1">
        <f>IFERROR(__xludf.DUMMYFUNCTION("""COMPUTED_VALUE"""),165000.0)</f>
        <v>165000</v>
      </c>
      <c r="F1600" s="1">
        <f>IFERROR(__xludf.DUMMYFUNCTION("""COMPUTED_VALUE"""),70479.0)</f>
        <v>70479</v>
      </c>
    </row>
    <row r="1601">
      <c r="A1601" s="2">
        <f>IFERROR(__xludf.DUMMYFUNCTION("""COMPUTED_VALUE"""),42944.64583333333)</f>
        <v>42944.64583</v>
      </c>
      <c r="B1601" s="1">
        <f>IFERROR(__xludf.DUMMYFUNCTION("""COMPUTED_VALUE"""),164200.0)</f>
        <v>164200</v>
      </c>
      <c r="C1601" s="1">
        <f>IFERROR(__xludf.DUMMYFUNCTION("""COMPUTED_VALUE"""),164800.0)</f>
        <v>164800</v>
      </c>
      <c r="D1601" s="1">
        <f>IFERROR(__xludf.DUMMYFUNCTION("""COMPUTED_VALUE"""),159800.0)</f>
        <v>159800</v>
      </c>
      <c r="E1601" s="1">
        <f>IFERROR(__xludf.DUMMYFUNCTION("""COMPUTED_VALUE"""),159800.0)</f>
        <v>159800</v>
      </c>
      <c r="F1601" s="1">
        <f>IFERROR(__xludf.DUMMYFUNCTION("""COMPUTED_VALUE"""),125875.0)</f>
        <v>125875</v>
      </c>
    </row>
    <row r="1602">
      <c r="A1602" s="2">
        <f>IFERROR(__xludf.DUMMYFUNCTION("""COMPUTED_VALUE"""),42947.64583333333)</f>
        <v>42947.64583</v>
      </c>
      <c r="B1602" s="1">
        <f>IFERROR(__xludf.DUMMYFUNCTION("""COMPUTED_VALUE"""),159800.0)</f>
        <v>159800</v>
      </c>
      <c r="C1602" s="1">
        <f>IFERROR(__xludf.DUMMYFUNCTION("""COMPUTED_VALUE"""),161600.0)</f>
        <v>161600</v>
      </c>
      <c r="D1602" s="1">
        <f>IFERROR(__xludf.DUMMYFUNCTION("""COMPUTED_VALUE"""),157200.0)</f>
        <v>157200</v>
      </c>
      <c r="E1602" s="1">
        <f>IFERROR(__xludf.DUMMYFUNCTION("""COMPUTED_VALUE"""),160600.0)</f>
        <v>160600</v>
      </c>
      <c r="F1602" s="1">
        <f>IFERROR(__xludf.DUMMYFUNCTION("""COMPUTED_VALUE"""),87685.0)</f>
        <v>87685</v>
      </c>
    </row>
    <row r="1603">
      <c r="A1603" s="2">
        <f>IFERROR(__xludf.DUMMYFUNCTION("""COMPUTED_VALUE"""),42948.64583333333)</f>
        <v>42948.64583</v>
      </c>
      <c r="B1603" s="1">
        <f>IFERROR(__xludf.DUMMYFUNCTION("""COMPUTED_VALUE"""),158800.0)</f>
        <v>158800</v>
      </c>
      <c r="C1603" s="1">
        <f>IFERROR(__xludf.DUMMYFUNCTION("""COMPUTED_VALUE"""),160400.0)</f>
        <v>160400</v>
      </c>
      <c r="D1603" s="1">
        <f>IFERROR(__xludf.DUMMYFUNCTION("""COMPUTED_VALUE"""),158000.0)</f>
        <v>158000</v>
      </c>
      <c r="E1603" s="1">
        <f>IFERROR(__xludf.DUMMYFUNCTION("""COMPUTED_VALUE"""),159200.0)</f>
        <v>159200</v>
      </c>
      <c r="F1603" s="1">
        <f>IFERROR(__xludf.DUMMYFUNCTION("""COMPUTED_VALUE"""),82928.0)</f>
        <v>82928</v>
      </c>
    </row>
    <row r="1604">
      <c r="A1604" s="2">
        <f>IFERROR(__xludf.DUMMYFUNCTION("""COMPUTED_VALUE"""),42949.64583333333)</f>
        <v>42949.64583</v>
      </c>
      <c r="B1604" s="1">
        <f>IFERROR(__xludf.DUMMYFUNCTION("""COMPUTED_VALUE"""),158400.0)</f>
        <v>158400</v>
      </c>
      <c r="C1604" s="1">
        <f>IFERROR(__xludf.DUMMYFUNCTION("""COMPUTED_VALUE"""),160000.0)</f>
        <v>160000</v>
      </c>
      <c r="D1604" s="1">
        <f>IFERROR(__xludf.DUMMYFUNCTION("""COMPUTED_VALUE"""),158200.0)</f>
        <v>158200</v>
      </c>
      <c r="E1604" s="1">
        <f>IFERROR(__xludf.DUMMYFUNCTION("""COMPUTED_VALUE"""),159000.0)</f>
        <v>159000</v>
      </c>
      <c r="F1604" s="1">
        <f>IFERROR(__xludf.DUMMYFUNCTION("""COMPUTED_VALUE"""),83691.0)</f>
        <v>83691</v>
      </c>
    </row>
    <row r="1605">
      <c r="A1605" s="2">
        <f>IFERROR(__xludf.DUMMYFUNCTION("""COMPUTED_VALUE"""),42950.64583333333)</f>
        <v>42950.64583</v>
      </c>
      <c r="B1605" s="1">
        <f>IFERROR(__xludf.DUMMYFUNCTION("""COMPUTED_VALUE"""),158800.0)</f>
        <v>158800</v>
      </c>
      <c r="C1605" s="1">
        <f>IFERROR(__xludf.DUMMYFUNCTION("""COMPUTED_VALUE"""),159600.0)</f>
        <v>159600</v>
      </c>
      <c r="D1605" s="1">
        <f>IFERROR(__xludf.DUMMYFUNCTION("""COMPUTED_VALUE"""),155000.0)</f>
        <v>155000</v>
      </c>
      <c r="E1605" s="1">
        <f>IFERROR(__xludf.DUMMYFUNCTION("""COMPUTED_VALUE"""),155600.0)</f>
        <v>155600</v>
      </c>
      <c r="F1605" s="1">
        <f>IFERROR(__xludf.DUMMYFUNCTION("""COMPUTED_VALUE"""),134930.0)</f>
        <v>134930</v>
      </c>
    </row>
    <row r="1606">
      <c r="A1606" s="2">
        <f>IFERROR(__xludf.DUMMYFUNCTION("""COMPUTED_VALUE"""),42951.64583333333)</f>
        <v>42951.64583</v>
      </c>
      <c r="B1606" s="1">
        <f>IFERROR(__xludf.DUMMYFUNCTION("""COMPUTED_VALUE"""),155800.0)</f>
        <v>155800</v>
      </c>
      <c r="C1606" s="1">
        <f>IFERROR(__xludf.DUMMYFUNCTION("""COMPUTED_VALUE"""),157000.0)</f>
        <v>157000</v>
      </c>
      <c r="D1606" s="1">
        <f>IFERROR(__xludf.DUMMYFUNCTION("""COMPUTED_VALUE"""),155200.0)</f>
        <v>155200</v>
      </c>
      <c r="E1606" s="1">
        <f>IFERROR(__xludf.DUMMYFUNCTION("""COMPUTED_VALUE"""),155200.0)</f>
        <v>155200</v>
      </c>
      <c r="F1606" s="1">
        <f>IFERROR(__xludf.DUMMYFUNCTION("""COMPUTED_VALUE"""),67353.0)</f>
        <v>67353</v>
      </c>
    </row>
    <row r="1607">
      <c r="A1607" s="2">
        <f>IFERROR(__xludf.DUMMYFUNCTION("""COMPUTED_VALUE"""),42954.64583333333)</f>
        <v>42954.64583</v>
      </c>
      <c r="B1607" s="1">
        <f>IFERROR(__xludf.DUMMYFUNCTION("""COMPUTED_VALUE"""),155400.0)</f>
        <v>155400</v>
      </c>
      <c r="C1607" s="1">
        <f>IFERROR(__xludf.DUMMYFUNCTION("""COMPUTED_VALUE"""),160600.0)</f>
        <v>160600</v>
      </c>
      <c r="D1607" s="1">
        <f>IFERROR(__xludf.DUMMYFUNCTION("""COMPUTED_VALUE"""),153600.0)</f>
        <v>153600</v>
      </c>
      <c r="E1607" s="1">
        <f>IFERROR(__xludf.DUMMYFUNCTION("""COMPUTED_VALUE"""),159200.0)</f>
        <v>159200</v>
      </c>
      <c r="F1607" s="1">
        <f>IFERROR(__xludf.DUMMYFUNCTION("""COMPUTED_VALUE"""),148923.0)</f>
        <v>148923</v>
      </c>
    </row>
    <row r="1608">
      <c r="A1608" s="2">
        <f>IFERROR(__xludf.DUMMYFUNCTION("""COMPUTED_VALUE"""),42955.64583333333)</f>
        <v>42955.64583</v>
      </c>
      <c r="B1608" s="1">
        <f>IFERROR(__xludf.DUMMYFUNCTION("""COMPUTED_VALUE"""),160200.0)</f>
        <v>160200</v>
      </c>
      <c r="C1608" s="1">
        <f>IFERROR(__xludf.DUMMYFUNCTION("""COMPUTED_VALUE"""),163200.0)</f>
        <v>163200</v>
      </c>
      <c r="D1608" s="1">
        <f>IFERROR(__xludf.DUMMYFUNCTION("""COMPUTED_VALUE"""),160000.0)</f>
        <v>160000</v>
      </c>
      <c r="E1608" s="1">
        <f>IFERROR(__xludf.DUMMYFUNCTION("""COMPUTED_VALUE"""),162000.0)</f>
        <v>162000</v>
      </c>
      <c r="F1608" s="1">
        <f>IFERROR(__xludf.DUMMYFUNCTION("""COMPUTED_VALUE"""),104049.0)</f>
        <v>104049</v>
      </c>
    </row>
    <row r="1609">
      <c r="A1609" s="2">
        <f>IFERROR(__xludf.DUMMYFUNCTION("""COMPUTED_VALUE"""),42956.64583333333)</f>
        <v>42956.64583</v>
      </c>
      <c r="B1609" s="1">
        <f>IFERROR(__xludf.DUMMYFUNCTION("""COMPUTED_VALUE"""),159600.0)</f>
        <v>159600</v>
      </c>
      <c r="C1609" s="1">
        <f>IFERROR(__xludf.DUMMYFUNCTION("""COMPUTED_VALUE"""),161400.0)</f>
        <v>161400</v>
      </c>
      <c r="D1609" s="1">
        <f>IFERROR(__xludf.DUMMYFUNCTION("""COMPUTED_VALUE"""),159400.0)</f>
        <v>159400</v>
      </c>
      <c r="E1609" s="1">
        <f>IFERROR(__xludf.DUMMYFUNCTION("""COMPUTED_VALUE"""),159600.0)</f>
        <v>159600</v>
      </c>
      <c r="F1609" s="1">
        <f>IFERROR(__xludf.DUMMYFUNCTION("""COMPUTED_VALUE"""),51973.0)</f>
        <v>51973</v>
      </c>
    </row>
    <row r="1610">
      <c r="A1610" s="2">
        <f>IFERROR(__xludf.DUMMYFUNCTION("""COMPUTED_VALUE"""),42957.64583333333)</f>
        <v>42957.64583</v>
      </c>
      <c r="B1610" s="1">
        <f>IFERROR(__xludf.DUMMYFUNCTION("""COMPUTED_VALUE"""),158800.0)</f>
        <v>158800</v>
      </c>
      <c r="C1610" s="1">
        <f>IFERROR(__xludf.DUMMYFUNCTION("""COMPUTED_VALUE"""),160400.0)</f>
        <v>160400</v>
      </c>
      <c r="D1610" s="1">
        <f>IFERROR(__xludf.DUMMYFUNCTION("""COMPUTED_VALUE"""),158200.0)</f>
        <v>158200</v>
      </c>
      <c r="E1610" s="1">
        <f>IFERROR(__xludf.DUMMYFUNCTION("""COMPUTED_VALUE"""),158800.0)</f>
        <v>158800</v>
      </c>
      <c r="F1610" s="1">
        <f>IFERROR(__xludf.DUMMYFUNCTION("""COMPUTED_VALUE"""),73502.0)</f>
        <v>73502</v>
      </c>
    </row>
    <row r="1611">
      <c r="A1611" s="2">
        <f>IFERROR(__xludf.DUMMYFUNCTION("""COMPUTED_VALUE"""),42958.64583333333)</f>
        <v>42958.64583</v>
      </c>
      <c r="B1611" s="1">
        <f>IFERROR(__xludf.DUMMYFUNCTION("""COMPUTED_VALUE"""),156200.0)</f>
        <v>156200</v>
      </c>
      <c r="C1611" s="1">
        <f>IFERROR(__xludf.DUMMYFUNCTION("""COMPUTED_VALUE"""),159600.0)</f>
        <v>159600</v>
      </c>
      <c r="D1611" s="1">
        <f>IFERROR(__xludf.DUMMYFUNCTION("""COMPUTED_VALUE"""),156000.0)</f>
        <v>156000</v>
      </c>
      <c r="E1611" s="1">
        <f>IFERROR(__xludf.DUMMYFUNCTION("""COMPUTED_VALUE"""),159000.0)</f>
        <v>159000</v>
      </c>
      <c r="F1611" s="1">
        <f>IFERROR(__xludf.DUMMYFUNCTION("""COMPUTED_VALUE"""),53942.0)</f>
        <v>53942</v>
      </c>
    </row>
    <row r="1612">
      <c r="A1612" s="2">
        <f>IFERROR(__xludf.DUMMYFUNCTION("""COMPUTED_VALUE"""),42961.64583333333)</f>
        <v>42961.64583</v>
      </c>
      <c r="B1612" s="1">
        <f>IFERROR(__xludf.DUMMYFUNCTION("""COMPUTED_VALUE"""),161400.0)</f>
        <v>161400</v>
      </c>
      <c r="C1612" s="1">
        <f>IFERROR(__xludf.DUMMYFUNCTION("""COMPUTED_VALUE"""),161400.0)</f>
        <v>161400</v>
      </c>
      <c r="D1612" s="1">
        <f>IFERROR(__xludf.DUMMYFUNCTION("""COMPUTED_VALUE"""),155200.0)</f>
        <v>155200</v>
      </c>
      <c r="E1612" s="1">
        <f>IFERROR(__xludf.DUMMYFUNCTION("""COMPUTED_VALUE"""),155800.0)</f>
        <v>155800</v>
      </c>
      <c r="F1612" s="1">
        <f>IFERROR(__xludf.DUMMYFUNCTION("""COMPUTED_VALUE"""),79397.0)</f>
        <v>79397</v>
      </c>
    </row>
    <row r="1613">
      <c r="A1613" s="2">
        <f>IFERROR(__xludf.DUMMYFUNCTION("""COMPUTED_VALUE"""),42963.64583333333)</f>
        <v>42963.64583</v>
      </c>
      <c r="B1613" s="1">
        <f>IFERROR(__xludf.DUMMYFUNCTION("""COMPUTED_VALUE"""),156000.0)</f>
        <v>156000</v>
      </c>
      <c r="C1613" s="1">
        <f>IFERROR(__xludf.DUMMYFUNCTION("""COMPUTED_VALUE"""),158000.0)</f>
        <v>158000</v>
      </c>
      <c r="D1613" s="1">
        <f>IFERROR(__xludf.DUMMYFUNCTION("""COMPUTED_VALUE"""),155800.0)</f>
        <v>155800</v>
      </c>
      <c r="E1613" s="1">
        <f>IFERROR(__xludf.DUMMYFUNCTION("""COMPUTED_VALUE"""),157400.0)</f>
        <v>157400</v>
      </c>
      <c r="F1613" s="1">
        <f>IFERROR(__xludf.DUMMYFUNCTION("""COMPUTED_VALUE"""),69817.0)</f>
        <v>69817</v>
      </c>
    </row>
    <row r="1614">
      <c r="A1614" s="2">
        <f>IFERROR(__xludf.DUMMYFUNCTION("""COMPUTED_VALUE"""),42964.64583333333)</f>
        <v>42964.64583</v>
      </c>
      <c r="B1614" s="1">
        <f>IFERROR(__xludf.DUMMYFUNCTION("""COMPUTED_VALUE"""),156200.0)</f>
        <v>156200</v>
      </c>
      <c r="C1614" s="1">
        <f>IFERROR(__xludf.DUMMYFUNCTION("""COMPUTED_VALUE"""),157200.0)</f>
        <v>157200</v>
      </c>
      <c r="D1614" s="1">
        <f>IFERROR(__xludf.DUMMYFUNCTION("""COMPUTED_VALUE"""),155200.0)</f>
        <v>155200</v>
      </c>
      <c r="E1614" s="1">
        <f>IFERROR(__xludf.DUMMYFUNCTION("""COMPUTED_VALUE"""),155400.0)</f>
        <v>155400</v>
      </c>
      <c r="F1614" s="1">
        <f>IFERROR(__xludf.DUMMYFUNCTION("""COMPUTED_VALUE"""),73408.0)</f>
        <v>73408</v>
      </c>
    </row>
    <row r="1615">
      <c r="A1615" s="2">
        <f>IFERROR(__xludf.DUMMYFUNCTION("""COMPUTED_VALUE"""),42965.64583333333)</f>
        <v>42965.64583</v>
      </c>
      <c r="B1615" s="1">
        <f>IFERROR(__xludf.DUMMYFUNCTION("""COMPUTED_VALUE"""),154600.0)</f>
        <v>154600</v>
      </c>
      <c r="C1615" s="1">
        <f>IFERROR(__xludf.DUMMYFUNCTION("""COMPUTED_VALUE"""),157000.0)</f>
        <v>157000</v>
      </c>
      <c r="D1615" s="1">
        <f>IFERROR(__xludf.DUMMYFUNCTION("""COMPUTED_VALUE"""),154600.0)</f>
        <v>154600</v>
      </c>
      <c r="E1615" s="1">
        <f>IFERROR(__xludf.DUMMYFUNCTION("""COMPUTED_VALUE"""),156800.0)</f>
        <v>156800</v>
      </c>
      <c r="F1615" s="1">
        <f>IFERROR(__xludf.DUMMYFUNCTION("""COMPUTED_VALUE"""),52621.0)</f>
        <v>52621</v>
      </c>
    </row>
    <row r="1616">
      <c r="A1616" s="2">
        <f>IFERROR(__xludf.DUMMYFUNCTION("""COMPUTED_VALUE"""),42968.64583333333)</f>
        <v>42968.64583</v>
      </c>
      <c r="B1616" s="1">
        <f>IFERROR(__xludf.DUMMYFUNCTION("""COMPUTED_VALUE"""),156800.0)</f>
        <v>156800</v>
      </c>
      <c r="C1616" s="1">
        <f>IFERROR(__xludf.DUMMYFUNCTION("""COMPUTED_VALUE"""),157000.0)</f>
        <v>157000</v>
      </c>
      <c r="D1616" s="1">
        <f>IFERROR(__xludf.DUMMYFUNCTION("""COMPUTED_VALUE"""),155000.0)</f>
        <v>155000</v>
      </c>
      <c r="E1616" s="1">
        <f>IFERROR(__xludf.DUMMYFUNCTION("""COMPUTED_VALUE"""),156200.0)</f>
        <v>156200</v>
      </c>
      <c r="F1616" s="1">
        <f>IFERROR(__xludf.DUMMYFUNCTION("""COMPUTED_VALUE"""),40484.0)</f>
        <v>40484</v>
      </c>
    </row>
    <row r="1617">
      <c r="A1617" s="2">
        <f>IFERROR(__xludf.DUMMYFUNCTION("""COMPUTED_VALUE"""),42969.64583333333)</f>
        <v>42969.64583</v>
      </c>
      <c r="B1617" s="1">
        <f>IFERROR(__xludf.DUMMYFUNCTION("""COMPUTED_VALUE"""),156200.0)</f>
        <v>156200</v>
      </c>
      <c r="C1617" s="1">
        <f>IFERROR(__xludf.DUMMYFUNCTION("""COMPUTED_VALUE"""),156200.0)</f>
        <v>156200</v>
      </c>
      <c r="D1617" s="1">
        <f>IFERROR(__xludf.DUMMYFUNCTION("""COMPUTED_VALUE"""),152600.0)</f>
        <v>152600</v>
      </c>
      <c r="E1617" s="1">
        <f>IFERROR(__xludf.DUMMYFUNCTION("""COMPUTED_VALUE"""),153400.0)</f>
        <v>153400</v>
      </c>
      <c r="F1617" s="1">
        <f>IFERROR(__xludf.DUMMYFUNCTION("""COMPUTED_VALUE"""),229898.0)</f>
        <v>229898</v>
      </c>
    </row>
    <row r="1618">
      <c r="A1618" s="2">
        <f>IFERROR(__xludf.DUMMYFUNCTION("""COMPUTED_VALUE"""),42970.64583333333)</f>
        <v>42970.64583</v>
      </c>
      <c r="B1618" s="1">
        <f>IFERROR(__xludf.DUMMYFUNCTION("""COMPUTED_VALUE"""),154400.0)</f>
        <v>154400</v>
      </c>
      <c r="C1618" s="1">
        <f>IFERROR(__xludf.DUMMYFUNCTION("""COMPUTED_VALUE"""),156200.0)</f>
        <v>156200</v>
      </c>
      <c r="D1618" s="1">
        <f>IFERROR(__xludf.DUMMYFUNCTION("""COMPUTED_VALUE"""),154000.0)</f>
        <v>154000</v>
      </c>
      <c r="E1618" s="1">
        <f>IFERROR(__xludf.DUMMYFUNCTION("""COMPUTED_VALUE"""),154600.0)</f>
        <v>154600</v>
      </c>
      <c r="F1618" s="1">
        <f>IFERROR(__xludf.DUMMYFUNCTION("""COMPUTED_VALUE"""),97015.0)</f>
        <v>97015</v>
      </c>
    </row>
    <row r="1619">
      <c r="A1619" s="2">
        <f>IFERROR(__xludf.DUMMYFUNCTION("""COMPUTED_VALUE"""),42971.64583333333)</f>
        <v>42971.64583</v>
      </c>
      <c r="B1619" s="1">
        <f>IFERROR(__xludf.DUMMYFUNCTION("""COMPUTED_VALUE"""),154000.0)</f>
        <v>154000</v>
      </c>
      <c r="C1619" s="1">
        <f>IFERROR(__xludf.DUMMYFUNCTION("""COMPUTED_VALUE"""),154800.0)</f>
        <v>154800</v>
      </c>
      <c r="D1619" s="1">
        <f>IFERROR(__xludf.DUMMYFUNCTION("""COMPUTED_VALUE"""),153200.0)</f>
        <v>153200</v>
      </c>
      <c r="E1619" s="1">
        <f>IFERROR(__xludf.DUMMYFUNCTION("""COMPUTED_VALUE"""),154200.0)</f>
        <v>154200</v>
      </c>
      <c r="F1619" s="1">
        <f>IFERROR(__xludf.DUMMYFUNCTION("""COMPUTED_VALUE"""),116996.0)</f>
        <v>116996</v>
      </c>
    </row>
    <row r="1620">
      <c r="A1620" s="2">
        <f>IFERROR(__xludf.DUMMYFUNCTION("""COMPUTED_VALUE"""),42972.64583333333)</f>
        <v>42972.64583</v>
      </c>
      <c r="B1620" s="1">
        <f>IFERROR(__xludf.DUMMYFUNCTION("""COMPUTED_VALUE"""),154200.0)</f>
        <v>154200</v>
      </c>
      <c r="C1620" s="1">
        <f>IFERROR(__xludf.DUMMYFUNCTION("""COMPUTED_VALUE"""),157400.0)</f>
        <v>157400</v>
      </c>
      <c r="D1620" s="1">
        <f>IFERROR(__xludf.DUMMYFUNCTION("""COMPUTED_VALUE"""),154200.0)</f>
        <v>154200</v>
      </c>
      <c r="E1620" s="1">
        <f>IFERROR(__xludf.DUMMYFUNCTION("""COMPUTED_VALUE"""),156000.0)</f>
        <v>156000</v>
      </c>
      <c r="F1620" s="1">
        <f>IFERROR(__xludf.DUMMYFUNCTION("""COMPUTED_VALUE"""),82607.0)</f>
        <v>82607</v>
      </c>
    </row>
    <row r="1621">
      <c r="A1621" s="2">
        <f>IFERROR(__xludf.DUMMYFUNCTION("""COMPUTED_VALUE"""),42975.64583333333)</f>
        <v>42975.64583</v>
      </c>
      <c r="B1621" s="1">
        <f>IFERROR(__xludf.DUMMYFUNCTION("""COMPUTED_VALUE"""),156200.0)</f>
        <v>156200</v>
      </c>
      <c r="C1621" s="1">
        <f>IFERROR(__xludf.DUMMYFUNCTION("""COMPUTED_VALUE"""),158600.0)</f>
        <v>158600</v>
      </c>
      <c r="D1621" s="1">
        <f>IFERROR(__xludf.DUMMYFUNCTION("""COMPUTED_VALUE"""),155800.0)</f>
        <v>155800</v>
      </c>
      <c r="E1621" s="1">
        <f>IFERROR(__xludf.DUMMYFUNCTION("""COMPUTED_VALUE"""),156600.0)</f>
        <v>156600</v>
      </c>
      <c r="F1621" s="1">
        <f>IFERROR(__xludf.DUMMYFUNCTION("""COMPUTED_VALUE"""),109037.0)</f>
        <v>109037</v>
      </c>
    </row>
    <row r="1622">
      <c r="A1622" s="2">
        <f>IFERROR(__xludf.DUMMYFUNCTION("""COMPUTED_VALUE"""),42976.64583333333)</f>
        <v>42976.64583</v>
      </c>
      <c r="B1622" s="1">
        <f>IFERROR(__xludf.DUMMYFUNCTION("""COMPUTED_VALUE"""),155800.0)</f>
        <v>155800</v>
      </c>
      <c r="C1622" s="1">
        <f>IFERROR(__xludf.DUMMYFUNCTION("""COMPUTED_VALUE"""),156000.0)</f>
        <v>156000</v>
      </c>
      <c r="D1622" s="1">
        <f>IFERROR(__xludf.DUMMYFUNCTION("""COMPUTED_VALUE"""),153400.0)</f>
        <v>153400</v>
      </c>
      <c r="E1622" s="1">
        <f>IFERROR(__xludf.DUMMYFUNCTION("""COMPUTED_VALUE"""),155600.0)</f>
        <v>155600</v>
      </c>
      <c r="F1622" s="1">
        <f>IFERROR(__xludf.DUMMYFUNCTION("""COMPUTED_VALUE"""),105691.0)</f>
        <v>105691</v>
      </c>
    </row>
    <row r="1623">
      <c r="A1623" s="2">
        <f>IFERROR(__xludf.DUMMYFUNCTION("""COMPUTED_VALUE"""),42977.64583333333)</f>
        <v>42977.64583</v>
      </c>
      <c r="B1623" s="1">
        <f>IFERROR(__xludf.DUMMYFUNCTION("""COMPUTED_VALUE"""),155600.0)</f>
        <v>155600</v>
      </c>
      <c r="C1623" s="1">
        <f>IFERROR(__xludf.DUMMYFUNCTION("""COMPUTED_VALUE"""),156600.0)</f>
        <v>156600</v>
      </c>
      <c r="D1623" s="1">
        <f>IFERROR(__xludf.DUMMYFUNCTION("""COMPUTED_VALUE"""),154200.0)</f>
        <v>154200</v>
      </c>
      <c r="E1623" s="1">
        <f>IFERROR(__xludf.DUMMYFUNCTION("""COMPUTED_VALUE"""),154800.0)</f>
        <v>154800</v>
      </c>
      <c r="F1623" s="1">
        <f>IFERROR(__xludf.DUMMYFUNCTION("""COMPUTED_VALUE"""),112999.0)</f>
        <v>112999</v>
      </c>
    </row>
    <row r="1624">
      <c r="A1624" s="2">
        <f>IFERROR(__xludf.DUMMYFUNCTION("""COMPUTED_VALUE"""),42978.64583333333)</f>
        <v>42978.64583</v>
      </c>
      <c r="B1624" s="1">
        <f>IFERROR(__xludf.DUMMYFUNCTION("""COMPUTED_VALUE"""),153800.0)</f>
        <v>153800</v>
      </c>
      <c r="C1624" s="1">
        <f>IFERROR(__xludf.DUMMYFUNCTION("""COMPUTED_VALUE"""),154000.0)</f>
        <v>154000</v>
      </c>
      <c r="D1624" s="1">
        <f>IFERROR(__xludf.DUMMYFUNCTION("""COMPUTED_VALUE"""),150200.0)</f>
        <v>150200</v>
      </c>
      <c r="E1624" s="1">
        <f>IFERROR(__xludf.DUMMYFUNCTION("""COMPUTED_VALUE"""),151000.0)</f>
        <v>151000</v>
      </c>
      <c r="F1624" s="1">
        <f>IFERROR(__xludf.DUMMYFUNCTION("""COMPUTED_VALUE"""),198250.0)</f>
        <v>198250</v>
      </c>
    </row>
    <row r="1625">
      <c r="A1625" s="2">
        <f>IFERROR(__xludf.DUMMYFUNCTION("""COMPUTED_VALUE"""),42979.64583333333)</f>
        <v>42979.64583</v>
      </c>
      <c r="B1625" s="1">
        <f>IFERROR(__xludf.DUMMYFUNCTION("""COMPUTED_VALUE"""),151400.0)</f>
        <v>151400</v>
      </c>
      <c r="C1625" s="1">
        <f>IFERROR(__xludf.DUMMYFUNCTION("""COMPUTED_VALUE"""),152200.0)</f>
        <v>152200</v>
      </c>
      <c r="D1625" s="1">
        <f>IFERROR(__xludf.DUMMYFUNCTION("""COMPUTED_VALUE"""),149000.0)</f>
        <v>149000</v>
      </c>
      <c r="E1625" s="1">
        <f>IFERROR(__xludf.DUMMYFUNCTION("""COMPUTED_VALUE"""),149200.0)</f>
        <v>149200</v>
      </c>
      <c r="F1625" s="1">
        <f>IFERROR(__xludf.DUMMYFUNCTION("""COMPUTED_VALUE"""),146540.0)</f>
        <v>146540</v>
      </c>
    </row>
    <row r="1626">
      <c r="A1626" s="2">
        <f>IFERROR(__xludf.DUMMYFUNCTION("""COMPUTED_VALUE"""),42982.64583333333)</f>
        <v>42982.64583</v>
      </c>
      <c r="B1626" s="1">
        <f>IFERROR(__xludf.DUMMYFUNCTION("""COMPUTED_VALUE"""),144800.0)</f>
        <v>144800</v>
      </c>
      <c r="C1626" s="1">
        <f>IFERROR(__xludf.DUMMYFUNCTION("""COMPUTED_VALUE"""),146800.0)</f>
        <v>146800</v>
      </c>
      <c r="D1626" s="1">
        <f>IFERROR(__xludf.DUMMYFUNCTION("""COMPUTED_VALUE"""),144800.0)</f>
        <v>144800</v>
      </c>
      <c r="E1626" s="1">
        <f>IFERROR(__xludf.DUMMYFUNCTION("""COMPUTED_VALUE"""),145200.0)</f>
        <v>145200</v>
      </c>
      <c r="F1626" s="1">
        <f>IFERROR(__xludf.DUMMYFUNCTION("""COMPUTED_VALUE"""),140477.0)</f>
        <v>140477</v>
      </c>
    </row>
    <row r="1627">
      <c r="A1627" s="2">
        <f>IFERROR(__xludf.DUMMYFUNCTION("""COMPUTED_VALUE"""),42983.64583333333)</f>
        <v>42983.64583</v>
      </c>
      <c r="B1627" s="1">
        <f>IFERROR(__xludf.DUMMYFUNCTION("""COMPUTED_VALUE"""),145600.0)</f>
        <v>145600</v>
      </c>
      <c r="C1627" s="1">
        <f>IFERROR(__xludf.DUMMYFUNCTION("""COMPUTED_VALUE"""),148400.0)</f>
        <v>148400</v>
      </c>
      <c r="D1627" s="1">
        <f>IFERROR(__xludf.DUMMYFUNCTION("""COMPUTED_VALUE"""),145400.0)</f>
        <v>145400</v>
      </c>
      <c r="E1627" s="1">
        <f>IFERROR(__xludf.DUMMYFUNCTION("""COMPUTED_VALUE"""),147200.0)</f>
        <v>147200</v>
      </c>
      <c r="F1627" s="1">
        <f>IFERROR(__xludf.DUMMYFUNCTION("""COMPUTED_VALUE"""),97577.0)</f>
        <v>97577</v>
      </c>
    </row>
    <row r="1628">
      <c r="A1628" s="2">
        <f>IFERROR(__xludf.DUMMYFUNCTION("""COMPUTED_VALUE"""),42984.64583333333)</f>
        <v>42984.64583</v>
      </c>
      <c r="B1628" s="1">
        <f>IFERROR(__xludf.DUMMYFUNCTION("""COMPUTED_VALUE"""),145800.0)</f>
        <v>145800</v>
      </c>
      <c r="C1628" s="1">
        <f>IFERROR(__xludf.DUMMYFUNCTION("""COMPUTED_VALUE"""),147800.0)</f>
        <v>147800</v>
      </c>
      <c r="D1628" s="1">
        <f>IFERROR(__xludf.DUMMYFUNCTION("""COMPUTED_VALUE"""),145000.0)</f>
        <v>145000</v>
      </c>
      <c r="E1628" s="1">
        <f>IFERROR(__xludf.DUMMYFUNCTION("""COMPUTED_VALUE"""),147400.0)</f>
        <v>147400</v>
      </c>
      <c r="F1628" s="1">
        <f>IFERROR(__xludf.DUMMYFUNCTION("""COMPUTED_VALUE"""),80239.0)</f>
        <v>80239</v>
      </c>
    </row>
    <row r="1629">
      <c r="A1629" s="2">
        <f>IFERROR(__xludf.DUMMYFUNCTION("""COMPUTED_VALUE"""),42985.64583333333)</f>
        <v>42985.64583</v>
      </c>
      <c r="B1629" s="1">
        <f>IFERROR(__xludf.DUMMYFUNCTION("""COMPUTED_VALUE"""),147200.0)</f>
        <v>147200</v>
      </c>
      <c r="C1629" s="1">
        <f>IFERROR(__xludf.DUMMYFUNCTION("""COMPUTED_VALUE"""),147400.0)</f>
        <v>147400</v>
      </c>
      <c r="D1629" s="1">
        <f>IFERROR(__xludf.DUMMYFUNCTION("""COMPUTED_VALUE"""),146000.0)</f>
        <v>146000</v>
      </c>
      <c r="E1629" s="1">
        <f>IFERROR(__xludf.DUMMYFUNCTION("""COMPUTED_VALUE"""),146000.0)</f>
        <v>146000</v>
      </c>
      <c r="F1629" s="1">
        <f>IFERROR(__xludf.DUMMYFUNCTION("""COMPUTED_VALUE"""),68175.0)</f>
        <v>68175</v>
      </c>
    </row>
    <row r="1630">
      <c r="A1630" s="2">
        <f>IFERROR(__xludf.DUMMYFUNCTION("""COMPUTED_VALUE"""),42986.64583333333)</f>
        <v>42986.64583</v>
      </c>
      <c r="B1630" s="1">
        <f>IFERROR(__xludf.DUMMYFUNCTION("""COMPUTED_VALUE"""),145000.0)</f>
        <v>145000</v>
      </c>
      <c r="C1630" s="1">
        <f>IFERROR(__xludf.DUMMYFUNCTION("""COMPUTED_VALUE"""),146600.0)</f>
        <v>146600</v>
      </c>
      <c r="D1630" s="1">
        <f>IFERROR(__xludf.DUMMYFUNCTION("""COMPUTED_VALUE"""),144800.0)</f>
        <v>144800</v>
      </c>
      <c r="E1630" s="1">
        <f>IFERROR(__xludf.DUMMYFUNCTION("""COMPUTED_VALUE"""),145400.0)</f>
        <v>145400</v>
      </c>
      <c r="F1630" s="1">
        <f>IFERROR(__xludf.DUMMYFUNCTION("""COMPUTED_VALUE"""),70880.0)</f>
        <v>70880</v>
      </c>
    </row>
    <row r="1631">
      <c r="A1631" s="2">
        <f>IFERROR(__xludf.DUMMYFUNCTION("""COMPUTED_VALUE"""),42989.64583333333)</f>
        <v>42989.64583</v>
      </c>
      <c r="B1631" s="1">
        <f>IFERROR(__xludf.DUMMYFUNCTION("""COMPUTED_VALUE"""),145400.0)</f>
        <v>145400</v>
      </c>
      <c r="C1631" s="1">
        <f>IFERROR(__xludf.DUMMYFUNCTION("""COMPUTED_VALUE"""),145400.0)</f>
        <v>145400</v>
      </c>
      <c r="D1631" s="1">
        <f>IFERROR(__xludf.DUMMYFUNCTION("""COMPUTED_VALUE"""),143400.0)</f>
        <v>143400</v>
      </c>
      <c r="E1631" s="1">
        <f>IFERROR(__xludf.DUMMYFUNCTION("""COMPUTED_VALUE"""),144000.0)</f>
        <v>144000</v>
      </c>
      <c r="F1631" s="1">
        <f>IFERROR(__xludf.DUMMYFUNCTION("""COMPUTED_VALUE"""),75517.0)</f>
        <v>75517</v>
      </c>
    </row>
    <row r="1632">
      <c r="A1632" s="2">
        <f>IFERROR(__xludf.DUMMYFUNCTION("""COMPUTED_VALUE"""),42990.64583333333)</f>
        <v>42990.64583</v>
      </c>
      <c r="B1632" s="1">
        <f>IFERROR(__xludf.DUMMYFUNCTION("""COMPUTED_VALUE"""),144600.0)</f>
        <v>144600</v>
      </c>
      <c r="C1632" s="1">
        <f>IFERROR(__xludf.DUMMYFUNCTION("""COMPUTED_VALUE"""),148400.0)</f>
        <v>148400</v>
      </c>
      <c r="D1632" s="1">
        <f>IFERROR(__xludf.DUMMYFUNCTION("""COMPUTED_VALUE"""),143600.0)</f>
        <v>143600</v>
      </c>
      <c r="E1632" s="1">
        <f>IFERROR(__xludf.DUMMYFUNCTION("""COMPUTED_VALUE"""),147000.0)</f>
        <v>147000</v>
      </c>
      <c r="F1632" s="1">
        <f>IFERROR(__xludf.DUMMYFUNCTION("""COMPUTED_VALUE"""),83031.0)</f>
        <v>83031</v>
      </c>
    </row>
    <row r="1633">
      <c r="A1633" s="2">
        <f>IFERROR(__xludf.DUMMYFUNCTION("""COMPUTED_VALUE"""),42991.64583333333)</f>
        <v>42991.64583</v>
      </c>
      <c r="B1633" s="1">
        <f>IFERROR(__xludf.DUMMYFUNCTION("""COMPUTED_VALUE"""),146600.0)</f>
        <v>146600</v>
      </c>
      <c r="C1633" s="1">
        <f>IFERROR(__xludf.DUMMYFUNCTION("""COMPUTED_VALUE"""),147000.0)</f>
        <v>147000</v>
      </c>
      <c r="D1633" s="1">
        <f>IFERROR(__xludf.DUMMYFUNCTION("""COMPUTED_VALUE"""),145000.0)</f>
        <v>145000</v>
      </c>
      <c r="E1633" s="1">
        <f>IFERROR(__xludf.DUMMYFUNCTION("""COMPUTED_VALUE"""),145800.0)</f>
        <v>145800</v>
      </c>
      <c r="F1633" s="1">
        <f>IFERROR(__xludf.DUMMYFUNCTION("""COMPUTED_VALUE"""),74276.0)</f>
        <v>74276</v>
      </c>
    </row>
    <row r="1634">
      <c r="A1634" s="2">
        <f>IFERROR(__xludf.DUMMYFUNCTION("""COMPUTED_VALUE"""),42992.64583333333)</f>
        <v>42992.64583</v>
      </c>
      <c r="B1634" s="1">
        <f>IFERROR(__xludf.DUMMYFUNCTION("""COMPUTED_VALUE"""),146000.0)</f>
        <v>146000</v>
      </c>
      <c r="C1634" s="1">
        <f>IFERROR(__xludf.DUMMYFUNCTION("""COMPUTED_VALUE"""),153800.0)</f>
        <v>153800</v>
      </c>
      <c r="D1634" s="1">
        <f>IFERROR(__xludf.DUMMYFUNCTION("""COMPUTED_VALUE"""),145800.0)</f>
        <v>145800</v>
      </c>
      <c r="E1634" s="1">
        <f>IFERROR(__xludf.DUMMYFUNCTION("""COMPUTED_VALUE"""),153000.0)</f>
        <v>153000</v>
      </c>
      <c r="F1634" s="1">
        <f>IFERROR(__xludf.DUMMYFUNCTION("""COMPUTED_VALUE"""),226589.0)</f>
        <v>226589</v>
      </c>
    </row>
    <row r="1635">
      <c r="A1635" s="2">
        <f>IFERROR(__xludf.DUMMYFUNCTION("""COMPUTED_VALUE"""),42993.64583333333)</f>
        <v>42993.64583</v>
      </c>
      <c r="B1635" s="1">
        <f>IFERROR(__xludf.DUMMYFUNCTION("""COMPUTED_VALUE"""),152800.0)</f>
        <v>152800</v>
      </c>
      <c r="C1635" s="1">
        <f>IFERROR(__xludf.DUMMYFUNCTION("""COMPUTED_VALUE"""),152800.0)</f>
        <v>152800</v>
      </c>
      <c r="D1635" s="1">
        <f>IFERROR(__xludf.DUMMYFUNCTION("""COMPUTED_VALUE"""),150400.0)</f>
        <v>150400</v>
      </c>
      <c r="E1635" s="1">
        <f>IFERROR(__xludf.DUMMYFUNCTION("""COMPUTED_VALUE"""),152000.0)</f>
        <v>152000</v>
      </c>
      <c r="F1635" s="1">
        <f>IFERROR(__xludf.DUMMYFUNCTION("""COMPUTED_VALUE"""),99262.0)</f>
        <v>99262</v>
      </c>
    </row>
    <row r="1636">
      <c r="A1636" s="2">
        <f>IFERROR(__xludf.DUMMYFUNCTION("""COMPUTED_VALUE"""),42996.64583333333)</f>
        <v>42996.64583</v>
      </c>
      <c r="B1636" s="1">
        <f>IFERROR(__xludf.DUMMYFUNCTION("""COMPUTED_VALUE"""),152400.0)</f>
        <v>152400</v>
      </c>
      <c r="C1636" s="1">
        <f>IFERROR(__xludf.DUMMYFUNCTION("""COMPUTED_VALUE"""),157200.0)</f>
        <v>157200</v>
      </c>
      <c r="D1636" s="1">
        <f>IFERROR(__xludf.DUMMYFUNCTION("""COMPUTED_VALUE"""),152200.0)</f>
        <v>152200</v>
      </c>
      <c r="E1636" s="1">
        <f>IFERROR(__xludf.DUMMYFUNCTION("""COMPUTED_VALUE"""),156200.0)</f>
        <v>156200</v>
      </c>
      <c r="F1636" s="1">
        <f>IFERROR(__xludf.DUMMYFUNCTION("""COMPUTED_VALUE"""),122896.0)</f>
        <v>122896</v>
      </c>
    </row>
    <row r="1637">
      <c r="A1637" s="2">
        <f>IFERROR(__xludf.DUMMYFUNCTION("""COMPUTED_VALUE"""),42997.64583333333)</f>
        <v>42997.64583</v>
      </c>
      <c r="B1637" s="1">
        <f>IFERROR(__xludf.DUMMYFUNCTION("""COMPUTED_VALUE"""),155000.0)</f>
        <v>155000</v>
      </c>
      <c r="C1637" s="1">
        <f>IFERROR(__xludf.DUMMYFUNCTION("""COMPUTED_VALUE"""),155400.0)</f>
        <v>155400</v>
      </c>
      <c r="D1637" s="1">
        <f>IFERROR(__xludf.DUMMYFUNCTION("""COMPUTED_VALUE"""),152800.0)</f>
        <v>152800</v>
      </c>
      <c r="E1637" s="1">
        <f>IFERROR(__xludf.DUMMYFUNCTION("""COMPUTED_VALUE"""),154000.0)</f>
        <v>154000</v>
      </c>
      <c r="F1637" s="1">
        <f>IFERROR(__xludf.DUMMYFUNCTION("""COMPUTED_VALUE"""),73974.0)</f>
        <v>73974</v>
      </c>
    </row>
    <row r="1638">
      <c r="A1638" s="2">
        <f>IFERROR(__xludf.DUMMYFUNCTION("""COMPUTED_VALUE"""),42998.64583333333)</f>
        <v>42998.64583</v>
      </c>
      <c r="B1638" s="1">
        <f>IFERROR(__xludf.DUMMYFUNCTION("""COMPUTED_VALUE"""),154800.0)</f>
        <v>154800</v>
      </c>
      <c r="C1638" s="1">
        <f>IFERROR(__xludf.DUMMYFUNCTION("""COMPUTED_VALUE"""),157400.0)</f>
        <v>157400</v>
      </c>
      <c r="D1638" s="1">
        <f>IFERROR(__xludf.DUMMYFUNCTION("""COMPUTED_VALUE"""),153400.0)</f>
        <v>153400</v>
      </c>
      <c r="E1638" s="1">
        <f>IFERROR(__xludf.DUMMYFUNCTION("""COMPUTED_VALUE"""),156600.0)</f>
        <v>156600</v>
      </c>
      <c r="F1638" s="1">
        <f>IFERROR(__xludf.DUMMYFUNCTION("""COMPUTED_VALUE"""),86367.0)</f>
        <v>86367</v>
      </c>
    </row>
    <row r="1639">
      <c r="A1639" s="2">
        <f>IFERROR(__xludf.DUMMYFUNCTION("""COMPUTED_VALUE"""),42999.64583333333)</f>
        <v>42999.64583</v>
      </c>
      <c r="B1639" s="1">
        <f>IFERROR(__xludf.DUMMYFUNCTION("""COMPUTED_VALUE"""),155400.0)</f>
        <v>155400</v>
      </c>
      <c r="C1639" s="1">
        <f>IFERROR(__xludf.DUMMYFUNCTION("""COMPUTED_VALUE"""),156200.0)</f>
        <v>156200</v>
      </c>
      <c r="D1639" s="1">
        <f>IFERROR(__xludf.DUMMYFUNCTION("""COMPUTED_VALUE"""),152000.0)</f>
        <v>152000</v>
      </c>
      <c r="E1639" s="1">
        <f>IFERROR(__xludf.DUMMYFUNCTION("""COMPUTED_VALUE"""),152600.0)</f>
        <v>152600</v>
      </c>
      <c r="F1639" s="1">
        <f>IFERROR(__xludf.DUMMYFUNCTION("""COMPUTED_VALUE"""),67757.0)</f>
        <v>67757</v>
      </c>
    </row>
    <row r="1640">
      <c r="A1640" s="2">
        <f>IFERROR(__xludf.DUMMYFUNCTION("""COMPUTED_VALUE"""),43000.64583333333)</f>
        <v>43000.64583</v>
      </c>
      <c r="B1640" s="1">
        <f>IFERROR(__xludf.DUMMYFUNCTION("""COMPUTED_VALUE"""),153000.0)</f>
        <v>153000</v>
      </c>
      <c r="C1640" s="1">
        <f>IFERROR(__xludf.DUMMYFUNCTION("""COMPUTED_VALUE"""),155000.0)</f>
        <v>155000</v>
      </c>
      <c r="D1640" s="1">
        <f>IFERROR(__xludf.DUMMYFUNCTION("""COMPUTED_VALUE"""),151000.0)</f>
        <v>151000</v>
      </c>
      <c r="E1640" s="1">
        <f>IFERROR(__xludf.DUMMYFUNCTION("""COMPUTED_VALUE"""),152800.0)</f>
        <v>152800</v>
      </c>
      <c r="F1640" s="1">
        <f>IFERROR(__xludf.DUMMYFUNCTION("""COMPUTED_VALUE"""),64961.0)</f>
        <v>64961</v>
      </c>
    </row>
    <row r="1641">
      <c r="A1641" s="2">
        <f>IFERROR(__xludf.DUMMYFUNCTION("""COMPUTED_VALUE"""),43003.64583333333)</f>
        <v>43003.64583</v>
      </c>
      <c r="B1641" s="1">
        <f>IFERROR(__xludf.DUMMYFUNCTION("""COMPUTED_VALUE"""),152000.0)</f>
        <v>152000</v>
      </c>
      <c r="C1641" s="1">
        <f>IFERROR(__xludf.DUMMYFUNCTION("""COMPUTED_VALUE"""),152600.0)</f>
        <v>152600</v>
      </c>
      <c r="D1641" s="1">
        <f>IFERROR(__xludf.DUMMYFUNCTION("""COMPUTED_VALUE"""),149800.0)</f>
        <v>149800</v>
      </c>
      <c r="E1641" s="1">
        <f>IFERROR(__xludf.DUMMYFUNCTION("""COMPUTED_VALUE"""),150800.0)</f>
        <v>150800</v>
      </c>
      <c r="F1641" s="1">
        <f>IFERROR(__xludf.DUMMYFUNCTION("""COMPUTED_VALUE"""),73864.0)</f>
        <v>73864</v>
      </c>
    </row>
    <row r="1642">
      <c r="A1642" s="2">
        <f>IFERROR(__xludf.DUMMYFUNCTION("""COMPUTED_VALUE"""),43004.64583333333)</f>
        <v>43004.64583</v>
      </c>
      <c r="B1642" s="1">
        <f>IFERROR(__xludf.DUMMYFUNCTION("""COMPUTED_VALUE"""),149200.0)</f>
        <v>149200</v>
      </c>
      <c r="C1642" s="1">
        <f>IFERROR(__xludf.DUMMYFUNCTION("""COMPUTED_VALUE"""),151000.0)</f>
        <v>151000</v>
      </c>
      <c r="D1642" s="1">
        <f>IFERROR(__xludf.DUMMYFUNCTION("""COMPUTED_VALUE"""),147200.0)</f>
        <v>147200</v>
      </c>
      <c r="E1642" s="1">
        <f>IFERROR(__xludf.DUMMYFUNCTION("""COMPUTED_VALUE"""),150600.0)</f>
        <v>150600</v>
      </c>
      <c r="F1642" s="1">
        <f>IFERROR(__xludf.DUMMYFUNCTION("""COMPUTED_VALUE"""),75591.0)</f>
        <v>75591</v>
      </c>
    </row>
    <row r="1643">
      <c r="A1643" s="2">
        <f>IFERROR(__xludf.DUMMYFUNCTION("""COMPUTED_VALUE"""),43005.64583333333)</f>
        <v>43005.64583</v>
      </c>
      <c r="B1643" s="1">
        <f>IFERROR(__xludf.DUMMYFUNCTION("""COMPUTED_VALUE"""),150000.0)</f>
        <v>150000</v>
      </c>
      <c r="C1643" s="1">
        <f>IFERROR(__xludf.DUMMYFUNCTION("""COMPUTED_VALUE"""),150400.0)</f>
        <v>150400</v>
      </c>
      <c r="D1643" s="1">
        <f>IFERROR(__xludf.DUMMYFUNCTION("""COMPUTED_VALUE"""),146800.0)</f>
        <v>146800</v>
      </c>
      <c r="E1643" s="1">
        <f>IFERROR(__xludf.DUMMYFUNCTION("""COMPUTED_VALUE"""),146800.0)</f>
        <v>146800</v>
      </c>
      <c r="F1643" s="1">
        <f>IFERROR(__xludf.DUMMYFUNCTION("""COMPUTED_VALUE"""),92054.0)</f>
        <v>92054</v>
      </c>
    </row>
    <row r="1644">
      <c r="A1644" s="2">
        <f>IFERROR(__xludf.DUMMYFUNCTION("""COMPUTED_VALUE"""),43006.64583333333)</f>
        <v>43006.64583</v>
      </c>
      <c r="B1644" s="1">
        <f>IFERROR(__xludf.DUMMYFUNCTION("""COMPUTED_VALUE"""),146000.0)</f>
        <v>146000</v>
      </c>
      <c r="C1644" s="1">
        <f>IFERROR(__xludf.DUMMYFUNCTION("""COMPUTED_VALUE"""),149000.0)</f>
        <v>149000</v>
      </c>
      <c r="D1644" s="1">
        <f>IFERROR(__xludf.DUMMYFUNCTION("""COMPUTED_VALUE"""),146000.0)</f>
        <v>146000</v>
      </c>
      <c r="E1644" s="1">
        <f>IFERROR(__xludf.DUMMYFUNCTION("""COMPUTED_VALUE"""),146600.0)</f>
        <v>146600</v>
      </c>
      <c r="F1644" s="1">
        <f>IFERROR(__xludf.DUMMYFUNCTION("""COMPUTED_VALUE"""),108761.0)</f>
        <v>108761</v>
      </c>
    </row>
    <row r="1645">
      <c r="A1645" s="2">
        <f>IFERROR(__xludf.DUMMYFUNCTION("""COMPUTED_VALUE"""),43007.64583333333)</f>
        <v>43007.64583</v>
      </c>
      <c r="B1645" s="1">
        <f>IFERROR(__xludf.DUMMYFUNCTION("""COMPUTED_VALUE"""),146600.0)</f>
        <v>146600</v>
      </c>
      <c r="C1645" s="1">
        <f>IFERROR(__xludf.DUMMYFUNCTION("""COMPUTED_VALUE"""),149800.0)</f>
        <v>149800</v>
      </c>
      <c r="D1645" s="1">
        <f>IFERROR(__xludf.DUMMYFUNCTION("""COMPUTED_VALUE"""),146600.0)</f>
        <v>146600</v>
      </c>
      <c r="E1645" s="1">
        <f>IFERROR(__xludf.DUMMYFUNCTION("""COMPUTED_VALUE"""),149000.0)</f>
        <v>149000</v>
      </c>
      <c r="F1645" s="1">
        <f>IFERROR(__xludf.DUMMYFUNCTION("""COMPUTED_VALUE"""),52799.0)</f>
        <v>52799</v>
      </c>
    </row>
    <row r="1646">
      <c r="A1646" s="2">
        <f>IFERROR(__xludf.DUMMYFUNCTION("""COMPUTED_VALUE"""),43018.64583333333)</f>
        <v>43018.64583</v>
      </c>
      <c r="B1646" s="1">
        <f>IFERROR(__xludf.DUMMYFUNCTION("""COMPUTED_VALUE"""),149400.0)</f>
        <v>149400</v>
      </c>
      <c r="C1646" s="1">
        <f>IFERROR(__xludf.DUMMYFUNCTION("""COMPUTED_VALUE"""),154000.0)</f>
        <v>154000</v>
      </c>
      <c r="D1646" s="1">
        <f>IFERROR(__xludf.DUMMYFUNCTION("""COMPUTED_VALUE"""),148800.0)</f>
        <v>148800</v>
      </c>
      <c r="E1646" s="1">
        <f>IFERROR(__xludf.DUMMYFUNCTION("""COMPUTED_VALUE"""),151200.0)</f>
        <v>151200</v>
      </c>
      <c r="F1646" s="1">
        <f>IFERROR(__xludf.DUMMYFUNCTION("""COMPUTED_VALUE"""),164559.0)</f>
        <v>164559</v>
      </c>
    </row>
    <row r="1647">
      <c r="A1647" s="2">
        <f>IFERROR(__xludf.DUMMYFUNCTION("""COMPUTED_VALUE"""),43019.64583333333)</f>
        <v>43019.64583</v>
      </c>
      <c r="B1647" s="1">
        <f>IFERROR(__xludf.DUMMYFUNCTION("""COMPUTED_VALUE"""),150200.0)</f>
        <v>150200</v>
      </c>
      <c r="C1647" s="1">
        <f>IFERROR(__xludf.DUMMYFUNCTION("""COMPUTED_VALUE"""),151000.0)</f>
        <v>151000</v>
      </c>
      <c r="D1647" s="1">
        <f>IFERROR(__xludf.DUMMYFUNCTION("""COMPUTED_VALUE"""),149200.0)</f>
        <v>149200</v>
      </c>
      <c r="E1647" s="1">
        <f>IFERROR(__xludf.DUMMYFUNCTION("""COMPUTED_VALUE"""),150200.0)</f>
        <v>150200</v>
      </c>
      <c r="F1647" s="1">
        <f>IFERROR(__xludf.DUMMYFUNCTION("""COMPUTED_VALUE"""),59229.0)</f>
        <v>59229</v>
      </c>
    </row>
    <row r="1648">
      <c r="A1648" s="2">
        <f>IFERROR(__xludf.DUMMYFUNCTION("""COMPUTED_VALUE"""),43020.64583333333)</f>
        <v>43020.64583</v>
      </c>
      <c r="B1648" s="1">
        <f>IFERROR(__xludf.DUMMYFUNCTION("""COMPUTED_VALUE"""),150200.0)</f>
        <v>150200</v>
      </c>
      <c r="C1648" s="1">
        <f>IFERROR(__xludf.DUMMYFUNCTION("""COMPUTED_VALUE"""),154400.0)</f>
        <v>154400</v>
      </c>
      <c r="D1648" s="1">
        <f>IFERROR(__xludf.DUMMYFUNCTION("""COMPUTED_VALUE"""),150200.0)</f>
        <v>150200</v>
      </c>
      <c r="E1648" s="1">
        <f>IFERROR(__xludf.DUMMYFUNCTION("""COMPUTED_VALUE"""),153600.0)</f>
        <v>153600</v>
      </c>
      <c r="F1648" s="1">
        <f>IFERROR(__xludf.DUMMYFUNCTION("""COMPUTED_VALUE"""),114527.0)</f>
        <v>114527</v>
      </c>
    </row>
    <row r="1649">
      <c r="A1649" s="2">
        <f>IFERROR(__xludf.DUMMYFUNCTION("""COMPUTED_VALUE"""),43021.64583333333)</f>
        <v>43021.64583</v>
      </c>
      <c r="B1649" s="1">
        <f>IFERROR(__xludf.DUMMYFUNCTION("""COMPUTED_VALUE"""),153600.0)</f>
        <v>153600</v>
      </c>
      <c r="C1649" s="1">
        <f>IFERROR(__xludf.DUMMYFUNCTION("""COMPUTED_VALUE"""),153600.0)</f>
        <v>153600</v>
      </c>
      <c r="D1649" s="1">
        <f>IFERROR(__xludf.DUMMYFUNCTION("""COMPUTED_VALUE"""),151600.0)</f>
        <v>151600</v>
      </c>
      <c r="E1649" s="1">
        <f>IFERROR(__xludf.DUMMYFUNCTION("""COMPUTED_VALUE"""),152400.0)</f>
        <v>152400</v>
      </c>
      <c r="F1649" s="1">
        <f>IFERROR(__xludf.DUMMYFUNCTION("""COMPUTED_VALUE"""),73043.0)</f>
        <v>73043</v>
      </c>
    </row>
    <row r="1650">
      <c r="A1650" s="2">
        <f>IFERROR(__xludf.DUMMYFUNCTION("""COMPUTED_VALUE"""),43024.64583333333)</f>
        <v>43024.64583</v>
      </c>
      <c r="B1650" s="1">
        <f>IFERROR(__xludf.DUMMYFUNCTION("""COMPUTED_VALUE"""),152800.0)</f>
        <v>152800</v>
      </c>
      <c r="C1650" s="1">
        <f>IFERROR(__xludf.DUMMYFUNCTION("""COMPUTED_VALUE"""),153400.0)</f>
        <v>153400</v>
      </c>
      <c r="D1650" s="1">
        <f>IFERROR(__xludf.DUMMYFUNCTION("""COMPUTED_VALUE"""),151800.0)</f>
        <v>151800</v>
      </c>
      <c r="E1650" s="1">
        <f>IFERROR(__xludf.DUMMYFUNCTION("""COMPUTED_VALUE"""),152400.0)</f>
        <v>152400</v>
      </c>
      <c r="F1650" s="1">
        <f>IFERROR(__xludf.DUMMYFUNCTION("""COMPUTED_VALUE"""),65306.0)</f>
        <v>65306</v>
      </c>
    </row>
    <row r="1651">
      <c r="A1651" s="2">
        <f>IFERROR(__xludf.DUMMYFUNCTION("""COMPUTED_VALUE"""),43025.64583333333)</f>
        <v>43025.64583</v>
      </c>
      <c r="B1651" s="1">
        <f>IFERROR(__xludf.DUMMYFUNCTION("""COMPUTED_VALUE"""),153400.0)</f>
        <v>153400</v>
      </c>
      <c r="C1651" s="1">
        <f>IFERROR(__xludf.DUMMYFUNCTION("""COMPUTED_VALUE"""),154400.0)</f>
        <v>154400</v>
      </c>
      <c r="D1651" s="1">
        <f>IFERROR(__xludf.DUMMYFUNCTION("""COMPUTED_VALUE"""),152800.0)</f>
        <v>152800</v>
      </c>
      <c r="E1651" s="1">
        <f>IFERROR(__xludf.DUMMYFUNCTION("""COMPUTED_VALUE"""),153600.0)</f>
        <v>153600</v>
      </c>
      <c r="F1651" s="1">
        <f>IFERROR(__xludf.DUMMYFUNCTION("""COMPUTED_VALUE"""),92894.0)</f>
        <v>92894</v>
      </c>
    </row>
    <row r="1652">
      <c r="A1652" s="2">
        <f>IFERROR(__xludf.DUMMYFUNCTION("""COMPUTED_VALUE"""),43026.64583333333)</f>
        <v>43026.64583</v>
      </c>
      <c r="B1652" s="1">
        <f>IFERROR(__xludf.DUMMYFUNCTION("""COMPUTED_VALUE"""),153600.0)</f>
        <v>153600</v>
      </c>
      <c r="C1652" s="1">
        <f>IFERROR(__xludf.DUMMYFUNCTION("""COMPUTED_VALUE"""),163400.0)</f>
        <v>163400</v>
      </c>
      <c r="D1652" s="1">
        <f>IFERROR(__xludf.DUMMYFUNCTION("""COMPUTED_VALUE"""),153600.0)</f>
        <v>153600</v>
      </c>
      <c r="E1652" s="1">
        <f>IFERROR(__xludf.DUMMYFUNCTION("""COMPUTED_VALUE"""),163000.0)</f>
        <v>163000</v>
      </c>
      <c r="F1652" s="1">
        <f>IFERROR(__xludf.DUMMYFUNCTION("""COMPUTED_VALUE"""),219631.0)</f>
        <v>219631</v>
      </c>
    </row>
    <row r="1653">
      <c r="A1653" s="2">
        <f>IFERROR(__xludf.DUMMYFUNCTION("""COMPUTED_VALUE"""),43027.64583333333)</f>
        <v>43027.64583</v>
      </c>
      <c r="B1653" s="1">
        <f>IFERROR(__xludf.DUMMYFUNCTION("""COMPUTED_VALUE"""),163600.0)</f>
        <v>163600</v>
      </c>
      <c r="C1653" s="1">
        <f>IFERROR(__xludf.DUMMYFUNCTION("""COMPUTED_VALUE"""),165200.0)</f>
        <v>165200</v>
      </c>
      <c r="D1653" s="1">
        <f>IFERROR(__xludf.DUMMYFUNCTION("""COMPUTED_VALUE"""),161000.0)</f>
        <v>161000</v>
      </c>
      <c r="E1653" s="1">
        <f>IFERROR(__xludf.DUMMYFUNCTION("""COMPUTED_VALUE"""),162200.0)</f>
        <v>162200</v>
      </c>
      <c r="F1653" s="1">
        <f>IFERROR(__xludf.DUMMYFUNCTION("""COMPUTED_VALUE"""),179233.0)</f>
        <v>179233</v>
      </c>
    </row>
    <row r="1654">
      <c r="A1654" s="2">
        <f>IFERROR(__xludf.DUMMYFUNCTION("""COMPUTED_VALUE"""),43028.64583333333)</f>
        <v>43028.64583</v>
      </c>
      <c r="B1654" s="1">
        <f>IFERROR(__xludf.DUMMYFUNCTION("""COMPUTED_VALUE"""),163600.0)</f>
        <v>163600</v>
      </c>
      <c r="C1654" s="1">
        <f>IFERROR(__xludf.DUMMYFUNCTION("""COMPUTED_VALUE"""),164600.0)</f>
        <v>164600</v>
      </c>
      <c r="D1654" s="1">
        <f>IFERROR(__xludf.DUMMYFUNCTION("""COMPUTED_VALUE"""),158400.0)</f>
        <v>158400</v>
      </c>
      <c r="E1654" s="1">
        <f>IFERROR(__xludf.DUMMYFUNCTION("""COMPUTED_VALUE"""),160200.0)</f>
        <v>160200</v>
      </c>
      <c r="F1654" s="1">
        <f>IFERROR(__xludf.DUMMYFUNCTION("""COMPUTED_VALUE"""),103091.0)</f>
        <v>103091</v>
      </c>
    </row>
    <row r="1655">
      <c r="A1655" s="2">
        <f>IFERROR(__xludf.DUMMYFUNCTION("""COMPUTED_VALUE"""),43031.64583333333)</f>
        <v>43031.64583</v>
      </c>
      <c r="B1655" s="1">
        <f>IFERROR(__xludf.DUMMYFUNCTION("""COMPUTED_VALUE"""),161200.0)</f>
        <v>161200</v>
      </c>
      <c r="C1655" s="1">
        <f>IFERROR(__xludf.DUMMYFUNCTION("""COMPUTED_VALUE"""),162400.0)</f>
        <v>162400</v>
      </c>
      <c r="D1655" s="1">
        <f>IFERROR(__xludf.DUMMYFUNCTION("""COMPUTED_VALUE"""),158600.0)</f>
        <v>158600</v>
      </c>
      <c r="E1655" s="1">
        <f>IFERROR(__xludf.DUMMYFUNCTION("""COMPUTED_VALUE"""),159800.0)</f>
        <v>159800</v>
      </c>
      <c r="F1655" s="1">
        <f>IFERROR(__xludf.DUMMYFUNCTION("""COMPUTED_VALUE"""),64870.0)</f>
        <v>64870</v>
      </c>
    </row>
    <row r="1656">
      <c r="A1656" s="2">
        <f>IFERROR(__xludf.DUMMYFUNCTION("""COMPUTED_VALUE"""),43032.64583333333)</f>
        <v>43032.64583</v>
      </c>
      <c r="B1656" s="1">
        <f>IFERROR(__xludf.DUMMYFUNCTION("""COMPUTED_VALUE"""),159400.0)</f>
        <v>159400</v>
      </c>
      <c r="C1656" s="1">
        <f>IFERROR(__xludf.DUMMYFUNCTION("""COMPUTED_VALUE"""),162000.0)</f>
        <v>162000</v>
      </c>
      <c r="D1656" s="1">
        <f>IFERROR(__xludf.DUMMYFUNCTION("""COMPUTED_VALUE"""),159000.0)</f>
        <v>159000</v>
      </c>
      <c r="E1656" s="1">
        <f>IFERROR(__xludf.DUMMYFUNCTION("""COMPUTED_VALUE"""),160200.0)</f>
        <v>160200</v>
      </c>
      <c r="F1656" s="1">
        <f>IFERROR(__xludf.DUMMYFUNCTION("""COMPUTED_VALUE"""),55457.0)</f>
        <v>55457</v>
      </c>
    </row>
    <row r="1657">
      <c r="A1657" s="2">
        <f>IFERROR(__xludf.DUMMYFUNCTION("""COMPUTED_VALUE"""),43033.64583333333)</f>
        <v>43033.64583</v>
      </c>
      <c r="B1657" s="1">
        <f>IFERROR(__xludf.DUMMYFUNCTION("""COMPUTED_VALUE"""),160000.0)</f>
        <v>160000</v>
      </c>
      <c r="C1657" s="1">
        <f>IFERROR(__xludf.DUMMYFUNCTION("""COMPUTED_VALUE"""),162200.0)</f>
        <v>162200</v>
      </c>
      <c r="D1657" s="1">
        <f>IFERROR(__xludf.DUMMYFUNCTION("""COMPUTED_VALUE"""),159000.0)</f>
        <v>159000</v>
      </c>
      <c r="E1657" s="1">
        <f>IFERROR(__xludf.DUMMYFUNCTION("""COMPUTED_VALUE"""),160800.0)</f>
        <v>160800</v>
      </c>
      <c r="F1657" s="1">
        <f>IFERROR(__xludf.DUMMYFUNCTION("""COMPUTED_VALUE"""),93258.0)</f>
        <v>93258</v>
      </c>
    </row>
    <row r="1658">
      <c r="A1658" s="2">
        <f>IFERROR(__xludf.DUMMYFUNCTION("""COMPUTED_VALUE"""),43034.64583333333)</f>
        <v>43034.64583</v>
      </c>
      <c r="B1658" s="1">
        <f>IFERROR(__xludf.DUMMYFUNCTION("""COMPUTED_VALUE"""),168800.0)</f>
        <v>168800</v>
      </c>
      <c r="C1658" s="1">
        <f>IFERROR(__xludf.DUMMYFUNCTION("""COMPUTED_VALUE"""),170800.0)</f>
        <v>170800</v>
      </c>
      <c r="D1658" s="1">
        <f>IFERROR(__xludf.DUMMYFUNCTION("""COMPUTED_VALUE"""),166000.0)</f>
        <v>166000</v>
      </c>
      <c r="E1658" s="1">
        <f>IFERROR(__xludf.DUMMYFUNCTION("""COMPUTED_VALUE"""),168000.0)</f>
        <v>168000</v>
      </c>
      <c r="F1658" s="1">
        <f>IFERROR(__xludf.DUMMYFUNCTION("""COMPUTED_VALUE"""),342341.0)</f>
        <v>342341</v>
      </c>
    </row>
    <row r="1659">
      <c r="A1659" s="2">
        <f>IFERROR(__xludf.DUMMYFUNCTION("""COMPUTED_VALUE"""),43035.64583333333)</f>
        <v>43035.64583</v>
      </c>
      <c r="B1659" s="1">
        <f>IFERROR(__xludf.DUMMYFUNCTION("""COMPUTED_VALUE"""),172000.0)</f>
        <v>172000</v>
      </c>
      <c r="C1659" s="1">
        <f>IFERROR(__xludf.DUMMYFUNCTION("""COMPUTED_VALUE"""),175800.0)</f>
        <v>175800</v>
      </c>
      <c r="D1659" s="1">
        <f>IFERROR(__xludf.DUMMYFUNCTION("""COMPUTED_VALUE"""),172000.0)</f>
        <v>172000</v>
      </c>
      <c r="E1659" s="1">
        <f>IFERROR(__xludf.DUMMYFUNCTION("""COMPUTED_VALUE"""),175800.0)</f>
        <v>175800</v>
      </c>
      <c r="F1659" s="1">
        <f>IFERROR(__xludf.DUMMYFUNCTION("""COMPUTED_VALUE"""),236645.0)</f>
        <v>236645</v>
      </c>
    </row>
    <row r="1660">
      <c r="A1660" s="2">
        <f>IFERROR(__xludf.DUMMYFUNCTION("""COMPUTED_VALUE"""),43038.64583333333)</f>
        <v>43038.64583</v>
      </c>
      <c r="B1660" s="1">
        <f>IFERROR(__xludf.DUMMYFUNCTION("""COMPUTED_VALUE"""),177400.0)</f>
        <v>177400</v>
      </c>
      <c r="C1660" s="1">
        <f>IFERROR(__xludf.DUMMYFUNCTION("""COMPUTED_VALUE"""),179800.0)</f>
        <v>179800</v>
      </c>
      <c r="D1660" s="1">
        <f>IFERROR(__xludf.DUMMYFUNCTION("""COMPUTED_VALUE"""),174000.0)</f>
        <v>174000</v>
      </c>
      <c r="E1660" s="1">
        <f>IFERROR(__xludf.DUMMYFUNCTION("""COMPUTED_VALUE"""),175200.0)</f>
        <v>175200</v>
      </c>
      <c r="F1660" s="1">
        <f>IFERROR(__xludf.DUMMYFUNCTION("""COMPUTED_VALUE"""),105718.0)</f>
        <v>105718</v>
      </c>
    </row>
    <row r="1661">
      <c r="A1661" s="2">
        <f>IFERROR(__xludf.DUMMYFUNCTION("""COMPUTED_VALUE"""),43039.64583333333)</f>
        <v>43039.64583</v>
      </c>
      <c r="B1661" s="1">
        <f>IFERROR(__xludf.DUMMYFUNCTION("""COMPUTED_VALUE"""),175000.0)</f>
        <v>175000</v>
      </c>
      <c r="C1661" s="1">
        <f>IFERROR(__xludf.DUMMYFUNCTION("""COMPUTED_VALUE"""),179200.0)</f>
        <v>179200</v>
      </c>
      <c r="D1661" s="1">
        <f>IFERROR(__xludf.DUMMYFUNCTION("""COMPUTED_VALUE"""),173600.0)</f>
        <v>173600</v>
      </c>
      <c r="E1661" s="1">
        <f>IFERROR(__xludf.DUMMYFUNCTION("""COMPUTED_VALUE"""),178800.0)</f>
        <v>178800</v>
      </c>
      <c r="F1661" s="1">
        <f>IFERROR(__xludf.DUMMYFUNCTION("""COMPUTED_VALUE"""),131019.0)</f>
        <v>131019</v>
      </c>
    </row>
    <row r="1662">
      <c r="A1662" s="2">
        <f>IFERROR(__xludf.DUMMYFUNCTION("""COMPUTED_VALUE"""),43040.64583333333)</f>
        <v>43040.64583</v>
      </c>
      <c r="B1662" s="1">
        <f>IFERROR(__xludf.DUMMYFUNCTION("""COMPUTED_VALUE"""),174000.0)</f>
        <v>174000</v>
      </c>
      <c r="C1662" s="1">
        <f>IFERROR(__xludf.DUMMYFUNCTION("""COMPUTED_VALUE"""),175800.0)</f>
        <v>175800</v>
      </c>
      <c r="D1662" s="1">
        <f>IFERROR(__xludf.DUMMYFUNCTION("""COMPUTED_VALUE"""),170600.0)</f>
        <v>170600</v>
      </c>
      <c r="E1662" s="1">
        <f>IFERROR(__xludf.DUMMYFUNCTION("""COMPUTED_VALUE"""),172000.0)</f>
        <v>172000</v>
      </c>
      <c r="F1662" s="1">
        <f>IFERROR(__xludf.DUMMYFUNCTION("""COMPUTED_VALUE"""),232078.0)</f>
        <v>232078</v>
      </c>
    </row>
    <row r="1663">
      <c r="A1663" s="2">
        <f>IFERROR(__xludf.DUMMYFUNCTION("""COMPUTED_VALUE"""),43041.64583333333)</f>
        <v>43041.64583</v>
      </c>
      <c r="B1663" s="1">
        <f>IFERROR(__xludf.DUMMYFUNCTION("""COMPUTED_VALUE"""),172000.0)</f>
        <v>172000</v>
      </c>
      <c r="C1663" s="1">
        <f>IFERROR(__xludf.DUMMYFUNCTION("""COMPUTED_VALUE"""),174600.0)</f>
        <v>174600</v>
      </c>
      <c r="D1663" s="1">
        <f>IFERROR(__xludf.DUMMYFUNCTION("""COMPUTED_VALUE"""),171000.0)</f>
        <v>171000</v>
      </c>
      <c r="E1663" s="1">
        <f>IFERROR(__xludf.DUMMYFUNCTION("""COMPUTED_VALUE"""),171200.0)</f>
        <v>171200</v>
      </c>
      <c r="F1663" s="1">
        <f>IFERROR(__xludf.DUMMYFUNCTION("""COMPUTED_VALUE"""),70554.0)</f>
        <v>70554</v>
      </c>
    </row>
    <row r="1664">
      <c r="A1664" s="2">
        <f>IFERROR(__xludf.DUMMYFUNCTION("""COMPUTED_VALUE"""),43042.64583333333)</f>
        <v>43042.64583</v>
      </c>
      <c r="B1664" s="1">
        <f>IFERROR(__xludf.DUMMYFUNCTION("""COMPUTED_VALUE"""),170400.0)</f>
        <v>170400</v>
      </c>
      <c r="C1664" s="1">
        <f>IFERROR(__xludf.DUMMYFUNCTION("""COMPUTED_VALUE"""),173600.0)</f>
        <v>173600</v>
      </c>
      <c r="D1664" s="1">
        <f>IFERROR(__xludf.DUMMYFUNCTION("""COMPUTED_VALUE"""),170000.0)</f>
        <v>170000</v>
      </c>
      <c r="E1664" s="1">
        <f>IFERROR(__xludf.DUMMYFUNCTION("""COMPUTED_VALUE"""),172600.0)</f>
        <v>172600</v>
      </c>
      <c r="F1664" s="1">
        <f>IFERROR(__xludf.DUMMYFUNCTION("""COMPUTED_VALUE"""),62974.0)</f>
        <v>62974</v>
      </c>
    </row>
    <row r="1665">
      <c r="A1665" s="2">
        <f>IFERROR(__xludf.DUMMYFUNCTION("""COMPUTED_VALUE"""),43045.64583333333)</f>
        <v>43045.64583</v>
      </c>
      <c r="B1665" s="1">
        <f>IFERROR(__xludf.DUMMYFUNCTION("""COMPUTED_VALUE"""),172000.0)</f>
        <v>172000</v>
      </c>
      <c r="C1665" s="1">
        <f>IFERROR(__xludf.DUMMYFUNCTION("""COMPUTED_VALUE"""),174800.0)</f>
        <v>174800</v>
      </c>
      <c r="D1665" s="1">
        <f>IFERROR(__xludf.DUMMYFUNCTION("""COMPUTED_VALUE"""),171000.0)</f>
        <v>171000</v>
      </c>
      <c r="E1665" s="1">
        <f>IFERROR(__xludf.DUMMYFUNCTION("""COMPUTED_VALUE"""),172200.0)</f>
        <v>172200</v>
      </c>
      <c r="F1665" s="1">
        <f>IFERROR(__xludf.DUMMYFUNCTION("""COMPUTED_VALUE"""),64415.0)</f>
        <v>64415</v>
      </c>
    </row>
    <row r="1666">
      <c r="A1666" s="2">
        <f>IFERROR(__xludf.DUMMYFUNCTION("""COMPUTED_VALUE"""),43046.64583333333)</f>
        <v>43046.64583</v>
      </c>
      <c r="B1666" s="1">
        <f>IFERROR(__xludf.DUMMYFUNCTION("""COMPUTED_VALUE"""),174400.0)</f>
        <v>174400</v>
      </c>
      <c r="C1666" s="1">
        <f>IFERROR(__xludf.DUMMYFUNCTION("""COMPUTED_VALUE"""),174400.0)</f>
        <v>174400</v>
      </c>
      <c r="D1666" s="1">
        <f>IFERROR(__xludf.DUMMYFUNCTION("""COMPUTED_VALUE"""),170000.0)</f>
        <v>170000</v>
      </c>
      <c r="E1666" s="1">
        <f>IFERROR(__xludf.DUMMYFUNCTION("""COMPUTED_VALUE"""),172000.0)</f>
        <v>172000</v>
      </c>
      <c r="F1666" s="1">
        <f>IFERROR(__xludf.DUMMYFUNCTION("""COMPUTED_VALUE"""),84428.0)</f>
        <v>84428</v>
      </c>
    </row>
    <row r="1667">
      <c r="A1667" s="2">
        <f>IFERROR(__xludf.DUMMYFUNCTION("""COMPUTED_VALUE"""),43047.64583333333)</f>
        <v>43047.64583</v>
      </c>
      <c r="B1667" s="1">
        <f>IFERROR(__xludf.DUMMYFUNCTION("""COMPUTED_VALUE"""),170800.0)</f>
        <v>170800</v>
      </c>
      <c r="C1667" s="1">
        <f>IFERROR(__xludf.DUMMYFUNCTION("""COMPUTED_VALUE"""),171200.0)</f>
        <v>171200</v>
      </c>
      <c r="D1667" s="1">
        <f>IFERROR(__xludf.DUMMYFUNCTION("""COMPUTED_VALUE"""),168400.0)</f>
        <v>168400</v>
      </c>
      <c r="E1667" s="1">
        <f>IFERROR(__xludf.DUMMYFUNCTION("""COMPUTED_VALUE"""),169800.0)</f>
        <v>169800</v>
      </c>
      <c r="F1667" s="1">
        <f>IFERROR(__xludf.DUMMYFUNCTION("""COMPUTED_VALUE"""),102691.0)</f>
        <v>102691</v>
      </c>
    </row>
    <row r="1668">
      <c r="A1668" s="2">
        <f>IFERROR(__xludf.DUMMYFUNCTION("""COMPUTED_VALUE"""),43048.64583333333)</f>
        <v>43048.64583</v>
      </c>
      <c r="B1668" s="1">
        <f>IFERROR(__xludf.DUMMYFUNCTION("""COMPUTED_VALUE"""),168600.0)</f>
        <v>168600</v>
      </c>
      <c r="C1668" s="1">
        <f>IFERROR(__xludf.DUMMYFUNCTION("""COMPUTED_VALUE"""),168800.0)</f>
        <v>168800</v>
      </c>
      <c r="D1668" s="1">
        <f>IFERROR(__xludf.DUMMYFUNCTION("""COMPUTED_VALUE"""),164800.0)</f>
        <v>164800</v>
      </c>
      <c r="E1668" s="1">
        <f>IFERROR(__xludf.DUMMYFUNCTION("""COMPUTED_VALUE"""),165000.0)</f>
        <v>165000</v>
      </c>
      <c r="F1668" s="1">
        <f>IFERROR(__xludf.DUMMYFUNCTION("""COMPUTED_VALUE"""),176602.0)</f>
        <v>176602</v>
      </c>
    </row>
    <row r="1669">
      <c r="A1669" s="2">
        <f>IFERROR(__xludf.DUMMYFUNCTION("""COMPUTED_VALUE"""),43049.64583333333)</f>
        <v>43049.64583</v>
      </c>
      <c r="B1669" s="1">
        <f>IFERROR(__xludf.DUMMYFUNCTION("""COMPUTED_VALUE"""),164400.0)</f>
        <v>164400</v>
      </c>
      <c r="C1669" s="1">
        <f>IFERROR(__xludf.DUMMYFUNCTION("""COMPUTED_VALUE"""),166000.0)</f>
        <v>166000</v>
      </c>
      <c r="D1669" s="1">
        <f>IFERROR(__xludf.DUMMYFUNCTION("""COMPUTED_VALUE"""),161400.0)</f>
        <v>161400</v>
      </c>
      <c r="E1669" s="1">
        <f>IFERROR(__xludf.DUMMYFUNCTION("""COMPUTED_VALUE"""),162800.0)</f>
        <v>162800</v>
      </c>
      <c r="F1669" s="1">
        <f>IFERROR(__xludf.DUMMYFUNCTION("""COMPUTED_VALUE"""),157249.0)</f>
        <v>157249</v>
      </c>
    </row>
    <row r="1670">
      <c r="A1670" s="2">
        <f>IFERROR(__xludf.DUMMYFUNCTION("""COMPUTED_VALUE"""),43052.64583333333)</f>
        <v>43052.64583</v>
      </c>
      <c r="B1670" s="1">
        <f>IFERROR(__xludf.DUMMYFUNCTION("""COMPUTED_VALUE"""),162200.0)</f>
        <v>162200</v>
      </c>
      <c r="C1670" s="1">
        <f>IFERROR(__xludf.DUMMYFUNCTION("""COMPUTED_VALUE"""),164800.0)</f>
        <v>164800</v>
      </c>
      <c r="D1670" s="1">
        <f>IFERROR(__xludf.DUMMYFUNCTION("""COMPUTED_VALUE"""),161400.0)</f>
        <v>161400</v>
      </c>
      <c r="E1670" s="1">
        <f>IFERROR(__xludf.DUMMYFUNCTION("""COMPUTED_VALUE"""),163800.0)</f>
        <v>163800</v>
      </c>
      <c r="F1670" s="1">
        <f>IFERROR(__xludf.DUMMYFUNCTION("""COMPUTED_VALUE"""),94173.0)</f>
        <v>94173</v>
      </c>
    </row>
    <row r="1671">
      <c r="A1671" s="2">
        <f>IFERROR(__xludf.DUMMYFUNCTION("""COMPUTED_VALUE"""),43053.64583333333)</f>
        <v>43053.64583</v>
      </c>
      <c r="B1671" s="1">
        <f>IFERROR(__xludf.DUMMYFUNCTION("""COMPUTED_VALUE"""),164400.0)</f>
        <v>164400</v>
      </c>
      <c r="C1671" s="1">
        <f>IFERROR(__xludf.DUMMYFUNCTION("""COMPUTED_VALUE"""),164400.0)</f>
        <v>164400</v>
      </c>
      <c r="D1671" s="1">
        <f>IFERROR(__xludf.DUMMYFUNCTION("""COMPUTED_VALUE"""),160400.0)</f>
        <v>160400</v>
      </c>
      <c r="E1671" s="1">
        <f>IFERROR(__xludf.DUMMYFUNCTION("""COMPUTED_VALUE"""),161000.0)</f>
        <v>161000</v>
      </c>
      <c r="F1671" s="1">
        <f>IFERROR(__xludf.DUMMYFUNCTION("""COMPUTED_VALUE"""),118432.0)</f>
        <v>118432</v>
      </c>
    </row>
    <row r="1672">
      <c r="A1672" s="2">
        <f>IFERROR(__xludf.DUMMYFUNCTION("""COMPUTED_VALUE"""),43054.64583333333)</f>
        <v>43054.64583</v>
      </c>
      <c r="B1672" s="1">
        <f>IFERROR(__xludf.DUMMYFUNCTION("""COMPUTED_VALUE"""),161000.0)</f>
        <v>161000</v>
      </c>
      <c r="C1672" s="1">
        <f>IFERROR(__xludf.DUMMYFUNCTION("""COMPUTED_VALUE"""),161600.0)</f>
        <v>161600</v>
      </c>
      <c r="D1672" s="1">
        <f>IFERROR(__xludf.DUMMYFUNCTION("""COMPUTED_VALUE"""),158400.0)</f>
        <v>158400</v>
      </c>
      <c r="E1672" s="1">
        <f>IFERROR(__xludf.DUMMYFUNCTION("""COMPUTED_VALUE"""),161000.0)</f>
        <v>161000</v>
      </c>
      <c r="F1672" s="1">
        <f>IFERROR(__xludf.DUMMYFUNCTION("""COMPUTED_VALUE"""),91183.0)</f>
        <v>91183</v>
      </c>
    </row>
    <row r="1673">
      <c r="A1673" s="2">
        <f>IFERROR(__xludf.DUMMYFUNCTION("""COMPUTED_VALUE"""),43055.64583333333)</f>
        <v>43055.64583</v>
      </c>
      <c r="B1673" s="1">
        <f>IFERROR(__xludf.DUMMYFUNCTION("""COMPUTED_VALUE"""),161000.0)</f>
        <v>161000</v>
      </c>
      <c r="C1673" s="1">
        <f>IFERROR(__xludf.DUMMYFUNCTION("""COMPUTED_VALUE"""),161600.0)</f>
        <v>161600</v>
      </c>
      <c r="D1673" s="1">
        <f>IFERROR(__xludf.DUMMYFUNCTION("""COMPUTED_VALUE"""),159600.0)</f>
        <v>159600</v>
      </c>
      <c r="E1673" s="1">
        <f>IFERROR(__xludf.DUMMYFUNCTION("""COMPUTED_VALUE"""),160400.0)</f>
        <v>160400</v>
      </c>
      <c r="F1673" s="1">
        <f>IFERROR(__xludf.DUMMYFUNCTION("""COMPUTED_VALUE"""),86510.0)</f>
        <v>86510</v>
      </c>
    </row>
    <row r="1674">
      <c r="A1674" s="2">
        <f>IFERROR(__xludf.DUMMYFUNCTION("""COMPUTED_VALUE"""),43056.64583333333)</f>
        <v>43056.64583</v>
      </c>
      <c r="B1674" s="1">
        <f>IFERROR(__xludf.DUMMYFUNCTION("""COMPUTED_VALUE"""),161400.0)</f>
        <v>161400</v>
      </c>
      <c r="C1674" s="1">
        <f>IFERROR(__xludf.DUMMYFUNCTION("""COMPUTED_VALUE"""),164400.0)</f>
        <v>164400</v>
      </c>
      <c r="D1674" s="1">
        <f>IFERROR(__xludf.DUMMYFUNCTION("""COMPUTED_VALUE"""),160400.0)</f>
        <v>160400</v>
      </c>
      <c r="E1674" s="1">
        <f>IFERROR(__xludf.DUMMYFUNCTION("""COMPUTED_VALUE"""),161000.0)</f>
        <v>161000</v>
      </c>
      <c r="F1674" s="1">
        <f>IFERROR(__xludf.DUMMYFUNCTION("""COMPUTED_VALUE"""),145275.0)</f>
        <v>145275</v>
      </c>
    </row>
    <row r="1675">
      <c r="A1675" s="2">
        <f>IFERROR(__xludf.DUMMYFUNCTION("""COMPUTED_VALUE"""),43059.64583333333)</f>
        <v>43059.64583</v>
      </c>
      <c r="B1675" s="1">
        <f>IFERROR(__xludf.DUMMYFUNCTION("""COMPUTED_VALUE"""),161600.0)</f>
        <v>161600</v>
      </c>
      <c r="C1675" s="1">
        <f>IFERROR(__xludf.DUMMYFUNCTION("""COMPUTED_VALUE"""),161800.0)</f>
        <v>161800</v>
      </c>
      <c r="D1675" s="1">
        <f>IFERROR(__xludf.DUMMYFUNCTION("""COMPUTED_VALUE"""),159200.0)</f>
        <v>159200</v>
      </c>
      <c r="E1675" s="1">
        <f>IFERROR(__xludf.DUMMYFUNCTION("""COMPUTED_VALUE"""),160200.0)</f>
        <v>160200</v>
      </c>
      <c r="F1675" s="1">
        <f>IFERROR(__xludf.DUMMYFUNCTION("""COMPUTED_VALUE"""),85893.0)</f>
        <v>85893</v>
      </c>
    </row>
    <row r="1676">
      <c r="A1676" s="2">
        <f>IFERROR(__xludf.DUMMYFUNCTION("""COMPUTED_VALUE"""),43060.64583333333)</f>
        <v>43060.64583</v>
      </c>
      <c r="B1676" s="1">
        <f>IFERROR(__xludf.DUMMYFUNCTION("""COMPUTED_VALUE"""),160400.0)</f>
        <v>160400</v>
      </c>
      <c r="C1676" s="1">
        <f>IFERROR(__xludf.DUMMYFUNCTION("""COMPUTED_VALUE"""),162000.0)</f>
        <v>162000</v>
      </c>
      <c r="D1676" s="1">
        <f>IFERROR(__xludf.DUMMYFUNCTION("""COMPUTED_VALUE"""),159600.0)</f>
        <v>159600</v>
      </c>
      <c r="E1676" s="1">
        <f>IFERROR(__xludf.DUMMYFUNCTION("""COMPUTED_VALUE"""),161600.0)</f>
        <v>161600</v>
      </c>
      <c r="F1676" s="1">
        <f>IFERROR(__xludf.DUMMYFUNCTION("""COMPUTED_VALUE"""),79682.0)</f>
        <v>79682</v>
      </c>
    </row>
    <row r="1677">
      <c r="A1677" s="2">
        <f>IFERROR(__xludf.DUMMYFUNCTION("""COMPUTED_VALUE"""),43061.64583333333)</f>
        <v>43061.64583</v>
      </c>
      <c r="B1677" s="1">
        <f>IFERROR(__xludf.DUMMYFUNCTION("""COMPUTED_VALUE"""),162800.0)</f>
        <v>162800</v>
      </c>
      <c r="C1677" s="1">
        <f>IFERROR(__xludf.DUMMYFUNCTION("""COMPUTED_VALUE"""),163000.0)</f>
        <v>163000</v>
      </c>
      <c r="D1677" s="1">
        <f>IFERROR(__xludf.DUMMYFUNCTION("""COMPUTED_VALUE"""),159600.0)</f>
        <v>159600</v>
      </c>
      <c r="E1677" s="1">
        <f>IFERROR(__xludf.DUMMYFUNCTION("""COMPUTED_VALUE"""),160200.0)</f>
        <v>160200</v>
      </c>
      <c r="F1677" s="1">
        <f>IFERROR(__xludf.DUMMYFUNCTION("""COMPUTED_VALUE"""),95432.0)</f>
        <v>95432</v>
      </c>
    </row>
    <row r="1678">
      <c r="A1678" s="2">
        <f>IFERROR(__xludf.DUMMYFUNCTION("""COMPUTED_VALUE"""),43062.69791666667)</f>
        <v>43062.69792</v>
      </c>
      <c r="B1678" s="1">
        <f>IFERROR(__xludf.DUMMYFUNCTION("""COMPUTED_VALUE"""),161000.0)</f>
        <v>161000</v>
      </c>
      <c r="C1678" s="1">
        <f>IFERROR(__xludf.DUMMYFUNCTION("""COMPUTED_VALUE"""),161400.0)</f>
        <v>161400</v>
      </c>
      <c r="D1678" s="1">
        <f>IFERROR(__xludf.DUMMYFUNCTION("""COMPUTED_VALUE"""),158800.0)</f>
        <v>158800</v>
      </c>
      <c r="E1678" s="1">
        <f>IFERROR(__xludf.DUMMYFUNCTION("""COMPUTED_VALUE"""),160200.0)</f>
        <v>160200</v>
      </c>
      <c r="F1678" s="1">
        <f>IFERROR(__xludf.DUMMYFUNCTION("""COMPUTED_VALUE"""),67619.0)</f>
        <v>67619</v>
      </c>
    </row>
    <row r="1679">
      <c r="A1679" s="2">
        <f>IFERROR(__xludf.DUMMYFUNCTION("""COMPUTED_VALUE"""),43063.64583333333)</f>
        <v>43063.64583</v>
      </c>
      <c r="B1679" s="1">
        <f>IFERROR(__xludf.DUMMYFUNCTION("""COMPUTED_VALUE"""),160000.0)</f>
        <v>160000</v>
      </c>
      <c r="C1679" s="1">
        <f>IFERROR(__xludf.DUMMYFUNCTION("""COMPUTED_VALUE"""),162400.0)</f>
        <v>162400</v>
      </c>
      <c r="D1679" s="1">
        <f>IFERROR(__xludf.DUMMYFUNCTION("""COMPUTED_VALUE"""),159400.0)</f>
        <v>159400</v>
      </c>
      <c r="E1679" s="1">
        <f>IFERROR(__xludf.DUMMYFUNCTION("""COMPUTED_VALUE"""),162000.0)</f>
        <v>162000</v>
      </c>
      <c r="F1679" s="1">
        <f>IFERROR(__xludf.DUMMYFUNCTION("""COMPUTED_VALUE"""),68255.0)</f>
        <v>68255</v>
      </c>
    </row>
    <row r="1680">
      <c r="A1680" s="2">
        <f>IFERROR(__xludf.DUMMYFUNCTION("""COMPUTED_VALUE"""),43066.64583333333)</f>
        <v>43066.64583</v>
      </c>
      <c r="B1680" s="1">
        <f>IFERROR(__xludf.DUMMYFUNCTION("""COMPUTED_VALUE"""),161600.0)</f>
        <v>161600</v>
      </c>
      <c r="C1680" s="1">
        <f>IFERROR(__xludf.DUMMYFUNCTION("""COMPUTED_VALUE"""),161800.0)</f>
        <v>161800</v>
      </c>
      <c r="D1680" s="1">
        <f>IFERROR(__xludf.DUMMYFUNCTION("""COMPUTED_VALUE"""),157600.0)</f>
        <v>157600</v>
      </c>
      <c r="E1680" s="1">
        <f>IFERROR(__xludf.DUMMYFUNCTION("""COMPUTED_VALUE"""),159000.0)</f>
        <v>159000</v>
      </c>
      <c r="F1680" s="1">
        <f>IFERROR(__xludf.DUMMYFUNCTION("""COMPUTED_VALUE"""),586930.0)</f>
        <v>586930</v>
      </c>
    </row>
    <row r="1681">
      <c r="A1681" s="2">
        <f>IFERROR(__xludf.DUMMYFUNCTION("""COMPUTED_VALUE"""),43067.64583333333)</f>
        <v>43067.64583</v>
      </c>
      <c r="B1681" s="1">
        <f>IFERROR(__xludf.DUMMYFUNCTION("""COMPUTED_VALUE"""),159800.0)</f>
        <v>159800</v>
      </c>
      <c r="C1681" s="1">
        <f>IFERROR(__xludf.DUMMYFUNCTION("""COMPUTED_VALUE"""),162200.0)</f>
        <v>162200</v>
      </c>
      <c r="D1681" s="1">
        <f>IFERROR(__xludf.DUMMYFUNCTION("""COMPUTED_VALUE"""),159200.0)</f>
        <v>159200</v>
      </c>
      <c r="E1681" s="1">
        <f>IFERROR(__xludf.DUMMYFUNCTION("""COMPUTED_VALUE"""),161400.0)</f>
        <v>161400</v>
      </c>
      <c r="F1681" s="1">
        <f>IFERROR(__xludf.DUMMYFUNCTION("""COMPUTED_VALUE"""),95372.0)</f>
        <v>95372</v>
      </c>
    </row>
    <row r="1682">
      <c r="A1682" s="2">
        <f>IFERROR(__xludf.DUMMYFUNCTION("""COMPUTED_VALUE"""),43068.64583333333)</f>
        <v>43068.64583</v>
      </c>
      <c r="B1682" s="1">
        <f>IFERROR(__xludf.DUMMYFUNCTION("""COMPUTED_VALUE"""),161000.0)</f>
        <v>161000</v>
      </c>
      <c r="C1682" s="1">
        <f>IFERROR(__xludf.DUMMYFUNCTION("""COMPUTED_VALUE"""),162800.0)</f>
        <v>162800</v>
      </c>
      <c r="D1682" s="1">
        <f>IFERROR(__xludf.DUMMYFUNCTION("""COMPUTED_VALUE"""),160400.0)</f>
        <v>160400</v>
      </c>
      <c r="E1682" s="1">
        <f>IFERROR(__xludf.DUMMYFUNCTION("""COMPUTED_VALUE"""),162400.0)</f>
        <v>162400</v>
      </c>
      <c r="F1682" s="1">
        <f>IFERROR(__xludf.DUMMYFUNCTION("""COMPUTED_VALUE"""),91818.0)</f>
        <v>91818</v>
      </c>
    </row>
    <row r="1683">
      <c r="A1683" s="2">
        <f>IFERROR(__xludf.DUMMYFUNCTION("""COMPUTED_VALUE"""),43069.64583333333)</f>
        <v>43069.64583</v>
      </c>
      <c r="B1683" s="1">
        <f>IFERROR(__xludf.DUMMYFUNCTION("""COMPUTED_VALUE"""),162200.0)</f>
        <v>162200</v>
      </c>
      <c r="C1683" s="1">
        <f>IFERROR(__xludf.DUMMYFUNCTION("""COMPUTED_VALUE"""),162200.0)</f>
        <v>162200</v>
      </c>
      <c r="D1683" s="1">
        <f>IFERROR(__xludf.DUMMYFUNCTION("""COMPUTED_VALUE"""),160000.0)</f>
        <v>160000</v>
      </c>
      <c r="E1683" s="1">
        <f>IFERROR(__xludf.DUMMYFUNCTION("""COMPUTED_VALUE"""),160000.0)</f>
        <v>160000</v>
      </c>
      <c r="F1683" s="1">
        <f>IFERROR(__xludf.DUMMYFUNCTION("""COMPUTED_VALUE"""),157332.0)</f>
        <v>157332</v>
      </c>
    </row>
    <row r="1684">
      <c r="A1684" s="2">
        <f>IFERROR(__xludf.DUMMYFUNCTION("""COMPUTED_VALUE"""),43070.64583333333)</f>
        <v>43070.64583</v>
      </c>
      <c r="B1684" s="1">
        <f>IFERROR(__xludf.DUMMYFUNCTION("""COMPUTED_VALUE"""),161800.0)</f>
        <v>161800</v>
      </c>
      <c r="C1684" s="1">
        <f>IFERROR(__xludf.DUMMYFUNCTION("""COMPUTED_VALUE"""),166600.0)</f>
        <v>166600</v>
      </c>
      <c r="D1684" s="1">
        <f>IFERROR(__xludf.DUMMYFUNCTION("""COMPUTED_VALUE"""),160200.0)</f>
        <v>160200</v>
      </c>
      <c r="E1684" s="1">
        <f>IFERROR(__xludf.DUMMYFUNCTION("""COMPUTED_VALUE"""),166200.0)</f>
        <v>166200</v>
      </c>
      <c r="F1684" s="1">
        <f>IFERROR(__xludf.DUMMYFUNCTION("""COMPUTED_VALUE"""),153285.0)</f>
        <v>153285</v>
      </c>
    </row>
    <row r="1685">
      <c r="A1685" s="2">
        <f>IFERROR(__xludf.DUMMYFUNCTION("""COMPUTED_VALUE"""),43073.64583333333)</f>
        <v>43073.64583</v>
      </c>
      <c r="B1685" s="1">
        <f>IFERROR(__xludf.DUMMYFUNCTION("""COMPUTED_VALUE"""),167400.0)</f>
        <v>167400</v>
      </c>
      <c r="C1685" s="1">
        <f>IFERROR(__xludf.DUMMYFUNCTION("""COMPUTED_VALUE"""),169600.0)</f>
        <v>169600</v>
      </c>
      <c r="D1685" s="1">
        <f>IFERROR(__xludf.DUMMYFUNCTION("""COMPUTED_VALUE"""),165600.0)</f>
        <v>165600</v>
      </c>
      <c r="E1685" s="1">
        <f>IFERROR(__xludf.DUMMYFUNCTION("""COMPUTED_VALUE"""),167800.0)</f>
        <v>167800</v>
      </c>
      <c r="F1685" s="1">
        <f>IFERROR(__xludf.DUMMYFUNCTION("""COMPUTED_VALUE"""),136027.0)</f>
        <v>136027</v>
      </c>
    </row>
    <row r="1686">
      <c r="A1686" s="2">
        <f>IFERROR(__xludf.DUMMYFUNCTION("""COMPUTED_VALUE"""),43074.64583333333)</f>
        <v>43074.64583</v>
      </c>
      <c r="B1686" s="1">
        <f>IFERROR(__xludf.DUMMYFUNCTION("""COMPUTED_VALUE"""),168000.0)</f>
        <v>168000</v>
      </c>
      <c r="C1686" s="1">
        <f>IFERROR(__xludf.DUMMYFUNCTION("""COMPUTED_VALUE"""),168600.0)</f>
        <v>168600</v>
      </c>
      <c r="D1686" s="1">
        <f>IFERROR(__xludf.DUMMYFUNCTION("""COMPUTED_VALUE"""),166200.0)</f>
        <v>166200</v>
      </c>
      <c r="E1686" s="1">
        <f>IFERROR(__xludf.DUMMYFUNCTION("""COMPUTED_VALUE"""),166600.0)</f>
        <v>166600</v>
      </c>
      <c r="F1686" s="1">
        <f>IFERROR(__xludf.DUMMYFUNCTION("""COMPUTED_VALUE"""),64004.0)</f>
        <v>64004</v>
      </c>
    </row>
    <row r="1687">
      <c r="A1687" s="2">
        <f>IFERROR(__xludf.DUMMYFUNCTION("""COMPUTED_VALUE"""),43075.64583333333)</f>
        <v>43075.64583</v>
      </c>
      <c r="B1687" s="1">
        <f>IFERROR(__xludf.DUMMYFUNCTION("""COMPUTED_VALUE"""),166600.0)</f>
        <v>166600</v>
      </c>
      <c r="C1687" s="1">
        <f>IFERROR(__xludf.DUMMYFUNCTION("""COMPUTED_VALUE"""),166800.0)</f>
        <v>166800</v>
      </c>
      <c r="D1687" s="1">
        <f>IFERROR(__xludf.DUMMYFUNCTION("""COMPUTED_VALUE"""),164800.0)</f>
        <v>164800</v>
      </c>
      <c r="E1687" s="1">
        <f>IFERROR(__xludf.DUMMYFUNCTION("""COMPUTED_VALUE"""),165200.0)</f>
        <v>165200</v>
      </c>
      <c r="F1687" s="1">
        <f>IFERROR(__xludf.DUMMYFUNCTION("""COMPUTED_VALUE"""),69199.0)</f>
        <v>69199</v>
      </c>
    </row>
    <row r="1688">
      <c r="A1688" s="2">
        <f>IFERROR(__xludf.DUMMYFUNCTION("""COMPUTED_VALUE"""),43076.64583333333)</f>
        <v>43076.64583</v>
      </c>
      <c r="B1688" s="1">
        <f>IFERROR(__xludf.DUMMYFUNCTION("""COMPUTED_VALUE"""),166800.0)</f>
        <v>166800</v>
      </c>
      <c r="C1688" s="1">
        <f>IFERROR(__xludf.DUMMYFUNCTION("""COMPUTED_VALUE"""),169600.0)</f>
        <v>169600</v>
      </c>
      <c r="D1688" s="1">
        <f>IFERROR(__xludf.DUMMYFUNCTION("""COMPUTED_VALUE"""),165800.0)</f>
        <v>165800</v>
      </c>
      <c r="E1688" s="1">
        <f>IFERROR(__xludf.DUMMYFUNCTION("""COMPUTED_VALUE"""),167400.0)</f>
        <v>167400</v>
      </c>
      <c r="F1688" s="1">
        <f>IFERROR(__xludf.DUMMYFUNCTION("""COMPUTED_VALUE"""),155000.0)</f>
        <v>155000</v>
      </c>
    </row>
    <row r="1689">
      <c r="A1689" s="2">
        <f>IFERROR(__xludf.DUMMYFUNCTION("""COMPUTED_VALUE"""),43077.64583333333)</f>
        <v>43077.64583</v>
      </c>
      <c r="B1689" s="1">
        <f>IFERROR(__xludf.DUMMYFUNCTION("""COMPUTED_VALUE"""),167000.0)</f>
        <v>167000</v>
      </c>
      <c r="C1689" s="1">
        <f>IFERROR(__xludf.DUMMYFUNCTION("""COMPUTED_VALUE"""),167600.0)</f>
        <v>167600</v>
      </c>
      <c r="D1689" s="1">
        <f>IFERROR(__xludf.DUMMYFUNCTION("""COMPUTED_VALUE"""),164200.0)</f>
        <v>164200</v>
      </c>
      <c r="E1689" s="1">
        <f>IFERROR(__xludf.DUMMYFUNCTION("""COMPUTED_VALUE"""),166000.0)</f>
        <v>166000</v>
      </c>
      <c r="F1689" s="1">
        <f>IFERROR(__xludf.DUMMYFUNCTION("""COMPUTED_VALUE"""),58893.0)</f>
        <v>58893</v>
      </c>
    </row>
    <row r="1690">
      <c r="A1690" s="2">
        <f>IFERROR(__xludf.DUMMYFUNCTION("""COMPUTED_VALUE"""),43080.64583333333)</f>
        <v>43080.64583</v>
      </c>
      <c r="B1690" s="1">
        <f>IFERROR(__xludf.DUMMYFUNCTION("""COMPUTED_VALUE"""),166000.0)</f>
        <v>166000</v>
      </c>
      <c r="C1690" s="1">
        <f>IFERROR(__xludf.DUMMYFUNCTION("""COMPUTED_VALUE"""),167000.0)</f>
        <v>167000</v>
      </c>
      <c r="D1690" s="1">
        <f>IFERROR(__xludf.DUMMYFUNCTION("""COMPUTED_VALUE"""),164000.0)</f>
        <v>164000</v>
      </c>
      <c r="E1690" s="1">
        <f>IFERROR(__xludf.DUMMYFUNCTION("""COMPUTED_VALUE"""),165200.0)</f>
        <v>165200</v>
      </c>
      <c r="F1690" s="1">
        <f>IFERROR(__xludf.DUMMYFUNCTION("""COMPUTED_VALUE"""),57600.0)</f>
        <v>57600</v>
      </c>
    </row>
    <row r="1691">
      <c r="A1691" s="2">
        <f>IFERROR(__xludf.DUMMYFUNCTION("""COMPUTED_VALUE"""),43081.64583333333)</f>
        <v>43081.64583</v>
      </c>
      <c r="B1691" s="1">
        <f>IFERROR(__xludf.DUMMYFUNCTION("""COMPUTED_VALUE"""),164400.0)</f>
        <v>164400</v>
      </c>
      <c r="C1691" s="1">
        <f>IFERROR(__xludf.DUMMYFUNCTION("""COMPUTED_VALUE"""),169000.0)</f>
        <v>169000</v>
      </c>
      <c r="D1691" s="1">
        <f>IFERROR(__xludf.DUMMYFUNCTION("""COMPUTED_VALUE"""),164400.0)</f>
        <v>164400</v>
      </c>
      <c r="E1691" s="1">
        <f>IFERROR(__xludf.DUMMYFUNCTION("""COMPUTED_VALUE"""),165600.0)</f>
        <v>165600</v>
      </c>
      <c r="F1691" s="1">
        <f>IFERROR(__xludf.DUMMYFUNCTION("""COMPUTED_VALUE"""),73019.0)</f>
        <v>73019</v>
      </c>
    </row>
    <row r="1692">
      <c r="A1692" s="2">
        <f>IFERROR(__xludf.DUMMYFUNCTION("""COMPUTED_VALUE"""),43082.64583333333)</f>
        <v>43082.64583</v>
      </c>
      <c r="B1692" s="1">
        <f>IFERROR(__xludf.DUMMYFUNCTION("""COMPUTED_VALUE"""),165800.0)</f>
        <v>165800</v>
      </c>
      <c r="C1692" s="1">
        <f>IFERROR(__xludf.DUMMYFUNCTION("""COMPUTED_VALUE"""),168400.0)</f>
        <v>168400</v>
      </c>
      <c r="D1692" s="1">
        <f>IFERROR(__xludf.DUMMYFUNCTION("""COMPUTED_VALUE"""),164800.0)</f>
        <v>164800</v>
      </c>
      <c r="E1692" s="1">
        <f>IFERROR(__xludf.DUMMYFUNCTION("""COMPUTED_VALUE"""),168200.0)</f>
        <v>168200</v>
      </c>
      <c r="F1692" s="1">
        <f>IFERROR(__xludf.DUMMYFUNCTION("""COMPUTED_VALUE"""),358000.0)</f>
        <v>358000</v>
      </c>
    </row>
    <row r="1693">
      <c r="A1693" s="2">
        <f>IFERROR(__xludf.DUMMYFUNCTION("""COMPUTED_VALUE"""),43083.64583333333)</f>
        <v>43083.64583</v>
      </c>
      <c r="B1693" s="1">
        <f>IFERROR(__xludf.DUMMYFUNCTION("""COMPUTED_VALUE"""),168400.0)</f>
        <v>168400</v>
      </c>
      <c r="C1693" s="1">
        <f>IFERROR(__xludf.DUMMYFUNCTION("""COMPUTED_VALUE"""),169800.0)</f>
        <v>169800</v>
      </c>
      <c r="D1693" s="1">
        <f>IFERROR(__xludf.DUMMYFUNCTION("""COMPUTED_VALUE"""),167000.0)</f>
        <v>167000</v>
      </c>
      <c r="E1693" s="1">
        <f>IFERROR(__xludf.DUMMYFUNCTION("""COMPUTED_VALUE"""),167000.0)</f>
        <v>167000</v>
      </c>
      <c r="F1693" s="1">
        <f>IFERROR(__xludf.DUMMYFUNCTION("""COMPUTED_VALUE"""),143097.0)</f>
        <v>143097</v>
      </c>
    </row>
    <row r="1694">
      <c r="A1694" s="2">
        <f>IFERROR(__xludf.DUMMYFUNCTION("""COMPUTED_VALUE"""),43084.64583333333)</f>
        <v>43084.64583</v>
      </c>
      <c r="B1694" s="1">
        <f>IFERROR(__xludf.DUMMYFUNCTION("""COMPUTED_VALUE"""),168200.0)</f>
        <v>168200</v>
      </c>
      <c r="C1694" s="1">
        <f>IFERROR(__xludf.DUMMYFUNCTION("""COMPUTED_VALUE"""),168800.0)</f>
        <v>168800</v>
      </c>
      <c r="D1694" s="1">
        <f>IFERROR(__xludf.DUMMYFUNCTION("""COMPUTED_VALUE"""),167400.0)</f>
        <v>167400</v>
      </c>
      <c r="E1694" s="1">
        <f>IFERROR(__xludf.DUMMYFUNCTION("""COMPUTED_VALUE"""),168800.0)</f>
        <v>168800</v>
      </c>
      <c r="F1694" s="1">
        <f>IFERROR(__xludf.DUMMYFUNCTION("""COMPUTED_VALUE"""),91136.0)</f>
        <v>91136</v>
      </c>
    </row>
    <row r="1695">
      <c r="A1695" s="2">
        <f>IFERROR(__xludf.DUMMYFUNCTION("""COMPUTED_VALUE"""),43087.64583333333)</f>
        <v>43087.64583</v>
      </c>
      <c r="B1695" s="1">
        <f>IFERROR(__xludf.DUMMYFUNCTION("""COMPUTED_VALUE"""),168800.0)</f>
        <v>168800</v>
      </c>
      <c r="C1695" s="1">
        <f>IFERROR(__xludf.DUMMYFUNCTION("""COMPUTED_VALUE"""),173000.0)</f>
        <v>173000</v>
      </c>
      <c r="D1695" s="1">
        <f>IFERROR(__xludf.DUMMYFUNCTION("""COMPUTED_VALUE"""),168000.0)</f>
        <v>168000</v>
      </c>
      <c r="E1695" s="1">
        <f>IFERROR(__xludf.DUMMYFUNCTION("""COMPUTED_VALUE"""),172000.0)</f>
        <v>172000</v>
      </c>
      <c r="F1695" s="1">
        <f>IFERROR(__xludf.DUMMYFUNCTION("""COMPUTED_VALUE"""),118097.0)</f>
        <v>118097</v>
      </c>
    </row>
    <row r="1696">
      <c r="A1696" s="2">
        <f>IFERROR(__xludf.DUMMYFUNCTION("""COMPUTED_VALUE"""),43088.64583333333)</f>
        <v>43088.64583</v>
      </c>
      <c r="B1696" s="1">
        <f>IFERROR(__xludf.DUMMYFUNCTION("""COMPUTED_VALUE"""),172600.0)</f>
        <v>172600</v>
      </c>
      <c r="C1696" s="1">
        <f>IFERROR(__xludf.DUMMYFUNCTION("""COMPUTED_VALUE"""),174000.0)</f>
        <v>174000</v>
      </c>
      <c r="D1696" s="1">
        <f>IFERROR(__xludf.DUMMYFUNCTION("""COMPUTED_VALUE"""),170000.0)</f>
        <v>170000</v>
      </c>
      <c r="E1696" s="1">
        <f>IFERROR(__xludf.DUMMYFUNCTION("""COMPUTED_VALUE"""),171000.0)</f>
        <v>171000</v>
      </c>
      <c r="F1696" s="1">
        <f>IFERROR(__xludf.DUMMYFUNCTION("""COMPUTED_VALUE"""),79667.0)</f>
        <v>79667</v>
      </c>
    </row>
    <row r="1697">
      <c r="A1697" s="2">
        <f>IFERROR(__xludf.DUMMYFUNCTION("""COMPUTED_VALUE"""),43089.64583333333)</f>
        <v>43089.64583</v>
      </c>
      <c r="B1697" s="1">
        <f>IFERROR(__xludf.DUMMYFUNCTION("""COMPUTED_VALUE"""),171800.0)</f>
        <v>171800</v>
      </c>
      <c r="C1697" s="1">
        <f>IFERROR(__xludf.DUMMYFUNCTION("""COMPUTED_VALUE"""),173600.0)</f>
        <v>173600</v>
      </c>
      <c r="D1697" s="1">
        <f>IFERROR(__xludf.DUMMYFUNCTION("""COMPUTED_VALUE"""),169800.0)</f>
        <v>169800</v>
      </c>
      <c r="E1697" s="1">
        <f>IFERROR(__xludf.DUMMYFUNCTION("""COMPUTED_VALUE"""),169800.0)</f>
        <v>169800</v>
      </c>
      <c r="F1697" s="1">
        <f>IFERROR(__xludf.DUMMYFUNCTION("""COMPUTED_VALUE"""),68341.0)</f>
        <v>68341</v>
      </c>
    </row>
    <row r="1698">
      <c r="A1698" s="2">
        <f>IFERROR(__xludf.DUMMYFUNCTION("""COMPUTED_VALUE"""),43090.64583333333)</f>
        <v>43090.64583</v>
      </c>
      <c r="B1698" s="1">
        <f>IFERROR(__xludf.DUMMYFUNCTION("""COMPUTED_VALUE"""),169800.0)</f>
        <v>169800</v>
      </c>
      <c r="C1698" s="1">
        <f>IFERROR(__xludf.DUMMYFUNCTION("""COMPUTED_VALUE"""),170600.0)</f>
        <v>170600</v>
      </c>
      <c r="D1698" s="1">
        <f>IFERROR(__xludf.DUMMYFUNCTION("""COMPUTED_VALUE"""),166800.0)</f>
        <v>166800</v>
      </c>
      <c r="E1698" s="1">
        <f>IFERROR(__xludf.DUMMYFUNCTION("""COMPUTED_VALUE"""),168400.0)</f>
        <v>168400</v>
      </c>
      <c r="F1698" s="1">
        <f>IFERROR(__xludf.DUMMYFUNCTION("""COMPUTED_VALUE"""),82697.0)</f>
        <v>82697</v>
      </c>
    </row>
    <row r="1699">
      <c r="A1699" s="2">
        <f>IFERROR(__xludf.DUMMYFUNCTION("""COMPUTED_VALUE"""),43091.64583333333)</f>
        <v>43091.64583</v>
      </c>
      <c r="B1699" s="1">
        <f>IFERROR(__xludf.DUMMYFUNCTION("""COMPUTED_VALUE"""),170000.0)</f>
        <v>170000</v>
      </c>
      <c r="C1699" s="1">
        <f>IFERROR(__xludf.DUMMYFUNCTION("""COMPUTED_VALUE"""),172800.0)</f>
        <v>172800</v>
      </c>
      <c r="D1699" s="1">
        <f>IFERROR(__xludf.DUMMYFUNCTION("""COMPUTED_VALUE"""),168600.0)</f>
        <v>168600</v>
      </c>
      <c r="E1699" s="1">
        <f>IFERROR(__xludf.DUMMYFUNCTION("""COMPUTED_VALUE"""),172400.0)</f>
        <v>172400</v>
      </c>
      <c r="F1699" s="1">
        <f>IFERROR(__xludf.DUMMYFUNCTION("""COMPUTED_VALUE"""),87458.0)</f>
        <v>87458</v>
      </c>
    </row>
    <row r="1700">
      <c r="A1700" s="2">
        <f>IFERROR(__xludf.DUMMYFUNCTION("""COMPUTED_VALUE"""),43095.64583333333)</f>
        <v>43095.64583</v>
      </c>
      <c r="B1700" s="1">
        <f>IFERROR(__xludf.DUMMYFUNCTION("""COMPUTED_VALUE"""),173000.0)</f>
        <v>173000</v>
      </c>
      <c r="C1700" s="1">
        <f>IFERROR(__xludf.DUMMYFUNCTION("""COMPUTED_VALUE"""),176000.0)</f>
        <v>176000</v>
      </c>
      <c r="D1700" s="1">
        <f>IFERROR(__xludf.DUMMYFUNCTION("""COMPUTED_VALUE"""),171800.0)</f>
        <v>171800</v>
      </c>
      <c r="E1700" s="1">
        <f>IFERROR(__xludf.DUMMYFUNCTION("""COMPUTED_VALUE"""),174800.0)</f>
        <v>174800</v>
      </c>
      <c r="F1700" s="1">
        <f>IFERROR(__xludf.DUMMYFUNCTION("""COMPUTED_VALUE"""),103805.0)</f>
        <v>103805</v>
      </c>
    </row>
    <row r="1701">
      <c r="A1701" s="2">
        <f>IFERROR(__xludf.DUMMYFUNCTION("""COMPUTED_VALUE"""),43096.64583333333)</f>
        <v>43096.64583</v>
      </c>
      <c r="B1701" s="1">
        <f>IFERROR(__xludf.DUMMYFUNCTION("""COMPUTED_VALUE"""),174400.0)</f>
        <v>174400</v>
      </c>
      <c r="C1701" s="1">
        <f>IFERROR(__xludf.DUMMYFUNCTION("""COMPUTED_VALUE"""),175600.0)</f>
        <v>175600</v>
      </c>
      <c r="D1701" s="1">
        <f>IFERROR(__xludf.DUMMYFUNCTION("""COMPUTED_VALUE"""),173200.0)</f>
        <v>173200</v>
      </c>
      <c r="E1701" s="1">
        <f>IFERROR(__xludf.DUMMYFUNCTION("""COMPUTED_VALUE"""),175400.0)</f>
        <v>175400</v>
      </c>
      <c r="F1701" s="1">
        <f>IFERROR(__xludf.DUMMYFUNCTION("""COMPUTED_VALUE"""),57356.0)</f>
        <v>57356</v>
      </c>
    </row>
    <row r="1702">
      <c r="A1702" s="2">
        <f>IFERROR(__xludf.DUMMYFUNCTION("""COMPUTED_VALUE"""),43097.64583333333)</f>
        <v>43097.64583</v>
      </c>
      <c r="B1702" s="1">
        <f>IFERROR(__xludf.DUMMYFUNCTION("""COMPUTED_VALUE"""),176000.0)</f>
        <v>176000</v>
      </c>
      <c r="C1702" s="1">
        <f>IFERROR(__xludf.DUMMYFUNCTION("""COMPUTED_VALUE"""),176200.0)</f>
        <v>176200</v>
      </c>
      <c r="D1702" s="1">
        <f>IFERROR(__xludf.DUMMYFUNCTION("""COMPUTED_VALUE"""),172000.0)</f>
        <v>172000</v>
      </c>
      <c r="E1702" s="1">
        <f>IFERROR(__xludf.DUMMYFUNCTION("""COMPUTED_VALUE"""),174000.0)</f>
        <v>174000</v>
      </c>
      <c r="F1702" s="1">
        <f>IFERROR(__xludf.DUMMYFUNCTION("""COMPUTED_VALUE"""),65370.0)</f>
        <v>65370</v>
      </c>
    </row>
    <row r="1703">
      <c r="A1703" s="2">
        <f>IFERROR(__xludf.DUMMYFUNCTION("""COMPUTED_VALUE"""),43102.64583333333)</f>
        <v>43102.64583</v>
      </c>
      <c r="B1703" s="1">
        <f>IFERROR(__xludf.DUMMYFUNCTION("""COMPUTED_VALUE"""),174200.0)</f>
        <v>174200</v>
      </c>
      <c r="C1703" s="1">
        <f>IFERROR(__xludf.DUMMYFUNCTION("""COMPUTED_VALUE"""),177000.0)</f>
        <v>177000</v>
      </c>
      <c r="D1703" s="1">
        <f>IFERROR(__xludf.DUMMYFUNCTION("""COMPUTED_VALUE"""),174000.0)</f>
        <v>174000</v>
      </c>
      <c r="E1703" s="1">
        <f>IFERROR(__xludf.DUMMYFUNCTION("""COMPUTED_VALUE"""),177000.0)</f>
        <v>177000</v>
      </c>
      <c r="F1703" s="1">
        <f>IFERROR(__xludf.DUMMYFUNCTION("""COMPUTED_VALUE"""),93587.0)</f>
        <v>93587</v>
      </c>
    </row>
    <row r="1704">
      <c r="A1704" s="2">
        <f>IFERROR(__xludf.DUMMYFUNCTION("""COMPUTED_VALUE"""),43103.64583333333)</f>
        <v>43103.64583</v>
      </c>
      <c r="B1704" s="1">
        <f>IFERROR(__xludf.DUMMYFUNCTION("""COMPUTED_VALUE"""),175200.0)</f>
        <v>175200</v>
      </c>
      <c r="C1704" s="1">
        <f>IFERROR(__xludf.DUMMYFUNCTION("""COMPUTED_VALUE"""),176800.0)</f>
        <v>176800</v>
      </c>
      <c r="D1704" s="1">
        <f>IFERROR(__xludf.DUMMYFUNCTION("""COMPUTED_VALUE"""),172800.0)</f>
        <v>172800</v>
      </c>
      <c r="E1704" s="1">
        <f>IFERROR(__xludf.DUMMYFUNCTION("""COMPUTED_VALUE"""),174200.0)</f>
        <v>174200</v>
      </c>
      <c r="F1704" s="1">
        <f>IFERROR(__xludf.DUMMYFUNCTION("""COMPUTED_VALUE"""),84790.0)</f>
        <v>84790</v>
      </c>
    </row>
    <row r="1705">
      <c r="A1705" s="2">
        <f>IFERROR(__xludf.DUMMYFUNCTION("""COMPUTED_VALUE"""),43104.64583333333)</f>
        <v>43104.64583</v>
      </c>
      <c r="B1705" s="1">
        <f>IFERROR(__xludf.DUMMYFUNCTION("""COMPUTED_VALUE"""),175800.0)</f>
        <v>175800</v>
      </c>
      <c r="C1705" s="1">
        <f>IFERROR(__xludf.DUMMYFUNCTION("""COMPUTED_VALUE"""),179400.0)</f>
        <v>179400</v>
      </c>
      <c r="D1705" s="1">
        <f>IFERROR(__xludf.DUMMYFUNCTION("""COMPUTED_VALUE"""),174600.0)</f>
        <v>174600</v>
      </c>
      <c r="E1705" s="1">
        <f>IFERROR(__xludf.DUMMYFUNCTION("""COMPUTED_VALUE"""),178600.0)</f>
        <v>178600</v>
      </c>
      <c r="F1705" s="1">
        <f>IFERROR(__xludf.DUMMYFUNCTION("""COMPUTED_VALUE"""),130112.0)</f>
        <v>130112</v>
      </c>
    </row>
    <row r="1706">
      <c r="A1706" s="2">
        <f>IFERROR(__xludf.DUMMYFUNCTION("""COMPUTED_VALUE"""),43105.64583333333)</f>
        <v>43105.64583</v>
      </c>
      <c r="B1706" s="1">
        <f>IFERROR(__xludf.DUMMYFUNCTION("""COMPUTED_VALUE"""),178600.0)</f>
        <v>178600</v>
      </c>
      <c r="C1706" s="1">
        <f>IFERROR(__xludf.DUMMYFUNCTION("""COMPUTED_VALUE"""),183600.0)</f>
        <v>183600</v>
      </c>
      <c r="D1706" s="1">
        <f>IFERROR(__xludf.DUMMYFUNCTION("""COMPUTED_VALUE"""),176000.0)</f>
        <v>176000</v>
      </c>
      <c r="E1706" s="1">
        <f>IFERROR(__xludf.DUMMYFUNCTION("""COMPUTED_VALUE"""),181600.0)</f>
        <v>181600</v>
      </c>
      <c r="F1706" s="1">
        <f>IFERROR(__xludf.DUMMYFUNCTION("""COMPUTED_VALUE"""),136811.0)</f>
        <v>136811</v>
      </c>
    </row>
    <row r="1707">
      <c r="A1707" s="2">
        <f>IFERROR(__xludf.DUMMYFUNCTION("""COMPUTED_VALUE"""),43108.64583333333)</f>
        <v>43108.64583</v>
      </c>
      <c r="B1707" s="1">
        <f>IFERROR(__xludf.DUMMYFUNCTION("""COMPUTED_VALUE"""),183000.0)</f>
        <v>183000</v>
      </c>
      <c r="C1707" s="1">
        <f>IFERROR(__xludf.DUMMYFUNCTION("""COMPUTED_VALUE"""),190600.0)</f>
        <v>190600</v>
      </c>
      <c r="D1707" s="1">
        <f>IFERROR(__xludf.DUMMYFUNCTION("""COMPUTED_VALUE"""),181600.0)</f>
        <v>181600</v>
      </c>
      <c r="E1707" s="1">
        <f>IFERROR(__xludf.DUMMYFUNCTION("""COMPUTED_VALUE"""),190000.0)</f>
        <v>190000</v>
      </c>
      <c r="F1707" s="1">
        <f>IFERROR(__xludf.DUMMYFUNCTION("""COMPUTED_VALUE"""),196338.0)</f>
        <v>196338</v>
      </c>
    </row>
    <row r="1708">
      <c r="A1708" s="2">
        <f>IFERROR(__xludf.DUMMYFUNCTION("""COMPUTED_VALUE"""),43109.64583333333)</f>
        <v>43109.64583</v>
      </c>
      <c r="B1708" s="1">
        <f>IFERROR(__xludf.DUMMYFUNCTION("""COMPUTED_VALUE"""),188800.0)</f>
        <v>188800</v>
      </c>
      <c r="C1708" s="1">
        <f>IFERROR(__xludf.DUMMYFUNCTION("""COMPUTED_VALUE"""),190400.0)</f>
        <v>190400</v>
      </c>
      <c r="D1708" s="1">
        <f>IFERROR(__xludf.DUMMYFUNCTION("""COMPUTED_VALUE"""),186600.0)</f>
        <v>186600</v>
      </c>
      <c r="E1708" s="1">
        <f>IFERROR(__xludf.DUMMYFUNCTION("""COMPUTED_VALUE"""),188800.0)</f>
        <v>188800</v>
      </c>
      <c r="F1708" s="1">
        <f>IFERROR(__xludf.DUMMYFUNCTION("""COMPUTED_VALUE"""),78027.0)</f>
        <v>78027</v>
      </c>
    </row>
    <row r="1709">
      <c r="A1709" s="2">
        <f>IFERROR(__xludf.DUMMYFUNCTION("""COMPUTED_VALUE"""),43110.64583333333)</f>
        <v>43110.64583</v>
      </c>
      <c r="B1709" s="1">
        <f>IFERROR(__xludf.DUMMYFUNCTION("""COMPUTED_VALUE"""),188600.0)</f>
        <v>188600</v>
      </c>
      <c r="C1709" s="1">
        <f>IFERROR(__xludf.DUMMYFUNCTION("""COMPUTED_VALUE"""),195000.0)</f>
        <v>195000</v>
      </c>
      <c r="D1709" s="1">
        <f>IFERROR(__xludf.DUMMYFUNCTION("""COMPUTED_VALUE"""),185400.0)</f>
        <v>185400</v>
      </c>
      <c r="E1709" s="1">
        <f>IFERROR(__xludf.DUMMYFUNCTION("""COMPUTED_VALUE"""),185600.0)</f>
        <v>185600</v>
      </c>
      <c r="F1709" s="1">
        <f>IFERROR(__xludf.DUMMYFUNCTION("""COMPUTED_VALUE"""),120097.0)</f>
        <v>120097</v>
      </c>
    </row>
    <row r="1710">
      <c r="A1710" s="2">
        <f>IFERROR(__xludf.DUMMYFUNCTION("""COMPUTED_VALUE"""),43111.64583333333)</f>
        <v>43111.64583</v>
      </c>
      <c r="B1710" s="1">
        <f>IFERROR(__xludf.DUMMYFUNCTION("""COMPUTED_VALUE"""),185600.0)</f>
        <v>185600</v>
      </c>
      <c r="C1710" s="1">
        <f>IFERROR(__xludf.DUMMYFUNCTION("""COMPUTED_VALUE"""),186800.0)</f>
        <v>186800</v>
      </c>
      <c r="D1710" s="1">
        <f>IFERROR(__xludf.DUMMYFUNCTION("""COMPUTED_VALUE"""),181800.0)</f>
        <v>181800</v>
      </c>
      <c r="E1710" s="1">
        <f>IFERROR(__xludf.DUMMYFUNCTION("""COMPUTED_VALUE"""),183400.0)</f>
        <v>183400</v>
      </c>
      <c r="F1710" s="1">
        <f>IFERROR(__xludf.DUMMYFUNCTION("""COMPUTED_VALUE"""),93854.0)</f>
        <v>93854</v>
      </c>
    </row>
    <row r="1711">
      <c r="A1711" s="2">
        <f>IFERROR(__xludf.DUMMYFUNCTION("""COMPUTED_VALUE"""),43112.64583333333)</f>
        <v>43112.64583</v>
      </c>
      <c r="B1711" s="1">
        <f>IFERROR(__xludf.DUMMYFUNCTION("""COMPUTED_VALUE"""),184000.0)</f>
        <v>184000</v>
      </c>
      <c r="C1711" s="1">
        <f>IFERROR(__xludf.DUMMYFUNCTION("""COMPUTED_VALUE"""),186000.0)</f>
        <v>186000</v>
      </c>
      <c r="D1711" s="1">
        <f>IFERROR(__xludf.DUMMYFUNCTION("""COMPUTED_VALUE"""),180200.0)</f>
        <v>180200</v>
      </c>
      <c r="E1711" s="1">
        <f>IFERROR(__xludf.DUMMYFUNCTION("""COMPUTED_VALUE"""),181800.0)</f>
        <v>181800</v>
      </c>
      <c r="F1711" s="1">
        <f>IFERROR(__xludf.DUMMYFUNCTION("""COMPUTED_VALUE"""),89414.0)</f>
        <v>89414</v>
      </c>
    </row>
    <row r="1712">
      <c r="A1712" s="2">
        <f>IFERROR(__xludf.DUMMYFUNCTION("""COMPUTED_VALUE"""),43115.64583333333)</f>
        <v>43115.64583</v>
      </c>
      <c r="B1712" s="1">
        <f>IFERROR(__xludf.DUMMYFUNCTION("""COMPUTED_VALUE"""),183400.0)</f>
        <v>183400</v>
      </c>
      <c r="C1712" s="1">
        <f>IFERROR(__xludf.DUMMYFUNCTION("""COMPUTED_VALUE"""),185000.0)</f>
        <v>185000</v>
      </c>
      <c r="D1712" s="1">
        <f>IFERROR(__xludf.DUMMYFUNCTION("""COMPUTED_VALUE"""),182200.0)</f>
        <v>182200</v>
      </c>
      <c r="E1712" s="1">
        <f>IFERROR(__xludf.DUMMYFUNCTION("""COMPUTED_VALUE"""),184200.0)</f>
        <v>184200</v>
      </c>
      <c r="F1712" s="1">
        <f>IFERROR(__xludf.DUMMYFUNCTION("""COMPUTED_VALUE"""),59200.0)</f>
        <v>59200</v>
      </c>
    </row>
    <row r="1713">
      <c r="A1713" s="2">
        <f>IFERROR(__xludf.DUMMYFUNCTION("""COMPUTED_VALUE"""),43116.64583333333)</f>
        <v>43116.64583</v>
      </c>
      <c r="B1713" s="1">
        <f>IFERROR(__xludf.DUMMYFUNCTION("""COMPUTED_VALUE"""),183800.0)</f>
        <v>183800</v>
      </c>
      <c r="C1713" s="1">
        <f>IFERROR(__xludf.DUMMYFUNCTION("""COMPUTED_VALUE"""),184800.0)</f>
        <v>184800</v>
      </c>
      <c r="D1713" s="1">
        <f>IFERROR(__xludf.DUMMYFUNCTION("""COMPUTED_VALUE"""),178600.0)</f>
        <v>178600</v>
      </c>
      <c r="E1713" s="1">
        <f>IFERROR(__xludf.DUMMYFUNCTION("""COMPUTED_VALUE"""),180600.0)</f>
        <v>180600</v>
      </c>
      <c r="F1713" s="1">
        <f>IFERROR(__xludf.DUMMYFUNCTION("""COMPUTED_VALUE"""),95302.0)</f>
        <v>95302</v>
      </c>
    </row>
    <row r="1714">
      <c r="A1714" s="2">
        <f>IFERROR(__xludf.DUMMYFUNCTION("""COMPUTED_VALUE"""),43117.64583333333)</f>
        <v>43117.64583</v>
      </c>
      <c r="B1714" s="1">
        <f>IFERROR(__xludf.DUMMYFUNCTION("""COMPUTED_VALUE"""),180600.0)</f>
        <v>180600</v>
      </c>
      <c r="C1714" s="1">
        <f>IFERROR(__xludf.DUMMYFUNCTION("""COMPUTED_VALUE"""),181200.0)</f>
        <v>181200</v>
      </c>
      <c r="D1714" s="1">
        <f>IFERROR(__xludf.DUMMYFUNCTION("""COMPUTED_VALUE"""),177600.0)</f>
        <v>177600</v>
      </c>
      <c r="E1714" s="1">
        <f>IFERROR(__xludf.DUMMYFUNCTION("""COMPUTED_VALUE"""),177600.0)</f>
        <v>177600</v>
      </c>
      <c r="F1714" s="1">
        <f>IFERROR(__xludf.DUMMYFUNCTION("""COMPUTED_VALUE"""),107026.0)</f>
        <v>107026</v>
      </c>
    </row>
    <row r="1715">
      <c r="A1715" s="2">
        <f>IFERROR(__xludf.DUMMYFUNCTION("""COMPUTED_VALUE"""),43118.64583333333)</f>
        <v>43118.64583</v>
      </c>
      <c r="B1715" s="1">
        <f>IFERROR(__xludf.DUMMYFUNCTION("""COMPUTED_VALUE"""),178600.0)</f>
        <v>178600</v>
      </c>
      <c r="C1715" s="1">
        <f>IFERROR(__xludf.DUMMYFUNCTION("""COMPUTED_VALUE"""),181200.0)</f>
        <v>181200</v>
      </c>
      <c r="D1715" s="1">
        <f>IFERROR(__xludf.DUMMYFUNCTION("""COMPUTED_VALUE"""),178600.0)</f>
        <v>178600</v>
      </c>
      <c r="E1715" s="1">
        <f>IFERROR(__xludf.DUMMYFUNCTION("""COMPUTED_VALUE"""),180600.0)</f>
        <v>180600</v>
      </c>
      <c r="F1715" s="1">
        <f>IFERROR(__xludf.DUMMYFUNCTION("""COMPUTED_VALUE"""),90308.0)</f>
        <v>90308</v>
      </c>
    </row>
    <row r="1716">
      <c r="A1716" s="2">
        <f>IFERROR(__xludf.DUMMYFUNCTION("""COMPUTED_VALUE"""),43119.64583333333)</f>
        <v>43119.64583</v>
      </c>
      <c r="B1716" s="1">
        <f>IFERROR(__xludf.DUMMYFUNCTION("""COMPUTED_VALUE"""),181000.0)</f>
        <v>181000</v>
      </c>
      <c r="C1716" s="1">
        <f>IFERROR(__xludf.DUMMYFUNCTION("""COMPUTED_VALUE"""),181400.0)</f>
        <v>181400</v>
      </c>
      <c r="D1716" s="1">
        <f>IFERROR(__xludf.DUMMYFUNCTION("""COMPUTED_VALUE"""),176000.0)</f>
        <v>176000</v>
      </c>
      <c r="E1716" s="1">
        <f>IFERROR(__xludf.DUMMYFUNCTION("""COMPUTED_VALUE"""),176200.0)</f>
        <v>176200</v>
      </c>
      <c r="F1716" s="1">
        <f>IFERROR(__xludf.DUMMYFUNCTION("""COMPUTED_VALUE"""),100565.0)</f>
        <v>100565</v>
      </c>
    </row>
    <row r="1717">
      <c r="A1717" s="2">
        <f>IFERROR(__xludf.DUMMYFUNCTION("""COMPUTED_VALUE"""),43122.64583333333)</f>
        <v>43122.64583</v>
      </c>
      <c r="B1717" s="1">
        <f>IFERROR(__xludf.DUMMYFUNCTION("""COMPUTED_VALUE"""),176800.0)</f>
        <v>176800</v>
      </c>
      <c r="C1717" s="1">
        <f>IFERROR(__xludf.DUMMYFUNCTION("""COMPUTED_VALUE"""),178600.0)</f>
        <v>178600</v>
      </c>
      <c r="D1717" s="1">
        <f>IFERROR(__xludf.DUMMYFUNCTION("""COMPUTED_VALUE"""),176400.0)</f>
        <v>176400</v>
      </c>
      <c r="E1717" s="1">
        <f>IFERROR(__xludf.DUMMYFUNCTION("""COMPUTED_VALUE"""),178600.0)</f>
        <v>178600</v>
      </c>
      <c r="F1717" s="1">
        <f>IFERROR(__xludf.DUMMYFUNCTION("""COMPUTED_VALUE"""),75543.0)</f>
        <v>75543</v>
      </c>
    </row>
    <row r="1718">
      <c r="A1718" s="2">
        <f>IFERROR(__xludf.DUMMYFUNCTION("""COMPUTED_VALUE"""),43123.64583333333)</f>
        <v>43123.64583</v>
      </c>
      <c r="B1718" s="1">
        <f>IFERROR(__xludf.DUMMYFUNCTION("""COMPUTED_VALUE"""),179800.0)</f>
        <v>179800</v>
      </c>
      <c r="C1718" s="1">
        <f>IFERROR(__xludf.DUMMYFUNCTION("""COMPUTED_VALUE"""),179800.0)</f>
        <v>179800</v>
      </c>
      <c r="D1718" s="1">
        <f>IFERROR(__xludf.DUMMYFUNCTION("""COMPUTED_VALUE"""),176800.0)</f>
        <v>176800</v>
      </c>
      <c r="E1718" s="1">
        <f>IFERROR(__xludf.DUMMYFUNCTION("""COMPUTED_VALUE"""),177800.0)</f>
        <v>177800</v>
      </c>
      <c r="F1718" s="1">
        <f>IFERROR(__xludf.DUMMYFUNCTION("""COMPUTED_VALUE"""),80475.0)</f>
        <v>80475</v>
      </c>
    </row>
    <row r="1719">
      <c r="A1719" s="2">
        <f>IFERROR(__xludf.DUMMYFUNCTION("""COMPUTED_VALUE"""),43124.64583333333)</f>
        <v>43124.64583</v>
      </c>
      <c r="B1719" s="1">
        <f>IFERROR(__xludf.DUMMYFUNCTION("""COMPUTED_VALUE"""),177800.0)</f>
        <v>177800</v>
      </c>
      <c r="C1719" s="1">
        <f>IFERROR(__xludf.DUMMYFUNCTION("""COMPUTED_VALUE"""),177800.0)</f>
        <v>177800</v>
      </c>
      <c r="D1719" s="1">
        <f>IFERROR(__xludf.DUMMYFUNCTION("""COMPUTED_VALUE"""),174000.0)</f>
        <v>174000</v>
      </c>
      <c r="E1719" s="1">
        <f>IFERROR(__xludf.DUMMYFUNCTION("""COMPUTED_VALUE"""),175600.0)</f>
        <v>175600</v>
      </c>
      <c r="F1719" s="1">
        <f>IFERROR(__xludf.DUMMYFUNCTION("""COMPUTED_VALUE"""),118121.0)</f>
        <v>118121</v>
      </c>
    </row>
    <row r="1720">
      <c r="A1720" s="2">
        <f>IFERROR(__xludf.DUMMYFUNCTION("""COMPUTED_VALUE"""),43125.64583333333)</f>
        <v>43125.64583</v>
      </c>
      <c r="B1720" s="1">
        <f>IFERROR(__xludf.DUMMYFUNCTION("""COMPUTED_VALUE"""),175600.0)</f>
        <v>175600</v>
      </c>
      <c r="C1720" s="1">
        <f>IFERROR(__xludf.DUMMYFUNCTION("""COMPUTED_VALUE"""),184400.0)</f>
        <v>184400</v>
      </c>
      <c r="D1720" s="1">
        <f>IFERROR(__xludf.DUMMYFUNCTION("""COMPUTED_VALUE"""),173400.0)</f>
        <v>173400</v>
      </c>
      <c r="E1720" s="1">
        <f>IFERROR(__xludf.DUMMYFUNCTION("""COMPUTED_VALUE"""),182600.0)</f>
        <v>182600</v>
      </c>
      <c r="F1720" s="1">
        <f>IFERROR(__xludf.DUMMYFUNCTION("""COMPUTED_VALUE"""),169190.0)</f>
        <v>169190</v>
      </c>
    </row>
    <row r="1721">
      <c r="A1721" s="2">
        <f>IFERROR(__xludf.DUMMYFUNCTION("""COMPUTED_VALUE"""),43126.64583333333)</f>
        <v>43126.64583</v>
      </c>
      <c r="B1721" s="1">
        <f>IFERROR(__xludf.DUMMYFUNCTION("""COMPUTED_VALUE"""),182600.0)</f>
        <v>182600</v>
      </c>
      <c r="C1721" s="1">
        <f>IFERROR(__xludf.DUMMYFUNCTION("""COMPUTED_VALUE"""),185800.0)</f>
        <v>185800</v>
      </c>
      <c r="D1721" s="1">
        <f>IFERROR(__xludf.DUMMYFUNCTION("""COMPUTED_VALUE"""),182000.0)</f>
        <v>182000</v>
      </c>
      <c r="E1721" s="1">
        <f>IFERROR(__xludf.DUMMYFUNCTION("""COMPUTED_VALUE"""),185400.0)</f>
        <v>185400</v>
      </c>
      <c r="F1721" s="1">
        <f>IFERROR(__xludf.DUMMYFUNCTION("""COMPUTED_VALUE"""),111369.0)</f>
        <v>111369</v>
      </c>
    </row>
    <row r="1722">
      <c r="A1722" s="2">
        <f>IFERROR(__xludf.DUMMYFUNCTION("""COMPUTED_VALUE"""),43129.64583333333)</f>
        <v>43129.64583</v>
      </c>
      <c r="B1722" s="1">
        <f>IFERROR(__xludf.DUMMYFUNCTION("""COMPUTED_VALUE"""),184600.0)</f>
        <v>184600</v>
      </c>
      <c r="C1722" s="1">
        <f>IFERROR(__xludf.DUMMYFUNCTION("""COMPUTED_VALUE"""),189600.0)</f>
        <v>189600</v>
      </c>
      <c r="D1722" s="1">
        <f>IFERROR(__xludf.DUMMYFUNCTION("""COMPUTED_VALUE"""),184400.0)</f>
        <v>184400</v>
      </c>
      <c r="E1722" s="1">
        <f>IFERROR(__xludf.DUMMYFUNCTION("""COMPUTED_VALUE"""),186400.0)</f>
        <v>186400</v>
      </c>
      <c r="F1722" s="1">
        <f>IFERROR(__xludf.DUMMYFUNCTION("""COMPUTED_VALUE"""),102916.0)</f>
        <v>102916</v>
      </c>
    </row>
    <row r="1723">
      <c r="A1723" s="2">
        <f>IFERROR(__xludf.DUMMYFUNCTION("""COMPUTED_VALUE"""),43130.64583333333)</f>
        <v>43130.64583</v>
      </c>
      <c r="B1723" s="1">
        <f>IFERROR(__xludf.DUMMYFUNCTION("""COMPUTED_VALUE"""),185600.0)</f>
        <v>185600</v>
      </c>
      <c r="C1723" s="1">
        <f>IFERROR(__xludf.DUMMYFUNCTION("""COMPUTED_VALUE"""),190000.0)</f>
        <v>190000</v>
      </c>
      <c r="D1723" s="1">
        <f>IFERROR(__xludf.DUMMYFUNCTION("""COMPUTED_VALUE"""),184600.0)</f>
        <v>184600</v>
      </c>
      <c r="E1723" s="1">
        <f>IFERROR(__xludf.DUMMYFUNCTION("""COMPUTED_VALUE"""),186200.0)</f>
        <v>186200</v>
      </c>
      <c r="F1723" s="1">
        <f>IFERROR(__xludf.DUMMYFUNCTION("""COMPUTED_VALUE"""),102118.0)</f>
        <v>102118</v>
      </c>
    </row>
    <row r="1724">
      <c r="A1724" s="2">
        <f>IFERROR(__xludf.DUMMYFUNCTION("""COMPUTED_VALUE"""),43131.64583333333)</f>
        <v>43131.64583</v>
      </c>
      <c r="B1724" s="1">
        <f>IFERROR(__xludf.DUMMYFUNCTION("""COMPUTED_VALUE"""),186600.0)</f>
        <v>186600</v>
      </c>
      <c r="C1724" s="1">
        <f>IFERROR(__xludf.DUMMYFUNCTION("""COMPUTED_VALUE"""),189000.0)</f>
        <v>189000</v>
      </c>
      <c r="D1724" s="1">
        <f>IFERROR(__xludf.DUMMYFUNCTION("""COMPUTED_VALUE"""),182000.0)</f>
        <v>182000</v>
      </c>
      <c r="E1724" s="1">
        <f>IFERROR(__xludf.DUMMYFUNCTION("""COMPUTED_VALUE"""),182000.0)</f>
        <v>182000</v>
      </c>
      <c r="F1724" s="1">
        <f>IFERROR(__xludf.DUMMYFUNCTION("""COMPUTED_VALUE"""),125184.0)</f>
        <v>125184</v>
      </c>
    </row>
    <row r="1725">
      <c r="A1725" s="2">
        <f>IFERROR(__xludf.DUMMYFUNCTION("""COMPUTED_VALUE"""),43132.64583333333)</f>
        <v>43132.64583</v>
      </c>
      <c r="B1725" s="1">
        <f>IFERROR(__xludf.DUMMYFUNCTION("""COMPUTED_VALUE"""),182000.0)</f>
        <v>182000</v>
      </c>
      <c r="C1725" s="1">
        <f>IFERROR(__xludf.DUMMYFUNCTION("""COMPUTED_VALUE"""),186400.0)</f>
        <v>186400</v>
      </c>
      <c r="D1725" s="1">
        <f>IFERROR(__xludf.DUMMYFUNCTION("""COMPUTED_VALUE"""),181800.0)</f>
        <v>181800</v>
      </c>
      <c r="E1725" s="1">
        <f>IFERROR(__xludf.DUMMYFUNCTION("""COMPUTED_VALUE"""),184600.0)</f>
        <v>184600</v>
      </c>
      <c r="F1725" s="1">
        <f>IFERROR(__xludf.DUMMYFUNCTION("""COMPUTED_VALUE"""),80607.0)</f>
        <v>80607</v>
      </c>
    </row>
    <row r="1726">
      <c r="A1726" s="2">
        <f>IFERROR(__xludf.DUMMYFUNCTION("""COMPUTED_VALUE"""),43133.64583333333)</f>
        <v>43133.64583</v>
      </c>
      <c r="B1726" s="1">
        <f>IFERROR(__xludf.DUMMYFUNCTION("""COMPUTED_VALUE"""),186000.0)</f>
        <v>186000</v>
      </c>
      <c r="C1726" s="1">
        <f>IFERROR(__xludf.DUMMYFUNCTION("""COMPUTED_VALUE"""),186400.0)</f>
        <v>186400</v>
      </c>
      <c r="D1726" s="1">
        <f>IFERROR(__xludf.DUMMYFUNCTION("""COMPUTED_VALUE"""),180400.0)</f>
        <v>180400</v>
      </c>
      <c r="E1726" s="1">
        <f>IFERROR(__xludf.DUMMYFUNCTION("""COMPUTED_VALUE"""),181000.0)</f>
        <v>181000</v>
      </c>
      <c r="F1726" s="1">
        <f>IFERROR(__xludf.DUMMYFUNCTION("""COMPUTED_VALUE"""),82151.0)</f>
        <v>82151</v>
      </c>
    </row>
    <row r="1727">
      <c r="A1727" s="2">
        <f>IFERROR(__xludf.DUMMYFUNCTION("""COMPUTED_VALUE"""),43136.64583333333)</f>
        <v>43136.64583</v>
      </c>
      <c r="B1727" s="1">
        <f>IFERROR(__xludf.DUMMYFUNCTION("""COMPUTED_VALUE"""),181000.0)</f>
        <v>181000</v>
      </c>
      <c r="C1727" s="1">
        <f>IFERROR(__xludf.DUMMYFUNCTION("""COMPUTED_VALUE"""),181000.0)</f>
        <v>181000</v>
      </c>
      <c r="D1727" s="1">
        <f>IFERROR(__xludf.DUMMYFUNCTION("""COMPUTED_VALUE"""),175400.0)</f>
        <v>175400</v>
      </c>
      <c r="E1727" s="1">
        <f>IFERROR(__xludf.DUMMYFUNCTION("""COMPUTED_VALUE"""),175800.0)</f>
        <v>175800</v>
      </c>
      <c r="F1727" s="1">
        <f>IFERROR(__xludf.DUMMYFUNCTION("""COMPUTED_VALUE"""),96967.0)</f>
        <v>96967</v>
      </c>
    </row>
    <row r="1728">
      <c r="A1728" s="2">
        <f>IFERROR(__xludf.DUMMYFUNCTION("""COMPUTED_VALUE"""),43137.64583333333)</f>
        <v>43137.64583</v>
      </c>
      <c r="B1728" s="1">
        <f>IFERROR(__xludf.DUMMYFUNCTION("""COMPUTED_VALUE"""),172800.0)</f>
        <v>172800</v>
      </c>
      <c r="C1728" s="1">
        <f>IFERROR(__xludf.DUMMYFUNCTION("""COMPUTED_VALUE"""),175600.0)</f>
        <v>175600</v>
      </c>
      <c r="D1728" s="1">
        <f>IFERROR(__xludf.DUMMYFUNCTION("""COMPUTED_VALUE"""),167600.0)</f>
        <v>167600</v>
      </c>
      <c r="E1728" s="1">
        <f>IFERROR(__xludf.DUMMYFUNCTION("""COMPUTED_VALUE"""),170200.0)</f>
        <v>170200</v>
      </c>
      <c r="F1728" s="1">
        <f>IFERROR(__xludf.DUMMYFUNCTION("""COMPUTED_VALUE"""),154539.0)</f>
        <v>154539</v>
      </c>
    </row>
    <row r="1729">
      <c r="A1729" s="2">
        <f>IFERROR(__xludf.DUMMYFUNCTION("""COMPUTED_VALUE"""),43138.64583333333)</f>
        <v>43138.64583</v>
      </c>
      <c r="B1729" s="1">
        <f>IFERROR(__xludf.DUMMYFUNCTION("""COMPUTED_VALUE"""),174000.0)</f>
        <v>174000</v>
      </c>
      <c r="C1729" s="1">
        <f>IFERROR(__xludf.DUMMYFUNCTION("""COMPUTED_VALUE"""),174400.0)</f>
        <v>174400</v>
      </c>
      <c r="D1729" s="1">
        <f>IFERROR(__xludf.DUMMYFUNCTION("""COMPUTED_VALUE"""),168000.0)</f>
        <v>168000</v>
      </c>
      <c r="E1729" s="1">
        <f>IFERROR(__xludf.DUMMYFUNCTION("""COMPUTED_VALUE"""),168600.0)</f>
        <v>168600</v>
      </c>
      <c r="F1729" s="1">
        <f>IFERROR(__xludf.DUMMYFUNCTION("""COMPUTED_VALUE"""),95763.0)</f>
        <v>95763</v>
      </c>
    </row>
    <row r="1730">
      <c r="A1730" s="2">
        <f>IFERROR(__xludf.DUMMYFUNCTION("""COMPUTED_VALUE"""),43139.64583333333)</f>
        <v>43139.64583</v>
      </c>
      <c r="B1730" s="1">
        <f>IFERROR(__xludf.DUMMYFUNCTION("""COMPUTED_VALUE"""),172000.0)</f>
        <v>172000</v>
      </c>
      <c r="C1730" s="1">
        <f>IFERROR(__xludf.DUMMYFUNCTION("""COMPUTED_VALUE"""),172000.0)</f>
        <v>172000</v>
      </c>
      <c r="D1730" s="1">
        <f>IFERROR(__xludf.DUMMYFUNCTION("""COMPUTED_VALUE"""),168400.0)</f>
        <v>168400</v>
      </c>
      <c r="E1730" s="1">
        <f>IFERROR(__xludf.DUMMYFUNCTION("""COMPUTED_VALUE"""),168600.0)</f>
        <v>168600</v>
      </c>
      <c r="F1730" s="1">
        <f>IFERROR(__xludf.DUMMYFUNCTION("""COMPUTED_VALUE"""),102950.0)</f>
        <v>102950</v>
      </c>
    </row>
    <row r="1731">
      <c r="A1731" s="2">
        <f>IFERROR(__xludf.DUMMYFUNCTION("""COMPUTED_VALUE"""),43140.64583333333)</f>
        <v>43140.64583</v>
      </c>
      <c r="B1731" s="1">
        <f>IFERROR(__xludf.DUMMYFUNCTION("""COMPUTED_VALUE"""),163400.0)</f>
        <v>163400</v>
      </c>
      <c r="C1731" s="1">
        <f>IFERROR(__xludf.DUMMYFUNCTION("""COMPUTED_VALUE"""),166000.0)</f>
        <v>166000</v>
      </c>
      <c r="D1731" s="1">
        <f>IFERROR(__xludf.DUMMYFUNCTION("""COMPUTED_VALUE"""),161200.0)</f>
        <v>161200</v>
      </c>
      <c r="E1731" s="1">
        <f>IFERROR(__xludf.DUMMYFUNCTION("""COMPUTED_VALUE"""),161600.0)</f>
        <v>161600</v>
      </c>
      <c r="F1731" s="1">
        <f>IFERROR(__xludf.DUMMYFUNCTION("""COMPUTED_VALUE"""),158070.0)</f>
        <v>158070</v>
      </c>
    </row>
    <row r="1732">
      <c r="A1732" s="2">
        <f>IFERROR(__xludf.DUMMYFUNCTION("""COMPUTED_VALUE"""),43143.64583333333)</f>
        <v>43143.64583</v>
      </c>
      <c r="B1732" s="1">
        <f>IFERROR(__xludf.DUMMYFUNCTION("""COMPUTED_VALUE"""),163400.0)</f>
        <v>163400</v>
      </c>
      <c r="C1732" s="1">
        <f>IFERROR(__xludf.DUMMYFUNCTION("""COMPUTED_VALUE"""),163400.0)</f>
        <v>163400</v>
      </c>
      <c r="D1732" s="1">
        <f>IFERROR(__xludf.DUMMYFUNCTION("""COMPUTED_VALUE"""),159600.0)</f>
        <v>159600</v>
      </c>
      <c r="E1732" s="1">
        <f>IFERROR(__xludf.DUMMYFUNCTION("""COMPUTED_VALUE"""),160000.0)</f>
        <v>160000</v>
      </c>
      <c r="F1732" s="1">
        <f>IFERROR(__xludf.DUMMYFUNCTION("""COMPUTED_VALUE"""),190743.0)</f>
        <v>190743</v>
      </c>
    </row>
    <row r="1733">
      <c r="A1733" s="2">
        <f>IFERROR(__xludf.DUMMYFUNCTION("""COMPUTED_VALUE"""),43144.64583333333)</f>
        <v>43144.64583</v>
      </c>
      <c r="B1733" s="1">
        <f>IFERROR(__xludf.DUMMYFUNCTION("""COMPUTED_VALUE"""),162600.0)</f>
        <v>162600</v>
      </c>
      <c r="C1733" s="1">
        <f>IFERROR(__xludf.DUMMYFUNCTION("""COMPUTED_VALUE"""),164400.0)</f>
        <v>164400</v>
      </c>
      <c r="D1733" s="1">
        <f>IFERROR(__xludf.DUMMYFUNCTION("""COMPUTED_VALUE"""),160600.0)</f>
        <v>160600</v>
      </c>
      <c r="E1733" s="1">
        <f>IFERROR(__xludf.DUMMYFUNCTION("""COMPUTED_VALUE"""),161000.0)</f>
        <v>161000</v>
      </c>
      <c r="F1733" s="1">
        <f>IFERROR(__xludf.DUMMYFUNCTION("""COMPUTED_VALUE"""),137025.0)</f>
        <v>137025</v>
      </c>
    </row>
    <row r="1734">
      <c r="A1734" s="2">
        <f>IFERROR(__xludf.DUMMYFUNCTION("""COMPUTED_VALUE"""),43145.64583333333)</f>
        <v>43145.64583</v>
      </c>
      <c r="B1734" s="1">
        <f>IFERROR(__xludf.DUMMYFUNCTION("""COMPUTED_VALUE"""),162400.0)</f>
        <v>162400</v>
      </c>
      <c r="C1734" s="1">
        <f>IFERROR(__xludf.DUMMYFUNCTION("""COMPUTED_VALUE"""),163800.0)</f>
        <v>163800</v>
      </c>
      <c r="D1734" s="1">
        <f>IFERROR(__xludf.DUMMYFUNCTION("""COMPUTED_VALUE"""),161600.0)</f>
        <v>161600</v>
      </c>
      <c r="E1734" s="1">
        <f>IFERROR(__xludf.DUMMYFUNCTION("""COMPUTED_VALUE"""),162200.0)</f>
        <v>162200</v>
      </c>
      <c r="F1734" s="1">
        <f>IFERROR(__xludf.DUMMYFUNCTION("""COMPUTED_VALUE"""),74164.0)</f>
        <v>74164</v>
      </c>
    </row>
    <row r="1735">
      <c r="A1735" s="2">
        <f>IFERROR(__xludf.DUMMYFUNCTION("""COMPUTED_VALUE"""),43150.64583333333)</f>
        <v>43150.64583</v>
      </c>
      <c r="B1735" s="1">
        <f>IFERROR(__xludf.DUMMYFUNCTION("""COMPUTED_VALUE"""),166000.0)</f>
        <v>166000</v>
      </c>
      <c r="C1735" s="1">
        <f>IFERROR(__xludf.DUMMYFUNCTION("""COMPUTED_VALUE"""),166000.0)</f>
        <v>166000</v>
      </c>
      <c r="D1735" s="1">
        <f>IFERROR(__xludf.DUMMYFUNCTION("""COMPUTED_VALUE"""),163000.0)</f>
        <v>163000</v>
      </c>
      <c r="E1735" s="1">
        <f>IFERROR(__xludf.DUMMYFUNCTION("""COMPUTED_VALUE"""),164000.0)</f>
        <v>164000</v>
      </c>
      <c r="F1735" s="1">
        <f>IFERROR(__xludf.DUMMYFUNCTION("""COMPUTED_VALUE"""),83337.0)</f>
        <v>83337</v>
      </c>
    </row>
    <row r="1736">
      <c r="A1736" s="2">
        <f>IFERROR(__xludf.DUMMYFUNCTION("""COMPUTED_VALUE"""),43151.64583333333)</f>
        <v>43151.64583</v>
      </c>
      <c r="B1736" s="1">
        <f>IFERROR(__xludf.DUMMYFUNCTION("""COMPUTED_VALUE"""),163600.0)</f>
        <v>163600</v>
      </c>
      <c r="C1736" s="1">
        <f>IFERROR(__xludf.DUMMYFUNCTION("""COMPUTED_VALUE"""),163600.0)</f>
        <v>163600</v>
      </c>
      <c r="D1736" s="1">
        <f>IFERROR(__xludf.DUMMYFUNCTION("""COMPUTED_VALUE"""),160800.0)</f>
        <v>160800</v>
      </c>
      <c r="E1736" s="1">
        <f>IFERROR(__xludf.DUMMYFUNCTION("""COMPUTED_VALUE"""),161400.0)</f>
        <v>161400</v>
      </c>
      <c r="F1736" s="1">
        <f>IFERROR(__xludf.DUMMYFUNCTION("""COMPUTED_VALUE"""),67201.0)</f>
        <v>67201</v>
      </c>
    </row>
    <row r="1737">
      <c r="A1737" s="2">
        <f>IFERROR(__xludf.DUMMYFUNCTION("""COMPUTED_VALUE"""),43152.64583333333)</f>
        <v>43152.64583</v>
      </c>
      <c r="B1737" s="1">
        <f>IFERROR(__xludf.DUMMYFUNCTION("""COMPUTED_VALUE"""),162000.0)</f>
        <v>162000</v>
      </c>
      <c r="C1737" s="1">
        <f>IFERROR(__xludf.DUMMYFUNCTION("""COMPUTED_VALUE"""),167200.0)</f>
        <v>167200</v>
      </c>
      <c r="D1737" s="1">
        <f>IFERROR(__xludf.DUMMYFUNCTION("""COMPUTED_VALUE"""),161800.0)</f>
        <v>161800</v>
      </c>
      <c r="E1737" s="1">
        <f>IFERROR(__xludf.DUMMYFUNCTION("""COMPUTED_VALUE"""),166600.0)</f>
        <v>166600</v>
      </c>
      <c r="F1737" s="1">
        <f>IFERROR(__xludf.DUMMYFUNCTION("""COMPUTED_VALUE"""),141568.0)</f>
        <v>141568</v>
      </c>
    </row>
    <row r="1738">
      <c r="A1738" s="2">
        <f>IFERROR(__xludf.DUMMYFUNCTION("""COMPUTED_VALUE"""),43153.64583333333)</f>
        <v>43153.64583</v>
      </c>
      <c r="B1738" s="1">
        <f>IFERROR(__xludf.DUMMYFUNCTION("""COMPUTED_VALUE"""),166200.0)</f>
        <v>166200</v>
      </c>
      <c r="C1738" s="1">
        <f>IFERROR(__xludf.DUMMYFUNCTION("""COMPUTED_VALUE"""),167400.0)</f>
        <v>167400</v>
      </c>
      <c r="D1738" s="1">
        <f>IFERROR(__xludf.DUMMYFUNCTION("""COMPUTED_VALUE"""),163800.0)</f>
        <v>163800</v>
      </c>
      <c r="E1738" s="1">
        <f>IFERROR(__xludf.DUMMYFUNCTION("""COMPUTED_VALUE"""),165400.0)</f>
        <v>165400</v>
      </c>
      <c r="F1738" s="1">
        <f>IFERROR(__xludf.DUMMYFUNCTION("""COMPUTED_VALUE"""),72242.0)</f>
        <v>72242</v>
      </c>
    </row>
    <row r="1739">
      <c r="A1739" s="2">
        <f>IFERROR(__xludf.DUMMYFUNCTION("""COMPUTED_VALUE"""),43154.64583333333)</f>
        <v>43154.64583</v>
      </c>
      <c r="B1739" s="1">
        <f>IFERROR(__xludf.DUMMYFUNCTION("""COMPUTED_VALUE"""),166200.0)</f>
        <v>166200</v>
      </c>
      <c r="C1739" s="1">
        <f>IFERROR(__xludf.DUMMYFUNCTION("""COMPUTED_VALUE"""),168400.0)</f>
        <v>168400</v>
      </c>
      <c r="D1739" s="1">
        <f>IFERROR(__xludf.DUMMYFUNCTION("""COMPUTED_VALUE"""),164000.0)</f>
        <v>164000</v>
      </c>
      <c r="E1739" s="1">
        <f>IFERROR(__xludf.DUMMYFUNCTION("""COMPUTED_VALUE"""),165800.0)</f>
        <v>165800</v>
      </c>
      <c r="F1739" s="1">
        <f>IFERROR(__xludf.DUMMYFUNCTION("""COMPUTED_VALUE"""),70864.0)</f>
        <v>70864</v>
      </c>
    </row>
    <row r="1740">
      <c r="A1740" s="2">
        <f>IFERROR(__xludf.DUMMYFUNCTION("""COMPUTED_VALUE"""),43157.64583333333)</f>
        <v>43157.64583</v>
      </c>
      <c r="B1740" s="1">
        <f>IFERROR(__xludf.DUMMYFUNCTION("""COMPUTED_VALUE"""),166800.0)</f>
        <v>166800</v>
      </c>
      <c r="C1740" s="1">
        <f>IFERROR(__xludf.DUMMYFUNCTION("""COMPUTED_VALUE"""),166800.0)</f>
        <v>166800</v>
      </c>
      <c r="D1740" s="1">
        <f>IFERROR(__xludf.DUMMYFUNCTION("""COMPUTED_VALUE"""),161600.0)</f>
        <v>161600</v>
      </c>
      <c r="E1740" s="1">
        <f>IFERROR(__xludf.DUMMYFUNCTION("""COMPUTED_VALUE"""),162000.0)</f>
        <v>162000</v>
      </c>
      <c r="F1740" s="1">
        <f>IFERROR(__xludf.DUMMYFUNCTION("""COMPUTED_VALUE"""),127128.0)</f>
        <v>127128</v>
      </c>
    </row>
    <row r="1741">
      <c r="A1741" s="2">
        <f>IFERROR(__xludf.DUMMYFUNCTION("""COMPUTED_VALUE"""),43158.64583333333)</f>
        <v>43158.64583</v>
      </c>
      <c r="B1741" s="1">
        <f>IFERROR(__xludf.DUMMYFUNCTION("""COMPUTED_VALUE"""),162000.0)</f>
        <v>162000</v>
      </c>
      <c r="C1741" s="1">
        <f>IFERROR(__xludf.DUMMYFUNCTION("""COMPUTED_VALUE"""),162600.0)</f>
        <v>162600</v>
      </c>
      <c r="D1741" s="1">
        <f>IFERROR(__xludf.DUMMYFUNCTION("""COMPUTED_VALUE"""),160200.0)</f>
        <v>160200</v>
      </c>
      <c r="E1741" s="1">
        <f>IFERROR(__xludf.DUMMYFUNCTION("""COMPUTED_VALUE"""),160800.0)</f>
        <v>160800</v>
      </c>
      <c r="F1741" s="1">
        <f>IFERROR(__xludf.DUMMYFUNCTION("""COMPUTED_VALUE"""),142978.0)</f>
        <v>142978</v>
      </c>
    </row>
    <row r="1742">
      <c r="A1742" s="2">
        <f>IFERROR(__xludf.DUMMYFUNCTION("""COMPUTED_VALUE"""),43159.64583333333)</f>
        <v>43159.64583</v>
      </c>
      <c r="B1742" s="1">
        <f>IFERROR(__xludf.DUMMYFUNCTION("""COMPUTED_VALUE"""),161600.0)</f>
        <v>161600</v>
      </c>
      <c r="C1742" s="1">
        <f>IFERROR(__xludf.DUMMYFUNCTION("""COMPUTED_VALUE"""),163600.0)</f>
        <v>163600</v>
      </c>
      <c r="D1742" s="1">
        <f>IFERROR(__xludf.DUMMYFUNCTION("""COMPUTED_VALUE"""),160400.0)</f>
        <v>160400</v>
      </c>
      <c r="E1742" s="1">
        <f>IFERROR(__xludf.DUMMYFUNCTION("""COMPUTED_VALUE"""),160600.0)</f>
        <v>160600</v>
      </c>
      <c r="F1742" s="1">
        <f>IFERROR(__xludf.DUMMYFUNCTION("""COMPUTED_VALUE"""),390265.0)</f>
        <v>390265</v>
      </c>
    </row>
    <row r="1743">
      <c r="A1743" s="2">
        <f>IFERROR(__xludf.DUMMYFUNCTION("""COMPUTED_VALUE"""),43161.64583333333)</f>
        <v>43161.64583</v>
      </c>
      <c r="B1743" s="1">
        <f>IFERROR(__xludf.DUMMYFUNCTION("""COMPUTED_VALUE"""),158800.0)</f>
        <v>158800</v>
      </c>
      <c r="C1743" s="1">
        <f>IFERROR(__xludf.DUMMYFUNCTION("""COMPUTED_VALUE"""),160000.0)</f>
        <v>160000</v>
      </c>
      <c r="D1743" s="1">
        <f>IFERROR(__xludf.DUMMYFUNCTION("""COMPUTED_VALUE"""),154400.0)</f>
        <v>154400</v>
      </c>
      <c r="E1743" s="1">
        <f>IFERROR(__xludf.DUMMYFUNCTION("""COMPUTED_VALUE"""),157200.0)</f>
        <v>157200</v>
      </c>
      <c r="F1743" s="1">
        <f>IFERROR(__xludf.DUMMYFUNCTION("""COMPUTED_VALUE"""),217305.0)</f>
        <v>217305</v>
      </c>
    </row>
    <row r="1744">
      <c r="A1744" s="2">
        <f>IFERROR(__xludf.DUMMYFUNCTION("""COMPUTED_VALUE"""),43164.64583333333)</f>
        <v>43164.64583</v>
      </c>
      <c r="B1744" s="1">
        <f>IFERROR(__xludf.DUMMYFUNCTION("""COMPUTED_VALUE"""),157200.0)</f>
        <v>157200</v>
      </c>
      <c r="C1744" s="1">
        <f>IFERROR(__xludf.DUMMYFUNCTION("""COMPUTED_VALUE"""),158000.0)</f>
        <v>158000</v>
      </c>
      <c r="D1744" s="1">
        <f>IFERROR(__xludf.DUMMYFUNCTION("""COMPUTED_VALUE"""),155800.0)</f>
        <v>155800</v>
      </c>
      <c r="E1744" s="1">
        <f>IFERROR(__xludf.DUMMYFUNCTION("""COMPUTED_VALUE"""),155800.0)</f>
        <v>155800</v>
      </c>
      <c r="F1744" s="1">
        <f>IFERROR(__xludf.DUMMYFUNCTION("""COMPUTED_VALUE"""),79122.0)</f>
        <v>79122</v>
      </c>
    </row>
    <row r="1745">
      <c r="A1745" s="2">
        <f>IFERROR(__xludf.DUMMYFUNCTION("""COMPUTED_VALUE"""),43165.64583333333)</f>
        <v>43165.64583</v>
      </c>
      <c r="B1745" s="1">
        <f>IFERROR(__xludf.DUMMYFUNCTION("""COMPUTED_VALUE"""),157200.0)</f>
        <v>157200</v>
      </c>
      <c r="C1745" s="1">
        <f>IFERROR(__xludf.DUMMYFUNCTION("""COMPUTED_VALUE"""),160000.0)</f>
        <v>160000</v>
      </c>
      <c r="D1745" s="1">
        <f>IFERROR(__xludf.DUMMYFUNCTION("""COMPUTED_VALUE"""),156400.0)</f>
        <v>156400</v>
      </c>
      <c r="E1745" s="1">
        <f>IFERROR(__xludf.DUMMYFUNCTION("""COMPUTED_VALUE"""),159200.0)</f>
        <v>159200</v>
      </c>
      <c r="F1745" s="1">
        <f>IFERROR(__xludf.DUMMYFUNCTION("""COMPUTED_VALUE"""),78012.0)</f>
        <v>78012</v>
      </c>
    </row>
    <row r="1746">
      <c r="A1746" s="2">
        <f>IFERROR(__xludf.DUMMYFUNCTION("""COMPUTED_VALUE"""),43166.64583333333)</f>
        <v>43166.64583</v>
      </c>
      <c r="B1746" s="1">
        <f>IFERROR(__xludf.DUMMYFUNCTION("""COMPUTED_VALUE"""),160800.0)</f>
        <v>160800</v>
      </c>
      <c r="C1746" s="1">
        <f>IFERROR(__xludf.DUMMYFUNCTION("""COMPUTED_VALUE"""),161000.0)</f>
        <v>161000</v>
      </c>
      <c r="D1746" s="1">
        <f>IFERROR(__xludf.DUMMYFUNCTION("""COMPUTED_VALUE"""),158200.0)</f>
        <v>158200</v>
      </c>
      <c r="E1746" s="1">
        <f>IFERROR(__xludf.DUMMYFUNCTION("""COMPUTED_VALUE"""),159000.0)</f>
        <v>159000</v>
      </c>
      <c r="F1746" s="1">
        <f>IFERROR(__xludf.DUMMYFUNCTION("""COMPUTED_VALUE"""),360550.0)</f>
        <v>360550</v>
      </c>
    </row>
    <row r="1747">
      <c r="A1747" s="2">
        <f>IFERROR(__xludf.DUMMYFUNCTION("""COMPUTED_VALUE"""),43167.64583333333)</f>
        <v>43167.64583</v>
      </c>
      <c r="B1747" s="1">
        <f>IFERROR(__xludf.DUMMYFUNCTION("""COMPUTED_VALUE"""),159600.0)</f>
        <v>159600</v>
      </c>
      <c r="C1747" s="1">
        <f>IFERROR(__xludf.DUMMYFUNCTION("""COMPUTED_VALUE"""),159800.0)</f>
        <v>159800</v>
      </c>
      <c r="D1747" s="1">
        <f>IFERROR(__xludf.DUMMYFUNCTION("""COMPUTED_VALUE"""),158200.0)</f>
        <v>158200</v>
      </c>
      <c r="E1747" s="1">
        <f>IFERROR(__xludf.DUMMYFUNCTION("""COMPUTED_VALUE"""),159800.0)</f>
        <v>159800</v>
      </c>
      <c r="F1747" s="1">
        <f>IFERROR(__xludf.DUMMYFUNCTION("""COMPUTED_VALUE"""),79218.0)</f>
        <v>79218</v>
      </c>
    </row>
    <row r="1748">
      <c r="A1748" s="2">
        <f>IFERROR(__xludf.DUMMYFUNCTION("""COMPUTED_VALUE"""),43168.64583333333)</f>
        <v>43168.64583</v>
      </c>
      <c r="B1748" s="1">
        <f>IFERROR(__xludf.DUMMYFUNCTION("""COMPUTED_VALUE"""),160600.0)</f>
        <v>160600</v>
      </c>
      <c r="C1748" s="1">
        <f>IFERROR(__xludf.DUMMYFUNCTION("""COMPUTED_VALUE"""),162800.0)</f>
        <v>162800</v>
      </c>
      <c r="D1748" s="1">
        <f>IFERROR(__xludf.DUMMYFUNCTION("""COMPUTED_VALUE"""),159400.0)</f>
        <v>159400</v>
      </c>
      <c r="E1748" s="1">
        <f>IFERROR(__xludf.DUMMYFUNCTION("""COMPUTED_VALUE"""),160400.0)</f>
        <v>160400</v>
      </c>
      <c r="F1748" s="1">
        <f>IFERROR(__xludf.DUMMYFUNCTION("""COMPUTED_VALUE"""),85805.0)</f>
        <v>85805</v>
      </c>
    </row>
    <row r="1749">
      <c r="A1749" s="2">
        <f>IFERROR(__xludf.DUMMYFUNCTION("""COMPUTED_VALUE"""),43171.64583333333)</f>
        <v>43171.64583</v>
      </c>
      <c r="B1749" s="1">
        <f>IFERROR(__xludf.DUMMYFUNCTION("""COMPUTED_VALUE"""),161600.0)</f>
        <v>161600</v>
      </c>
      <c r="C1749" s="1">
        <f>IFERROR(__xludf.DUMMYFUNCTION("""COMPUTED_VALUE"""),163000.0)</f>
        <v>163000</v>
      </c>
      <c r="D1749" s="1">
        <f>IFERROR(__xludf.DUMMYFUNCTION("""COMPUTED_VALUE"""),160800.0)</f>
        <v>160800</v>
      </c>
      <c r="E1749" s="1">
        <f>IFERROR(__xludf.DUMMYFUNCTION("""COMPUTED_VALUE"""),161200.0)</f>
        <v>161200</v>
      </c>
      <c r="F1749" s="1">
        <f>IFERROR(__xludf.DUMMYFUNCTION("""COMPUTED_VALUE"""),69011.0)</f>
        <v>69011</v>
      </c>
    </row>
    <row r="1750">
      <c r="A1750" s="2">
        <f>IFERROR(__xludf.DUMMYFUNCTION("""COMPUTED_VALUE"""),43172.64583333333)</f>
        <v>43172.64583</v>
      </c>
      <c r="B1750" s="1">
        <f>IFERROR(__xludf.DUMMYFUNCTION("""COMPUTED_VALUE"""),161200.0)</f>
        <v>161200</v>
      </c>
      <c r="C1750" s="1">
        <f>IFERROR(__xludf.DUMMYFUNCTION("""COMPUTED_VALUE"""),165200.0)</f>
        <v>165200</v>
      </c>
      <c r="D1750" s="1">
        <f>IFERROR(__xludf.DUMMYFUNCTION("""COMPUTED_VALUE"""),160600.0)</f>
        <v>160600</v>
      </c>
      <c r="E1750" s="1">
        <f>IFERROR(__xludf.DUMMYFUNCTION("""COMPUTED_VALUE"""),164000.0)</f>
        <v>164000</v>
      </c>
      <c r="F1750" s="1">
        <f>IFERROR(__xludf.DUMMYFUNCTION("""COMPUTED_VALUE"""),121223.0)</f>
        <v>121223</v>
      </c>
    </row>
    <row r="1751">
      <c r="A1751" s="2">
        <f>IFERROR(__xludf.DUMMYFUNCTION("""COMPUTED_VALUE"""),43173.64583333333)</f>
        <v>43173.64583</v>
      </c>
      <c r="B1751" s="1">
        <f>IFERROR(__xludf.DUMMYFUNCTION("""COMPUTED_VALUE"""),162600.0)</f>
        <v>162600</v>
      </c>
      <c r="C1751" s="1">
        <f>IFERROR(__xludf.DUMMYFUNCTION("""COMPUTED_VALUE"""),162800.0)</f>
        <v>162800</v>
      </c>
      <c r="D1751" s="1">
        <f>IFERROR(__xludf.DUMMYFUNCTION("""COMPUTED_VALUE"""),160200.0)</f>
        <v>160200</v>
      </c>
      <c r="E1751" s="1">
        <f>IFERROR(__xludf.DUMMYFUNCTION("""COMPUTED_VALUE"""),161800.0)</f>
        <v>161800</v>
      </c>
      <c r="F1751" s="1">
        <f>IFERROR(__xludf.DUMMYFUNCTION("""COMPUTED_VALUE"""),75328.0)</f>
        <v>75328</v>
      </c>
    </row>
    <row r="1752">
      <c r="A1752" s="2">
        <f>IFERROR(__xludf.DUMMYFUNCTION("""COMPUTED_VALUE"""),43174.64583333333)</f>
        <v>43174.64583</v>
      </c>
      <c r="B1752" s="1">
        <f>IFERROR(__xludf.DUMMYFUNCTION("""COMPUTED_VALUE"""),162600.0)</f>
        <v>162600</v>
      </c>
      <c r="C1752" s="1">
        <f>IFERROR(__xludf.DUMMYFUNCTION("""COMPUTED_VALUE"""),164800.0)</f>
        <v>164800</v>
      </c>
      <c r="D1752" s="1">
        <f>IFERROR(__xludf.DUMMYFUNCTION("""COMPUTED_VALUE"""),161400.0)</f>
        <v>161400</v>
      </c>
      <c r="E1752" s="1">
        <f>IFERROR(__xludf.DUMMYFUNCTION("""COMPUTED_VALUE"""),164000.0)</f>
        <v>164000</v>
      </c>
      <c r="F1752" s="1">
        <f>IFERROR(__xludf.DUMMYFUNCTION("""COMPUTED_VALUE"""),68305.0)</f>
        <v>68305</v>
      </c>
    </row>
    <row r="1753">
      <c r="A1753" s="2">
        <f>IFERROR(__xludf.DUMMYFUNCTION("""COMPUTED_VALUE"""),43175.64583333333)</f>
        <v>43175.64583</v>
      </c>
      <c r="B1753" s="1">
        <f>IFERROR(__xludf.DUMMYFUNCTION("""COMPUTED_VALUE"""),163200.0)</f>
        <v>163200</v>
      </c>
      <c r="C1753" s="1">
        <f>IFERROR(__xludf.DUMMYFUNCTION("""COMPUTED_VALUE"""),163400.0)</f>
        <v>163400</v>
      </c>
      <c r="D1753" s="1">
        <f>IFERROR(__xludf.DUMMYFUNCTION("""COMPUTED_VALUE"""),159400.0)</f>
        <v>159400</v>
      </c>
      <c r="E1753" s="1">
        <f>IFERROR(__xludf.DUMMYFUNCTION("""COMPUTED_VALUE"""),160200.0)</f>
        <v>160200</v>
      </c>
      <c r="F1753" s="1">
        <f>IFERROR(__xludf.DUMMYFUNCTION("""COMPUTED_VALUE"""),143598.0)</f>
        <v>143598</v>
      </c>
    </row>
    <row r="1754">
      <c r="A1754" s="2">
        <f>IFERROR(__xludf.DUMMYFUNCTION("""COMPUTED_VALUE"""),43178.64583333333)</f>
        <v>43178.64583</v>
      </c>
      <c r="B1754" s="1">
        <f>IFERROR(__xludf.DUMMYFUNCTION("""COMPUTED_VALUE"""),160200.0)</f>
        <v>160200</v>
      </c>
      <c r="C1754" s="1">
        <f>IFERROR(__xludf.DUMMYFUNCTION("""COMPUTED_VALUE"""),160400.0)</f>
        <v>160400</v>
      </c>
      <c r="D1754" s="1">
        <f>IFERROR(__xludf.DUMMYFUNCTION("""COMPUTED_VALUE"""),156400.0)</f>
        <v>156400</v>
      </c>
      <c r="E1754" s="1">
        <f>IFERROR(__xludf.DUMMYFUNCTION("""COMPUTED_VALUE"""),157000.0)</f>
        <v>157000</v>
      </c>
      <c r="F1754" s="1">
        <f>IFERROR(__xludf.DUMMYFUNCTION("""COMPUTED_VALUE"""),120014.0)</f>
        <v>120014</v>
      </c>
    </row>
    <row r="1755">
      <c r="A1755" s="2">
        <f>IFERROR(__xludf.DUMMYFUNCTION("""COMPUTED_VALUE"""),43179.64583333333)</f>
        <v>43179.64583</v>
      </c>
      <c r="B1755" s="1">
        <f>IFERROR(__xludf.DUMMYFUNCTION("""COMPUTED_VALUE"""),155400.0)</f>
        <v>155400</v>
      </c>
      <c r="C1755" s="1">
        <f>IFERROR(__xludf.DUMMYFUNCTION("""COMPUTED_VALUE"""),159200.0)</f>
        <v>159200</v>
      </c>
      <c r="D1755" s="1">
        <f>IFERROR(__xludf.DUMMYFUNCTION("""COMPUTED_VALUE"""),154800.0)</f>
        <v>154800</v>
      </c>
      <c r="E1755" s="1">
        <f>IFERROR(__xludf.DUMMYFUNCTION("""COMPUTED_VALUE"""),159000.0)</f>
        <v>159000</v>
      </c>
      <c r="F1755" s="1">
        <f>IFERROR(__xludf.DUMMYFUNCTION("""COMPUTED_VALUE"""),88391.0)</f>
        <v>88391</v>
      </c>
    </row>
    <row r="1756">
      <c r="A1756" s="2">
        <f>IFERROR(__xludf.DUMMYFUNCTION("""COMPUTED_VALUE"""),43180.64583333333)</f>
        <v>43180.64583</v>
      </c>
      <c r="B1756" s="1">
        <f>IFERROR(__xludf.DUMMYFUNCTION("""COMPUTED_VALUE"""),159000.0)</f>
        <v>159000</v>
      </c>
      <c r="C1756" s="1">
        <f>IFERROR(__xludf.DUMMYFUNCTION("""COMPUTED_VALUE"""),159600.0)</f>
        <v>159600</v>
      </c>
      <c r="D1756" s="1">
        <f>IFERROR(__xludf.DUMMYFUNCTION("""COMPUTED_VALUE"""),158400.0)</f>
        <v>158400</v>
      </c>
      <c r="E1756" s="1">
        <f>IFERROR(__xludf.DUMMYFUNCTION("""COMPUTED_VALUE"""),158800.0)</f>
        <v>158800</v>
      </c>
      <c r="F1756" s="1">
        <f>IFERROR(__xludf.DUMMYFUNCTION("""COMPUTED_VALUE"""),84913.0)</f>
        <v>84913</v>
      </c>
    </row>
    <row r="1757">
      <c r="A1757" s="2">
        <f>IFERROR(__xludf.DUMMYFUNCTION("""COMPUTED_VALUE"""),43181.64583333333)</f>
        <v>43181.64583</v>
      </c>
      <c r="B1757" s="1">
        <f>IFERROR(__xludf.DUMMYFUNCTION("""COMPUTED_VALUE"""),159800.0)</f>
        <v>159800</v>
      </c>
      <c r="C1757" s="1">
        <f>IFERROR(__xludf.DUMMYFUNCTION("""COMPUTED_VALUE"""),161000.0)</f>
        <v>161000</v>
      </c>
      <c r="D1757" s="1">
        <f>IFERROR(__xludf.DUMMYFUNCTION("""COMPUTED_VALUE"""),159600.0)</f>
        <v>159600</v>
      </c>
      <c r="E1757" s="1">
        <f>IFERROR(__xludf.DUMMYFUNCTION("""COMPUTED_VALUE"""),160600.0)</f>
        <v>160600</v>
      </c>
      <c r="F1757" s="1">
        <f>IFERROR(__xludf.DUMMYFUNCTION("""COMPUTED_VALUE"""),67346.0)</f>
        <v>67346</v>
      </c>
    </row>
    <row r="1758">
      <c r="A1758" s="2">
        <f>IFERROR(__xludf.DUMMYFUNCTION("""COMPUTED_VALUE"""),43182.64583333333)</f>
        <v>43182.64583</v>
      </c>
      <c r="B1758" s="1">
        <f>IFERROR(__xludf.DUMMYFUNCTION("""COMPUTED_VALUE"""),157600.0)</f>
        <v>157600</v>
      </c>
      <c r="C1758" s="1">
        <f>IFERROR(__xludf.DUMMYFUNCTION("""COMPUTED_VALUE"""),158400.0)</f>
        <v>158400</v>
      </c>
      <c r="D1758" s="1">
        <f>IFERROR(__xludf.DUMMYFUNCTION("""COMPUTED_VALUE"""),156000.0)</f>
        <v>156000</v>
      </c>
      <c r="E1758" s="1">
        <f>IFERROR(__xludf.DUMMYFUNCTION("""COMPUTED_VALUE"""),156600.0)</f>
        <v>156600</v>
      </c>
      <c r="F1758" s="1">
        <f>IFERROR(__xludf.DUMMYFUNCTION("""COMPUTED_VALUE"""),97868.0)</f>
        <v>97868</v>
      </c>
    </row>
    <row r="1759">
      <c r="A1759" s="2">
        <f>IFERROR(__xludf.DUMMYFUNCTION("""COMPUTED_VALUE"""),43185.64583333333)</f>
        <v>43185.64583</v>
      </c>
      <c r="B1759" s="1">
        <f>IFERROR(__xludf.DUMMYFUNCTION("""COMPUTED_VALUE"""),155600.0)</f>
        <v>155600</v>
      </c>
      <c r="C1759" s="1">
        <f>IFERROR(__xludf.DUMMYFUNCTION("""COMPUTED_VALUE"""),158000.0)</f>
        <v>158000</v>
      </c>
      <c r="D1759" s="1">
        <f>IFERROR(__xludf.DUMMYFUNCTION("""COMPUTED_VALUE"""),155400.0)</f>
        <v>155400</v>
      </c>
      <c r="E1759" s="1">
        <f>IFERROR(__xludf.DUMMYFUNCTION("""COMPUTED_VALUE"""),157800.0)</f>
        <v>157800</v>
      </c>
      <c r="F1759" s="1">
        <f>IFERROR(__xludf.DUMMYFUNCTION("""COMPUTED_VALUE"""),55239.0)</f>
        <v>55239</v>
      </c>
    </row>
    <row r="1760">
      <c r="A1760" s="2">
        <f>IFERROR(__xludf.DUMMYFUNCTION("""COMPUTED_VALUE"""),43186.64583333333)</f>
        <v>43186.64583</v>
      </c>
      <c r="B1760" s="1">
        <f>IFERROR(__xludf.DUMMYFUNCTION("""COMPUTED_VALUE"""),160000.0)</f>
        <v>160000</v>
      </c>
      <c r="C1760" s="1">
        <f>IFERROR(__xludf.DUMMYFUNCTION("""COMPUTED_VALUE"""),160000.0)</f>
        <v>160000</v>
      </c>
      <c r="D1760" s="1">
        <f>IFERROR(__xludf.DUMMYFUNCTION("""COMPUTED_VALUE"""),157200.0)</f>
        <v>157200</v>
      </c>
      <c r="E1760" s="1">
        <f>IFERROR(__xludf.DUMMYFUNCTION("""COMPUTED_VALUE"""),157800.0)</f>
        <v>157800</v>
      </c>
      <c r="F1760" s="1">
        <f>IFERROR(__xludf.DUMMYFUNCTION("""COMPUTED_VALUE"""),56632.0)</f>
        <v>56632</v>
      </c>
    </row>
    <row r="1761">
      <c r="A1761" s="2">
        <f>IFERROR(__xludf.DUMMYFUNCTION("""COMPUTED_VALUE"""),43187.64583333333)</f>
        <v>43187.64583</v>
      </c>
      <c r="B1761" s="1">
        <f>IFERROR(__xludf.DUMMYFUNCTION("""COMPUTED_VALUE"""),157400.0)</f>
        <v>157400</v>
      </c>
      <c r="C1761" s="1">
        <f>IFERROR(__xludf.DUMMYFUNCTION("""COMPUTED_VALUE"""),158600.0)</f>
        <v>158600</v>
      </c>
      <c r="D1761" s="1">
        <f>IFERROR(__xludf.DUMMYFUNCTION("""COMPUTED_VALUE"""),155400.0)</f>
        <v>155400</v>
      </c>
      <c r="E1761" s="1">
        <f>IFERROR(__xludf.DUMMYFUNCTION("""COMPUTED_VALUE"""),156800.0)</f>
        <v>156800</v>
      </c>
      <c r="F1761" s="1">
        <f>IFERROR(__xludf.DUMMYFUNCTION("""COMPUTED_VALUE"""),52460.0)</f>
        <v>52460</v>
      </c>
    </row>
    <row r="1762">
      <c r="A1762" s="2">
        <f>IFERROR(__xludf.DUMMYFUNCTION("""COMPUTED_VALUE"""),43188.64583333333)</f>
        <v>43188.64583</v>
      </c>
      <c r="B1762" s="1">
        <f>IFERROR(__xludf.DUMMYFUNCTION("""COMPUTED_VALUE"""),156800.0)</f>
        <v>156800</v>
      </c>
      <c r="C1762" s="1">
        <f>IFERROR(__xludf.DUMMYFUNCTION("""COMPUTED_VALUE"""),158000.0)</f>
        <v>158000</v>
      </c>
      <c r="D1762" s="1">
        <f>IFERROR(__xludf.DUMMYFUNCTION("""COMPUTED_VALUE"""),155600.0)</f>
        <v>155600</v>
      </c>
      <c r="E1762" s="1">
        <f>IFERROR(__xludf.DUMMYFUNCTION("""COMPUTED_VALUE"""),157200.0)</f>
        <v>157200</v>
      </c>
      <c r="F1762" s="1">
        <f>IFERROR(__xludf.DUMMYFUNCTION("""COMPUTED_VALUE"""),67560.0)</f>
        <v>67560</v>
      </c>
    </row>
    <row r="1763">
      <c r="A1763" s="2">
        <f>IFERROR(__xludf.DUMMYFUNCTION("""COMPUTED_VALUE"""),43189.64583333333)</f>
        <v>43189.64583</v>
      </c>
      <c r="B1763" s="1">
        <f>IFERROR(__xludf.DUMMYFUNCTION("""COMPUTED_VALUE"""),158800.0)</f>
        <v>158800</v>
      </c>
      <c r="C1763" s="1">
        <f>IFERROR(__xludf.DUMMYFUNCTION("""COMPUTED_VALUE"""),159800.0)</f>
        <v>159800</v>
      </c>
      <c r="D1763" s="1">
        <f>IFERROR(__xludf.DUMMYFUNCTION("""COMPUTED_VALUE"""),157200.0)</f>
        <v>157200</v>
      </c>
      <c r="E1763" s="1">
        <f>IFERROR(__xludf.DUMMYFUNCTION("""COMPUTED_VALUE"""),158400.0)</f>
        <v>158400</v>
      </c>
      <c r="F1763" s="1">
        <f>IFERROR(__xludf.DUMMYFUNCTION("""COMPUTED_VALUE"""),57761.0)</f>
        <v>57761</v>
      </c>
    </row>
    <row r="1764">
      <c r="A1764" s="2">
        <f>IFERROR(__xludf.DUMMYFUNCTION("""COMPUTED_VALUE"""),43192.64583333333)</f>
        <v>43192.64583</v>
      </c>
      <c r="B1764" s="1">
        <f>IFERROR(__xludf.DUMMYFUNCTION("""COMPUTED_VALUE"""),156600.0)</f>
        <v>156600</v>
      </c>
      <c r="C1764" s="1">
        <f>IFERROR(__xludf.DUMMYFUNCTION("""COMPUTED_VALUE"""),158400.0)</f>
        <v>158400</v>
      </c>
      <c r="D1764" s="1">
        <f>IFERROR(__xludf.DUMMYFUNCTION("""COMPUTED_VALUE"""),156400.0)</f>
        <v>156400</v>
      </c>
      <c r="E1764" s="1">
        <f>IFERROR(__xludf.DUMMYFUNCTION("""COMPUTED_VALUE"""),157000.0)</f>
        <v>157000</v>
      </c>
      <c r="F1764" s="1">
        <f>IFERROR(__xludf.DUMMYFUNCTION("""COMPUTED_VALUE"""),79620.0)</f>
        <v>79620</v>
      </c>
    </row>
    <row r="1765">
      <c r="A1765" s="2">
        <f>IFERROR(__xludf.DUMMYFUNCTION("""COMPUTED_VALUE"""),43193.64583333333)</f>
        <v>43193.64583</v>
      </c>
      <c r="B1765" s="1">
        <f>IFERROR(__xludf.DUMMYFUNCTION("""COMPUTED_VALUE"""),159600.0)</f>
        <v>159600</v>
      </c>
      <c r="C1765" s="1">
        <f>IFERROR(__xludf.DUMMYFUNCTION("""COMPUTED_VALUE"""),159800.0)</f>
        <v>159800</v>
      </c>
      <c r="D1765" s="1">
        <f>IFERROR(__xludf.DUMMYFUNCTION("""COMPUTED_VALUE"""),156000.0)</f>
        <v>156000</v>
      </c>
      <c r="E1765" s="1">
        <f>IFERROR(__xludf.DUMMYFUNCTION("""COMPUTED_VALUE"""),157000.0)</f>
        <v>157000</v>
      </c>
      <c r="F1765" s="1">
        <f>IFERROR(__xludf.DUMMYFUNCTION("""COMPUTED_VALUE"""),68203.0)</f>
        <v>68203</v>
      </c>
    </row>
    <row r="1766">
      <c r="A1766" s="2">
        <f>IFERROR(__xludf.DUMMYFUNCTION("""COMPUTED_VALUE"""),43194.64583333333)</f>
        <v>43194.64583</v>
      </c>
      <c r="B1766" s="1">
        <f>IFERROR(__xludf.DUMMYFUNCTION("""COMPUTED_VALUE"""),156400.0)</f>
        <v>156400</v>
      </c>
      <c r="C1766" s="1">
        <f>IFERROR(__xludf.DUMMYFUNCTION("""COMPUTED_VALUE"""),157200.0)</f>
        <v>157200</v>
      </c>
      <c r="D1766" s="1">
        <f>IFERROR(__xludf.DUMMYFUNCTION("""COMPUTED_VALUE"""),149400.0)</f>
        <v>149400</v>
      </c>
      <c r="E1766" s="1">
        <f>IFERROR(__xludf.DUMMYFUNCTION("""COMPUTED_VALUE"""),150800.0)</f>
        <v>150800</v>
      </c>
      <c r="F1766" s="1">
        <f>IFERROR(__xludf.DUMMYFUNCTION("""COMPUTED_VALUE"""),165929.0)</f>
        <v>165929</v>
      </c>
    </row>
    <row r="1767">
      <c r="A1767" s="2">
        <f>IFERROR(__xludf.DUMMYFUNCTION("""COMPUTED_VALUE"""),43195.64583333333)</f>
        <v>43195.64583</v>
      </c>
      <c r="B1767" s="1">
        <f>IFERROR(__xludf.DUMMYFUNCTION("""COMPUTED_VALUE"""),152800.0)</f>
        <v>152800</v>
      </c>
      <c r="C1767" s="1">
        <f>IFERROR(__xludf.DUMMYFUNCTION("""COMPUTED_VALUE"""),155800.0)</f>
        <v>155800</v>
      </c>
      <c r="D1767" s="1">
        <f>IFERROR(__xludf.DUMMYFUNCTION("""COMPUTED_VALUE"""),152400.0)</f>
        <v>152400</v>
      </c>
      <c r="E1767" s="1">
        <f>IFERROR(__xludf.DUMMYFUNCTION("""COMPUTED_VALUE"""),155800.0)</f>
        <v>155800</v>
      </c>
      <c r="F1767" s="1">
        <f>IFERROR(__xludf.DUMMYFUNCTION("""COMPUTED_VALUE"""),94462.0)</f>
        <v>94462</v>
      </c>
    </row>
    <row r="1768">
      <c r="A1768" s="2">
        <f>IFERROR(__xludf.DUMMYFUNCTION("""COMPUTED_VALUE"""),43196.64583333333)</f>
        <v>43196.64583</v>
      </c>
      <c r="B1768" s="1">
        <f>IFERROR(__xludf.DUMMYFUNCTION("""COMPUTED_VALUE"""),155200.0)</f>
        <v>155200</v>
      </c>
      <c r="C1768" s="1">
        <f>IFERROR(__xludf.DUMMYFUNCTION("""COMPUTED_VALUE"""),156400.0)</f>
        <v>156400</v>
      </c>
      <c r="D1768" s="1">
        <f>IFERROR(__xludf.DUMMYFUNCTION("""COMPUTED_VALUE"""),153200.0)</f>
        <v>153200</v>
      </c>
      <c r="E1768" s="1">
        <f>IFERROR(__xludf.DUMMYFUNCTION("""COMPUTED_VALUE"""),154000.0)</f>
        <v>154000</v>
      </c>
      <c r="F1768" s="1">
        <f>IFERROR(__xludf.DUMMYFUNCTION("""COMPUTED_VALUE"""),76814.0)</f>
        <v>76814</v>
      </c>
    </row>
    <row r="1769">
      <c r="A1769" s="2">
        <f>IFERROR(__xludf.DUMMYFUNCTION("""COMPUTED_VALUE"""),43199.64583333333)</f>
        <v>43199.64583</v>
      </c>
      <c r="B1769" s="1">
        <f>IFERROR(__xludf.DUMMYFUNCTION("""COMPUTED_VALUE"""),153800.0)</f>
        <v>153800</v>
      </c>
      <c r="C1769" s="1">
        <f>IFERROR(__xludf.DUMMYFUNCTION("""COMPUTED_VALUE"""),154800.0)</f>
        <v>154800</v>
      </c>
      <c r="D1769" s="1">
        <f>IFERROR(__xludf.DUMMYFUNCTION("""COMPUTED_VALUE"""),152800.0)</f>
        <v>152800</v>
      </c>
      <c r="E1769" s="1">
        <f>IFERROR(__xludf.DUMMYFUNCTION("""COMPUTED_VALUE"""),154800.0)</f>
        <v>154800</v>
      </c>
      <c r="F1769" s="1">
        <f>IFERROR(__xludf.DUMMYFUNCTION("""COMPUTED_VALUE"""),58079.0)</f>
        <v>58079</v>
      </c>
    </row>
    <row r="1770">
      <c r="A1770" s="2">
        <f>IFERROR(__xludf.DUMMYFUNCTION("""COMPUTED_VALUE"""),43200.64583333333)</f>
        <v>43200.64583</v>
      </c>
      <c r="B1770" s="1">
        <f>IFERROR(__xludf.DUMMYFUNCTION("""COMPUTED_VALUE"""),154200.0)</f>
        <v>154200</v>
      </c>
      <c r="C1770" s="1">
        <f>IFERROR(__xludf.DUMMYFUNCTION("""COMPUTED_VALUE"""),156600.0)</f>
        <v>156600</v>
      </c>
      <c r="D1770" s="1">
        <f>IFERROR(__xludf.DUMMYFUNCTION("""COMPUTED_VALUE"""),153800.0)</f>
        <v>153800</v>
      </c>
      <c r="E1770" s="1">
        <f>IFERROR(__xludf.DUMMYFUNCTION("""COMPUTED_VALUE"""),155000.0)</f>
        <v>155000</v>
      </c>
      <c r="F1770" s="1">
        <f>IFERROR(__xludf.DUMMYFUNCTION("""COMPUTED_VALUE"""),79128.0)</f>
        <v>79128</v>
      </c>
    </row>
    <row r="1771">
      <c r="A1771" s="2">
        <f>IFERROR(__xludf.DUMMYFUNCTION("""COMPUTED_VALUE"""),43201.64583333333)</f>
        <v>43201.64583</v>
      </c>
      <c r="B1771" s="1">
        <f>IFERROR(__xludf.DUMMYFUNCTION("""COMPUTED_VALUE"""),154400.0)</f>
        <v>154400</v>
      </c>
      <c r="C1771" s="1">
        <f>IFERROR(__xludf.DUMMYFUNCTION("""COMPUTED_VALUE"""),156200.0)</f>
        <v>156200</v>
      </c>
      <c r="D1771" s="1">
        <f>IFERROR(__xludf.DUMMYFUNCTION("""COMPUTED_VALUE"""),153800.0)</f>
        <v>153800</v>
      </c>
      <c r="E1771" s="1">
        <f>IFERROR(__xludf.DUMMYFUNCTION("""COMPUTED_VALUE"""),154200.0)</f>
        <v>154200</v>
      </c>
      <c r="F1771" s="1">
        <f>IFERROR(__xludf.DUMMYFUNCTION("""COMPUTED_VALUE"""),61650.0)</f>
        <v>61650</v>
      </c>
    </row>
    <row r="1772">
      <c r="A1772" s="2">
        <f>IFERROR(__xludf.DUMMYFUNCTION("""COMPUTED_VALUE"""),43202.64583333333)</f>
        <v>43202.64583</v>
      </c>
      <c r="B1772" s="1">
        <f>IFERROR(__xludf.DUMMYFUNCTION("""COMPUTED_VALUE"""),153800.0)</f>
        <v>153800</v>
      </c>
      <c r="C1772" s="1">
        <f>IFERROR(__xludf.DUMMYFUNCTION("""COMPUTED_VALUE"""),154200.0)</f>
        <v>154200</v>
      </c>
      <c r="D1772" s="1">
        <f>IFERROR(__xludf.DUMMYFUNCTION("""COMPUTED_VALUE"""),151000.0)</f>
        <v>151000</v>
      </c>
      <c r="E1772" s="1">
        <f>IFERROR(__xludf.DUMMYFUNCTION("""COMPUTED_VALUE"""),151400.0)</f>
        <v>151400</v>
      </c>
      <c r="F1772" s="1">
        <f>IFERROR(__xludf.DUMMYFUNCTION("""COMPUTED_VALUE"""),111805.0)</f>
        <v>111805</v>
      </c>
    </row>
    <row r="1773">
      <c r="A1773" s="2">
        <f>IFERROR(__xludf.DUMMYFUNCTION("""COMPUTED_VALUE"""),43203.64583333333)</f>
        <v>43203.64583</v>
      </c>
      <c r="B1773" s="1">
        <f>IFERROR(__xludf.DUMMYFUNCTION("""COMPUTED_VALUE"""),151600.0)</f>
        <v>151600</v>
      </c>
      <c r="C1773" s="1">
        <f>IFERROR(__xludf.DUMMYFUNCTION("""COMPUTED_VALUE"""),153200.0)</f>
        <v>153200</v>
      </c>
      <c r="D1773" s="1">
        <f>IFERROR(__xludf.DUMMYFUNCTION("""COMPUTED_VALUE"""),150600.0)</f>
        <v>150600</v>
      </c>
      <c r="E1773" s="1">
        <f>IFERROR(__xludf.DUMMYFUNCTION("""COMPUTED_VALUE"""),152800.0)</f>
        <v>152800</v>
      </c>
      <c r="F1773" s="1">
        <f>IFERROR(__xludf.DUMMYFUNCTION("""COMPUTED_VALUE"""),68271.0)</f>
        <v>68271</v>
      </c>
    </row>
    <row r="1774">
      <c r="A1774" s="2">
        <f>IFERROR(__xludf.DUMMYFUNCTION("""COMPUTED_VALUE"""),43206.64583333333)</f>
        <v>43206.64583</v>
      </c>
      <c r="B1774" s="1">
        <f>IFERROR(__xludf.DUMMYFUNCTION("""COMPUTED_VALUE"""),153000.0)</f>
        <v>153000</v>
      </c>
      <c r="C1774" s="1">
        <f>IFERROR(__xludf.DUMMYFUNCTION("""COMPUTED_VALUE"""),153000.0)</f>
        <v>153000</v>
      </c>
      <c r="D1774" s="1">
        <f>IFERROR(__xludf.DUMMYFUNCTION("""COMPUTED_VALUE"""),150000.0)</f>
        <v>150000</v>
      </c>
      <c r="E1774" s="1">
        <f>IFERROR(__xludf.DUMMYFUNCTION("""COMPUTED_VALUE"""),150200.0)</f>
        <v>150200</v>
      </c>
      <c r="F1774" s="1">
        <f>IFERROR(__xludf.DUMMYFUNCTION("""COMPUTED_VALUE"""),78420.0)</f>
        <v>78420</v>
      </c>
    </row>
    <row r="1775">
      <c r="A1775" s="2">
        <f>IFERROR(__xludf.DUMMYFUNCTION("""COMPUTED_VALUE"""),43207.64583333333)</f>
        <v>43207.64583</v>
      </c>
      <c r="B1775" s="1">
        <f>IFERROR(__xludf.DUMMYFUNCTION("""COMPUTED_VALUE"""),150800.0)</f>
        <v>150800</v>
      </c>
      <c r="C1775" s="1">
        <f>IFERROR(__xludf.DUMMYFUNCTION("""COMPUTED_VALUE"""),151600.0)</f>
        <v>151600</v>
      </c>
      <c r="D1775" s="1">
        <f>IFERROR(__xludf.DUMMYFUNCTION("""COMPUTED_VALUE"""),149000.0)</f>
        <v>149000</v>
      </c>
      <c r="E1775" s="1">
        <f>IFERROR(__xludf.DUMMYFUNCTION("""COMPUTED_VALUE"""),149600.0)</f>
        <v>149600</v>
      </c>
      <c r="F1775" s="1">
        <f>IFERROR(__xludf.DUMMYFUNCTION("""COMPUTED_VALUE"""),88425.0)</f>
        <v>88425</v>
      </c>
    </row>
    <row r="1776">
      <c r="A1776" s="2">
        <f>IFERROR(__xludf.DUMMYFUNCTION("""COMPUTED_VALUE"""),43208.64583333333)</f>
        <v>43208.64583</v>
      </c>
      <c r="B1776" s="1">
        <f>IFERROR(__xludf.DUMMYFUNCTION("""COMPUTED_VALUE"""),150200.0)</f>
        <v>150200</v>
      </c>
      <c r="C1776" s="1">
        <f>IFERROR(__xludf.DUMMYFUNCTION("""COMPUTED_VALUE"""),151600.0)</f>
        <v>151600</v>
      </c>
      <c r="D1776" s="1">
        <f>IFERROR(__xludf.DUMMYFUNCTION("""COMPUTED_VALUE"""),150000.0)</f>
        <v>150000</v>
      </c>
      <c r="E1776" s="1">
        <f>IFERROR(__xludf.DUMMYFUNCTION("""COMPUTED_VALUE"""),150400.0)</f>
        <v>150400</v>
      </c>
      <c r="F1776" s="1">
        <f>IFERROR(__xludf.DUMMYFUNCTION("""COMPUTED_VALUE"""),83269.0)</f>
        <v>83269</v>
      </c>
    </row>
    <row r="1777">
      <c r="A1777" s="2">
        <f>IFERROR(__xludf.DUMMYFUNCTION("""COMPUTED_VALUE"""),43209.64583333333)</f>
        <v>43209.64583</v>
      </c>
      <c r="B1777" s="1">
        <f>IFERROR(__xludf.DUMMYFUNCTION("""COMPUTED_VALUE"""),148400.0)</f>
        <v>148400</v>
      </c>
      <c r="C1777" s="1">
        <f>IFERROR(__xludf.DUMMYFUNCTION("""COMPUTED_VALUE"""),149600.0)</f>
        <v>149600</v>
      </c>
      <c r="D1777" s="1">
        <f>IFERROR(__xludf.DUMMYFUNCTION("""COMPUTED_VALUE"""),146800.0)</f>
        <v>146800</v>
      </c>
      <c r="E1777" s="1">
        <f>IFERROR(__xludf.DUMMYFUNCTION("""COMPUTED_VALUE"""),147600.0)</f>
        <v>147600</v>
      </c>
      <c r="F1777" s="1">
        <f>IFERROR(__xludf.DUMMYFUNCTION("""COMPUTED_VALUE"""),124519.0)</f>
        <v>124519</v>
      </c>
    </row>
    <row r="1778">
      <c r="A1778" s="2">
        <f>IFERROR(__xludf.DUMMYFUNCTION("""COMPUTED_VALUE"""),43210.64583333333)</f>
        <v>43210.64583</v>
      </c>
      <c r="B1778" s="1">
        <f>IFERROR(__xludf.DUMMYFUNCTION("""COMPUTED_VALUE"""),147600.0)</f>
        <v>147600</v>
      </c>
      <c r="C1778" s="1">
        <f>IFERROR(__xludf.DUMMYFUNCTION("""COMPUTED_VALUE"""),149000.0)</f>
        <v>149000</v>
      </c>
      <c r="D1778" s="1">
        <f>IFERROR(__xludf.DUMMYFUNCTION("""COMPUTED_VALUE"""),145200.0)</f>
        <v>145200</v>
      </c>
      <c r="E1778" s="1">
        <f>IFERROR(__xludf.DUMMYFUNCTION("""COMPUTED_VALUE"""),145600.0)</f>
        <v>145600</v>
      </c>
      <c r="F1778" s="1">
        <f>IFERROR(__xludf.DUMMYFUNCTION("""COMPUTED_VALUE"""),95897.0)</f>
        <v>95897</v>
      </c>
    </row>
    <row r="1779">
      <c r="A1779" s="2">
        <f>IFERROR(__xludf.DUMMYFUNCTION("""COMPUTED_VALUE"""),43213.64583333333)</f>
        <v>43213.64583</v>
      </c>
      <c r="B1779" s="1">
        <f>IFERROR(__xludf.DUMMYFUNCTION("""COMPUTED_VALUE"""),145400.0)</f>
        <v>145400</v>
      </c>
      <c r="C1779" s="1">
        <f>IFERROR(__xludf.DUMMYFUNCTION("""COMPUTED_VALUE"""),147600.0)</f>
        <v>147600</v>
      </c>
      <c r="D1779" s="1">
        <f>IFERROR(__xludf.DUMMYFUNCTION("""COMPUTED_VALUE"""),145400.0)</f>
        <v>145400</v>
      </c>
      <c r="E1779" s="1">
        <f>IFERROR(__xludf.DUMMYFUNCTION("""COMPUTED_VALUE"""),147000.0)</f>
        <v>147000</v>
      </c>
      <c r="F1779" s="1">
        <f>IFERROR(__xludf.DUMMYFUNCTION("""COMPUTED_VALUE"""),62432.0)</f>
        <v>62432</v>
      </c>
    </row>
    <row r="1780">
      <c r="A1780" s="2">
        <f>IFERROR(__xludf.DUMMYFUNCTION("""COMPUTED_VALUE"""),43214.64583333333)</f>
        <v>43214.64583</v>
      </c>
      <c r="B1780" s="1">
        <f>IFERROR(__xludf.DUMMYFUNCTION("""COMPUTED_VALUE"""),147000.0)</f>
        <v>147000</v>
      </c>
      <c r="C1780" s="1">
        <f>IFERROR(__xludf.DUMMYFUNCTION("""COMPUTED_VALUE"""),147000.0)</f>
        <v>147000</v>
      </c>
      <c r="D1780" s="1">
        <f>IFERROR(__xludf.DUMMYFUNCTION("""COMPUTED_VALUE"""),144400.0)</f>
        <v>144400</v>
      </c>
      <c r="E1780" s="1">
        <f>IFERROR(__xludf.DUMMYFUNCTION("""COMPUTED_VALUE"""),145000.0)</f>
        <v>145000</v>
      </c>
      <c r="F1780" s="1">
        <f>IFERROR(__xludf.DUMMYFUNCTION("""COMPUTED_VALUE"""),99598.0)</f>
        <v>99598</v>
      </c>
    </row>
    <row r="1781">
      <c r="A1781" s="2">
        <f>IFERROR(__xludf.DUMMYFUNCTION("""COMPUTED_VALUE"""),43215.64583333333)</f>
        <v>43215.64583</v>
      </c>
      <c r="B1781" s="1">
        <f>IFERROR(__xludf.DUMMYFUNCTION("""COMPUTED_VALUE"""),145200.0)</f>
        <v>145200</v>
      </c>
      <c r="C1781" s="1">
        <f>IFERROR(__xludf.DUMMYFUNCTION("""COMPUTED_VALUE"""),150200.0)</f>
        <v>150200</v>
      </c>
      <c r="D1781" s="1">
        <f>IFERROR(__xludf.DUMMYFUNCTION("""COMPUTED_VALUE"""),144800.0)</f>
        <v>144800</v>
      </c>
      <c r="E1781" s="1">
        <f>IFERROR(__xludf.DUMMYFUNCTION("""COMPUTED_VALUE"""),148600.0)</f>
        <v>148600</v>
      </c>
      <c r="F1781" s="1">
        <f>IFERROR(__xludf.DUMMYFUNCTION("""COMPUTED_VALUE"""),123783.0)</f>
        <v>123783</v>
      </c>
    </row>
    <row r="1782">
      <c r="A1782" s="2">
        <f>IFERROR(__xludf.DUMMYFUNCTION("""COMPUTED_VALUE"""),43216.64583333333)</f>
        <v>43216.64583</v>
      </c>
      <c r="B1782" s="1">
        <f>IFERROR(__xludf.DUMMYFUNCTION("""COMPUTED_VALUE"""),146400.0)</f>
        <v>146400</v>
      </c>
      <c r="C1782" s="1">
        <f>IFERROR(__xludf.DUMMYFUNCTION("""COMPUTED_VALUE"""),149200.0)</f>
        <v>149200</v>
      </c>
      <c r="D1782" s="1">
        <f>IFERROR(__xludf.DUMMYFUNCTION("""COMPUTED_VALUE"""),145000.0)</f>
        <v>145000</v>
      </c>
      <c r="E1782" s="1">
        <f>IFERROR(__xludf.DUMMYFUNCTION("""COMPUTED_VALUE"""),145000.0)</f>
        <v>145000</v>
      </c>
      <c r="F1782" s="1">
        <f>IFERROR(__xludf.DUMMYFUNCTION("""COMPUTED_VALUE"""),214225.0)</f>
        <v>214225</v>
      </c>
    </row>
    <row r="1783">
      <c r="A1783" s="2">
        <f>IFERROR(__xludf.DUMMYFUNCTION("""COMPUTED_VALUE"""),43217.64583333333)</f>
        <v>43217.64583</v>
      </c>
      <c r="B1783" s="1">
        <f>IFERROR(__xludf.DUMMYFUNCTION("""COMPUTED_VALUE"""),145000.0)</f>
        <v>145000</v>
      </c>
      <c r="C1783" s="1">
        <f>IFERROR(__xludf.DUMMYFUNCTION("""COMPUTED_VALUE"""),145400.0)</f>
        <v>145400</v>
      </c>
      <c r="D1783" s="1">
        <f>IFERROR(__xludf.DUMMYFUNCTION("""COMPUTED_VALUE"""),142400.0)</f>
        <v>142400</v>
      </c>
      <c r="E1783" s="1">
        <f>IFERROR(__xludf.DUMMYFUNCTION("""COMPUTED_VALUE"""),143200.0)</f>
        <v>143200</v>
      </c>
      <c r="F1783" s="1">
        <f>IFERROR(__xludf.DUMMYFUNCTION("""COMPUTED_VALUE"""),209837.0)</f>
        <v>209837</v>
      </c>
    </row>
    <row r="1784">
      <c r="A1784" s="2">
        <f>IFERROR(__xludf.DUMMYFUNCTION("""COMPUTED_VALUE"""),43220.64583333333)</f>
        <v>43220.64583</v>
      </c>
      <c r="B1784" s="1">
        <f>IFERROR(__xludf.DUMMYFUNCTION("""COMPUTED_VALUE"""),144200.0)</f>
        <v>144200</v>
      </c>
      <c r="C1784" s="1">
        <f>IFERROR(__xludf.DUMMYFUNCTION("""COMPUTED_VALUE"""),144200.0)</f>
        <v>144200</v>
      </c>
      <c r="D1784" s="1">
        <f>IFERROR(__xludf.DUMMYFUNCTION("""COMPUTED_VALUE"""),142400.0)</f>
        <v>142400</v>
      </c>
      <c r="E1784" s="1">
        <f>IFERROR(__xludf.DUMMYFUNCTION("""COMPUTED_VALUE"""),143200.0)</f>
        <v>143200</v>
      </c>
      <c r="F1784" s="1">
        <f>IFERROR(__xludf.DUMMYFUNCTION("""COMPUTED_VALUE"""),79731.0)</f>
        <v>79731</v>
      </c>
    </row>
    <row r="1785">
      <c r="A1785" s="2">
        <f>IFERROR(__xludf.DUMMYFUNCTION("""COMPUTED_VALUE"""),43222.64583333333)</f>
        <v>43222.64583</v>
      </c>
      <c r="B1785" s="1">
        <f>IFERROR(__xludf.DUMMYFUNCTION("""COMPUTED_VALUE"""),145200.0)</f>
        <v>145200</v>
      </c>
      <c r="C1785" s="1">
        <f>IFERROR(__xludf.DUMMYFUNCTION("""COMPUTED_VALUE"""),147800.0)</f>
        <v>147800</v>
      </c>
      <c r="D1785" s="1">
        <f>IFERROR(__xludf.DUMMYFUNCTION("""COMPUTED_VALUE"""),144800.0)</f>
        <v>144800</v>
      </c>
      <c r="E1785" s="1">
        <f>IFERROR(__xludf.DUMMYFUNCTION("""COMPUTED_VALUE"""),147600.0)</f>
        <v>147600</v>
      </c>
      <c r="F1785" s="1">
        <f>IFERROR(__xludf.DUMMYFUNCTION("""COMPUTED_VALUE"""),101865.0)</f>
        <v>101865</v>
      </c>
    </row>
    <row r="1786">
      <c r="A1786" s="2">
        <f>IFERROR(__xludf.DUMMYFUNCTION("""COMPUTED_VALUE"""),43223.64583333333)</f>
        <v>43223.64583</v>
      </c>
      <c r="B1786" s="1">
        <f>IFERROR(__xludf.DUMMYFUNCTION("""COMPUTED_VALUE"""),147800.0)</f>
        <v>147800</v>
      </c>
      <c r="C1786" s="1">
        <f>IFERROR(__xludf.DUMMYFUNCTION("""COMPUTED_VALUE"""),149000.0)</f>
        <v>149000</v>
      </c>
      <c r="D1786" s="1">
        <f>IFERROR(__xludf.DUMMYFUNCTION("""COMPUTED_VALUE"""),145200.0)</f>
        <v>145200</v>
      </c>
      <c r="E1786" s="1">
        <f>IFERROR(__xludf.DUMMYFUNCTION("""COMPUTED_VALUE"""),145400.0)</f>
        <v>145400</v>
      </c>
      <c r="F1786" s="1">
        <f>IFERROR(__xludf.DUMMYFUNCTION("""COMPUTED_VALUE"""),63328.0)</f>
        <v>63328</v>
      </c>
    </row>
    <row r="1787">
      <c r="A1787" s="2">
        <f>IFERROR(__xludf.DUMMYFUNCTION("""COMPUTED_VALUE"""),43224.64583333333)</f>
        <v>43224.64583</v>
      </c>
      <c r="B1787" s="1">
        <f>IFERROR(__xludf.DUMMYFUNCTION("""COMPUTED_VALUE"""),145000.0)</f>
        <v>145000</v>
      </c>
      <c r="C1787" s="1">
        <f>IFERROR(__xludf.DUMMYFUNCTION("""COMPUTED_VALUE"""),147000.0)</f>
        <v>147000</v>
      </c>
      <c r="D1787" s="1">
        <f>IFERROR(__xludf.DUMMYFUNCTION("""COMPUTED_VALUE"""),143400.0)</f>
        <v>143400</v>
      </c>
      <c r="E1787" s="1">
        <f>IFERROR(__xludf.DUMMYFUNCTION("""COMPUTED_VALUE"""),143400.0)</f>
        <v>143400</v>
      </c>
      <c r="F1787" s="1">
        <f>IFERROR(__xludf.DUMMYFUNCTION("""COMPUTED_VALUE"""),102357.0)</f>
        <v>102357</v>
      </c>
    </row>
    <row r="1788">
      <c r="A1788" s="2">
        <f>IFERROR(__xludf.DUMMYFUNCTION("""COMPUTED_VALUE"""),43228.64583333333)</f>
        <v>43228.64583</v>
      </c>
      <c r="B1788" s="1">
        <f>IFERROR(__xludf.DUMMYFUNCTION("""COMPUTED_VALUE"""),145400.0)</f>
        <v>145400</v>
      </c>
      <c r="C1788" s="1">
        <f>IFERROR(__xludf.DUMMYFUNCTION("""COMPUTED_VALUE"""),147600.0)</f>
        <v>147600</v>
      </c>
      <c r="D1788" s="1">
        <f>IFERROR(__xludf.DUMMYFUNCTION("""COMPUTED_VALUE"""),144200.0)</f>
        <v>144200</v>
      </c>
      <c r="E1788" s="1">
        <f>IFERROR(__xludf.DUMMYFUNCTION("""COMPUTED_VALUE"""),146200.0)</f>
        <v>146200</v>
      </c>
      <c r="F1788" s="1">
        <f>IFERROR(__xludf.DUMMYFUNCTION("""COMPUTED_VALUE"""),97455.0)</f>
        <v>97455</v>
      </c>
    </row>
    <row r="1789">
      <c r="A1789" s="2">
        <f>IFERROR(__xludf.DUMMYFUNCTION("""COMPUTED_VALUE"""),43229.64583333333)</f>
        <v>43229.64583</v>
      </c>
      <c r="B1789" s="1">
        <f>IFERROR(__xludf.DUMMYFUNCTION("""COMPUTED_VALUE"""),146000.0)</f>
        <v>146000</v>
      </c>
      <c r="C1789" s="1">
        <f>IFERROR(__xludf.DUMMYFUNCTION("""COMPUTED_VALUE"""),148000.0)</f>
        <v>148000</v>
      </c>
      <c r="D1789" s="1">
        <f>IFERROR(__xludf.DUMMYFUNCTION("""COMPUTED_VALUE"""),144600.0)</f>
        <v>144600</v>
      </c>
      <c r="E1789" s="1">
        <f>IFERROR(__xludf.DUMMYFUNCTION("""COMPUTED_VALUE"""),145400.0)</f>
        <v>145400</v>
      </c>
      <c r="F1789" s="1">
        <f>IFERROR(__xludf.DUMMYFUNCTION("""COMPUTED_VALUE"""),95131.0)</f>
        <v>95131</v>
      </c>
    </row>
    <row r="1790">
      <c r="A1790" s="2">
        <f>IFERROR(__xludf.DUMMYFUNCTION("""COMPUTED_VALUE"""),43230.64583333333)</f>
        <v>43230.64583</v>
      </c>
      <c r="B1790" s="1">
        <f>IFERROR(__xludf.DUMMYFUNCTION("""COMPUTED_VALUE"""),146000.0)</f>
        <v>146000</v>
      </c>
      <c r="C1790" s="1">
        <f>IFERROR(__xludf.DUMMYFUNCTION("""COMPUTED_VALUE"""),147000.0)</f>
        <v>147000</v>
      </c>
      <c r="D1790" s="1">
        <f>IFERROR(__xludf.DUMMYFUNCTION("""COMPUTED_VALUE"""),143600.0)</f>
        <v>143600</v>
      </c>
      <c r="E1790" s="1">
        <f>IFERROR(__xludf.DUMMYFUNCTION("""COMPUTED_VALUE"""),144000.0)</f>
        <v>144000</v>
      </c>
      <c r="F1790" s="1">
        <f>IFERROR(__xludf.DUMMYFUNCTION("""COMPUTED_VALUE"""),83361.0)</f>
        <v>83361</v>
      </c>
    </row>
    <row r="1791">
      <c r="A1791" s="2">
        <f>IFERROR(__xludf.DUMMYFUNCTION("""COMPUTED_VALUE"""),43231.64583333333)</f>
        <v>43231.64583</v>
      </c>
      <c r="B1791" s="1">
        <f>IFERROR(__xludf.DUMMYFUNCTION("""COMPUTED_VALUE"""),144200.0)</f>
        <v>144200</v>
      </c>
      <c r="C1791" s="1">
        <f>IFERROR(__xludf.DUMMYFUNCTION("""COMPUTED_VALUE"""),145800.0)</f>
        <v>145800</v>
      </c>
      <c r="D1791" s="1">
        <f>IFERROR(__xludf.DUMMYFUNCTION("""COMPUTED_VALUE"""),142800.0)</f>
        <v>142800</v>
      </c>
      <c r="E1791" s="1">
        <f>IFERROR(__xludf.DUMMYFUNCTION("""COMPUTED_VALUE"""),143400.0)</f>
        <v>143400</v>
      </c>
      <c r="F1791" s="1">
        <f>IFERROR(__xludf.DUMMYFUNCTION("""COMPUTED_VALUE"""),109545.0)</f>
        <v>109545</v>
      </c>
    </row>
    <row r="1792">
      <c r="A1792" s="2">
        <f>IFERROR(__xludf.DUMMYFUNCTION("""COMPUTED_VALUE"""),43234.64583333333)</f>
        <v>43234.64583</v>
      </c>
      <c r="B1792" s="1">
        <f>IFERROR(__xludf.DUMMYFUNCTION("""COMPUTED_VALUE"""),144000.0)</f>
        <v>144000</v>
      </c>
      <c r="C1792" s="1">
        <f>IFERROR(__xludf.DUMMYFUNCTION("""COMPUTED_VALUE"""),144400.0)</f>
        <v>144400</v>
      </c>
      <c r="D1792" s="1">
        <f>IFERROR(__xludf.DUMMYFUNCTION("""COMPUTED_VALUE"""),142800.0)</f>
        <v>142800</v>
      </c>
      <c r="E1792" s="1">
        <f>IFERROR(__xludf.DUMMYFUNCTION("""COMPUTED_VALUE"""),143400.0)</f>
        <v>143400</v>
      </c>
      <c r="F1792" s="1">
        <f>IFERROR(__xludf.DUMMYFUNCTION("""COMPUTED_VALUE"""),57749.0)</f>
        <v>57749</v>
      </c>
    </row>
    <row r="1793">
      <c r="A1793" s="2">
        <f>IFERROR(__xludf.DUMMYFUNCTION("""COMPUTED_VALUE"""),43235.64583333333)</f>
        <v>43235.64583</v>
      </c>
      <c r="B1793" s="1">
        <f>IFERROR(__xludf.DUMMYFUNCTION("""COMPUTED_VALUE"""),142800.0)</f>
        <v>142800</v>
      </c>
      <c r="C1793" s="1">
        <f>IFERROR(__xludf.DUMMYFUNCTION("""COMPUTED_VALUE"""),143600.0)</f>
        <v>143600</v>
      </c>
      <c r="D1793" s="1">
        <f>IFERROR(__xludf.DUMMYFUNCTION("""COMPUTED_VALUE"""),142200.0)</f>
        <v>142200</v>
      </c>
      <c r="E1793" s="1">
        <f>IFERROR(__xludf.DUMMYFUNCTION("""COMPUTED_VALUE"""),142200.0)</f>
        <v>142200</v>
      </c>
      <c r="F1793" s="1">
        <f>IFERROR(__xludf.DUMMYFUNCTION("""COMPUTED_VALUE"""),79945.0)</f>
        <v>79945</v>
      </c>
    </row>
    <row r="1794">
      <c r="A1794" s="2">
        <f>IFERROR(__xludf.DUMMYFUNCTION("""COMPUTED_VALUE"""),43236.64583333333)</f>
        <v>43236.64583</v>
      </c>
      <c r="B1794" s="1">
        <f>IFERROR(__xludf.DUMMYFUNCTION("""COMPUTED_VALUE"""),142400.0)</f>
        <v>142400</v>
      </c>
      <c r="C1794" s="1">
        <f>IFERROR(__xludf.DUMMYFUNCTION("""COMPUTED_VALUE"""),143000.0)</f>
        <v>143000</v>
      </c>
      <c r="D1794" s="1">
        <f>IFERROR(__xludf.DUMMYFUNCTION("""COMPUTED_VALUE"""),139600.0)</f>
        <v>139600</v>
      </c>
      <c r="E1794" s="1">
        <f>IFERROR(__xludf.DUMMYFUNCTION("""COMPUTED_VALUE"""),140000.0)</f>
        <v>140000</v>
      </c>
      <c r="F1794" s="1">
        <f>IFERROR(__xludf.DUMMYFUNCTION("""COMPUTED_VALUE"""),124013.0)</f>
        <v>124013</v>
      </c>
    </row>
    <row r="1795">
      <c r="A1795" s="2">
        <f>IFERROR(__xludf.DUMMYFUNCTION("""COMPUTED_VALUE"""),43237.64583333333)</f>
        <v>43237.64583</v>
      </c>
      <c r="B1795" s="1">
        <f>IFERROR(__xludf.DUMMYFUNCTION("""COMPUTED_VALUE"""),140000.0)</f>
        <v>140000</v>
      </c>
      <c r="C1795" s="1">
        <f>IFERROR(__xludf.DUMMYFUNCTION("""COMPUTED_VALUE"""),140600.0)</f>
        <v>140600</v>
      </c>
      <c r="D1795" s="1">
        <f>IFERROR(__xludf.DUMMYFUNCTION("""COMPUTED_VALUE"""),139400.0)</f>
        <v>139400</v>
      </c>
      <c r="E1795" s="1">
        <f>IFERROR(__xludf.DUMMYFUNCTION("""COMPUTED_VALUE"""),139400.0)</f>
        <v>139400</v>
      </c>
      <c r="F1795" s="1">
        <f>IFERROR(__xludf.DUMMYFUNCTION("""COMPUTED_VALUE"""),92363.0)</f>
        <v>92363</v>
      </c>
    </row>
    <row r="1796">
      <c r="A1796" s="2">
        <f>IFERROR(__xludf.DUMMYFUNCTION("""COMPUTED_VALUE"""),43238.64583333333)</f>
        <v>43238.64583</v>
      </c>
      <c r="B1796" s="1">
        <f>IFERROR(__xludf.DUMMYFUNCTION("""COMPUTED_VALUE"""),139400.0)</f>
        <v>139400</v>
      </c>
      <c r="C1796" s="1">
        <f>IFERROR(__xludf.DUMMYFUNCTION("""COMPUTED_VALUE"""),140000.0)</f>
        <v>140000</v>
      </c>
      <c r="D1796" s="1">
        <f>IFERROR(__xludf.DUMMYFUNCTION("""COMPUTED_VALUE"""),136800.0)</f>
        <v>136800</v>
      </c>
      <c r="E1796" s="1">
        <f>IFERROR(__xludf.DUMMYFUNCTION("""COMPUTED_VALUE"""),137600.0)</f>
        <v>137600</v>
      </c>
      <c r="F1796" s="1">
        <f>IFERROR(__xludf.DUMMYFUNCTION("""COMPUTED_VALUE"""),113041.0)</f>
        <v>113041</v>
      </c>
    </row>
    <row r="1797">
      <c r="A1797" s="2">
        <f>IFERROR(__xludf.DUMMYFUNCTION("""COMPUTED_VALUE"""),43241.64583333333)</f>
        <v>43241.64583</v>
      </c>
      <c r="B1797" s="1">
        <f>IFERROR(__xludf.DUMMYFUNCTION("""COMPUTED_VALUE"""),137200.0)</f>
        <v>137200</v>
      </c>
      <c r="C1797" s="1">
        <f>IFERROR(__xludf.DUMMYFUNCTION("""COMPUTED_VALUE"""),138000.0)</f>
        <v>138000</v>
      </c>
      <c r="D1797" s="1">
        <f>IFERROR(__xludf.DUMMYFUNCTION("""COMPUTED_VALUE"""),135200.0)</f>
        <v>135200</v>
      </c>
      <c r="E1797" s="1">
        <f>IFERROR(__xludf.DUMMYFUNCTION("""COMPUTED_VALUE"""),136400.0)</f>
        <v>136400</v>
      </c>
      <c r="F1797" s="1">
        <f>IFERROR(__xludf.DUMMYFUNCTION("""COMPUTED_VALUE"""),101118.0)</f>
        <v>101118</v>
      </c>
    </row>
    <row r="1798">
      <c r="A1798" s="2">
        <f>IFERROR(__xludf.DUMMYFUNCTION("""COMPUTED_VALUE"""),43243.64583333333)</f>
        <v>43243.64583</v>
      </c>
      <c r="B1798" s="1">
        <f>IFERROR(__xludf.DUMMYFUNCTION("""COMPUTED_VALUE"""),136000.0)</f>
        <v>136000</v>
      </c>
      <c r="C1798" s="1">
        <f>IFERROR(__xludf.DUMMYFUNCTION("""COMPUTED_VALUE"""),137600.0)</f>
        <v>137600</v>
      </c>
      <c r="D1798" s="1">
        <f>IFERROR(__xludf.DUMMYFUNCTION("""COMPUTED_VALUE"""),135400.0)</f>
        <v>135400</v>
      </c>
      <c r="E1798" s="1">
        <f>IFERROR(__xludf.DUMMYFUNCTION("""COMPUTED_VALUE"""),136800.0)</f>
        <v>136800</v>
      </c>
      <c r="F1798" s="1">
        <f>IFERROR(__xludf.DUMMYFUNCTION("""COMPUTED_VALUE"""),86056.0)</f>
        <v>86056</v>
      </c>
    </row>
    <row r="1799">
      <c r="A1799" s="2">
        <f>IFERROR(__xludf.DUMMYFUNCTION("""COMPUTED_VALUE"""),43244.64583333333)</f>
        <v>43244.64583</v>
      </c>
      <c r="B1799" s="1">
        <f>IFERROR(__xludf.DUMMYFUNCTION("""COMPUTED_VALUE"""),136400.0)</f>
        <v>136400</v>
      </c>
      <c r="C1799" s="1">
        <f>IFERROR(__xludf.DUMMYFUNCTION("""COMPUTED_VALUE"""),137000.0)</f>
        <v>137000</v>
      </c>
      <c r="D1799" s="1">
        <f>IFERROR(__xludf.DUMMYFUNCTION("""COMPUTED_VALUE"""),135600.0)</f>
        <v>135600</v>
      </c>
      <c r="E1799" s="1">
        <f>IFERROR(__xludf.DUMMYFUNCTION("""COMPUTED_VALUE"""),136000.0)</f>
        <v>136000</v>
      </c>
      <c r="F1799" s="1">
        <f>IFERROR(__xludf.DUMMYFUNCTION("""COMPUTED_VALUE"""),44487.0)</f>
        <v>44487</v>
      </c>
    </row>
    <row r="1800">
      <c r="A1800" s="2">
        <f>IFERROR(__xludf.DUMMYFUNCTION("""COMPUTED_VALUE"""),43245.64583333333)</f>
        <v>43245.64583</v>
      </c>
      <c r="B1800" s="1">
        <f>IFERROR(__xludf.DUMMYFUNCTION("""COMPUTED_VALUE"""),137000.0)</f>
        <v>137000</v>
      </c>
      <c r="C1800" s="1">
        <f>IFERROR(__xludf.DUMMYFUNCTION("""COMPUTED_VALUE"""),138800.0)</f>
        <v>138800</v>
      </c>
      <c r="D1800" s="1">
        <f>IFERROR(__xludf.DUMMYFUNCTION("""COMPUTED_VALUE"""),136400.0)</f>
        <v>136400</v>
      </c>
      <c r="E1800" s="1">
        <f>IFERROR(__xludf.DUMMYFUNCTION("""COMPUTED_VALUE"""),137000.0)</f>
        <v>137000</v>
      </c>
      <c r="F1800" s="1">
        <f>IFERROR(__xludf.DUMMYFUNCTION("""COMPUTED_VALUE"""),75755.0)</f>
        <v>75755</v>
      </c>
    </row>
    <row r="1801">
      <c r="A1801" s="2">
        <f>IFERROR(__xludf.DUMMYFUNCTION("""COMPUTED_VALUE"""),43248.64583333333)</f>
        <v>43248.64583</v>
      </c>
      <c r="B1801" s="1">
        <f>IFERROR(__xludf.DUMMYFUNCTION("""COMPUTED_VALUE"""),137000.0)</f>
        <v>137000</v>
      </c>
      <c r="C1801" s="1">
        <f>IFERROR(__xludf.DUMMYFUNCTION("""COMPUTED_VALUE"""),137400.0)</f>
        <v>137400</v>
      </c>
      <c r="D1801" s="1">
        <f>IFERROR(__xludf.DUMMYFUNCTION("""COMPUTED_VALUE"""),135800.0)</f>
        <v>135800</v>
      </c>
      <c r="E1801" s="1">
        <f>IFERROR(__xludf.DUMMYFUNCTION("""COMPUTED_VALUE"""),136000.0)</f>
        <v>136000</v>
      </c>
      <c r="F1801" s="1">
        <f>IFERROR(__xludf.DUMMYFUNCTION("""COMPUTED_VALUE"""),54086.0)</f>
        <v>54086</v>
      </c>
    </row>
    <row r="1802">
      <c r="A1802" s="2">
        <f>IFERROR(__xludf.DUMMYFUNCTION("""COMPUTED_VALUE"""),43249.64583333333)</f>
        <v>43249.64583</v>
      </c>
      <c r="B1802" s="1">
        <f>IFERROR(__xludf.DUMMYFUNCTION("""COMPUTED_VALUE"""),135800.0)</f>
        <v>135800</v>
      </c>
      <c r="C1802" s="1">
        <f>IFERROR(__xludf.DUMMYFUNCTION("""COMPUTED_VALUE"""),136000.0)</f>
        <v>136000</v>
      </c>
      <c r="D1802" s="1">
        <f>IFERROR(__xludf.DUMMYFUNCTION("""COMPUTED_VALUE"""),133400.0)</f>
        <v>133400</v>
      </c>
      <c r="E1802" s="1">
        <f>IFERROR(__xludf.DUMMYFUNCTION("""COMPUTED_VALUE"""),133600.0)</f>
        <v>133600</v>
      </c>
      <c r="F1802" s="1">
        <f>IFERROR(__xludf.DUMMYFUNCTION("""COMPUTED_VALUE"""),93537.0)</f>
        <v>93537</v>
      </c>
    </row>
    <row r="1803">
      <c r="A1803" s="2">
        <f>IFERROR(__xludf.DUMMYFUNCTION("""COMPUTED_VALUE"""),43250.64583333333)</f>
        <v>43250.64583</v>
      </c>
      <c r="B1803" s="1">
        <f>IFERROR(__xludf.DUMMYFUNCTION("""COMPUTED_VALUE"""),133400.0)</f>
        <v>133400</v>
      </c>
      <c r="C1803" s="1">
        <f>IFERROR(__xludf.DUMMYFUNCTION("""COMPUTED_VALUE"""),134000.0)</f>
        <v>134000</v>
      </c>
      <c r="D1803" s="1">
        <f>IFERROR(__xludf.DUMMYFUNCTION("""COMPUTED_VALUE"""),129600.0)</f>
        <v>129600</v>
      </c>
      <c r="E1803" s="1">
        <f>IFERROR(__xludf.DUMMYFUNCTION("""COMPUTED_VALUE"""),130400.0)</f>
        <v>130400</v>
      </c>
      <c r="F1803" s="1">
        <f>IFERROR(__xludf.DUMMYFUNCTION("""COMPUTED_VALUE"""),133965.0)</f>
        <v>133965</v>
      </c>
    </row>
    <row r="1804">
      <c r="A1804" s="2">
        <f>IFERROR(__xludf.DUMMYFUNCTION("""COMPUTED_VALUE"""),43251.64583333333)</f>
        <v>43251.64583</v>
      </c>
      <c r="B1804" s="1">
        <f>IFERROR(__xludf.DUMMYFUNCTION("""COMPUTED_VALUE"""),132000.0)</f>
        <v>132000</v>
      </c>
      <c r="C1804" s="1">
        <f>IFERROR(__xludf.DUMMYFUNCTION("""COMPUTED_VALUE"""),134200.0)</f>
        <v>134200</v>
      </c>
      <c r="D1804" s="1">
        <f>IFERROR(__xludf.DUMMYFUNCTION("""COMPUTED_VALUE"""),130800.0)</f>
        <v>130800</v>
      </c>
      <c r="E1804" s="1">
        <f>IFERROR(__xludf.DUMMYFUNCTION("""COMPUTED_VALUE"""),133800.0)</f>
        <v>133800</v>
      </c>
      <c r="F1804" s="1">
        <f>IFERROR(__xludf.DUMMYFUNCTION("""COMPUTED_VALUE"""),210193.0)</f>
        <v>210193</v>
      </c>
    </row>
    <row r="1805">
      <c r="A1805" s="2">
        <f>IFERROR(__xludf.DUMMYFUNCTION("""COMPUTED_VALUE"""),43252.64583333333)</f>
        <v>43252.64583</v>
      </c>
      <c r="B1805" s="1">
        <f>IFERROR(__xludf.DUMMYFUNCTION("""COMPUTED_VALUE"""),134800.0)</f>
        <v>134800</v>
      </c>
      <c r="C1805" s="1">
        <f>IFERROR(__xludf.DUMMYFUNCTION("""COMPUTED_VALUE"""),137200.0)</f>
        <v>137200</v>
      </c>
      <c r="D1805" s="1">
        <f>IFERROR(__xludf.DUMMYFUNCTION("""COMPUTED_VALUE"""),134400.0)</f>
        <v>134400</v>
      </c>
      <c r="E1805" s="1">
        <f>IFERROR(__xludf.DUMMYFUNCTION("""COMPUTED_VALUE"""),136000.0)</f>
        <v>136000</v>
      </c>
      <c r="F1805" s="1">
        <f>IFERROR(__xludf.DUMMYFUNCTION("""COMPUTED_VALUE"""),91461.0)</f>
        <v>91461</v>
      </c>
    </row>
    <row r="1806">
      <c r="A1806" s="2">
        <f>IFERROR(__xludf.DUMMYFUNCTION("""COMPUTED_VALUE"""),43255.64583333333)</f>
        <v>43255.64583</v>
      </c>
      <c r="B1806" s="1">
        <f>IFERROR(__xludf.DUMMYFUNCTION("""COMPUTED_VALUE"""),136200.0)</f>
        <v>136200</v>
      </c>
      <c r="C1806" s="1">
        <f>IFERROR(__xludf.DUMMYFUNCTION("""COMPUTED_VALUE"""),137400.0)</f>
        <v>137400</v>
      </c>
      <c r="D1806" s="1">
        <f>IFERROR(__xludf.DUMMYFUNCTION("""COMPUTED_VALUE"""),134200.0)</f>
        <v>134200</v>
      </c>
      <c r="E1806" s="1">
        <f>IFERROR(__xludf.DUMMYFUNCTION("""COMPUTED_VALUE"""),134600.0)</f>
        <v>134600</v>
      </c>
      <c r="F1806" s="1">
        <f>IFERROR(__xludf.DUMMYFUNCTION("""COMPUTED_VALUE"""),81871.0)</f>
        <v>81871</v>
      </c>
    </row>
    <row r="1807">
      <c r="A1807" s="2">
        <f>IFERROR(__xludf.DUMMYFUNCTION("""COMPUTED_VALUE"""),43256.64583333333)</f>
        <v>43256.64583</v>
      </c>
      <c r="B1807" s="1">
        <f>IFERROR(__xludf.DUMMYFUNCTION("""COMPUTED_VALUE"""),135600.0)</f>
        <v>135600</v>
      </c>
      <c r="C1807" s="1">
        <f>IFERROR(__xludf.DUMMYFUNCTION("""COMPUTED_VALUE"""),136000.0)</f>
        <v>136000</v>
      </c>
      <c r="D1807" s="1">
        <f>IFERROR(__xludf.DUMMYFUNCTION("""COMPUTED_VALUE"""),132800.0)</f>
        <v>132800</v>
      </c>
      <c r="E1807" s="1">
        <f>IFERROR(__xludf.DUMMYFUNCTION("""COMPUTED_VALUE"""),134800.0)</f>
        <v>134800</v>
      </c>
      <c r="F1807" s="1">
        <f>IFERROR(__xludf.DUMMYFUNCTION("""COMPUTED_VALUE"""),67152.0)</f>
        <v>67152</v>
      </c>
    </row>
    <row r="1808">
      <c r="A1808" s="2">
        <f>IFERROR(__xludf.DUMMYFUNCTION("""COMPUTED_VALUE"""),43258.64583333333)</f>
        <v>43258.64583</v>
      </c>
      <c r="B1808" s="1">
        <f>IFERROR(__xludf.DUMMYFUNCTION("""COMPUTED_VALUE"""),135000.0)</f>
        <v>135000</v>
      </c>
      <c r="C1808" s="1">
        <f>IFERROR(__xludf.DUMMYFUNCTION("""COMPUTED_VALUE"""),136400.0)</f>
        <v>136400</v>
      </c>
      <c r="D1808" s="1">
        <f>IFERROR(__xludf.DUMMYFUNCTION("""COMPUTED_VALUE"""),134800.0)</f>
        <v>134800</v>
      </c>
      <c r="E1808" s="1">
        <f>IFERROR(__xludf.DUMMYFUNCTION("""COMPUTED_VALUE"""),136000.0)</f>
        <v>136000</v>
      </c>
      <c r="F1808" s="1">
        <f>IFERROR(__xludf.DUMMYFUNCTION("""COMPUTED_VALUE"""),390905.0)</f>
        <v>390905</v>
      </c>
    </row>
    <row r="1809">
      <c r="A1809" s="2">
        <f>IFERROR(__xludf.DUMMYFUNCTION("""COMPUTED_VALUE"""),43259.64583333333)</f>
        <v>43259.64583</v>
      </c>
      <c r="B1809" s="1">
        <f>IFERROR(__xludf.DUMMYFUNCTION("""COMPUTED_VALUE"""),136000.0)</f>
        <v>136000</v>
      </c>
      <c r="C1809" s="1">
        <f>IFERROR(__xludf.DUMMYFUNCTION("""COMPUTED_VALUE"""),141600.0)</f>
        <v>141600</v>
      </c>
      <c r="D1809" s="1">
        <f>IFERROR(__xludf.DUMMYFUNCTION("""COMPUTED_VALUE"""),136000.0)</f>
        <v>136000</v>
      </c>
      <c r="E1809" s="1">
        <f>IFERROR(__xludf.DUMMYFUNCTION("""COMPUTED_VALUE"""),140200.0)</f>
        <v>140200</v>
      </c>
      <c r="F1809" s="1">
        <f>IFERROR(__xludf.DUMMYFUNCTION("""COMPUTED_VALUE"""),188291.0)</f>
        <v>188291</v>
      </c>
    </row>
    <row r="1810">
      <c r="A1810" s="2">
        <f>IFERROR(__xludf.DUMMYFUNCTION("""COMPUTED_VALUE"""),43262.64583333333)</f>
        <v>43262.64583</v>
      </c>
      <c r="B1810" s="1">
        <f>IFERROR(__xludf.DUMMYFUNCTION("""COMPUTED_VALUE"""),140200.0)</f>
        <v>140200</v>
      </c>
      <c r="C1810" s="1">
        <f>IFERROR(__xludf.DUMMYFUNCTION("""COMPUTED_VALUE"""),142400.0)</f>
        <v>142400</v>
      </c>
      <c r="D1810" s="1">
        <f>IFERROR(__xludf.DUMMYFUNCTION("""COMPUTED_VALUE"""),139000.0)</f>
        <v>139000</v>
      </c>
      <c r="E1810" s="1">
        <f>IFERROR(__xludf.DUMMYFUNCTION("""COMPUTED_VALUE"""),142200.0)</f>
        <v>142200</v>
      </c>
      <c r="F1810" s="1">
        <f>IFERROR(__xludf.DUMMYFUNCTION("""COMPUTED_VALUE"""),137850.0)</f>
        <v>137850</v>
      </c>
    </row>
    <row r="1811">
      <c r="A1811" s="2">
        <f>IFERROR(__xludf.DUMMYFUNCTION("""COMPUTED_VALUE"""),43263.64583333333)</f>
        <v>43263.64583</v>
      </c>
      <c r="B1811" s="1">
        <f>IFERROR(__xludf.DUMMYFUNCTION("""COMPUTED_VALUE"""),142400.0)</f>
        <v>142400</v>
      </c>
      <c r="C1811" s="1">
        <f>IFERROR(__xludf.DUMMYFUNCTION("""COMPUTED_VALUE"""),143800.0)</f>
        <v>143800</v>
      </c>
      <c r="D1811" s="1">
        <f>IFERROR(__xludf.DUMMYFUNCTION("""COMPUTED_VALUE"""),140800.0)</f>
        <v>140800</v>
      </c>
      <c r="E1811" s="1">
        <f>IFERROR(__xludf.DUMMYFUNCTION("""COMPUTED_VALUE"""),143400.0)</f>
        <v>143400</v>
      </c>
      <c r="F1811" s="1">
        <f>IFERROR(__xludf.DUMMYFUNCTION("""COMPUTED_VALUE"""),124267.0)</f>
        <v>124267</v>
      </c>
    </row>
    <row r="1812">
      <c r="A1812" s="2">
        <f>IFERROR(__xludf.DUMMYFUNCTION("""COMPUTED_VALUE"""),43265.64583333333)</f>
        <v>43265.64583</v>
      </c>
      <c r="B1812" s="1">
        <f>IFERROR(__xludf.DUMMYFUNCTION("""COMPUTED_VALUE"""),143800.0)</f>
        <v>143800</v>
      </c>
      <c r="C1812" s="1">
        <f>IFERROR(__xludf.DUMMYFUNCTION("""COMPUTED_VALUE"""),145000.0)</f>
        <v>145000</v>
      </c>
      <c r="D1812" s="1">
        <f>IFERROR(__xludf.DUMMYFUNCTION("""COMPUTED_VALUE"""),141000.0)</f>
        <v>141000</v>
      </c>
      <c r="E1812" s="1">
        <f>IFERROR(__xludf.DUMMYFUNCTION("""COMPUTED_VALUE"""),141400.0)</f>
        <v>141400</v>
      </c>
      <c r="F1812" s="1">
        <f>IFERROR(__xludf.DUMMYFUNCTION("""COMPUTED_VALUE"""),794555.0)</f>
        <v>794555</v>
      </c>
    </row>
    <row r="1813">
      <c r="A1813" s="2">
        <f>IFERROR(__xludf.DUMMYFUNCTION("""COMPUTED_VALUE"""),43266.64583333333)</f>
        <v>43266.64583</v>
      </c>
      <c r="B1813" s="1">
        <f>IFERROR(__xludf.DUMMYFUNCTION("""COMPUTED_VALUE"""),141000.0)</f>
        <v>141000</v>
      </c>
      <c r="C1813" s="1">
        <f>IFERROR(__xludf.DUMMYFUNCTION("""COMPUTED_VALUE"""),141200.0)</f>
        <v>141200</v>
      </c>
      <c r="D1813" s="1">
        <f>IFERROR(__xludf.DUMMYFUNCTION("""COMPUTED_VALUE"""),137400.0)</f>
        <v>137400</v>
      </c>
      <c r="E1813" s="1">
        <f>IFERROR(__xludf.DUMMYFUNCTION("""COMPUTED_VALUE"""),138000.0)</f>
        <v>138000</v>
      </c>
      <c r="F1813" s="1">
        <f>IFERROR(__xludf.DUMMYFUNCTION("""COMPUTED_VALUE"""),140302.0)</f>
        <v>140302</v>
      </c>
    </row>
    <row r="1814">
      <c r="A1814" s="2">
        <f>IFERROR(__xludf.DUMMYFUNCTION("""COMPUTED_VALUE"""),43269.64583333333)</f>
        <v>43269.64583</v>
      </c>
      <c r="B1814" s="1">
        <f>IFERROR(__xludf.DUMMYFUNCTION("""COMPUTED_VALUE"""),138000.0)</f>
        <v>138000</v>
      </c>
      <c r="C1814" s="1">
        <f>IFERROR(__xludf.DUMMYFUNCTION("""COMPUTED_VALUE"""),139000.0)</f>
        <v>139000</v>
      </c>
      <c r="D1814" s="1">
        <f>IFERROR(__xludf.DUMMYFUNCTION("""COMPUTED_VALUE"""),137200.0)</f>
        <v>137200</v>
      </c>
      <c r="E1814" s="1">
        <f>IFERROR(__xludf.DUMMYFUNCTION("""COMPUTED_VALUE"""),138800.0)</f>
        <v>138800</v>
      </c>
      <c r="F1814" s="1">
        <f>IFERROR(__xludf.DUMMYFUNCTION("""COMPUTED_VALUE"""),105859.0)</f>
        <v>105859</v>
      </c>
    </row>
    <row r="1815">
      <c r="A1815" s="2">
        <f>IFERROR(__xludf.DUMMYFUNCTION("""COMPUTED_VALUE"""),43270.64583333333)</f>
        <v>43270.64583</v>
      </c>
      <c r="B1815" s="1">
        <f>IFERROR(__xludf.DUMMYFUNCTION("""COMPUTED_VALUE"""),138000.0)</f>
        <v>138000</v>
      </c>
      <c r="C1815" s="1">
        <f>IFERROR(__xludf.DUMMYFUNCTION("""COMPUTED_VALUE"""),138800.0)</f>
        <v>138800</v>
      </c>
      <c r="D1815" s="1">
        <f>IFERROR(__xludf.DUMMYFUNCTION("""COMPUTED_VALUE"""),137600.0)</f>
        <v>137600</v>
      </c>
      <c r="E1815" s="1">
        <f>IFERROR(__xludf.DUMMYFUNCTION("""COMPUTED_VALUE"""),137600.0)</f>
        <v>137600</v>
      </c>
      <c r="F1815" s="1">
        <f>IFERROR(__xludf.DUMMYFUNCTION("""COMPUTED_VALUE"""),110322.0)</f>
        <v>110322</v>
      </c>
    </row>
    <row r="1816">
      <c r="A1816" s="2">
        <f>IFERROR(__xludf.DUMMYFUNCTION("""COMPUTED_VALUE"""),43271.64583333333)</f>
        <v>43271.64583</v>
      </c>
      <c r="B1816" s="1">
        <f>IFERROR(__xludf.DUMMYFUNCTION("""COMPUTED_VALUE"""),137800.0)</f>
        <v>137800</v>
      </c>
      <c r="C1816" s="1">
        <f>IFERROR(__xludf.DUMMYFUNCTION("""COMPUTED_VALUE"""),138400.0)</f>
        <v>138400</v>
      </c>
      <c r="D1816" s="1">
        <f>IFERROR(__xludf.DUMMYFUNCTION("""COMPUTED_VALUE"""),137400.0)</f>
        <v>137400</v>
      </c>
      <c r="E1816" s="1">
        <f>IFERROR(__xludf.DUMMYFUNCTION("""COMPUTED_VALUE"""),137800.0)</f>
        <v>137800</v>
      </c>
      <c r="F1816" s="1">
        <f>IFERROR(__xludf.DUMMYFUNCTION("""COMPUTED_VALUE"""),106479.0)</f>
        <v>106479</v>
      </c>
    </row>
    <row r="1817">
      <c r="A1817" s="2">
        <f>IFERROR(__xludf.DUMMYFUNCTION("""COMPUTED_VALUE"""),43272.64583333333)</f>
        <v>43272.64583</v>
      </c>
      <c r="B1817" s="1">
        <f>IFERROR(__xludf.DUMMYFUNCTION("""COMPUTED_VALUE"""),137000.0)</f>
        <v>137000</v>
      </c>
      <c r="C1817" s="1">
        <f>IFERROR(__xludf.DUMMYFUNCTION("""COMPUTED_VALUE"""),140600.0)</f>
        <v>140600</v>
      </c>
      <c r="D1817" s="1">
        <f>IFERROR(__xludf.DUMMYFUNCTION("""COMPUTED_VALUE"""),136800.0)</f>
        <v>136800</v>
      </c>
      <c r="E1817" s="1">
        <f>IFERROR(__xludf.DUMMYFUNCTION("""COMPUTED_VALUE"""),139800.0)</f>
        <v>139800</v>
      </c>
      <c r="F1817" s="1">
        <f>IFERROR(__xludf.DUMMYFUNCTION("""COMPUTED_VALUE"""),117882.0)</f>
        <v>117882</v>
      </c>
    </row>
    <row r="1818">
      <c r="A1818" s="2">
        <f>IFERROR(__xludf.DUMMYFUNCTION("""COMPUTED_VALUE"""),43273.64583333333)</f>
        <v>43273.64583</v>
      </c>
      <c r="B1818" s="1">
        <f>IFERROR(__xludf.DUMMYFUNCTION("""COMPUTED_VALUE"""),138000.0)</f>
        <v>138000</v>
      </c>
      <c r="C1818" s="1">
        <f>IFERROR(__xludf.DUMMYFUNCTION("""COMPUTED_VALUE"""),144800.0)</f>
        <v>144800</v>
      </c>
      <c r="D1818" s="1">
        <f>IFERROR(__xludf.DUMMYFUNCTION("""COMPUTED_VALUE"""),138000.0)</f>
        <v>138000</v>
      </c>
      <c r="E1818" s="1">
        <f>IFERROR(__xludf.DUMMYFUNCTION("""COMPUTED_VALUE"""),144600.0)</f>
        <v>144600</v>
      </c>
      <c r="F1818" s="1">
        <f>IFERROR(__xludf.DUMMYFUNCTION("""COMPUTED_VALUE"""),160314.0)</f>
        <v>160314</v>
      </c>
    </row>
    <row r="1819">
      <c r="A1819" s="2">
        <f>IFERROR(__xludf.DUMMYFUNCTION("""COMPUTED_VALUE"""),43276.64583333333)</f>
        <v>43276.64583</v>
      </c>
      <c r="B1819" s="1">
        <f>IFERROR(__xludf.DUMMYFUNCTION("""COMPUTED_VALUE"""),145600.0)</f>
        <v>145600</v>
      </c>
      <c r="C1819" s="1">
        <f>IFERROR(__xludf.DUMMYFUNCTION("""COMPUTED_VALUE"""),150000.0)</f>
        <v>150000</v>
      </c>
      <c r="D1819" s="1">
        <f>IFERROR(__xludf.DUMMYFUNCTION("""COMPUTED_VALUE"""),145400.0)</f>
        <v>145400</v>
      </c>
      <c r="E1819" s="1">
        <f>IFERROR(__xludf.DUMMYFUNCTION("""COMPUTED_VALUE"""),149600.0)</f>
        <v>149600</v>
      </c>
      <c r="F1819" s="1">
        <f>IFERROR(__xludf.DUMMYFUNCTION("""COMPUTED_VALUE"""),255266.0)</f>
        <v>255266</v>
      </c>
    </row>
    <row r="1820">
      <c r="A1820" s="2">
        <f>IFERROR(__xludf.DUMMYFUNCTION("""COMPUTED_VALUE"""),43277.64583333333)</f>
        <v>43277.64583</v>
      </c>
      <c r="B1820" s="1">
        <f>IFERROR(__xludf.DUMMYFUNCTION("""COMPUTED_VALUE"""),148400.0)</f>
        <v>148400</v>
      </c>
      <c r="C1820" s="1">
        <f>IFERROR(__xludf.DUMMYFUNCTION("""COMPUTED_VALUE"""),149200.0)</f>
        <v>149200</v>
      </c>
      <c r="D1820" s="1">
        <f>IFERROR(__xludf.DUMMYFUNCTION("""COMPUTED_VALUE"""),146000.0)</f>
        <v>146000</v>
      </c>
      <c r="E1820" s="1">
        <f>IFERROR(__xludf.DUMMYFUNCTION("""COMPUTED_VALUE"""),147000.0)</f>
        <v>147000</v>
      </c>
      <c r="F1820" s="1">
        <f>IFERROR(__xludf.DUMMYFUNCTION("""COMPUTED_VALUE"""),107528.0)</f>
        <v>107528</v>
      </c>
    </row>
    <row r="1821">
      <c r="A1821" s="2">
        <f>IFERROR(__xludf.DUMMYFUNCTION("""COMPUTED_VALUE"""),43278.64583333333)</f>
        <v>43278.64583</v>
      </c>
      <c r="B1821" s="1">
        <f>IFERROR(__xludf.DUMMYFUNCTION("""COMPUTED_VALUE"""),149400.0)</f>
        <v>149400</v>
      </c>
      <c r="C1821" s="1">
        <f>IFERROR(__xludf.DUMMYFUNCTION("""COMPUTED_VALUE"""),149600.0)</f>
        <v>149600</v>
      </c>
      <c r="D1821" s="1">
        <f>IFERROR(__xludf.DUMMYFUNCTION("""COMPUTED_VALUE"""),147800.0)</f>
        <v>147800</v>
      </c>
      <c r="E1821" s="1">
        <f>IFERROR(__xludf.DUMMYFUNCTION("""COMPUTED_VALUE"""),147800.0)</f>
        <v>147800</v>
      </c>
      <c r="F1821" s="1">
        <f>IFERROR(__xludf.DUMMYFUNCTION("""COMPUTED_VALUE"""),87276.0)</f>
        <v>87276</v>
      </c>
    </row>
    <row r="1822">
      <c r="A1822" s="2">
        <f>IFERROR(__xludf.DUMMYFUNCTION("""COMPUTED_VALUE"""),43279.64583333333)</f>
        <v>43279.64583</v>
      </c>
      <c r="B1822" s="1">
        <f>IFERROR(__xludf.DUMMYFUNCTION("""COMPUTED_VALUE"""),147600.0)</f>
        <v>147600</v>
      </c>
      <c r="C1822" s="1">
        <f>IFERROR(__xludf.DUMMYFUNCTION("""COMPUTED_VALUE"""),150200.0)</f>
        <v>150200</v>
      </c>
      <c r="D1822" s="1">
        <f>IFERROR(__xludf.DUMMYFUNCTION("""COMPUTED_VALUE"""),145200.0)</f>
        <v>145200</v>
      </c>
      <c r="E1822" s="1">
        <f>IFERROR(__xludf.DUMMYFUNCTION("""COMPUTED_VALUE"""),149400.0)</f>
        <v>149400</v>
      </c>
      <c r="F1822" s="1">
        <f>IFERROR(__xludf.DUMMYFUNCTION("""COMPUTED_VALUE"""),136537.0)</f>
        <v>136537</v>
      </c>
    </row>
    <row r="1823">
      <c r="A1823" s="2">
        <f>IFERROR(__xludf.DUMMYFUNCTION("""COMPUTED_VALUE"""),43280.64583333333)</f>
        <v>43280.64583</v>
      </c>
      <c r="B1823" s="1">
        <f>IFERROR(__xludf.DUMMYFUNCTION("""COMPUTED_VALUE"""),150000.0)</f>
        <v>150000</v>
      </c>
      <c r="C1823" s="1">
        <f>IFERROR(__xludf.DUMMYFUNCTION("""COMPUTED_VALUE"""),152800.0)</f>
        <v>152800</v>
      </c>
      <c r="D1823" s="1">
        <f>IFERROR(__xludf.DUMMYFUNCTION("""COMPUTED_VALUE"""),149600.0)</f>
        <v>149600</v>
      </c>
      <c r="E1823" s="1">
        <f>IFERROR(__xludf.DUMMYFUNCTION("""COMPUTED_VALUE"""),152600.0)</f>
        <v>152600</v>
      </c>
      <c r="F1823" s="1">
        <f>IFERROR(__xludf.DUMMYFUNCTION("""COMPUTED_VALUE"""),155915.0)</f>
        <v>155915</v>
      </c>
    </row>
    <row r="1824">
      <c r="A1824" s="2">
        <f>IFERROR(__xludf.DUMMYFUNCTION("""COMPUTED_VALUE"""),43283.64583333333)</f>
        <v>43283.64583</v>
      </c>
      <c r="B1824" s="1">
        <f>IFERROR(__xludf.DUMMYFUNCTION("""COMPUTED_VALUE"""),153000.0)</f>
        <v>153000</v>
      </c>
      <c r="C1824" s="1">
        <f>IFERROR(__xludf.DUMMYFUNCTION("""COMPUTED_VALUE"""),153000.0)</f>
        <v>153000</v>
      </c>
      <c r="D1824" s="1">
        <f>IFERROR(__xludf.DUMMYFUNCTION("""COMPUTED_VALUE"""),149000.0)</f>
        <v>149000</v>
      </c>
      <c r="E1824" s="1">
        <f>IFERROR(__xludf.DUMMYFUNCTION("""COMPUTED_VALUE"""),150200.0)</f>
        <v>150200</v>
      </c>
      <c r="F1824" s="1">
        <f>IFERROR(__xludf.DUMMYFUNCTION("""COMPUTED_VALUE"""),107918.0)</f>
        <v>107918</v>
      </c>
    </row>
    <row r="1825">
      <c r="A1825" s="2">
        <f>IFERROR(__xludf.DUMMYFUNCTION("""COMPUTED_VALUE"""),43284.64583333333)</f>
        <v>43284.64583</v>
      </c>
      <c r="B1825" s="1">
        <f>IFERROR(__xludf.DUMMYFUNCTION("""COMPUTED_VALUE"""),151800.0)</f>
        <v>151800</v>
      </c>
      <c r="C1825" s="1">
        <f>IFERROR(__xludf.DUMMYFUNCTION("""COMPUTED_VALUE"""),152600.0)</f>
        <v>152600</v>
      </c>
      <c r="D1825" s="1">
        <f>IFERROR(__xludf.DUMMYFUNCTION("""COMPUTED_VALUE"""),148600.0)</f>
        <v>148600</v>
      </c>
      <c r="E1825" s="1">
        <f>IFERROR(__xludf.DUMMYFUNCTION("""COMPUTED_VALUE"""),149400.0)</f>
        <v>149400</v>
      </c>
      <c r="F1825" s="1">
        <f>IFERROR(__xludf.DUMMYFUNCTION("""COMPUTED_VALUE"""),86305.0)</f>
        <v>86305</v>
      </c>
    </row>
    <row r="1826">
      <c r="A1826" s="2">
        <f>IFERROR(__xludf.DUMMYFUNCTION("""COMPUTED_VALUE"""),43285.64583333333)</f>
        <v>43285.64583</v>
      </c>
      <c r="B1826" s="1">
        <f>IFERROR(__xludf.DUMMYFUNCTION("""COMPUTED_VALUE"""),153800.0)</f>
        <v>153800</v>
      </c>
      <c r="C1826" s="1">
        <f>IFERROR(__xludf.DUMMYFUNCTION("""COMPUTED_VALUE"""),155800.0)</f>
        <v>155800</v>
      </c>
      <c r="D1826" s="1">
        <f>IFERROR(__xludf.DUMMYFUNCTION("""COMPUTED_VALUE"""),152000.0)</f>
        <v>152000</v>
      </c>
      <c r="E1826" s="1">
        <f>IFERROR(__xludf.DUMMYFUNCTION("""COMPUTED_VALUE"""),153600.0)</f>
        <v>153600</v>
      </c>
      <c r="F1826" s="1">
        <f>IFERROR(__xludf.DUMMYFUNCTION("""COMPUTED_VALUE"""),179939.0)</f>
        <v>179939</v>
      </c>
    </row>
    <row r="1827">
      <c r="A1827" s="2">
        <f>IFERROR(__xludf.DUMMYFUNCTION("""COMPUTED_VALUE"""),43286.64583333333)</f>
        <v>43286.64583</v>
      </c>
      <c r="B1827" s="1">
        <f>IFERROR(__xludf.DUMMYFUNCTION("""COMPUTED_VALUE"""),151200.0)</f>
        <v>151200</v>
      </c>
      <c r="C1827" s="1">
        <f>IFERROR(__xludf.DUMMYFUNCTION("""COMPUTED_VALUE"""),153800.0)</f>
        <v>153800</v>
      </c>
      <c r="D1827" s="1">
        <f>IFERROR(__xludf.DUMMYFUNCTION("""COMPUTED_VALUE"""),151200.0)</f>
        <v>151200</v>
      </c>
      <c r="E1827" s="1">
        <f>IFERROR(__xludf.DUMMYFUNCTION("""COMPUTED_VALUE"""),153000.0)</f>
        <v>153000</v>
      </c>
      <c r="F1827" s="1">
        <f>IFERROR(__xludf.DUMMYFUNCTION("""COMPUTED_VALUE"""),57319.0)</f>
        <v>57319</v>
      </c>
    </row>
    <row r="1828">
      <c r="A1828" s="2">
        <f>IFERROR(__xludf.DUMMYFUNCTION("""COMPUTED_VALUE"""),43287.64583333333)</f>
        <v>43287.64583</v>
      </c>
      <c r="B1828" s="1">
        <f>IFERROR(__xludf.DUMMYFUNCTION("""COMPUTED_VALUE"""),151000.0)</f>
        <v>151000</v>
      </c>
      <c r="C1828" s="1">
        <f>IFERROR(__xludf.DUMMYFUNCTION("""COMPUTED_VALUE"""),151600.0)</f>
        <v>151600</v>
      </c>
      <c r="D1828" s="1">
        <f>IFERROR(__xludf.DUMMYFUNCTION("""COMPUTED_VALUE"""),149200.0)</f>
        <v>149200</v>
      </c>
      <c r="E1828" s="1">
        <f>IFERROR(__xludf.DUMMYFUNCTION("""COMPUTED_VALUE"""),149800.0)</f>
        <v>149800</v>
      </c>
      <c r="F1828" s="1">
        <f>IFERROR(__xludf.DUMMYFUNCTION("""COMPUTED_VALUE"""),81867.0)</f>
        <v>81867</v>
      </c>
    </row>
    <row r="1829">
      <c r="A1829" s="2">
        <f>IFERROR(__xludf.DUMMYFUNCTION("""COMPUTED_VALUE"""),43290.64583333333)</f>
        <v>43290.64583</v>
      </c>
      <c r="B1829" s="1">
        <f>IFERROR(__xludf.DUMMYFUNCTION("""COMPUTED_VALUE"""),149800.0)</f>
        <v>149800</v>
      </c>
      <c r="C1829" s="1">
        <f>IFERROR(__xludf.DUMMYFUNCTION("""COMPUTED_VALUE"""),155800.0)</f>
        <v>155800</v>
      </c>
      <c r="D1829" s="1">
        <f>IFERROR(__xludf.DUMMYFUNCTION("""COMPUTED_VALUE"""),149600.0)</f>
        <v>149600</v>
      </c>
      <c r="E1829" s="1">
        <f>IFERROR(__xludf.DUMMYFUNCTION("""COMPUTED_VALUE"""),151000.0)</f>
        <v>151000</v>
      </c>
      <c r="F1829" s="1">
        <f>IFERROR(__xludf.DUMMYFUNCTION("""COMPUTED_VALUE"""),94376.0)</f>
        <v>94376</v>
      </c>
    </row>
    <row r="1830">
      <c r="A1830" s="2">
        <f>IFERROR(__xludf.DUMMYFUNCTION("""COMPUTED_VALUE"""),43291.64583333333)</f>
        <v>43291.64583</v>
      </c>
      <c r="B1830" s="1">
        <f>IFERROR(__xludf.DUMMYFUNCTION("""COMPUTED_VALUE"""),151400.0)</f>
        <v>151400</v>
      </c>
      <c r="C1830" s="1">
        <f>IFERROR(__xludf.DUMMYFUNCTION("""COMPUTED_VALUE"""),153600.0)</f>
        <v>153600</v>
      </c>
      <c r="D1830" s="1">
        <f>IFERROR(__xludf.DUMMYFUNCTION("""COMPUTED_VALUE"""),151200.0)</f>
        <v>151200</v>
      </c>
      <c r="E1830" s="1">
        <f>IFERROR(__xludf.DUMMYFUNCTION("""COMPUTED_VALUE"""),152000.0)</f>
        <v>152000</v>
      </c>
      <c r="F1830" s="1">
        <f>IFERROR(__xludf.DUMMYFUNCTION("""COMPUTED_VALUE"""),75129.0)</f>
        <v>75129</v>
      </c>
    </row>
    <row r="1831">
      <c r="A1831" s="2">
        <f>IFERROR(__xludf.DUMMYFUNCTION("""COMPUTED_VALUE"""),43292.64583333333)</f>
        <v>43292.64583</v>
      </c>
      <c r="B1831" s="1">
        <f>IFERROR(__xludf.DUMMYFUNCTION("""COMPUTED_VALUE"""),152600.0)</f>
        <v>152600</v>
      </c>
      <c r="C1831" s="1">
        <f>IFERROR(__xludf.DUMMYFUNCTION("""COMPUTED_VALUE"""),154200.0)</f>
        <v>154200</v>
      </c>
      <c r="D1831" s="1">
        <f>IFERROR(__xludf.DUMMYFUNCTION("""COMPUTED_VALUE"""),151400.0)</f>
        <v>151400</v>
      </c>
      <c r="E1831" s="1">
        <f>IFERROR(__xludf.DUMMYFUNCTION("""COMPUTED_VALUE"""),153800.0)</f>
        <v>153800</v>
      </c>
      <c r="F1831" s="1">
        <f>IFERROR(__xludf.DUMMYFUNCTION("""COMPUTED_VALUE"""),86885.0)</f>
        <v>86885</v>
      </c>
    </row>
    <row r="1832">
      <c r="A1832" s="2">
        <f>IFERROR(__xludf.DUMMYFUNCTION("""COMPUTED_VALUE"""),43293.64583333333)</f>
        <v>43293.64583</v>
      </c>
      <c r="B1832" s="1">
        <f>IFERROR(__xludf.DUMMYFUNCTION("""COMPUTED_VALUE"""),155000.0)</f>
        <v>155000</v>
      </c>
      <c r="C1832" s="1">
        <f>IFERROR(__xludf.DUMMYFUNCTION("""COMPUTED_VALUE"""),156400.0)</f>
        <v>156400</v>
      </c>
      <c r="D1832" s="1">
        <f>IFERROR(__xludf.DUMMYFUNCTION("""COMPUTED_VALUE"""),152800.0)</f>
        <v>152800</v>
      </c>
      <c r="E1832" s="1">
        <f>IFERROR(__xludf.DUMMYFUNCTION("""COMPUTED_VALUE"""),156400.0)</f>
        <v>156400</v>
      </c>
      <c r="F1832" s="1">
        <f>IFERROR(__xludf.DUMMYFUNCTION("""COMPUTED_VALUE"""),95967.0)</f>
        <v>95967</v>
      </c>
    </row>
    <row r="1833">
      <c r="A1833" s="2">
        <f>IFERROR(__xludf.DUMMYFUNCTION("""COMPUTED_VALUE"""),43294.64583333333)</f>
        <v>43294.64583</v>
      </c>
      <c r="B1833" s="1">
        <f>IFERROR(__xludf.DUMMYFUNCTION("""COMPUTED_VALUE"""),156000.0)</f>
        <v>156000</v>
      </c>
      <c r="C1833" s="1">
        <f>IFERROR(__xludf.DUMMYFUNCTION("""COMPUTED_VALUE"""),156400.0)</f>
        <v>156400</v>
      </c>
      <c r="D1833" s="1">
        <f>IFERROR(__xludf.DUMMYFUNCTION("""COMPUTED_VALUE"""),153000.0)</f>
        <v>153000</v>
      </c>
      <c r="E1833" s="1">
        <f>IFERROR(__xludf.DUMMYFUNCTION("""COMPUTED_VALUE"""),154200.0)</f>
        <v>154200</v>
      </c>
      <c r="F1833" s="1">
        <f>IFERROR(__xludf.DUMMYFUNCTION("""COMPUTED_VALUE"""),75970.0)</f>
        <v>75970</v>
      </c>
    </row>
    <row r="1834">
      <c r="A1834" s="2">
        <f>IFERROR(__xludf.DUMMYFUNCTION("""COMPUTED_VALUE"""),43297.64583333333)</f>
        <v>43297.64583</v>
      </c>
      <c r="B1834" s="1">
        <f>IFERROR(__xludf.DUMMYFUNCTION("""COMPUTED_VALUE"""),154200.0)</f>
        <v>154200</v>
      </c>
      <c r="C1834" s="1">
        <f>IFERROR(__xludf.DUMMYFUNCTION("""COMPUTED_VALUE"""),154600.0)</f>
        <v>154600</v>
      </c>
      <c r="D1834" s="1">
        <f>IFERROR(__xludf.DUMMYFUNCTION("""COMPUTED_VALUE"""),153400.0)</f>
        <v>153400</v>
      </c>
      <c r="E1834" s="1">
        <f>IFERROR(__xludf.DUMMYFUNCTION("""COMPUTED_VALUE"""),154200.0)</f>
        <v>154200</v>
      </c>
      <c r="F1834" s="1">
        <f>IFERROR(__xludf.DUMMYFUNCTION("""COMPUTED_VALUE"""),57725.0)</f>
        <v>57725</v>
      </c>
    </row>
    <row r="1835">
      <c r="A1835" s="2">
        <f>IFERROR(__xludf.DUMMYFUNCTION("""COMPUTED_VALUE"""),43298.64583333333)</f>
        <v>43298.64583</v>
      </c>
      <c r="B1835" s="1">
        <f>IFERROR(__xludf.DUMMYFUNCTION("""COMPUTED_VALUE"""),153800.0)</f>
        <v>153800</v>
      </c>
      <c r="C1835" s="1">
        <f>IFERROR(__xludf.DUMMYFUNCTION("""COMPUTED_VALUE"""),153800.0)</f>
        <v>153800</v>
      </c>
      <c r="D1835" s="1">
        <f>IFERROR(__xludf.DUMMYFUNCTION("""COMPUTED_VALUE"""),151000.0)</f>
        <v>151000</v>
      </c>
      <c r="E1835" s="1">
        <f>IFERROR(__xludf.DUMMYFUNCTION("""COMPUTED_VALUE"""),151800.0)</f>
        <v>151800</v>
      </c>
      <c r="F1835" s="1">
        <f>IFERROR(__xludf.DUMMYFUNCTION("""COMPUTED_VALUE"""),52977.0)</f>
        <v>52977</v>
      </c>
    </row>
    <row r="1836">
      <c r="A1836" s="2">
        <f>IFERROR(__xludf.DUMMYFUNCTION("""COMPUTED_VALUE"""),43299.64583333333)</f>
        <v>43299.64583</v>
      </c>
      <c r="B1836" s="1">
        <f>IFERROR(__xludf.DUMMYFUNCTION("""COMPUTED_VALUE"""),152400.0)</f>
        <v>152400</v>
      </c>
      <c r="C1836" s="1">
        <f>IFERROR(__xludf.DUMMYFUNCTION("""COMPUTED_VALUE"""),154200.0)</f>
        <v>154200</v>
      </c>
      <c r="D1836" s="1">
        <f>IFERROR(__xludf.DUMMYFUNCTION("""COMPUTED_VALUE"""),151800.0)</f>
        <v>151800</v>
      </c>
      <c r="E1836" s="1">
        <f>IFERROR(__xludf.DUMMYFUNCTION("""COMPUTED_VALUE"""),152800.0)</f>
        <v>152800</v>
      </c>
      <c r="F1836" s="1">
        <f>IFERROR(__xludf.DUMMYFUNCTION("""COMPUTED_VALUE"""),31762.0)</f>
        <v>31762</v>
      </c>
    </row>
    <row r="1837">
      <c r="A1837" s="2">
        <f>IFERROR(__xludf.DUMMYFUNCTION("""COMPUTED_VALUE"""),43300.64583333333)</f>
        <v>43300.64583</v>
      </c>
      <c r="B1837" s="1">
        <f>IFERROR(__xludf.DUMMYFUNCTION("""COMPUTED_VALUE"""),154400.0)</f>
        <v>154400</v>
      </c>
      <c r="C1837" s="1">
        <f>IFERROR(__xludf.DUMMYFUNCTION("""COMPUTED_VALUE"""),156000.0)</f>
        <v>156000</v>
      </c>
      <c r="D1837" s="1">
        <f>IFERROR(__xludf.DUMMYFUNCTION("""COMPUTED_VALUE"""),152600.0)</f>
        <v>152600</v>
      </c>
      <c r="E1837" s="1">
        <f>IFERROR(__xludf.DUMMYFUNCTION("""COMPUTED_VALUE"""),153000.0)</f>
        <v>153000</v>
      </c>
      <c r="F1837" s="1">
        <f>IFERROR(__xludf.DUMMYFUNCTION("""COMPUTED_VALUE"""),50422.0)</f>
        <v>50422</v>
      </c>
    </row>
    <row r="1838">
      <c r="A1838" s="2">
        <f>IFERROR(__xludf.DUMMYFUNCTION("""COMPUTED_VALUE"""),43301.64583333333)</f>
        <v>43301.64583</v>
      </c>
      <c r="B1838" s="1">
        <f>IFERROR(__xludf.DUMMYFUNCTION("""COMPUTED_VALUE"""),153000.0)</f>
        <v>153000</v>
      </c>
      <c r="C1838" s="1">
        <f>IFERROR(__xludf.DUMMYFUNCTION("""COMPUTED_VALUE"""),154400.0)</f>
        <v>154400</v>
      </c>
      <c r="D1838" s="1">
        <f>IFERROR(__xludf.DUMMYFUNCTION("""COMPUTED_VALUE"""),151000.0)</f>
        <v>151000</v>
      </c>
      <c r="E1838" s="1">
        <f>IFERROR(__xludf.DUMMYFUNCTION("""COMPUTED_VALUE"""),154000.0)</f>
        <v>154000</v>
      </c>
      <c r="F1838" s="1">
        <f>IFERROR(__xludf.DUMMYFUNCTION("""COMPUTED_VALUE"""),50449.0)</f>
        <v>50449</v>
      </c>
    </row>
    <row r="1839">
      <c r="A1839" s="2">
        <f>IFERROR(__xludf.DUMMYFUNCTION("""COMPUTED_VALUE"""),43304.64583333333)</f>
        <v>43304.64583</v>
      </c>
      <c r="B1839" s="1">
        <f>IFERROR(__xludf.DUMMYFUNCTION("""COMPUTED_VALUE"""),154200.0)</f>
        <v>154200</v>
      </c>
      <c r="C1839" s="1">
        <f>IFERROR(__xludf.DUMMYFUNCTION("""COMPUTED_VALUE"""),155400.0)</f>
        <v>155400</v>
      </c>
      <c r="D1839" s="1">
        <f>IFERROR(__xludf.DUMMYFUNCTION("""COMPUTED_VALUE"""),153000.0)</f>
        <v>153000</v>
      </c>
      <c r="E1839" s="1">
        <f>IFERROR(__xludf.DUMMYFUNCTION("""COMPUTED_VALUE"""),154800.0)</f>
        <v>154800</v>
      </c>
      <c r="F1839" s="1">
        <f>IFERROR(__xludf.DUMMYFUNCTION("""COMPUTED_VALUE"""),81430.0)</f>
        <v>81430</v>
      </c>
    </row>
    <row r="1840">
      <c r="A1840" s="2">
        <f>IFERROR(__xludf.DUMMYFUNCTION("""COMPUTED_VALUE"""),43305.64583333333)</f>
        <v>43305.64583</v>
      </c>
      <c r="B1840" s="1">
        <f>IFERROR(__xludf.DUMMYFUNCTION("""COMPUTED_VALUE"""),155000.0)</f>
        <v>155000</v>
      </c>
      <c r="C1840" s="1">
        <f>IFERROR(__xludf.DUMMYFUNCTION("""COMPUTED_VALUE"""),155200.0)</f>
        <v>155200</v>
      </c>
      <c r="D1840" s="1">
        <f>IFERROR(__xludf.DUMMYFUNCTION("""COMPUTED_VALUE"""),148400.0)</f>
        <v>148400</v>
      </c>
      <c r="E1840" s="1">
        <f>IFERROR(__xludf.DUMMYFUNCTION("""COMPUTED_VALUE"""),149000.0)</f>
        <v>149000</v>
      </c>
      <c r="F1840" s="1">
        <f>IFERROR(__xludf.DUMMYFUNCTION("""COMPUTED_VALUE"""),84503.0)</f>
        <v>84503</v>
      </c>
    </row>
    <row r="1841">
      <c r="A1841" s="2">
        <f>IFERROR(__xludf.DUMMYFUNCTION("""COMPUTED_VALUE"""),43306.64583333333)</f>
        <v>43306.64583</v>
      </c>
      <c r="B1841" s="1">
        <f>IFERROR(__xludf.DUMMYFUNCTION("""COMPUTED_VALUE"""),151800.0)</f>
        <v>151800</v>
      </c>
      <c r="C1841" s="1">
        <f>IFERROR(__xludf.DUMMYFUNCTION("""COMPUTED_VALUE"""),151800.0)</f>
        <v>151800</v>
      </c>
      <c r="D1841" s="1">
        <f>IFERROR(__xludf.DUMMYFUNCTION("""COMPUTED_VALUE"""),148400.0)</f>
        <v>148400</v>
      </c>
      <c r="E1841" s="1">
        <f>IFERROR(__xludf.DUMMYFUNCTION("""COMPUTED_VALUE"""),149200.0)</f>
        <v>149200</v>
      </c>
      <c r="F1841" s="1">
        <f>IFERROR(__xludf.DUMMYFUNCTION("""COMPUTED_VALUE"""),94581.0)</f>
        <v>94581</v>
      </c>
    </row>
    <row r="1842">
      <c r="A1842" s="2">
        <f>IFERROR(__xludf.DUMMYFUNCTION("""COMPUTED_VALUE"""),43307.64583333333)</f>
        <v>43307.64583</v>
      </c>
      <c r="B1842" s="1">
        <f>IFERROR(__xludf.DUMMYFUNCTION("""COMPUTED_VALUE"""),150400.0)</f>
        <v>150400</v>
      </c>
      <c r="C1842" s="1">
        <f>IFERROR(__xludf.DUMMYFUNCTION("""COMPUTED_VALUE"""),152200.0)</f>
        <v>152200</v>
      </c>
      <c r="D1842" s="1">
        <f>IFERROR(__xludf.DUMMYFUNCTION("""COMPUTED_VALUE"""),143200.0)</f>
        <v>143200</v>
      </c>
      <c r="E1842" s="1">
        <f>IFERROR(__xludf.DUMMYFUNCTION("""COMPUTED_VALUE"""),150200.0)</f>
        <v>150200</v>
      </c>
      <c r="F1842" s="1">
        <f>IFERROR(__xludf.DUMMYFUNCTION("""COMPUTED_VALUE"""),224252.0)</f>
        <v>224252</v>
      </c>
    </row>
    <row r="1843">
      <c r="A1843" s="2">
        <f>IFERROR(__xludf.DUMMYFUNCTION("""COMPUTED_VALUE"""),43308.64583333333)</f>
        <v>43308.64583</v>
      </c>
      <c r="B1843" s="1">
        <f>IFERROR(__xludf.DUMMYFUNCTION("""COMPUTED_VALUE"""),147000.0)</f>
        <v>147000</v>
      </c>
      <c r="C1843" s="1">
        <f>IFERROR(__xludf.DUMMYFUNCTION("""COMPUTED_VALUE"""),150200.0)</f>
        <v>150200</v>
      </c>
      <c r="D1843" s="1">
        <f>IFERROR(__xludf.DUMMYFUNCTION("""COMPUTED_VALUE"""),146600.0)</f>
        <v>146600</v>
      </c>
      <c r="E1843" s="1">
        <f>IFERROR(__xludf.DUMMYFUNCTION("""COMPUTED_VALUE"""),150200.0)</f>
        <v>150200</v>
      </c>
      <c r="F1843" s="1">
        <f>IFERROR(__xludf.DUMMYFUNCTION("""COMPUTED_VALUE"""),113819.0)</f>
        <v>113819</v>
      </c>
    </row>
    <row r="1844">
      <c r="A1844" s="2">
        <f>IFERROR(__xludf.DUMMYFUNCTION("""COMPUTED_VALUE"""),43311.64583333333)</f>
        <v>43311.64583</v>
      </c>
      <c r="B1844" s="1">
        <f>IFERROR(__xludf.DUMMYFUNCTION("""COMPUTED_VALUE"""),149400.0)</f>
        <v>149400</v>
      </c>
      <c r="C1844" s="1">
        <f>IFERROR(__xludf.DUMMYFUNCTION("""COMPUTED_VALUE"""),149600.0)</f>
        <v>149600</v>
      </c>
      <c r="D1844" s="1">
        <f>IFERROR(__xludf.DUMMYFUNCTION("""COMPUTED_VALUE"""),145200.0)</f>
        <v>145200</v>
      </c>
      <c r="E1844" s="1">
        <f>IFERROR(__xludf.DUMMYFUNCTION("""COMPUTED_VALUE"""),146000.0)</f>
        <v>146000</v>
      </c>
      <c r="F1844" s="1">
        <f>IFERROR(__xludf.DUMMYFUNCTION("""COMPUTED_VALUE"""),108666.0)</f>
        <v>108666</v>
      </c>
    </row>
    <row r="1845">
      <c r="A1845" s="2">
        <f>IFERROR(__xludf.DUMMYFUNCTION("""COMPUTED_VALUE"""),43312.64583333333)</f>
        <v>43312.64583</v>
      </c>
      <c r="B1845" s="1">
        <f>IFERROR(__xludf.DUMMYFUNCTION("""COMPUTED_VALUE"""),145200.0)</f>
        <v>145200</v>
      </c>
      <c r="C1845" s="1">
        <f>IFERROR(__xludf.DUMMYFUNCTION("""COMPUTED_VALUE"""),145600.0)</f>
        <v>145600</v>
      </c>
      <c r="D1845" s="1">
        <f>IFERROR(__xludf.DUMMYFUNCTION("""COMPUTED_VALUE"""),142400.0)</f>
        <v>142400</v>
      </c>
      <c r="E1845" s="1">
        <f>IFERROR(__xludf.DUMMYFUNCTION("""COMPUTED_VALUE"""),143200.0)</f>
        <v>143200</v>
      </c>
      <c r="F1845" s="1">
        <f>IFERROR(__xludf.DUMMYFUNCTION("""COMPUTED_VALUE"""),123684.0)</f>
        <v>123684</v>
      </c>
    </row>
    <row r="1846">
      <c r="A1846" s="2">
        <f>IFERROR(__xludf.DUMMYFUNCTION("""COMPUTED_VALUE"""),43313.64583333333)</f>
        <v>43313.64583</v>
      </c>
      <c r="B1846" s="1">
        <f>IFERROR(__xludf.DUMMYFUNCTION("""COMPUTED_VALUE"""),143600.0)</f>
        <v>143600</v>
      </c>
      <c r="C1846" s="1">
        <f>IFERROR(__xludf.DUMMYFUNCTION("""COMPUTED_VALUE"""),145600.0)</f>
        <v>145600</v>
      </c>
      <c r="D1846" s="1">
        <f>IFERROR(__xludf.DUMMYFUNCTION("""COMPUTED_VALUE"""),143000.0)</f>
        <v>143000</v>
      </c>
      <c r="E1846" s="1">
        <f>IFERROR(__xludf.DUMMYFUNCTION("""COMPUTED_VALUE"""),145600.0)</f>
        <v>145600</v>
      </c>
      <c r="F1846" s="1">
        <f>IFERROR(__xludf.DUMMYFUNCTION("""COMPUTED_VALUE"""),102959.0)</f>
        <v>102959</v>
      </c>
    </row>
    <row r="1847">
      <c r="A1847" s="2">
        <f>IFERROR(__xludf.DUMMYFUNCTION("""COMPUTED_VALUE"""),43314.64583333333)</f>
        <v>43314.64583</v>
      </c>
      <c r="B1847" s="1">
        <f>IFERROR(__xludf.DUMMYFUNCTION("""COMPUTED_VALUE"""),145600.0)</f>
        <v>145600</v>
      </c>
      <c r="C1847" s="1">
        <f>IFERROR(__xludf.DUMMYFUNCTION("""COMPUTED_VALUE"""),147600.0)</f>
        <v>147600</v>
      </c>
      <c r="D1847" s="1">
        <f>IFERROR(__xludf.DUMMYFUNCTION("""COMPUTED_VALUE"""),144200.0)</f>
        <v>144200</v>
      </c>
      <c r="E1847" s="1">
        <f>IFERROR(__xludf.DUMMYFUNCTION("""COMPUTED_VALUE"""),145600.0)</f>
        <v>145600</v>
      </c>
      <c r="F1847" s="1">
        <f>IFERROR(__xludf.DUMMYFUNCTION("""COMPUTED_VALUE"""),80977.0)</f>
        <v>80977</v>
      </c>
    </row>
    <row r="1848">
      <c r="A1848" s="2">
        <f>IFERROR(__xludf.DUMMYFUNCTION("""COMPUTED_VALUE"""),43315.64583333333)</f>
        <v>43315.64583</v>
      </c>
      <c r="B1848" s="1">
        <f>IFERROR(__xludf.DUMMYFUNCTION("""COMPUTED_VALUE"""),144600.0)</f>
        <v>144600</v>
      </c>
      <c r="C1848" s="1">
        <f>IFERROR(__xludf.DUMMYFUNCTION("""COMPUTED_VALUE"""),146200.0)</f>
        <v>146200</v>
      </c>
      <c r="D1848" s="1">
        <f>IFERROR(__xludf.DUMMYFUNCTION("""COMPUTED_VALUE"""),144200.0)</f>
        <v>144200</v>
      </c>
      <c r="E1848" s="1">
        <f>IFERROR(__xludf.DUMMYFUNCTION("""COMPUTED_VALUE"""),146200.0)</f>
        <v>146200</v>
      </c>
      <c r="F1848" s="1">
        <f>IFERROR(__xludf.DUMMYFUNCTION("""COMPUTED_VALUE"""),106877.0)</f>
        <v>106877</v>
      </c>
    </row>
    <row r="1849">
      <c r="A1849" s="2">
        <f>IFERROR(__xludf.DUMMYFUNCTION("""COMPUTED_VALUE"""),43318.64583333333)</f>
        <v>43318.64583</v>
      </c>
      <c r="B1849" s="1">
        <f>IFERROR(__xludf.DUMMYFUNCTION("""COMPUTED_VALUE"""),146600.0)</f>
        <v>146600</v>
      </c>
      <c r="C1849" s="1">
        <f>IFERROR(__xludf.DUMMYFUNCTION("""COMPUTED_VALUE"""),149600.0)</f>
        <v>149600</v>
      </c>
      <c r="D1849" s="1">
        <f>IFERROR(__xludf.DUMMYFUNCTION("""COMPUTED_VALUE"""),146200.0)</f>
        <v>146200</v>
      </c>
      <c r="E1849" s="1">
        <f>IFERROR(__xludf.DUMMYFUNCTION("""COMPUTED_VALUE"""),147000.0)</f>
        <v>147000</v>
      </c>
      <c r="F1849" s="1">
        <f>IFERROR(__xludf.DUMMYFUNCTION("""COMPUTED_VALUE"""),60607.0)</f>
        <v>60607</v>
      </c>
    </row>
    <row r="1850">
      <c r="A1850" s="2">
        <f>IFERROR(__xludf.DUMMYFUNCTION("""COMPUTED_VALUE"""),43319.64583333333)</f>
        <v>43319.64583</v>
      </c>
      <c r="B1850" s="1">
        <f>IFERROR(__xludf.DUMMYFUNCTION("""COMPUTED_VALUE"""),148400.0)</f>
        <v>148400</v>
      </c>
      <c r="C1850" s="1">
        <f>IFERROR(__xludf.DUMMYFUNCTION("""COMPUTED_VALUE"""),150800.0)</f>
        <v>150800</v>
      </c>
      <c r="D1850" s="1">
        <f>IFERROR(__xludf.DUMMYFUNCTION("""COMPUTED_VALUE"""),147200.0)</f>
        <v>147200</v>
      </c>
      <c r="E1850" s="1">
        <f>IFERROR(__xludf.DUMMYFUNCTION("""COMPUTED_VALUE"""),148800.0)</f>
        <v>148800</v>
      </c>
      <c r="F1850" s="1">
        <f>IFERROR(__xludf.DUMMYFUNCTION("""COMPUTED_VALUE"""),64837.0)</f>
        <v>64837</v>
      </c>
    </row>
    <row r="1851">
      <c r="A1851" s="2">
        <f>IFERROR(__xludf.DUMMYFUNCTION("""COMPUTED_VALUE"""),43320.64583333333)</f>
        <v>43320.64583</v>
      </c>
      <c r="B1851" s="1">
        <f>IFERROR(__xludf.DUMMYFUNCTION("""COMPUTED_VALUE"""),148400.0)</f>
        <v>148400</v>
      </c>
      <c r="C1851" s="1">
        <f>IFERROR(__xludf.DUMMYFUNCTION("""COMPUTED_VALUE"""),151200.0)</f>
        <v>151200</v>
      </c>
      <c r="D1851" s="1">
        <f>IFERROR(__xludf.DUMMYFUNCTION("""COMPUTED_VALUE"""),148400.0)</f>
        <v>148400</v>
      </c>
      <c r="E1851" s="1">
        <f>IFERROR(__xludf.DUMMYFUNCTION("""COMPUTED_VALUE"""),150000.0)</f>
        <v>150000</v>
      </c>
      <c r="F1851" s="1">
        <f>IFERROR(__xludf.DUMMYFUNCTION("""COMPUTED_VALUE"""),62482.0)</f>
        <v>62482</v>
      </c>
    </row>
    <row r="1852">
      <c r="A1852" s="2">
        <f>IFERROR(__xludf.DUMMYFUNCTION("""COMPUTED_VALUE"""),43321.64583333333)</f>
        <v>43321.64583</v>
      </c>
      <c r="B1852" s="1">
        <f>IFERROR(__xludf.DUMMYFUNCTION("""COMPUTED_VALUE"""),150600.0)</f>
        <v>150600</v>
      </c>
      <c r="C1852" s="1">
        <f>IFERROR(__xludf.DUMMYFUNCTION("""COMPUTED_VALUE"""),155800.0)</f>
        <v>155800</v>
      </c>
      <c r="D1852" s="1">
        <f>IFERROR(__xludf.DUMMYFUNCTION("""COMPUTED_VALUE"""),149000.0)</f>
        <v>149000</v>
      </c>
      <c r="E1852" s="1">
        <f>IFERROR(__xludf.DUMMYFUNCTION("""COMPUTED_VALUE"""),155800.0)</f>
        <v>155800</v>
      </c>
      <c r="F1852" s="1">
        <f>IFERROR(__xludf.DUMMYFUNCTION("""COMPUTED_VALUE"""),133034.0)</f>
        <v>133034</v>
      </c>
    </row>
    <row r="1853">
      <c r="A1853" s="2">
        <f>IFERROR(__xludf.DUMMYFUNCTION("""COMPUTED_VALUE"""),43322.64583333333)</f>
        <v>43322.64583</v>
      </c>
      <c r="B1853" s="1">
        <f>IFERROR(__xludf.DUMMYFUNCTION("""COMPUTED_VALUE"""),155400.0)</f>
        <v>155400</v>
      </c>
      <c r="C1853" s="1">
        <f>IFERROR(__xludf.DUMMYFUNCTION("""COMPUTED_VALUE"""),156400.0)</f>
        <v>156400</v>
      </c>
      <c r="D1853" s="1">
        <f>IFERROR(__xludf.DUMMYFUNCTION("""COMPUTED_VALUE"""),154000.0)</f>
        <v>154000</v>
      </c>
      <c r="E1853" s="1">
        <f>IFERROR(__xludf.DUMMYFUNCTION("""COMPUTED_VALUE"""),154200.0)</f>
        <v>154200</v>
      </c>
      <c r="F1853" s="1">
        <f>IFERROR(__xludf.DUMMYFUNCTION("""COMPUTED_VALUE"""),69084.0)</f>
        <v>69084</v>
      </c>
    </row>
    <row r="1854">
      <c r="A1854" s="2">
        <f>IFERROR(__xludf.DUMMYFUNCTION("""COMPUTED_VALUE"""),43325.64583333333)</f>
        <v>43325.64583</v>
      </c>
      <c r="B1854" s="1">
        <f>IFERROR(__xludf.DUMMYFUNCTION("""COMPUTED_VALUE"""),153400.0)</f>
        <v>153400</v>
      </c>
      <c r="C1854" s="1">
        <f>IFERROR(__xludf.DUMMYFUNCTION("""COMPUTED_VALUE"""),153400.0)</f>
        <v>153400</v>
      </c>
      <c r="D1854" s="1">
        <f>IFERROR(__xludf.DUMMYFUNCTION("""COMPUTED_VALUE"""),150000.0)</f>
        <v>150000</v>
      </c>
      <c r="E1854" s="1">
        <f>IFERROR(__xludf.DUMMYFUNCTION("""COMPUTED_VALUE"""),151000.0)</f>
        <v>151000</v>
      </c>
      <c r="F1854" s="1">
        <f>IFERROR(__xludf.DUMMYFUNCTION("""COMPUTED_VALUE"""),83668.0)</f>
        <v>83668</v>
      </c>
    </row>
    <row r="1855">
      <c r="A1855" s="2">
        <f>IFERROR(__xludf.DUMMYFUNCTION("""COMPUTED_VALUE"""),43326.64583333333)</f>
        <v>43326.64583</v>
      </c>
      <c r="B1855" s="1">
        <f>IFERROR(__xludf.DUMMYFUNCTION("""COMPUTED_VALUE"""),152000.0)</f>
        <v>152000</v>
      </c>
      <c r="C1855" s="1">
        <f>IFERROR(__xludf.DUMMYFUNCTION("""COMPUTED_VALUE"""),153400.0)</f>
        <v>153400</v>
      </c>
      <c r="D1855" s="1">
        <f>IFERROR(__xludf.DUMMYFUNCTION("""COMPUTED_VALUE"""),150800.0)</f>
        <v>150800</v>
      </c>
      <c r="E1855" s="1">
        <f>IFERROR(__xludf.DUMMYFUNCTION("""COMPUTED_VALUE"""),151400.0)</f>
        <v>151400</v>
      </c>
      <c r="F1855" s="1">
        <f>IFERROR(__xludf.DUMMYFUNCTION("""COMPUTED_VALUE"""),61603.0)</f>
        <v>61603</v>
      </c>
    </row>
    <row r="1856">
      <c r="A1856" s="2">
        <f>IFERROR(__xludf.DUMMYFUNCTION("""COMPUTED_VALUE"""),43328.64583333333)</f>
        <v>43328.64583</v>
      </c>
      <c r="B1856" s="1">
        <f>IFERROR(__xludf.DUMMYFUNCTION("""COMPUTED_VALUE"""),150000.0)</f>
        <v>150000</v>
      </c>
      <c r="C1856" s="1">
        <f>IFERROR(__xludf.DUMMYFUNCTION("""COMPUTED_VALUE"""),152600.0)</f>
        <v>152600</v>
      </c>
      <c r="D1856" s="1">
        <f>IFERROR(__xludf.DUMMYFUNCTION("""COMPUTED_VALUE"""),149000.0)</f>
        <v>149000</v>
      </c>
      <c r="E1856" s="1">
        <f>IFERROR(__xludf.DUMMYFUNCTION("""COMPUTED_VALUE"""),150000.0)</f>
        <v>150000</v>
      </c>
      <c r="F1856" s="1">
        <f>IFERROR(__xludf.DUMMYFUNCTION("""COMPUTED_VALUE"""),114099.0)</f>
        <v>114099</v>
      </c>
    </row>
    <row r="1857">
      <c r="A1857" s="2">
        <f>IFERROR(__xludf.DUMMYFUNCTION("""COMPUTED_VALUE"""),43329.64583333333)</f>
        <v>43329.64583</v>
      </c>
      <c r="B1857" s="1">
        <f>IFERROR(__xludf.DUMMYFUNCTION("""COMPUTED_VALUE"""),150800.0)</f>
        <v>150800</v>
      </c>
      <c r="C1857" s="1">
        <f>IFERROR(__xludf.DUMMYFUNCTION("""COMPUTED_VALUE"""),153600.0)</f>
        <v>153600</v>
      </c>
      <c r="D1857" s="1">
        <f>IFERROR(__xludf.DUMMYFUNCTION("""COMPUTED_VALUE"""),149600.0)</f>
        <v>149600</v>
      </c>
      <c r="E1857" s="1">
        <f>IFERROR(__xludf.DUMMYFUNCTION("""COMPUTED_VALUE"""),151000.0)</f>
        <v>151000</v>
      </c>
      <c r="F1857" s="1">
        <f>IFERROR(__xludf.DUMMYFUNCTION("""COMPUTED_VALUE"""),38780.0)</f>
        <v>38780</v>
      </c>
    </row>
    <row r="1858">
      <c r="A1858" s="2">
        <f>IFERROR(__xludf.DUMMYFUNCTION("""COMPUTED_VALUE"""),43332.64583333333)</f>
        <v>43332.64583</v>
      </c>
      <c r="B1858" s="1">
        <f>IFERROR(__xludf.DUMMYFUNCTION("""COMPUTED_VALUE"""),152800.0)</f>
        <v>152800</v>
      </c>
      <c r="C1858" s="1">
        <f>IFERROR(__xludf.DUMMYFUNCTION("""COMPUTED_VALUE"""),153200.0)</f>
        <v>153200</v>
      </c>
      <c r="D1858" s="1">
        <f>IFERROR(__xludf.DUMMYFUNCTION("""COMPUTED_VALUE"""),150600.0)</f>
        <v>150600</v>
      </c>
      <c r="E1858" s="1">
        <f>IFERROR(__xludf.DUMMYFUNCTION("""COMPUTED_VALUE"""),151000.0)</f>
        <v>151000</v>
      </c>
      <c r="F1858" s="1">
        <f>IFERROR(__xludf.DUMMYFUNCTION("""COMPUTED_VALUE"""),38936.0)</f>
        <v>38936</v>
      </c>
    </row>
    <row r="1859">
      <c r="A1859" s="2">
        <f>IFERROR(__xludf.DUMMYFUNCTION("""COMPUTED_VALUE"""),43333.64583333333)</f>
        <v>43333.64583</v>
      </c>
      <c r="B1859" s="1">
        <f>IFERROR(__xludf.DUMMYFUNCTION("""COMPUTED_VALUE"""),150800.0)</f>
        <v>150800</v>
      </c>
      <c r="C1859" s="1">
        <f>IFERROR(__xludf.DUMMYFUNCTION("""COMPUTED_VALUE"""),152200.0)</f>
        <v>152200</v>
      </c>
      <c r="D1859" s="1">
        <f>IFERROR(__xludf.DUMMYFUNCTION("""COMPUTED_VALUE"""),149400.0)</f>
        <v>149400</v>
      </c>
      <c r="E1859" s="1">
        <f>IFERROR(__xludf.DUMMYFUNCTION("""COMPUTED_VALUE"""),149400.0)</f>
        <v>149400</v>
      </c>
      <c r="F1859" s="1">
        <f>IFERROR(__xludf.DUMMYFUNCTION("""COMPUTED_VALUE"""),48321.0)</f>
        <v>48321</v>
      </c>
    </row>
    <row r="1860">
      <c r="A1860" s="2">
        <f>IFERROR(__xludf.DUMMYFUNCTION("""COMPUTED_VALUE"""),43334.64583333333)</f>
        <v>43334.64583</v>
      </c>
      <c r="B1860" s="1">
        <f>IFERROR(__xludf.DUMMYFUNCTION("""COMPUTED_VALUE"""),149400.0)</f>
        <v>149400</v>
      </c>
      <c r="C1860" s="1">
        <f>IFERROR(__xludf.DUMMYFUNCTION("""COMPUTED_VALUE"""),149600.0)</f>
        <v>149600</v>
      </c>
      <c r="D1860" s="1">
        <f>IFERROR(__xludf.DUMMYFUNCTION("""COMPUTED_VALUE"""),148200.0)</f>
        <v>148200</v>
      </c>
      <c r="E1860" s="1">
        <f>IFERROR(__xludf.DUMMYFUNCTION("""COMPUTED_VALUE"""),149400.0)</f>
        <v>149400</v>
      </c>
      <c r="F1860" s="1">
        <f>IFERROR(__xludf.DUMMYFUNCTION("""COMPUTED_VALUE"""),47935.0)</f>
        <v>47935</v>
      </c>
    </row>
    <row r="1861">
      <c r="A1861" s="2">
        <f>IFERROR(__xludf.DUMMYFUNCTION("""COMPUTED_VALUE"""),43335.64583333333)</f>
        <v>43335.64583</v>
      </c>
      <c r="B1861" s="1">
        <f>IFERROR(__xludf.DUMMYFUNCTION("""COMPUTED_VALUE"""),151000.0)</f>
        <v>151000</v>
      </c>
      <c r="C1861" s="1">
        <f>IFERROR(__xludf.DUMMYFUNCTION("""COMPUTED_VALUE"""),154600.0)</f>
        <v>154600</v>
      </c>
      <c r="D1861" s="1">
        <f>IFERROR(__xludf.DUMMYFUNCTION("""COMPUTED_VALUE"""),150400.0)</f>
        <v>150400</v>
      </c>
      <c r="E1861" s="1">
        <f>IFERROR(__xludf.DUMMYFUNCTION("""COMPUTED_VALUE"""),154400.0)</f>
        <v>154400</v>
      </c>
      <c r="F1861" s="1">
        <f>IFERROR(__xludf.DUMMYFUNCTION("""COMPUTED_VALUE"""),99084.0)</f>
        <v>99084</v>
      </c>
    </row>
    <row r="1862">
      <c r="A1862" s="2">
        <f>IFERROR(__xludf.DUMMYFUNCTION("""COMPUTED_VALUE"""),43336.64583333333)</f>
        <v>43336.64583</v>
      </c>
      <c r="B1862" s="1">
        <f>IFERROR(__xludf.DUMMYFUNCTION("""COMPUTED_VALUE"""),154200.0)</f>
        <v>154200</v>
      </c>
      <c r="C1862" s="1">
        <f>IFERROR(__xludf.DUMMYFUNCTION("""COMPUTED_VALUE"""),155800.0)</f>
        <v>155800</v>
      </c>
      <c r="D1862" s="1">
        <f>IFERROR(__xludf.DUMMYFUNCTION("""COMPUTED_VALUE"""),151000.0)</f>
        <v>151000</v>
      </c>
      <c r="E1862" s="1">
        <f>IFERROR(__xludf.DUMMYFUNCTION("""COMPUTED_VALUE"""),151600.0)</f>
        <v>151600</v>
      </c>
      <c r="F1862" s="1">
        <f>IFERROR(__xludf.DUMMYFUNCTION("""COMPUTED_VALUE"""),54260.0)</f>
        <v>54260</v>
      </c>
    </row>
    <row r="1863">
      <c r="A1863" s="2">
        <f>IFERROR(__xludf.DUMMYFUNCTION("""COMPUTED_VALUE"""),43339.64583333333)</f>
        <v>43339.64583</v>
      </c>
      <c r="B1863" s="1">
        <f>IFERROR(__xludf.DUMMYFUNCTION("""COMPUTED_VALUE"""),152600.0)</f>
        <v>152600</v>
      </c>
      <c r="C1863" s="1">
        <f>IFERROR(__xludf.DUMMYFUNCTION("""COMPUTED_VALUE"""),155000.0)</f>
        <v>155000</v>
      </c>
      <c r="D1863" s="1">
        <f>IFERROR(__xludf.DUMMYFUNCTION("""COMPUTED_VALUE"""),152000.0)</f>
        <v>152000</v>
      </c>
      <c r="E1863" s="1">
        <f>IFERROR(__xludf.DUMMYFUNCTION("""COMPUTED_VALUE"""),153800.0)</f>
        <v>153800</v>
      </c>
      <c r="F1863" s="1">
        <f>IFERROR(__xludf.DUMMYFUNCTION("""COMPUTED_VALUE"""),44748.0)</f>
        <v>44748</v>
      </c>
    </row>
    <row r="1864">
      <c r="A1864" s="2">
        <f>IFERROR(__xludf.DUMMYFUNCTION("""COMPUTED_VALUE"""),43340.64583333333)</f>
        <v>43340.64583</v>
      </c>
      <c r="B1864" s="1">
        <f>IFERROR(__xludf.DUMMYFUNCTION("""COMPUTED_VALUE"""),154400.0)</f>
        <v>154400</v>
      </c>
      <c r="C1864" s="1">
        <f>IFERROR(__xludf.DUMMYFUNCTION("""COMPUTED_VALUE"""),154400.0)</f>
        <v>154400</v>
      </c>
      <c r="D1864" s="1">
        <f>IFERROR(__xludf.DUMMYFUNCTION("""COMPUTED_VALUE"""),150600.0)</f>
        <v>150600</v>
      </c>
      <c r="E1864" s="1">
        <f>IFERROR(__xludf.DUMMYFUNCTION("""COMPUTED_VALUE"""),151200.0)</f>
        <v>151200</v>
      </c>
      <c r="F1864" s="1">
        <f>IFERROR(__xludf.DUMMYFUNCTION("""COMPUTED_VALUE"""),46667.0)</f>
        <v>46667</v>
      </c>
    </row>
    <row r="1865">
      <c r="A1865" s="2">
        <f>IFERROR(__xludf.DUMMYFUNCTION("""COMPUTED_VALUE"""),43341.64583333333)</f>
        <v>43341.64583</v>
      </c>
      <c r="B1865" s="1">
        <f>IFERROR(__xludf.DUMMYFUNCTION("""COMPUTED_VALUE"""),151200.0)</f>
        <v>151200</v>
      </c>
      <c r="C1865" s="1">
        <f>IFERROR(__xludf.DUMMYFUNCTION("""COMPUTED_VALUE"""),152000.0)</f>
        <v>152000</v>
      </c>
      <c r="D1865" s="1">
        <f>IFERROR(__xludf.DUMMYFUNCTION("""COMPUTED_VALUE"""),149600.0)</f>
        <v>149600</v>
      </c>
      <c r="E1865" s="1">
        <f>IFERROR(__xludf.DUMMYFUNCTION("""COMPUTED_VALUE"""),149600.0)</f>
        <v>149600</v>
      </c>
      <c r="F1865" s="1">
        <f>IFERROR(__xludf.DUMMYFUNCTION("""COMPUTED_VALUE"""),54950.0)</f>
        <v>54950</v>
      </c>
    </row>
    <row r="1866">
      <c r="A1866" s="2">
        <f>IFERROR(__xludf.DUMMYFUNCTION("""COMPUTED_VALUE"""),43342.64583333333)</f>
        <v>43342.64583</v>
      </c>
      <c r="B1866" s="1">
        <f>IFERROR(__xludf.DUMMYFUNCTION("""COMPUTED_VALUE"""),149600.0)</f>
        <v>149600</v>
      </c>
      <c r="C1866" s="1">
        <f>IFERROR(__xludf.DUMMYFUNCTION("""COMPUTED_VALUE"""),151400.0)</f>
        <v>151400</v>
      </c>
      <c r="D1866" s="1">
        <f>IFERROR(__xludf.DUMMYFUNCTION("""COMPUTED_VALUE"""),149000.0)</f>
        <v>149000</v>
      </c>
      <c r="E1866" s="1">
        <f>IFERROR(__xludf.DUMMYFUNCTION("""COMPUTED_VALUE"""),149200.0)</f>
        <v>149200</v>
      </c>
      <c r="F1866" s="1">
        <f>IFERROR(__xludf.DUMMYFUNCTION("""COMPUTED_VALUE"""),238975.0)</f>
        <v>238975</v>
      </c>
    </row>
    <row r="1867">
      <c r="A1867" s="2">
        <f>IFERROR(__xludf.DUMMYFUNCTION("""COMPUTED_VALUE"""),43343.64583333333)</f>
        <v>43343.64583</v>
      </c>
      <c r="B1867" s="1">
        <f>IFERROR(__xludf.DUMMYFUNCTION("""COMPUTED_VALUE"""),149400.0)</f>
        <v>149400</v>
      </c>
      <c r="C1867" s="1">
        <f>IFERROR(__xludf.DUMMYFUNCTION("""COMPUTED_VALUE"""),151200.0)</f>
        <v>151200</v>
      </c>
      <c r="D1867" s="1">
        <f>IFERROR(__xludf.DUMMYFUNCTION("""COMPUTED_VALUE"""),149200.0)</f>
        <v>149200</v>
      </c>
      <c r="E1867" s="1">
        <f>IFERROR(__xludf.DUMMYFUNCTION("""COMPUTED_VALUE"""),150400.0)</f>
        <v>150400</v>
      </c>
      <c r="F1867" s="1">
        <f>IFERROR(__xludf.DUMMYFUNCTION("""COMPUTED_VALUE"""),57953.0)</f>
        <v>57953</v>
      </c>
    </row>
    <row r="1868">
      <c r="A1868" s="2">
        <f>IFERROR(__xludf.DUMMYFUNCTION("""COMPUTED_VALUE"""),43346.64583333333)</f>
        <v>43346.64583</v>
      </c>
      <c r="B1868" s="1">
        <f>IFERROR(__xludf.DUMMYFUNCTION("""COMPUTED_VALUE"""),150600.0)</f>
        <v>150600</v>
      </c>
      <c r="C1868" s="1">
        <f>IFERROR(__xludf.DUMMYFUNCTION("""COMPUTED_VALUE"""),151000.0)</f>
        <v>151000</v>
      </c>
      <c r="D1868" s="1">
        <f>IFERROR(__xludf.DUMMYFUNCTION("""COMPUTED_VALUE"""),149400.0)</f>
        <v>149400</v>
      </c>
      <c r="E1868" s="1">
        <f>IFERROR(__xludf.DUMMYFUNCTION("""COMPUTED_VALUE"""),150800.0)</f>
        <v>150800</v>
      </c>
      <c r="F1868" s="1">
        <f>IFERROR(__xludf.DUMMYFUNCTION("""COMPUTED_VALUE"""),31207.0)</f>
        <v>31207</v>
      </c>
    </row>
    <row r="1869">
      <c r="A1869" s="2">
        <f>IFERROR(__xludf.DUMMYFUNCTION("""COMPUTED_VALUE"""),43347.64583333333)</f>
        <v>43347.64583</v>
      </c>
      <c r="B1869" s="1">
        <f>IFERROR(__xludf.DUMMYFUNCTION("""COMPUTED_VALUE"""),151400.0)</f>
        <v>151400</v>
      </c>
      <c r="C1869" s="1">
        <f>IFERROR(__xludf.DUMMYFUNCTION("""COMPUTED_VALUE"""),151400.0)</f>
        <v>151400</v>
      </c>
      <c r="D1869" s="1">
        <f>IFERROR(__xludf.DUMMYFUNCTION("""COMPUTED_VALUE"""),149800.0)</f>
        <v>149800</v>
      </c>
      <c r="E1869" s="1">
        <f>IFERROR(__xludf.DUMMYFUNCTION("""COMPUTED_VALUE"""),151000.0)</f>
        <v>151000</v>
      </c>
      <c r="F1869" s="1">
        <f>IFERROR(__xludf.DUMMYFUNCTION("""COMPUTED_VALUE"""),37456.0)</f>
        <v>37456</v>
      </c>
    </row>
    <row r="1870">
      <c r="A1870" s="2">
        <f>IFERROR(__xludf.DUMMYFUNCTION("""COMPUTED_VALUE"""),43348.64583333333)</f>
        <v>43348.64583</v>
      </c>
      <c r="B1870" s="1">
        <f>IFERROR(__xludf.DUMMYFUNCTION("""COMPUTED_VALUE"""),150600.0)</f>
        <v>150600</v>
      </c>
      <c r="C1870" s="1">
        <f>IFERROR(__xludf.DUMMYFUNCTION("""COMPUTED_VALUE"""),150600.0)</f>
        <v>150600</v>
      </c>
      <c r="D1870" s="1">
        <f>IFERROR(__xludf.DUMMYFUNCTION("""COMPUTED_VALUE"""),145400.0)</f>
        <v>145400</v>
      </c>
      <c r="E1870" s="1">
        <f>IFERROR(__xludf.DUMMYFUNCTION("""COMPUTED_VALUE"""),147200.0)</f>
        <v>147200</v>
      </c>
      <c r="F1870" s="1">
        <f>IFERROR(__xludf.DUMMYFUNCTION("""COMPUTED_VALUE"""),118285.0)</f>
        <v>118285</v>
      </c>
    </row>
    <row r="1871">
      <c r="A1871" s="2">
        <f>IFERROR(__xludf.DUMMYFUNCTION("""COMPUTED_VALUE"""),43349.64583333333)</f>
        <v>43349.64583</v>
      </c>
      <c r="B1871" s="1">
        <f>IFERROR(__xludf.DUMMYFUNCTION("""COMPUTED_VALUE"""),147200.0)</f>
        <v>147200</v>
      </c>
      <c r="C1871" s="1">
        <f>IFERROR(__xludf.DUMMYFUNCTION("""COMPUTED_VALUE"""),148000.0)</f>
        <v>148000</v>
      </c>
      <c r="D1871" s="1">
        <f>IFERROR(__xludf.DUMMYFUNCTION("""COMPUTED_VALUE"""),145400.0)</f>
        <v>145400</v>
      </c>
      <c r="E1871" s="1">
        <f>IFERROR(__xludf.DUMMYFUNCTION("""COMPUTED_VALUE"""),146000.0)</f>
        <v>146000</v>
      </c>
      <c r="F1871" s="1">
        <f>IFERROR(__xludf.DUMMYFUNCTION("""COMPUTED_VALUE"""),70491.0)</f>
        <v>70491</v>
      </c>
    </row>
    <row r="1872">
      <c r="A1872" s="2">
        <f>IFERROR(__xludf.DUMMYFUNCTION("""COMPUTED_VALUE"""),43350.64583333333)</f>
        <v>43350.64583</v>
      </c>
      <c r="B1872" s="1">
        <f>IFERROR(__xludf.DUMMYFUNCTION("""COMPUTED_VALUE"""),146400.0)</f>
        <v>146400</v>
      </c>
      <c r="C1872" s="1">
        <f>IFERROR(__xludf.DUMMYFUNCTION("""COMPUTED_VALUE"""),147000.0)</f>
        <v>147000</v>
      </c>
      <c r="D1872" s="1">
        <f>IFERROR(__xludf.DUMMYFUNCTION("""COMPUTED_VALUE"""),144400.0)</f>
        <v>144400</v>
      </c>
      <c r="E1872" s="1">
        <f>IFERROR(__xludf.DUMMYFUNCTION("""COMPUTED_VALUE"""),146400.0)</f>
        <v>146400</v>
      </c>
      <c r="F1872" s="1">
        <f>IFERROR(__xludf.DUMMYFUNCTION("""COMPUTED_VALUE"""),64573.0)</f>
        <v>64573</v>
      </c>
    </row>
    <row r="1873">
      <c r="A1873" s="2">
        <f>IFERROR(__xludf.DUMMYFUNCTION("""COMPUTED_VALUE"""),43353.64583333333)</f>
        <v>43353.64583</v>
      </c>
      <c r="B1873" s="1">
        <f>IFERROR(__xludf.DUMMYFUNCTION("""COMPUTED_VALUE"""),144000.0)</f>
        <v>144000</v>
      </c>
      <c r="C1873" s="1">
        <f>IFERROR(__xludf.DUMMYFUNCTION("""COMPUTED_VALUE"""),146400.0)</f>
        <v>146400</v>
      </c>
      <c r="D1873" s="1">
        <f>IFERROR(__xludf.DUMMYFUNCTION("""COMPUTED_VALUE"""),144000.0)</f>
        <v>144000</v>
      </c>
      <c r="E1873" s="1">
        <f>IFERROR(__xludf.DUMMYFUNCTION("""COMPUTED_VALUE"""),145000.0)</f>
        <v>145000</v>
      </c>
      <c r="F1873" s="1">
        <f>IFERROR(__xludf.DUMMYFUNCTION("""COMPUTED_VALUE"""),71966.0)</f>
        <v>71966</v>
      </c>
    </row>
    <row r="1874">
      <c r="A1874" s="2">
        <f>IFERROR(__xludf.DUMMYFUNCTION("""COMPUTED_VALUE"""),43354.64583333333)</f>
        <v>43354.64583</v>
      </c>
      <c r="B1874" s="1">
        <f>IFERROR(__xludf.DUMMYFUNCTION("""COMPUTED_VALUE"""),144600.0)</f>
        <v>144600</v>
      </c>
      <c r="C1874" s="1">
        <f>IFERROR(__xludf.DUMMYFUNCTION("""COMPUTED_VALUE"""),146200.0)</f>
        <v>146200</v>
      </c>
      <c r="D1874" s="1">
        <f>IFERROR(__xludf.DUMMYFUNCTION("""COMPUTED_VALUE"""),144400.0)</f>
        <v>144400</v>
      </c>
      <c r="E1874" s="1">
        <f>IFERROR(__xludf.DUMMYFUNCTION("""COMPUTED_VALUE"""),145200.0)</f>
        <v>145200</v>
      </c>
      <c r="F1874" s="1">
        <f>IFERROR(__xludf.DUMMYFUNCTION("""COMPUTED_VALUE"""),58594.0)</f>
        <v>58594</v>
      </c>
    </row>
    <row r="1875">
      <c r="A1875" s="2">
        <f>IFERROR(__xludf.DUMMYFUNCTION("""COMPUTED_VALUE"""),43355.64583333333)</f>
        <v>43355.64583</v>
      </c>
      <c r="B1875" s="1">
        <f>IFERROR(__xludf.DUMMYFUNCTION("""COMPUTED_VALUE"""),146000.0)</f>
        <v>146000</v>
      </c>
      <c r="C1875" s="1">
        <f>IFERROR(__xludf.DUMMYFUNCTION("""COMPUTED_VALUE"""),146800.0)</f>
        <v>146800</v>
      </c>
      <c r="D1875" s="1">
        <f>IFERROR(__xludf.DUMMYFUNCTION("""COMPUTED_VALUE"""),145200.0)</f>
        <v>145200</v>
      </c>
      <c r="E1875" s="1">
        <f>IFERROR(__xludf.DUMMYFUNCTION("""COMPUTED_VALUE"""),146000.0)</f>
        <v>146000</v>
      </c>
      <c r="F1875" s="1">
        <f>IFERROR(__xludf.DUMMYFUNCTION("""COMPUTED_VALUE"""),58216.0)</f>
        <v>58216</v>
      </c>
    </row>
    <row r="1876">
      <c r="A1876" s="2">
        <f>IFERROR(__xludf.DUMMYFUNCTION("""COMPUTED_VALUE"""),43356.64583333333)</f>
        <v>43356.64583</v>
      </c>
      <c r="B1876" s="1">
        <f>IFERROR(__xludf.DUMMYFUNCTION("""COMPUTED_VALUE"""),147000.0)</f>
        <v>147000</v>
      </c>
      <c r="C1876" s="1">
        <f>IFERROR(__xludf.DUMMYFUNCTION("""COMPUTED_VALUE"""),147000.0)</f>
        <v>147000</v>
      </c>
      <c r="D1876" s="1">
        <f>IFERROR(__xludf.DUMMYFUNCTION("""COMPUTED_VALUE"""),144600.0)</f>
        <v>144600</v>
      </c>
      <c r="E1876" s="1">
        <f>IFERROR(__xludf.DUMMYFUNCTION("""COMPUTED_VALUE"""),144600.0)</f>
        <v>144600</v>
      </c>
      <c r="F1876" s="1">
        <f>IFERROR(__xludf.DUMMYFUNCTION("""COMPUTED_VALUE"""),102811.0)</f>
        <v>102811</v>
      </c>
    </row>
    <row r="1877">
      <c r="A1877" s="2">
        <f>IFERROR(__xludf.DUMMYFUNCTION("""COMPUTED_VALUE"""),43357.64583333333)</f>
        <v>43357.64583</v>
      </c>
      <c r="B1877" s="1">
        <f>IFERROR(__xludf.DUMMYFUNCTION("""COMPUTED_VALUE"""),145200.0)</f>
        <v>145200</v>
      </c>
      <c r="C1877" s="1">
        <f>IFERROR(__xludf.DUMMYFUNCTION("""COMPUTED_VALUE"""),146600.0)</f>
        <v>146600</v>
      </c>
      <c r="D1877" s="1">
        <f>IFERROR(__xludf.DUMMYFUNCTION("""COMPUTED_VALUE"""),144800.0)</f>
        <v>144800</v>
      </c>
      <c r="E1877" s="1">
        <f>IFERROR(__xludf.DUMMYFUNCTION("""COMPUTED_VALUE"""),146000.0)</f>
        <v>146000</v>
      </c>
      <c r="F1877" s="1">
        <f>IFERROR(__xludf.DUMMYFUNCTION("""COMPUTED_VALUE"""),73168.0)</f>
        <v>73168</v>
      </c>
    </row>
    <row r="1878">
      <c r="A1878" s="2">
        <f>IFERROR(__xludf.DUMMYFUNCTION("""COMPUTED_VALUE"""),43360.64583333333)</f>
        <v>43360.64583</v>
      </c>
      <c r="B1878" s="1">
        <f>IFERROR(__xludf.DUMMYFUNCTION("""COMPUTED_VALUE"""),145000.0)</f>
        <v>145000</v>
      </c>
      <c r="C1878" s="1">
        <f>IFERROR(__xludf.DUMMYFUNCTION("""COMPUTED_VALUE"""),146200.0)</f>
        <v>146200</v>
      </c>
      <c r="D1878" s="1">
        <f>IFERROR(__xludf.DUMMYFUNCTION("""COMPUTED_VALUE"""),144600.0)</f>
        <v>144600</v>
      </c>
      <c r="E1878" s="1">
        <f>IFERROR(__xludf.DUMMYFUNCTION("""COMPUTED_VALUE"""),145600.0)</f>
        <v>145600</v>
      </c>
      <c r="F1878" s="1">
        <f>IFERROR(__xludf.DUMMYFUNCTION("""COMPUTED_VALUE"""),53951.0)</f>
        <v>53951</v>
      </c>
    </row>
    <row r="1879">
      <c r="A1879" s="2">
        <f>IFERROR(__xludf.DUMMYFUNCTION("""COMPUTED_VALUE"""),43361.64583333333)</f>
        <v>43361.64583</v>
      </c>
      <c r="B1879" s="1">
        <f>IFERROR(__xludf.DUMMYFUNCTION("""COMPUTED_VALUE"""),144000.0)</f>
        <v>144000</v>
      </c>
      <c r="C1879" s="1">
        <f>IFERROR(__xludf.DUMMYFUNCTION("""COMPUTED_VALUE"""),145800.0)</f>
        <v>145800</v>
      </c>
      <c r="D1879" s="1">
        <f>IFERROR(__xludf.DUMMYFUNCTION("""COMPUTED_VALUE"""),144000.0)</f>
        <v>144000</v>
      </c>
      <c r="E1879" s="1">
        <f>IFERROR(__xludf.DUMMYFUNCTION("""COMPUTED_VALUE"""),145000.0)</f>
        <v>145000</v>
      </c>
      <c r="F1879" s="1">
        <f>IFERROR(__xludf.DUMMYFUNCTION("""COMPUTED_VALUE"""),55452.0)</f>
        <v>55452</v>
      </c>
    </row>
    <row r="1880">
      <c r="A1880" s="2">
        <f>IFERROR(__xludf.DUMMYFUNCTION("""COMPUTED_VALUE"""),43362.64583333333)</f>
        <v>43362.64583</v>
      </c>
      <c r="B1880" s="1">
        <f>IFERROR(__xludf.DUMMYFUNCTION("""COMPUTED_VALUE"""),145200.0)</f>
        <v>145200</v>
      </c>
      <c r="C1880" s="1">
        <f>IFERROR(__xludf.DUMMYFUNCTION("""COMPUTED_VALUE"""),146800.0)</f>
        <v>146800</v>
      </c>
      <c r="D1880" s="1">
        <f>IFERROR(__xludf.DUMMYFUNCTION("""COMPUTED_VALUE"""),145000.0)</f>
        <v>145000</v>
      </c>
      <c r="E1880" s="1">
        <f>IFERROR(__xludf.DUMMYFUNCTION("""COMPUTED_VALUE"""),146200.0)</f>
        <v>146200</v>
      </c>
      <c r="F1880" s="1">
        <f>IFERROR(__xludf.DUMMYFUNCTION("""COMPUTED_VALUE"""),55286.0)</f>
        <v>55286</v>
      </c>
    </row>
    <row r="1881">
      <c r="A1881" s="2">
        <f>IFERROR(__xludf.DUMMYFUNCTION("""COMPUTED_VALUE"""),43363.64583333333)</f>
        <v>43363.64583</v>
      </c>
      <c r="B1881" s="1">
        <f>IFERROR(__xludf.DUMMYFUNCTION("""COMPUTED_VALUE"""),144400.0)</f>
        <v>144400</v>
      </c>
      <c r="C1881" s="1">
        <f>IFERROR(__xludf.DUMMYFUNCTION("""COMPUTED_VALUE"""),146800.0)</f>
        <v>146800</v>
      </c>
      <c r="D1881" s="1">
        <f>IFERROR(__xludf.DUMMYFUNCTION("""COMPUTED_VALUE"""),144400.0)</f>
        <v>144400</v>
      </c>
      <c r="E1881" s="1">
        <f>IFERROR(__xludf.DUMMYFUNCTION("""COMPUTED_VALUE"""),146200.0)</f>
        <v>146200</v>
      </c>
      <c r="F1881" s="1">
        <f>IFERROR(__xludf.DUMMYFUNCTION("""COMPUTED_VALUE"""),57439.0)</f>
        <v>57439</v>
      </c>
    </row>
    <row r="1882">
      <c r="A1882" s="2">
        <f>IFERROR(__xludf.DUMMYFUNCTION("""COMPUTED_VALUE"""),43364.64583333333)</f>
        <v>43364.64583</v>
      </c>
      <c r="B1882" s="1">
        <f>IFERROR(__xludf.DUMMYFUNCTION("""COMPUTED_VALUE"""),148200.0)</f>
        <v>148200</v>
      </c>
      <c r="C1882" s="1">
        <f>IFERROR(__xludf.DUMMYFUNCTION("""COMPUTED_VALUE"""),148600.0)</f>
        <v>148600</v>
      </c>
      <c r="D1882" s="1">
        <f>IFERROR(__xludf.DUMMYFUNCTION("""COMPUTED_VALUE"""),144600.0)</f>
        <v>144600</v>
      </c>
      <c r="E1882" s="1">
        <f>IFERROR(__xludf.DUMMYFUNCTION("""COMPUTED_VALUE"""),145000.0)</f>
        <v>145000</v>
      </c>
      <c r="F1882" s="1">
        <f>IFERROR(__xludf.DUMMYFUNCTION("""COMPUTED_VALUE"""),75131.0)</f>
        <v>75131</v>
      </c>
    </row>
    <row r="1883">
      <c r="A1883" s="2">
        <f>IFERROR(__xludf.DUMMYFUNCTION("""COMPUTED_VALUE"""),43370.64583333333)</f>
        <v>43370.64583</v>
      </c>
      <c r="B1883" s="1">
        <f>IFERROR(__xludf.DUMMYFUNCTION("""COMPUTED_VALUE"""),143000.0)</f>
        <v>143000</v>
      </c>
      <c r="C1883" s="1">
        <f>IFERROR(__xludf.DUMMYFUNCTION("""COMPUTED_VALUE"""),146000.0)</f>
        <v>146000</v>
      </c>
      <c r="D1883" s="1">
        <f>IFERROR(__xludf.DUMMYFUNCTION("""COMPUTED_VALUE"""),142400.0)</f>
        <v>142400</v>
      </c>
      <c r="E1883" s="1">
        <f>IFERROR(__xludf.DUMMYFUNCTION("""COMPUTED_VALUE"""),142600.0)</f>
        <v>142600</v>
      </c>
      <c r="F1883" s="1">
        <f>IFERROR(__xludf.DUMMYFUNCTION("""COMPUTED_VALUE"""),78015.0)</f>
        <v>78015</v>
      </c>
    </row>
    <row r="1884">
      <c r="A1884" s="2">
        <f>IFERROR(__xludf.DUMMYFUNCTION("""COMPUTED_VALUE"""),43371.64583333333)</f>
        <v>43371.64583</v>
      </c>
      <c r="B1884" s="1">
        <f>IFERROR(__xludf.DUMMYFUNCTION("""COMPUTED_VALUE"""),143400.0)</f>
        <v>143400</v>
      </c>
      <c r="C1884" s="1">
        <f>IFERROR(__xludf.DUMMYFUNCTION("""COMPUTED_VALUE"""),143800.0)</f>
        <v>143800</v>
      </c>
      <c r="D1884" s="1">
        <f>IFERROR(__xludf.DUMMYFUNCTION("""COMPUTED_VALUE"""),142600.0)</f>
        <v>142600</v>
      </c>
      <c r="E1884" s="1">
        <f>IFERROR(__xludf.DUMMYFUNCTION("""COMPUTED_VALUE"""),143200.0)</f>
        <v>143200</v>
      </c>
      <c r="F1884" s="1">
        <f>IFERROR(__xludf.DUMMYFUNCTION("""COMPUTED_VALUE"""),97465.0)</f>
        <v>97465</v>
      </c>
    </row>
    <row r="1885">
      <c r="A1885" s="2">
        <f>IFERROR(__xludf.DUMMYFUNCTION("""COMPUTED_VALUE"""),43374.64583333333)</f>
        <v>43374.64583</v>
      </c>
      <c r="B1885" s="1">
        <f>IFERROR(__xludf.DUMMYFUNCTION("""COMPUTED_VALUE"""),143600.0)</f>
        <v>143600</v>
      </c>
      <c r="C1885" s="1">
        <f>IFERROR(__xludf.DUMMYFUNCTION("""COMPUTED_VALUE"""),144400.0)</f>
        <v>144400</v>
      </c>
      <c r="D1885" s="1">
        <f>IFERROR(__xludf.DUMMYFUNCTION("""COMPUTED_VALUE"""),142200.0)</f>
        <v>142200</v>
      </c>
      <c r="E1885" s="1">
        <f>IFERROR(__xludf.DUMMYFUNCTION("""COMPUTED_VALUE"""),142600.0)</f>
        <v>142600</v>
      </c>
      <c r="F1885" s="1">
        <f>IFERROR(__xludf.DUMMYFUNCTION("""COMPUTED_VALUE"""),42217.0)</f>
        <v>42217</v>
      </c>
    </row>
    <row r="1886">
      <c r="A1886" s="2">
        <f>IFERROR(__xludf.DUMMYFUNCTION("""COMPUTED_VALUE"""),43375.64583333333)</f>
        <v>43375.64583</v>
      </c>
      <c r="B1886" s="1">
        <f>IFERROR(__xludf.DUMMYFUNCTION("""COMPUTED_VALUE"""),143000.0)</f>
        <v>143000</v>
      </c>
      <c r="C1886" s="1">
        <f>IFERROR(__xludf.DUMMYFUNCTION("""COMPUTED_VALUE"""),143000.0)</f>
        <v>143000</v>
      </c>
      <c r="D1886" s="1">
        <f>IFERROR(__xludf.DUMMYFUNCTION("""COMPUTED_VALUE"""),137200.0)</f>
        <v>137200</v>
      </c>
      <c r="E1886" s="1">
        <f>IFERROR(__xludf.DUMMYFUNCTION("""COMPUTED_VALUE"""),137800.0)</f>
        <v>137800</v>
      </c>
      <c r="F1886" s="1">
        <f>IFERROR(__xludf.DUMMYFUNCTION("""COMPUTED_VALUE"""),148984.0)</f>
        <v>148984</v>
      </c>
    </row>
    <row r="1887">
      <c r="A1887" s="2">
        <f>IFERROR(__xludf.DUMMYFUNCTION("""COMPUTED_VALUE"""),43377.64583333333)</f>
        <v>43377.64583</v>
      </c>
      <c r="B1887" s="1">
        <f>IFERROR(__xludf.DUMMYFUNCTION("""COMPUTED_VALUE"""),140000.0)</f>
        <v>140000</v>
      </c>
      <c r="C1887" s="1">
        <f>IFERROR(__xludf.DUMMYFUNCTION("""COMPUTED_VALUE"""),140400.0)</f>
        <v>140400</v>
      </c>
      <c r="D1887" s="1">
        <f>IFERROR(__xludf.DUMMYFUNCTION("""COMPUTED_VALUE"""),137000.0)</f>
        <v>137000</v>
      </c>
      <c r="E1887" s="1">
        <f>IFERROR(__xludf.DUMMYFUNCTION("""COMPUTED_VALUE"""),139000.0)</f>
        <v>139000</v>
      </c>
      <c r="F1887" s="1">
        <f>IFERROR(__xludf.DUMMYFUNCTION("""COMPUTED_VALUE"""),70697.0)</f>
        <v>70697</v>
      </c>
    </row>
    <row r="1888">
      <c r="A1888" s="2">
        <f>IFERROR(__xludf.DUMMYFUNCTION("""COMPUTED_VALUE"""),43378.64583333333)</f>
        <v>43378.64583</v>
      </c>
      <c r="B1888" s="1">
        <f>IFERROR(__xludf.DUMMYFUNCTION("""COMPUTED_VALUE"""),136400.0)</f>
        <v>136400</v>
      </c>
      <c r="C1888" s="1">
        <f>IFERROR(__xludf.DUMMYFUNCTION("""COMPUTED_VALUE"""),143200.0)</f>
        <v>143200</v>
      </c>
      <c r="D1888" s="1">
        <f>IFERROR(__xludf.DUMMYFUNCTION("""COMPUTED_VALUE"""),136400.0)</f>
        <v>136400</v>
      </c>
      <c r="E1888" s="1">
        <f>IFERROR(__xludf.DUMMYFUNCTION("""COMPUTED_VALUE"""),140800.0)</f>
        <v>140800</v>
      </c>
      <c r="F1888" s="1">
        <f>IFERROR(__xludf.DUMMYFUNCTION("""COMPUTED_VALUE"""),85596.0)</f>
        <v>85596</v>
      </c>
    </row>
    <row r="1889">
      <c r="A1889" s="2">
        <f>IFERROR(__xludf.DUMMYFUNCTION("""COMPUTED_VALUE"""),43385.64583333333)</f>
        <v>43385.64583</v>
      </c>
      <c r="B1889" s="1">
        <f>IFERROR(__xludf.DUMMYFUNCTION("""COMPUTED_VALUE"""),138000.0)</f>
        <v>138000</v>
      </c>
      <c r="C1889" s="1">
        <f>IFERROR(__xludf.DUMMYFUNCTION("""COMPUTED_VALUE"""),142000.0)</f>
        <v>142000</v>
      </c>
      <c r="D1889" s="1">
        <f>IFERROR(__xludf.DUMMYFUNCTION("""COMPUTED_VALUE"""),132500.0)</f>
        <v>132500</v>
      </c>
      <c r="E1889" s="1">
        <f>IFERROR(__xludf.DUMMYFUNCTION("""COMPUTED_VALUE"""),142000.0)</f>
        <v>142000</v>
      </c>
      <c r="F1889" s="1">
        <f>IFERROR(__xludf.DUMMYFUNCTION("""COMPUTED_VALUE"""),654013.0)</f>
        <v>654013</v>
      </c>
    </row>
    <row r="1890">
      <c r="A1890" s="2">
        <f>IFERROR(__xludf.DUMMYFUNCTION("""COMPUTED_VALUE"""),43388.64583333333)</f>
        <v>43388.64583</v>
      </c>
      <c r="B1890" s="1">
        <f>IFERROR(__xludf.DUMMYFUNCTION("""COMPUTED_VALUE"""),138500.0)</f>
        <v>138500</v>
      </c>
      <c r="C1890" s="1">
        <f>IFERROR(__xludf.DUMMYFUNCTION("""COMPUTED_VALUE"""),139000.0)</f>
        <v>139000</v>
      </c>
      <c r="D1890" s="1">
        <f>IFERROR(__xludf.DUMMYFUNCTION("""COMPUTED_VALUE"""),135000.0)</f>
        <v>135000</v>
      </c>
      <c r="E1890" s="1">
        <f>IFERROR(__xludf.DUMMYFUNCTION("""COMPUTED_VALUE"""),136000.0)</f>
        <v>136000</v>
      </c>
      <c r="F1890" s="1">
        <f>IFERROR(__xludf.DUMMYFUNCTION("""COMPUTED_VALUE"""),642772.0)</f>
        <v>642772</v>
      </c>
    </row>
    <row r="1891">
      <c r="A1891" s="2">
        <f>IFERROR(__xludf.DUMMYFUNCTION("""COMPUTED_VALUE"""),43389.64583333333)</f>
        <v>43389.64583</v>
      </c>
      <c r="B1891" s="1">
        <f>IFERROR(__xludf.DUMMYFUNCTION("""COMPUTED_VALUE"""),137500.0)</f>
        <v>137500</v>
      </c>
      <c r="C1891" s="1">
        <f>IFERROR(__xludf.DUMMYFUNCTION("""COMPUTED_VALUE"""),138500.0)</f>
        <v>138500</v>
      </c>
      <c r="D1891" s="1">
        <f>IFERROR(__xludf.DUMMYFUNCTION("""COMPUTED_VALUE"""),130000.0)</f>
        <v>130000</v>
      </c>
      <c r="E1891" s="1">
        <f>IFERROR(__xludf.DUMMYFUNCTION("""COMPUTED_VALUE"""),133500.0)</f>
        <v>133500</v>
      </c>
      <c r="F1891" s="1">
        <f>IFERROR(__xludf.DUMMYFUNCTION("""COMPUTED_VALUE"""),575704.0)</f>
        <v>575704</v>
      </c>
    </row>
    <row r="1892">
      <c r="A1892" s="2">
        <f>IFERROR(__xludf.DUMMYFUNCTION("""COMPUTED_VALUE"""),43390.64583333333)</f>
        <v>43390.64583</v>
      </c>
      <c r="B1892" s="1">
        <f>IFERROR(__xludf.DUMMYFUNCTION("""COMPUTED_VALUE"""),132500.0)</f>
        <v>132500</v>
      </c>
      <c r="C1892" s="1">
        <f>IFERROR(__xludf.DUMMYFUNCTION("""COMPUTED_VALUE"""),134500.0)</f>
        <v>134500</v>
      </c>
      <c r="D1892" s="1">
        <f>IFERROR(__xludf.DUMMYFUNCTION("""COMPUTED_VALUE"""),129500.0)</f>
        <v>129500</v>
      </c>
      <c r="E1892" s="1">
        <f>IFERROR(__xludf.DUMMYFUNCTION("""COMPUTED_VALUE"""),130000.0)</f>
        <v>130000</v>
      </c>
      <c r="F1892" s="1">
        <f>IFERROR(__xludf.DUMMYFUNCTION("""COMPUTED_VALUE"""),5304519.0)</f>
        <v>5304519</v>
      </c>
    </row>
    <row r="1893">
      <c r="A1893" s="2">
        <f>IFERROR(__xludf.DUMMYFUNCTION("""COMPUTED_VALUE"""),43391.64583333333)</f>
        <v>43391.64583</v>
      </c>
      <c r="B1893" s="1">
        <f>IFERROR(__xludf.DUMMYFUNCTION("""COMPUTED_VALUE"""),128000.0)</f>
        <v>128000</v>
      </c>
      <c r="C1893" s="1">
        <f>IFERROR(__xludf.DUMMYFUNCTION("""COMPUTED_VALUE"""),128000.0)</f>
        <v>128000</v>
      </c>
      <c r="D1893" s="1">
        <f>IFERROR(__xludf.DUMMYFUNCTION("""COMPUTED_VALUE"""),123500.0)</f>
        <v>123500</v>
      </c>
      <c r="E1893" s="1">
        <f>IFERROR(__xludf.DUMMYFUNCTION("""COMPUTED_VALUE"""),125000.0)</f>
        <v>125000</v>
      </c>
      <c r="F1893" s="1">
        <f>IFERROR(__xludf.DUMMYFUNCTION("""COMPUTED_VALUE"""),880738.0)</f>
        <v>880738</v>
      </c>
    </row>
    <row r="1894">
      <c r="A1894" s="2">
        <f>IFERROR(__xludf.DUMMYFUNCTION("""COMPUTED_VALUE"""),43392.64583333333)</f>
        <v>43392.64583</v>
      </c>
      <c r="B1894" s="1">
        <f>IFERROR(__xludf.DUMMYFUNCTION("""COMPUTED_VALUE"""),124500.0)</f>
        <v>124500</v>
      </c>
      <c r="C1894" s="1">
        <f>IFERROR(__xludf.DUMMYFUNCTION("""COMPUTED_VALUE"""),127500.0)</f>
        <v>127500</v>
      </c>
      <c r="D1894" s="1">
        <f>IFERROR(__xludf.DUMMYFUNCTION("""COMPUTED_VALUE"""),124000.0)</f>
        <v>124000</v>
      </c>
      <c r="E1894" s="1">
        <f>IFERROR(__xludf.DUMMYFUNCTION("""COMPUTED_VALUE"""),127500.0)</f>
        <v>127500</v>
      </c>
      <c r="F1894" s="1">
        <f>IFERROR(__xludf.DUMMYFUNCTION("""COMPUTED_VALUE"""),1114452.0)</f>
        <v>1114452</v>
      </c>
    </row>
    <row r="1895">
      <c r="A1895" s="2">
        <f>IFERROR(__xludf.DUMMYFUNCTION("""COMPUTED_VALUE"""),43395.64583333333)</f>
        <v>43395.64583</v>
      </c>
      <c r="B1895" s="1">
        <f>IFERROR(__xludf.DUMMYFUNCTION("""COMPUTED_VALUE"""),127500.0)</f>
        <v>127500</v>
      </c>
      <c r="C1895" s="1">
        <f>IFERROR(__xludf.DUMMYFUNCTION("""COMPUTED_VALUE"""),130000.0)</f>
        <v>130000</v>
      </c>
      <c r="D1895" s="1">
        <f>IFERROR(__xludf.DUMMYFUNCTION("""COMPUTED_VALUE"""),125500.0)</f>
        <v>125500</v>
      </c>
      <c r="E1895" s="1">
        <f>IFERROR(__xludf.DUMMYFUNCTION("""COMPUTED_VALUE"""),129000.0)</f>
        <v>129000</v>
      </c>
      <c r="F1895" s="1">
        <f>IFERROR(__xludf.DUMMYFUNCTION("""COMPUTED_VALUE"""),324730.0)</f>
        <v>324730</v>
      </c>
    </row>
    <row r="1896">
      <c r="A1896" s="2">
        <f>IFERROR(__xludf.DUMMYFUNCTION("""COMPUTED_VALUE"""),43396.64583333333)</f>
        <v>43396.64583</v>
      </c>
      <c r="B1896" s="1">
        <f>IFERROR(__xludf.DUMMYFUNCTION("""COMPUTED_VALUE"""),129000.0)</f>
        <v>129000</v>
      </c>
      <c r="C1896" s="1">
        <f>IFERROR(__xludf.DUMMYFUNCTION("""COMPUTED_VALUE"""),130000.0)</f>
        <v>130000</v>
      </c>
      <c r="D1896" s="1">
        <f>IFERROR(__xludf.DUMMYFUNCTION("""COMPUTED_VALUE"""),123500.0)</f>
        <v>123500</v>
      </c>
      <c r="E1896" s="1">
        <f>IFERROR(__xludf.DUMMYFUNCTION("""COMPUTED_VALUE"""),125500.0)</f>
        <v>125500</v>
      </c>
      <c r="F1896" s="1">
        <f>IFERROR(__xludf.DUMMYFUNCTION("""COMPUTED_VALUE"""),822259.0)</f>
        <v>822259</v>
      </c>
    </row>
    <row r="1897">
      <c r="A1897" s="2">
        <f>IFERROR(__xludf.DUMMYFUNCTION("""COMPUTED_VALUE"""),43397.64583333333)</f>
        <v>43397.64583</v>
      </c>
      <c r="B1897" s="1">
        <f>IFERROR(__xludf.DUMMYFUNCTION("""COMPUTED_VALUE"""),127500.0)</f>
        <v>127500</v>
      </c>
      <c r="C1897" s="1">
        <f>IFERROR(__xludf.DUMMYFUNCTION("""COMPUTED_VALUE"""),129000.0)</f>
        <v>129000</v>
      </c>
      <c r="D1897" s="1">
        <f>IFERROR(__xludf.DUMMYFUNCTION("""COMPUTED_VALUE"""),124500.0)</f>
        <v>124500</v>
      </c>
      <c r="E1897" s="1">
        <f>IFERROR(__xludf.DUMMYFUNCTION("""COMPUTED_VALUE"""),127000.0)</f>
        <v>127000</v>
      </c>
      <c r="F1897" s="1">
        <f>IFERROR(__xludf.DUMMYFUNCTION("""COMPUTED_VALUE"""),679196.0)</f>
        <v>679196</v>
      </c>
    </row>
    <row r="1898">
      <c r="A1898" s="2">
        <f>IFERROR(__xludf.DUMMYFUNCTION("""COMPUTED_VALUE"""),43398.64583333333)</f>
        <v>43398.64583</v>
      </c>
      <c r="B1898" s="1">
        <f>IFERROR(__xludf.DUMMYFUNCTION("""COMPUTED_VALUE"""),120500.0)</f>
        <v>120500</v>
      </c>
      <c r="C1898" s="1">
        <f>IFERROR(__xludf.DUMMYFUNCTION("""COMPUTED_VALUE"""),121000.0)</f>
        <v>121000</v>
      </c>
      <c r="D1898" s="1">
        <f>IFERROR(__xludf.DUMMYFUNCTION("""COMPUTED_VALUE"""),114000.0)</f>
        <v>114000</v>
      </c>
      <c r="E1898" s="1">
        <f>IFERROR(__xludf.DUMMYFUNCTION("""COMPUTED_VALUE"""),119000.0)</f>
        <v>119000</v>
      </c>
      <c r="F1898" s="1">
        <f>IFERROR(__xludf.DUMMYFUNCTION("""COMPUTED_VALUE"""),1529110.0)</f>
        <v>1529110</v>
      </c>
    </row>
    <row r="1899">
      <c r="A1899" s="2">
        <f>IFERROR(__xludf.DUMMYFUNCTION("""COMPUTED_VALUE"""),43399.64583333333)</f>
        <v>43399.64583</v>
      </c>
      <c r="B1899" s="1">
        <f>IFERROR(__xludf.DUMMYFUNCTION("""COMPUTED_VALUE"""),119000.0)</f>
        <v>119000</v>
      </c>
      <c r="C1899" s="1">
        <f>IFERROR(__xludf.DUMMYFUNCTION("""COMPUTED_VALUE"""),119000.0)</f>
        <v>119000</v>
      </c>
      <c r="D1899" s="1">
        <f>IFERROR(__xludf.DUMMYFUNCTION("""COMPUTED_VALUE"""),110000.0)</f>
        <v>110000</v>
      </c>
      <c r="E1899" s="1">
        <f>IFERROR(__xludf.DUMMYFUNCTION("""COMPUTED_VALUE"""),113000.0)</f>
        <v>113000</v>
      </c>
      <c r="F1899" s="1">
        <f>IFERROR(__xludf.DUMMYFUNCTION("""COMPUTED_VALUE"""),1544405.0)</f>
        <v>1544405</v>
      </c>
    </row>
    <row r="1900">
      <c r="A1900" s="2">
        <f>IFERROR(__xludf.DUMMYFUNCTION("""COMPUTED_VALUE"""),43403.64583333333)</f>
        <v>43403.64583</v>
      </c>
      <c r="B1900" s="1">
        <f>IFERROR(__xludf.DUMMYFUNCTION("""COMPUTED_VALUE"""),108000.0)</f>
        <v>108000</v>
      </c>
      <c r="C1900" s="1">
        <f>IFERROR(__xludf.DUMMYFUNCTION("""COMPUTED_VALUE"""),112000.0)</f>
        <v>112000</v>
      </c>
      <c r="D1900" s="1">
        <f>IFERROR(__xludf.DUMMYFUNCTION("""COMPUTED_VALUE"""),104000.0)</f>
        <v>104000</v>
      </c>
      <c r="E1900" s="1">
        <f>IFERROR(__xludf.DUMMYFUNCTION("""COMPUTED_VALUE"""),110500.0)</f>
        <v>110500</v>
      </c>
      <c r="F1900" s="1">
        <f>IFERROR(__xludf.DUMMYFUNCTION("""COMPUTED_VALUE"""),939865.0)</f>
        <v>939865</v>
      </c>
    </row>
    <row r="1901">
      <c r="A1901" s="2">
        <f>IFERROR(__xludf.DUMMYFUNCTION("""COMPUTED_VALUE"""),43404.64583333333)</f>
        <v>43404.64583</v>
      </c>
      <c r="B1901" s="1">
        <f>IFERROR(__xludf.DUMMYFUNCTION("""COMPUTED_VALUE"""),110500.0)</f>
        <v>110500</v>
      </c>
      <c r="C1901" s="1">
        <f>IFERROR(__xludf.DUMMYFUNCTION("""COMPUTED_VALUE"""),115000.0)</f>
        <v>115000</v>
      </c>
      <c r="D1901" s="1">
        <f>IFERROR(__xludf.DUMMYFUNCTION("""COMPUTED_VALUE"""),108500.0)</f>
        <v>108500</v>
      </c>
      <c r="E1901" s="1">
        <f>IFERROR(__xludf.DUMMYFUNCTION("""COMPUTED_VALUE"""),114500.0)</f>
        <v>114500</v>
      </c>
      <c r="F1901" s="1">
        <f>IFERROR(__xludf.DUMMYFUNCTION("""COMPUTED_VALUE"""),1016429.0)</f>
        <v>1016429</v>
      </c>
    </row>
    <row r="1902">
      <c r="A1902" s="2">
        <f>IFERROR(__xludf.DUMMYFUNCTION("""COMPUTED_VALUE"""),43405.64583333333)</f>
        <v>43405.64583</v>
      </c>
      <c r="B1902" s="1">
        <f>IFERROR(__xludf.DUMMYFUNCTION("""COMPUTED_VALUE"""),113500.0)</f>
        <v>113500</v>
      </c>
      <c r="C1902" s="1">
        <f>IFERROR(__xludf.DUMMYFUNCTION("""COMPUTED_VALUE"""),116500.0)</f>
        <v>116500</v>
      </c>
      <c r="D1902" s="1">
        <f>IFERROR(__xludf.DUMMYFUNCTION("""COMPUTED_VALUE"""),110500.0)</f>
        <v>110500</v>
      </c>
      <c r="E1902" s="1">
        <f>IFERROR(__xludf.DUMMYFUNCTION("""COMPUTED_VALUE"""),111500.0)</f>
        <v>111500</v>
      </c>
      <c r="F1902" s="1">
        <f>IFERROR(__xludf.DUMMYFUNCTION("""COMPUTED_VALUE"""),805655.0)</f>
        <v>805655</v>
      </c>
    </row>
    <row r="1903">
      <c r="A1903" s="2">
        <f>IFERROR(__xludf.DUMMYFUNCTION("""COMPUTED_VALUE"""),43406.64583333333)</f>
        <v>43406.64583</v>
      </c>
      <c r="B1903" s="1">
        <f>IFERROR(__xludf.DUMMYFUNCTION("""COMPUTED_VALUE"""),111500.0)</f>
        <v>111500</v>
      </c>
      <c r="C1903" s="1">
        <f>IFERROR(__xludf.DUMMYFUNCTION("""COMPUTED_VALUE"""),118500.0)</f>
        <v>118500</v>
      </c>
      <c r="D1903" s="1">
        <f>IFERROR(__xludf.DUMMYFUNCTION("""COMPUTED_VALUE"""),111500.0)</f>
        <v>111500</v>
      </c>
      <c r="E1903" s="1">
        <f>IFERROR(__xludf.DUMMYFUNCTION("""COMPUTED_VALUE"""),116500.0)</f>
        <v>116500</v>
      </c>
      <c r="F1903" s="1">
        <f>IFERROR(__xludf.DUMMYFUNCTION("""COMPUTED_VALUE"""),1320415.0)</f>
        <v>1320415</v>
      </c>
    </row>
    <row r="1904">
      <c r="A1904" s="2">
        <f>IFERROR(__xludf.DUMMYFUNCTION("""COMPUTED_VALUE"""),43409.64583333333)</f>
        <v>43409.64583</v>
      </c>
      <c r="B1904" s="1">
        <f>IFERROR(__xludf.DUMMYFUNCTION("""COMPUTED_VALUE"""),115000.0)</f>
        <v>115000</v>
      </c>
      <c r="C1904" s="1">
        <f>IFERROR(__xludf.DUMMYFUNCTION("""COMPUTED_VALUE"""),115500.0)</f>
        <v>115500</v>
      </c>
      <c r="D1904" s="1">
        <f>IFERROR(__xludf.DUMMYFUNCTION("""COMPUTED_VALUE"""),111500.0)</f>
        <v>111500</v>
      </c>
      <c r="E1904" s="1">
        <f>IFERROR(__xludf.DUMMYFUNCTION("""COMPUTED_VALUE"""),113500.0)</f>
        <v>113500</v>
      </c>
      <c r="F1904" s="1">
        <f>IFERROR(__xludf.DUMMYFUNCTION("""COMPUTED_VALUE"""),442640.0)</f>
        <v>442640</v>
      </c>
    </row>
    <row r="1905">
      <c r="A1905" s="2">
        <f>IFERROR(__xludf.DUMMYFUNCTION("""COMPUTED_VALUE"""),43410.64583333333)</f>
        <v>43410.64583</v>
      </c>
      <c r="B1905" s="1">
        <f>IFERROR(__xludf.DUMMYFUNCTION("""COMPUTED_VALUE"""),114000.0)</f>
        <v>114000</v>
      </c>
      <c r="C1905" s="1">
        <f>IFERROR(__xludf.DUMMYFUNCTION("""COMPUTED_VALUE"""),117500.0)</f>
        <v>117500</v>
      </c>
      <c r="D1905" s="1">
        <f>IFERROR(__xludf.DUMMYFUNCTION("""COMPUTED_VALUE"""),113500.0)</f>
        <v>113500</v>
      </c>
      <c r="E1905" s="1">
        <f>IFERROR(__xludf.DUMMYFUNCTION("""COMPUTED_VALUE"""),117000.0)</f>
        <v>117000</v>
      </c>
      <c r="F1905" s="1">
        <f>IFERROR(__xludf.DUMMYFUNCTION("""COMPUTED_VALUE"""),453810.0)</f>
        <v>453810</v>
      </c>
    </row>
    <row r="1906">
      <c r="A1906" s="2">
        <f>IFERROR(__xludf.DUMMYFUNCTION("""COMPUTED_VALUE"""),43411.64583333333)</f>
        <v>43411.64583</v>
      </c>
      <c r="B1906" s="1">
        <f>IFERROR(__xludf.DUMMYFUNCTION("""COMPUTED_VALUE"""),117500.0)</f>
        <v>117500</v>
      </c>
      <c r="C1906" s="1">
        <f>IFERROR(__xludf.DUMMYFUNCTION("""COMPUTED_VALUE"""),119000.0)</f>
        <v>119000</v>
      </c>
      <c r="D1906" s="1">
        <f>IFERROR(__xludf.DUMMYFUNCTION("""COMPUTED_VALUE"""),113500.0)</f>
        <v>113500</v>
      </c>
      <c r="E1906" s="1">
        <f>IFERROR(__xludf.DUMMYFUNCTION("""COMPUTED_VALUE"""),115500.0)</f>
        <v>115500</v>
      </c>
      <c r="F1906" s="1">
        <f>IFERROR(__xludf.DUMMYFUNCTION("""COMPUTED_VALUE"""),385827.0)</f>
        <v>385827</v>
      </c>
    </row>
    <row r="1907">
      <c r="A1907" s="2">
        <f>IFERROR(__xludf.DUMMYFUNCTION("""COMPUTED_VALUE"""),43412.64583333333)</f>
        <v>43412.64583</v>
      </c>
      <c r="B1907" s="1">
        <f>IFERROR(__xludf.DUMMYFUNCTION("""COMPUTED_VALUE"""),118000.0)</f>
        <v>118000</v>
      </c>
      <c r="C1907" s="1">
        <f>IFERROR(__xludf.DUMMYFUNCTION("""COMPUTED_VALUE"""),120000.0)</f>
        <v>120000</v>
      </c>
      <c r="D1907" s="1">
        <f>IFERROR(__xludf.DUMMYFUNCTION("""COMPUTED_VALUE"""),115500.0)</f>
        <v>115500</v>
      </c>
      <c r="E1907" s="1">
        <f>IFERROR(__xludf.DUMMYFUNCTION("""COMPUTED_VALUE"""),116500.0)</f>
        <v>116500</v>
      </c>
      <c r="F1907" s="1">
        <f>IFERROR(__xludf.DUMMYFUNCTION("""COMPUTED_VALUE"""),404191.0)</f>
        <v>404191</v>
      </c>
    </row>
    <row r="1908">
      <c r="A1908" s="2">
        <f>IFERROR(__xludf.DUMMYFUNCTION("""COMPUTED_VALUE"""),43413.64583333333)</f>
        <v>43413.64583</v>
      </c>
      <c r="B1908" s="1">
        <f>IFERROR(__xludf.DUMMYFUNCTION("""COMPUTED_VALUE"""),115000.0)</f>
        <v>115000</v>
      </c>
      <c r="C1908" s="1">
        <f>IFERROR(__xludf.DUMMYFUNCTION("""COMPUTED_VALUE"""),118000.0)</f>
        <v>118000</v>
      </c>
      <c r="D1908" s="1">
        <f>IFERROR(__xludf.DUMMYFUNCTION("""COMPUTED_VALUE"""),115000.0)</f>
        <v>115000</v>
      </c>
      <c r="E1908" s="1">
        <f>IFERROR(__xludf.DUMMYFUNCTION("""COMPUTED_VALUE"""),115000.0)</f>
        <v>115000</v>
      </c>
      <c r="F1908" s="1">
        <f>IFERROR(__xludf.DUMMYFUNCTION("""COMPUTED_VALUE"""),295733.0)</f>
        <v>295733</v>
      </c>
    </row>
    <row r="1909">
      <c r="A1909" s="2">
        <f>IFERROR(__xludf.DUMMYFUNCTION("""COMPUTED_VALUE"""),43416.64583333333)</f>
        <v>43416.64583</v>
      </c>
      <c r="B1909" s="1">
        <f>IFERROR(__xludf.DUMMYFUNCTION("""COMPUTED_VALUE"""),114500.0)</f>
        <v>114500</v>
      </c>
      <c r="C1909" s="1">
        <f>IFERROR(__xludf.DUMMYFUNCTION("""COMPUTED_VALUE"""),116500.0)</f>
        <v>116500</v>
      </c>
      <c r="D1909" s="1">
        <f>IFERROR(__xludf.DUMMYFUNCTION("""COMPUTED_VALUE"""),114500.0)</f>
        <v>114500</v>
      </c>
      <c r="E1909" s="1">
        <f>IFERROR(__xludf.DUMMYFUNCTION("""COMPUTED_VALUE"""),115000.0)</f>
        <v>115000</v>
      </c>
      <c r="F1909" s="1">
        <f>IFERROR(__xludf.DUMMYFUNCTION("""COMPUTED_VALUE"""),260849.0)</f>
        <v>260849</v>
      </c>
    </row>
    <row r="1910">
      <c r="A1910" s="2">
        <f>IFERROR(__xludf.DUMMYFUNCTION("""COMPUTED_VALUE"""),43417.64583333333)</f>
        <v>43417.64583</v>
      </c>
      <c r="B1910" s="1">
        <f>IFERROR(__xludf.DUMMYFUNCTION("""COMPUTED_VALUE"""),115500.0)</f>
        <v>115500</v>
      </c>
      <c r="C1910" s="1">
        <f>IFERROR(__xludf.DUMMYFUNCTION("""COMPUTED_VALUE"""),117500.0)</f>
        <v>117500</v>
      </c>
      <c r="D1910" s="1">
        <f>IFERROR(__xludf.DUMMYFUNCTION("""COMPUTED_VALUE"""),114000.0)</f>
        <v>114000</v>
      </c>
      <c r="E1910" s="1">
        <f>IFERROR(__xludf.DUMMYFUNCTION("""COMPUTED_VALUE"""),116000.0)</f>
        <v>116000</v>
      </c>
      <c r="F1910" s="1">
        <f>IFERROR(__xludf.DUMMYFUNCTION("""COMPUTED_VALUE"""),435937.0)</f>
        <v>435937</v>
      </c>
    </row>
    <row r="1911">
      <c r="A1911" s="2">
        <f>IFERROR(__xludf.DUMMYFUNCTION("""COMPUTED_VALUE"""),43418.64583333333)</f>
        <v>43418.64583</v>
      </c>
      <c r="B1911" s="1">
        <f>IFERROR(__xludf.DUMMYFUNCTION("""COMPUTED_VALUE"""),115500.0)</f>
        <v>115500</v>
      </c>
      <c r="C1911" s="1">
        <f>IFERROR(__xludf.DUMMYFUNCTION("""COMPUTED_VALUE"""),116500.0)</f>
        <v>116500</v>
      </c>
      <c r="D1911" s="1">
        <f>IFERROR(__xludf.DUMMYFUNCTION("""COMPUTED_VALUE"""),114000.0)</f>
        <v>114000</v>
      </c>
      <c r="E1911" s="1">
        <f>IFERROR(__xludf.DUMMYFUNCTION("""COMPUTED_VALUE"""),115500.0)</f>
        <v>115500</v>
      </c>
      <c r="F1911" s="1">
        <f>IFERROR(__xludf.DUMMYFUNCTION("""COMPUTED_VALUE"""),335405.0)</f>
        <v>335405</v>
      </c>
    </row>
    <row r="1912">
      <c r="A1912" s="2">
        <f>IFERROR(__xludf.DUMMYFUNCTION("""COMPUTED_VALUE"""),43419.6875)</f>
        <v>43419.6875</v>
      </c>
      <c r="B1912" s="1">
        <f>IFERROR(__xludf.DUMMYFUNCTION("""COMPUTED_VALUE"""),116000.0)</f>
        <v>116000</v>
      </c>
      <c r="C1912" s="1">
        <f>IFERROR(__xludf.DUMMYFUNCTION("""COMPUTED_VALUE"""),116500.0)</f>
        <v>116500</v>
      </c>
      <c r="D1912" s="1">
        <f>IFERROR(__xludf.DUMMYFUNCTION("""COMPUTED_VALUE"""),111500.0)</f>
        <v>111500</v>
      </c>
      <c r="E1912" s="1">
        <f>IFERROR(__xludf.DUMMYFUNCTION("""COMPUTED_VALUE"""),112500.0)</f>
        <v>112500</v>
      </c>
      <c r="F1912" s="1">
        <f>IFERROR(__xludf.DUMMYFUNCTION("""COMPUTED_VALUE"""),576671.0)</f>
        <v>576671</v>
      </c>
    </row>
    <row r="1913">
      <c r="A1913" s="2">
        <f>IFERROR(__xludf.DUMMYFUNCTION("""COMPUTED_VALUE"""),43420.64583333333)</f>
        <v>43420.64583</v>
      </c>
      <c r="B1913" s="1">
        <f>IFERROR(__xludf.DUMMYFUNCTION("""COMPUTED_VALUE"""),113500.0)</f>
        <v>113500</v>
      </c>
      <c r="C1913" s="1">
        <f>IFERROR(__xludf.DUMMYFUNCTION("""COMPUTED_VALUE"""),114500.0)</f>
        <v>114500</v>
      </c>
      <c r="D1913" s="1">
        <f>IFERROR(__xludf.DUMMYFUNCTION("""COMPUTED_VALUE"""),111500.0)</f>
        <v>111500</v>
      </c>
      <c r="E1913" s="1">
        <f>IFERROR(__xludf.DUMMYFUNCTION("""COMPUTED_VALUE"""),112500.0)</f>
        <v>112500</v>
      </c>
      <c r="F1913" s="1">
        <f>IFERROR(__xludf.DUMMYFUNCTION("""COMPUTED_VALUE"""),872059.0)</f>
        <v>872059</v>
      </c>
    </row>
    <row r="1914">
      <c r="A1914" s="2">
        <f>IFERROR(__xludf.DUMMYFUNCTION("""COMPUTED_VALUE"""),43423.64583333333)</f>
        <v>43423.64583</v>
      </c>
      <c r="B1914" s="1">
        <f>IFERROR(__xludf.DUMMYFUNCTION("""COMPUTED_VALUE"""),113000.0)</f>
        <v>113000</v>
      </c>
      <c r="C1914" s="1">
        <f>IFERROR(__xludf.DUMMYFUNCTION("""COMPUTED_VALUE"""),114000.0)</f>
        <v>114000</v>
      </c>
      <c r="D1914" s="1">
        <f>IFERROR(__xludf.DUMMYFUNCTION("""COMPUTED_VALUE"""),110500.0)</f>
        <v>110500</v>
      </c>
      <c r="E1914" s="1">
        <f>IFERROR(__xludf.DUMMYFUNCTION("""COMPUTED_VALUE"""),111500.0)</f>
        <v>111500</v>
      </c>
      <c r="F1914" s="1">
        <f>IFERROR(__xludf.DUMMYFUNCTION("""COMPUTED_VALUE"""),697289.0)</f>
        <v>697289</v>
      </c>
    </row>
    <row r="1915">
      <c r="A1915" s="2">
        <f>IFERROR(__xludf.DUMMYFUNCTION("""COMPUTED_VALUE"""),43424.64583333333)</f>
        <v>43424.64583</v>
      </c>
      <c r="B1915" s="1">
        <f>IFERROR(__xludf.DUMMYFUNCTION("""COMPUTED_VALUE"""),110000.0)</f>
        <v>110000</v>
      </c>
      <c r="C1915" s="1">
        <f>IFERROR(__xludf.DUMMYFUNCTION("""COMPUTED_VALUE"""),112000.0)</f>
        <v>112000</v>
      </c>
      <c r="D1915" s="1">
        <f>IFERROR(__xludf.DUMMYFUNCTION("""COMPUTED_VALUE"""),107000.0)</f>
        <v>107000</v>
      </c>
      <c r="E1915" s="1">
        <f>IFERROR(__xludf.DUMMYFUNCTION("""COMPUTED_VALUE"""),108000.0)</f>
        <v>108000</v>
      </c>
      <c r="F1915" s="1">
        <f>IFERROR(__xludf.DUMMYFUNCTION("""COMPUTED_VALUE"""),693868.0)</f>
        <v>693868</v>
      </c>
    </row>
    <row r="1916">
      <c r="A1916" s="2">
        <f>IFERROR(__xludf.DUMMYFUNCTION("""COMPUTED_VALUE"""),43426.64583333333)</f>
        <v>43426.64583</v>
      </c>
      <c r="B1916" s="1">
        <f>IFERROR(__xludf.DUMMYFUNCTION("""COMPUTED_VALUE"""),107000.0)</f>
        <v>107000</v>
      </c>
      <c r="C1916" s="1">
        <f>IFERROR(__xludf.DUMMYFUNCTION("""COMPUTED_VALUE"""),111500.0)</f>
        <v>111500</v>
      </c>
      <c r="D1916" s="1">
        <f>IFERROR(__xludf.DUMMYFUNCTION("""COMPUTED_VALUE"""),107000.0)</f>
        <v>107000</v>
      </c>
      <c r="E1916" s="1">
        <f>IFERROR(__xludf.DUMMYFUNCTION("""COMPUTED_VALUE"""),109500.0)</f>
        <v>109500</v>
      </c>
      <c r="F1916" s="1">
        <f>IFERROR(__xludf.DUMMYFUNCTION("""COMPUTED_VALUE"""),504744.0)</f>
        <v>504744</v>
      </c>
    </row>
    <row r="1917">
      <c r="A1917" s="2">
        <f>IFERROR(__xludf.DUMMYFUNCTION("""COMPUTED_VALUE"""),43427.64583333333)</f>
        <v>43427.64583</v>
      </c>
      <c r="B1917" s="1">
        <f>IFERROR(__xludf.DUMMYFUNCTION("""COMPUTED_VALUE"""),110000.0)</f>
        <v>110000</v>
      </c>
      <c r="C1917" s="1">
        <f>IFERROR(__xludf.DUMMYFUNCTION("""COMPUTED_VALUE"""),115500.0)</f>
        <v>115500</v>
      </c>
      <c r="D1917" s="1">
        <f>IFERROR(__xludf.DUMMYFUNCTION("""COMPUTED_VALUE"""),109500.0)</f>
        <v>109500</v>
      </c>
      <c r="E1917" s="1">
        <f>IFERROR(__xludf.DUMMYFUNCTION("""COMPUTED_VALUE"""),114000.0)</f>
        <v>114000</v>
      </c>
      <c r="F1917" s="1">
        <f>IFERROR(__xludf.DUMMYFUNCTION("""COMPUTED_VALUE"""),691736.0)</f>
        <v>691736</v>
      </c>
    </row>
    <row r="1918">
      <c r="A1918" s="2">
        <f>IFERROR(__xludf.DUMMYFUNCTION("""COMPUTED_VALUE"""),43430.64583333333)</f>
        <v>43430.64583</v>
      </c>
      <c r="B1918" s="1">
        <f>IFERROR(__xludf.DUMMYFUNCTION("""COMPUTED_VALUE"""),115000.0)</f>
        <v>115000</v>
      </c>
      <c r="C1918" s="1">
        <f>IFERROR(__xludf.DUMMYFUNCTION("""COMPUTED_VALUE"""),124500.0)</f>
        <v>124500</v>
      </c>
      <c r="D1918" s="1">
        <f>IFERROR(__xludf.DUMMYFUNCTION("""COMPUTED_VALUE"""),114500.0)</f>
        <v>114500</v>
      </c>
      <c r="E1918" s="1">
        <f>IFERROR(__xludf.DUMMYFUNCTION("""COMPUTED_VALUE"""),124000.0)</f>
        <v>124000</v>
      </c>
      <c r="F1918" s="1">
        <f>IFERROR(__xludf.DUMMYFUNCTION("""COMPUTED_VALUE"""),805023.0)</f>
        <v>805023</v>
      </c>
    </row>
    <row r="1919">
      <c r="A1919" s="2">
        <f>IFERROR(__xludf.DUMMYFUNCTION("""COMPUTED_VALUE"""),43431.64583333333)</f>
        <v>43431.64583</v>
      </c>
      <c r="B1919" s="1">
        <f>IFERROR(__xludf.DUMMYFUNCTION("""COMPUTED_VALUE"""),124000.0)</f>
        <v>124000</v>
      </c>
      <c r="C1919" s="1">
        <f>IFERROR(__xludf.DUMMYFUNCTION("""COMPUTED_VALUE"""),129500.0)</f>
        <v>129500</v>
      </c>
      <c r="D1919" s="1">
        <f>IFERROR(__xludf.DUMMYFUNCTION("""COMPUTED_VALUE"""),122500.0)</f>
        <v>122500</v>
      </c>
      <c r="E1919" s="1">
        <f>IFERROR(__xludf.DUMMYFUNCTION("""COMPUTED_VALUE"""),125000.0)</f>
        <v>125000</v>
      </c>
      <c r="F1919" s="1">
        <f>IFERROR(__xludf.DUMMYFUNCTION("""COMPUTED_VALUE"""),637199.0)</f>
        <v>637199</v>
      </c>
    </row>
    <row r="1920">
      <c r="A1920" s="2">
        <f>IFERROR(__xludf.DUMMYFUNCTION("""COMPUTED_VALUE"""),43432.64583333333)</f>
        <v>43432.64583</v>
      </c>
      <c r="B1920" s="1">
        <f>IFERROR(__xludf.DUMMYFUNCTION("""COMPUTED_VALUE"""),128500.0)</f>
        <v>128500</v>
      </c>
      <c r="C1920" s="1">
        <f>IFERROR(__xludf.DUMMYFUNCTION("""COMPUTED_VALUE"""),130500.0)</f>
        <v>130500</v>
      </c>
      <c r="D1920" s="1">
        <f>IFERROR(__xludf.DUMMYFUNCTION("""COMPUTED_VALUE"""),126500.0)</f>
        <v>126500</v>
      </c>
      <c r="E1920" s="1">
        <f>IFERROR(__xludf.DUMMYFUNCTION("""COMPUTED_VALUE"""),129000.0)</f>
        <v>129000</v>
      </c>
      <c r="F1920" s="1">
        <f>IFERROR(__xludf.DUMMYFUNCTION("""COMPUTED_VALUE"""),645902.0)</f>
        <v>645902</v>
      </c>
    </row>
    <row r="1921">
      <c r="A1921" s="2">
        <f>IFERROR(__xludf.DUMMYFUNCTION("""COMPUTED_VALUE"""),43433.64583333333)</f>
        <v>43433.64583</v>
      </c>
      <c r="B1921" s="1">
        <f>IFERROR(__xludf.DUMMYFUNCTION("""COMPUTED_VALUE"""),133000.0)</f>
        <v>133000</v>
      </c>
      <c r="C1921" s="1">
        <f>IFERROR(__xludf.DUMMYFUNCTION("""COMPUTED_VALUE"""),134000.0)</f>
        <v>134000</v>
      </c>
      <c r="D1921" s="1">
        <f>IFERROR(__xludf.DUMMYFUNCTION("""COMPUTED_VALUE"""),129000.0)</f>
        <v>129000</v>
      </c>
      <c r="E1921" s="1">
        <f>IFERROR(__xludf.DUMMYFUNCTION("""COMPUTED_VALUE"""),130500.0)</f>
        <v>130500</v>
      </c>
      <c r="F1921" s="1">
        <f>IFERROR(__xludf.DUMMYFUNCTION("""COMPUTED_VALUE"""),559552.0)</f>
        <v>559552</v>
      </c>
    </row>
    <row r="1922">
      <c r="A1922" s="2">
        <f>IFERROR(__xludf.DUMMYFUNCTION("""COMPUTED_VALUE"""),43434.64583333333)</f>
        <v>43434.64583</v>
      </c>
      <c r="B1922" s="1">
        <f>IFERROR(__xludf.DUMMYFUNCTION("""COMPUTED_VALUE"""),131000.0)</f>
        <v>131000</v>
      </c>
      <c r="C1922" s="1">
        <f>IFERROR(__xludf.DUMMYFUNCTION("""COMPUTED_VALUE"""),131000.0)</f>
        <v>131000</v>
      </c>
      <c r="D1922" s="1">
        <f>IFERROR(__xludf.DUMMYFUNCTION("""COMPUTED_VALUE"""),126000.0)</f>
        <v>126000</v>
      </c>
      <c r="E1922" s="1">
        <f>IFERROR(__xludf.DUMMYFUNCTION("""COMPUTED_VALUE"""),126500.0)</f>
        <v>126500</v>
      </c>
      <c r="F1922" s="1">
        <f>IFERROR(__xludf.DUMMYFUNCTION("""COMPUTED_VALUE"""),801837.0)</f>
        <v>801837</v>
      </c>
    </row>
    <row r="1923">
      <c r="A1923" s="2">
        <f>IFERROR(__xludf.DUMMYFUNCTION("""COMPUTED_VALUE"""),43437.64583333333)</f>
        <v>43437.64583</v>
      </c>
      <c r="B1923" s="1">
        <f>IFERROR(__xludf.DUMMYFUNCTION("""COMPUTED_VALUE"""),130500.0)</f>
        <v>130500</v>
      </c>
      <c r="C1923" s="1">
        <f>IFERROR(__xludf.DUMMYFUNCTION("""COMPUTED_VALUE"""),130500.0)</f>
        <v>130500</v>
      </c>
      <c r="D1923" s="1">
        <f>IFERROR(__xludf.DUMMYFUNCTION("""COMPUTED_VALUE"""),125000.0)</f>
        <v>125000</v>
      </c>
      <c r="E1923" s="1">
        <f>IFERROR(__xludf.DUMMYFUNCTION("""COMPUTED_VALUE"""),126000.0)</f>
        <v>126000</v>
      </c>
      <c r="F1923" s="1">
        <f>IFERROR(__xludf.DUMMYFUNCTION("""COMPUTED_VALUE"""),486166.0)</f>
        <v>486166</v>
      </c>
    </row>
    <row r="1924">
      <c r="A1924" s="2">
        <f>IFERROR(__xludf.DUMMYFUNCTION("""COMPUTED_VALUE"""),43438.64583333333)</f>
        <v>43438.64583</v>
      </c>
      <c r="B1924" s="1">
        <f>IFERROR(__xludf.DUMMYFUNCTION("""COMPUTED_VALUE"""),127500.0)</f>
        <v>127500</v>
      </c>
      <c r="C1924" s="1">
        <f>IFERROR(__xludf.DUMMYFUNCTION("""COMPUTED_VALUE"""),127500.0)</f>
        <v>127500</v>
      </c>
      <c r="D1924" s="1">
        <f>IFERROR(__xludf.DUMMYFUNCTION("""COMPUTED_VALUE"""),122500.0)</f>
        <v>122500</v>
      </c>
      <c r="E1924" s="1">
        <f>IFERROR(__xludf.DUMMYFUNCTION("""COMPUTED_VALUE"""),123500.0)</f>
        <v>123500</v>
      </c>
      <c r="F1924" s="1">
        <f>IFERROR(__xludf.DUMMYFUNCTION("""COMPUTED_VALUE"""),512742.0)</f>
        <v>512742</v>
      </c>
    </row>
    <row r="1925">
      <c r="A1925" s="2">
        <f>IFERROR(__xludf.DUMMYFUNCTION("""COMPUTED_VALUE"""),43439.64583333333)</f>
        <v>43439.64583</v>
      </c>
      <c r="B1925" s="1">
        <f>IFERROR(__xludf.DUMMYFUNCTION("""COMPUTED_VALUE"""),124500.0)</f>
        <v>124500</v>
      </c>
      <c r="C1925" s="1">
        <f>IFERROR(__xludf.DUMMYFUNCTION("""COMPUTED_VALUE"""),127000.0)</f>
        <v>127000</v>
      </c>
      <c r="D1925" s="1">
        <f>IFERROR(__xludf.DUMMYFUNCTION("""COMPUTED_VALUE"""),123000.0)</f>
        <v>123000</v>
      </c>
      <c r="E1925" s="1">
        <f>IFERROR(__xludf.DUMMYFUNCTION("""COMPUTED_VALUE"""),125000.0)</f>
        <v>125000</v>
      </c>
      <c r="F1925" s="1">
        <f>IFERROR(__xludf.DUMMYFUNCTION("""COMPUTED_VALUE"""),308805.0)</f>
        <v>308805</v>
      </c>
    </row>
    <row r="1926">
      <c r="A1926" s="2">
        <f>IFERROR(__xludf.DUMMYFUNCTION("""COMPUTED_VALUE"""),43440.64583333333)</f>
        <v>43440.64583</v>
      </c>
      <c r="B1926" s="1">
        <f>IFERROR(__xludf.DUMMYFUNCTION("""COMPUTED_VALUE"""),123000.0)</f>
        <v>123000</v>
      </c>
      <c r="C1926" s="1">
        <f>IFERROR(__xludf.DUMMYFUNCTION("""COMPUTED_VALUE"""),124000.0)</f>
        <v>124000</v>
      </c>
      <c r="D1926" s="1">
        <f>IFERROR(__xludf.DUMMYFUNCTION("""COMPUTED_VALUE"""),119500.0)</f>
        <v>119500</v>
      </c>
      <c r="E1926" s="1">
        <f>IFERROR(__xludf.DUMMYFUNCTION("""COMPUTED_VALUE"""),120000.0)</f>
        <v>120000</v>
      </c>
      <c r="F1926" s="1">
        <f>IFERROR(__xludf.DUMMYFUNCTION("""COMPUTED_VALUE"""),445309.0)</f>
        <v>445309</v>
      </c>
    </row>
    <row r="1927">
      <c r="A1927" s="2">
        <f>IFERROR(__xludf.DUMMYFUNCTION("""COMPUTED_VALUE"""),43441.64583333333)</f>
        <v>43441.64583</v>
      </c>
      <c r="B1927" s="1">
        <f>IFERROR(__xludf.DUMMYFUNCTION("""COMPUTED_VALUE"""),121500.0)</f>
        <v>121500</v>
      </c>
      <c r="C1927" s="1">
        <f>IFERROR(__xludf.DUMMYFUNCTION("""COMPUTED_VALUE"""),123500.0)</f>
        <v>123500</v>
      </c>
      <c r="D1927" s="1">
        <f>IFERROR(__xludf.DUMMYFUNCTION("""COMPUTED_VALUE"""),119500.0)</f>
        <v>119500</v>
      </c>
      <c r="E1927" s="1">
        <f>IFERROR(__xludf.DUMMYFUNCTION("""COMPUTED_VALUE"""),121000.0)</f>
        <v>121000</v>
      </c>
      <c r="F1927" s="1">
        <f>IFERROR(__xludf.DUMMYFUNCTION("""COMPUTED_VALUE"""),565663.0)</f>
        <v>565663</v>
      </c>
    </row>
    <row r="1928">
      <c r="A1928" s="2">
        <f>IFERROR(__xludf.DUMMYFUNCTION("""COMPUTED_VALUE"""),43444.64583333333)</f>
        <v>43444.64583</v>
      </c>
      <c r="B1928" s="1">
        <f>IFERROR(__xludf.DUMMYFUNCTION("""COMPUTED_VALUE"""),119000.0)</f>
        <v>119000</v>
      </c>
      <c r="C1928" s="1">
        <f>IFERROR(__xludf.DUMMYFUNCTION("""COMPUTED_VALUE"""),121500.0)</f>
        <v>121500</v>
      </c>
      <c r="D1928" s="1">
        <f>IFERROR(__xludf.DUMMYFUNCTION("""COMPUTED_VALUE"""),117500.0)</f>
        <v>117500</v>
      </c>
      <c r="E1928" s="1">
        <f>IFERROR(__xludf.DUMMYFUNCTION("""COMPUTED_VALUE"""),119000.0)</f>
        <v>119000</v>
      </c>
      <c r="F1928" s="1">
        <f>IFERROR(__xludf.DUMMYFUNCTION("""COMPUTED_VALUE"""),376421.0)</f>
        <v>376421</v>
      </c>
    </row>
    <row r="1929">
      <c r="A1929" s="2">
        <f>IFERROR(__xludf.DUMMYFUNCTION("""COMPUTED_VALUE"""),43445.64583333333)</f>
        <v>43445.64583</v>
      </c>
      <c r="B1929" s="1">
        <f>IFERROR(__xludf.DUMMYFUNCTION("""COMPUTED_VALUE"""),120000.0)</f>
        <v>120000</v>
      </c>
      <c r="C1929" s="1">
        <f>IFERROR(__xludf.DUMMYFUNCTION("""COMPUTED_VALUE"""),123500.0)</f>
        <v>123500</v>
      </c>
      <c r="D1929" s="1">
        <f>IFERROR(__xludf.DUMMYFUNCTION("""COMPUTED_VALUE"""),117500.0)</f>
        <v>117500</v>
      </c>
      <c r="E1929" s="1">
        <f>IFERROR(__xludf.DUMMYFUNCTION("""COMPUTED_VALUE"""),123000.0)</f>
        <v>123000</v>
      </c>
      <c r="F1929" s="1">
        <f>IFERROR(__xludf.DUMMYFUNCTION("""COMPUTED_VALUE"""),506349.0)</f>
        <v>506349</v>
      </c>
    </row>
    <row r="1930">
      <c r="A1930" s="2">
        <f>IFERROR(__xludf.DUMMYFUNCTION("""COMPUTED_VALUE"""),43446.64583333333)</f>
        <v>43446.64583</v>
      </c>
      <c r="B1930" s="1">
        <f>IFERROR(__xludf.DUMMYFUNCTION("""COMPUTED_VALUE"""),124000.0)</f>
        <v>124000</v>
      </c>
      <c r="C1930" s="1">
        <f>IFERROR(__xludf.DUMMYFUNCTION("""COMPUTED_VALUE"""),126000.0)</f>
        <v>126000</v>
      </c>
      <c r="D1930" s="1">
        <f>IFERROR(__xludf.DUMMYFUNCTION("""COMPUTED_VALUE"""),122500.0)</f>
        <v>122500</v>
      </c>
      <c r="E1930" s="1">
        <f>IFERROR(__xludf.DUMMYFUNCTION("""COMPUTED_VALUE"""),124500.0)</f>
        <v>124500</v>
      </c>
      <c r="F1930" s="1">
        <f>IFERROR(__xludf.DUMMYFUNCTION("""COMPUTED_VALUE"""),490812.0)</f>
        <v>490812</v>
      </c>
    </row>
    <row r="1931">
      <c r="A1931" s="2">
        <f>IFERROR(__xludf.DUMMYFUNCTION("""COMPUTED_VALUE"""),43447.64583333333)</f>
        <v>43447.64583</v>
      </c>
      <c r="B1931" s="1">
        <f>IFERROR(__xludf.DUMMYFUNCTION("""COMPUTED_VALUE"""),125500.0)</f>
        <v>125500</v>
      </c>
      <c r="C1931" s="1">
        <f>IFERROR(__xludf.DUMMYFUNCTION("""COMPUTED_VALUE"""),125500.0)</f>
        <v>125500</v>
      </c>
      <c r="D1931" s="1">
        <f>IFERROR(__xludf.DUMMYFUNCTION("""COMPUTED_VALUE"""),123000.0)</f>
        <v>123000</v>
      </c>
      <c r="E1931" s="1">
        <f>IFERROR(__xludf.DUMMYFUNCTION("""COMPUTED_VALUE"""),124000.0)</f>
        <v>124000</v>
      </c>
      <c r="F1931" s="1">
        <f>IFERROR(__xludf.DUMMYFUNCTION("""COMPUTED_VALUE"""),972556.0)</f>
        <v>972556</v>
      </c>
    </row>
    <row r="1932">
      <c r="A1932" s="2">
        <f>IFERROR(__xludf.DUMMYFUNCTION("""COMPUTED_VALUE"""),43448.64583333333)</f>
        <v>43448.64583</v>
      </c>
      <c r="B1932" s="1">
        <f>IFERROR(__xludf.DUMMYFUNCTION("""COMPUTED_VALUE"""),123500.0)</f>
        <v>123500</v>
      </c>
      <c r="C1932" s="1">
        <f>IFERROR(__xludf.DUMMYFUNCTION("""COMPUTED_VALUE"""),124000.0)</f>
        <v>124000</v>
      </c>
      <c r="D1932" s="1">
        <f>IFERROR(__xludf.DUMMYFUNCTION("""COMPUTED_VALUE"""),121500.0)</f>
        <v>121500</v>
      </c>
      <c r="E1932" s="1">
        <f>IFERROR(__xludf.DUMMYFUNCTION("""COMPUTED_VALUE"""),123500.0)</f>
        <v>123500</v>
      </c>
      <c r="F1932" s="1">
        <f>IFERROR(__xludf.DUMMYFUNCTION("""COMPUTED_VALUE"""),259268.0)</f>
        <v>259268</v>
      </c>
    </row>
    <row r="1933">
      <c r="A1933" s="2">
        <f>IFERROR(__xludf.DUMMYFUNCTION("""COMPUTED_VALUE"""),43451.64583333333)</f>
        <v>43451.64583</v>
      </c>
      <c r="B1933" s="1">
        <f>IFERROR(__xludf.DUMMYFUNCTION("""COMPUTED_VALUE"""),124000.0)</f>
        <v>124000</v>
      </c>
      <c r="C1933" s="1">
        <f>IFERROR(__xludf.DUMMYFUNCTION("""COMPUTED_VALUE"""),124000.0)</f>
        <v>124000</v>
      </c>
      <c r="D1933" s="1">
        <f>IFERROR(__xludf.DUMMYFUNCTION("""COMPUTED_VALUE"""),120500.0)</f>
        <v>120500</v>
      </c>
      <c r="E1933" s="1">
        <f>IFERROR(__xludf.DUMMYFUNCTION("""COMPUTED_VALUE"""),122000.0)</f>
        <v>122000</v>
      </c>
      <c r="F1933" s="1">
        <f>IFERROR(__xludf.DUMMYFUNCTION("""COMPUTED_VALUE"""),294847.0)</f>
        <v>294847</v>
      </c>
    </row>
    <row r="1934">
      <c r="A1934" s="2">
        <f>IFERROR(__xludf.DUMMYFUNCTION("""COMPUTED_VALUE"""),43452.64583333333)</f>
        <v>43452.64583</v>
      </c>
      <c r="B1934" s="1">
        <f>IFERROR(__xludf.DUMMYFUNCTION("""COMPUTED_VALUE"""),120500.0)</f>
        <v>120500</v>
      </c>
      <c r="C1934" s="1">
        <f>IFERROR(__xludf.DUMMYFUNCTION("""COMPUTED_VALUE"""),124000.0)</f>
        <v>124000</v>
      </c>
      <c r="D1934" s="1">
        <f>IFERROR(__xludf.DUMMYFUNCTION("""COMPUTED_VALUE"""),120000.0)</f>
        <v>120000</v>
      </c>
      <c r="E1934" s="1">
        <f>IFERROR(__xludf.DUMMYFUNCTION("""COMPUTED_VALUE"""),122000.0)</f>
        <v>122000</v>
      </c>
      <c r="F1934" s="1">
        <f>IFERROR(__xludf.DUMMYFUNCTION("""COMPUTED_VALUE"""),342972.0)</f>
        <v>342972</v>
      </c>
    </row>
    <row r="1935">
      <c r="A1935" s="2">
        <f>IFERROR(__xludf.DUMMYFUNCTION("""COMPUTED_VALUE"""),43453.64583333333)</f>
        <v>43453.64583</v>
      </c>
      <c r="B1935" s="1">
        <f>IFERROR(__xludf.DUMMYFUNCTION("""COMPUTED_VALUE"""),123000.0)</f>
        <v>123000</v>
      </c>
      <c r="C1935" s="1">
        <f>IFERROR(__xludf.DUMMYFUNCTION("""COMPUTED_VALUE"""),128500.0)</f>
        <v>128500</v>
      </c>
      <c r="D1935" s="1">
        <f>IFERROR(__xludf.DUMMYFUNCTION("""COMPUTED_VALUE"""),122500.0)</f>
        <v>122500</v>
      </c>
      <c r="E1935" s="1">
        <f>IFERROR(__xludf.DUMMYFUNCTION("""COMPUTED_VALUE"""),127500.0)</f>
        <v>127500</v>
      </c>
      <c r="F1935" s="1">
        <f>IFERROR(__xludf.DUMMYFUNCTION("""COMPUTED_VALUE"""),385472.0)</f>
        <v>385472</v>
      </c>
    </row>
    <row r="1936">
      <c r="A1936" s="2">
        <f>IFERROR(__xludf.DUMMYFUNCTION("""COMPUTED_VALUE"""),43454.64583333333)</f>
        <v>43454.64583</v>
      </c>
      <c r="B1936" s="1">
        <f>IFERROR(__xludf.DUMMYFUNCTION("""COMPUTED_VALUE"""),125500.0)</f>
        <v>125500</v>
      </c>
      <c r="C1936" s="1">
        <f>IFERROR(__xludf.DUMMYFUNCTION("""COMPUTED_VALUE"""),128000.0)</f>
        <v>128000</v>
      </c>
      <c r="D1936" s="1">
        <f>IFERROR(__xludf.DUMMYFUNCTION("""COMPUTED_VALUE"""),123500.0)</f>
        <v>123500</v>
      </c>
      <c r="E1936" s="1">
        <f>IFERROR(__xludf.DUMMYFUNCTION("""COMPUTED_VALUE"""),127000.0)</f>
        <v>127000</v>
      </c>
      <c r="F1936" s="1">
        <f>IFERROR(__xludf.DUMMYFUNCTION("""COMPUTED_VALUE"""),364624.0)</f>
        <v>364624</v>
      </c>
    </row>
    <row r="1937">
      <c r="A1937" s="2">
        <f>IFERROR(__xludf.DUMMYFUNCTION("""COMPUTED_VALUE"""),43455.64583333333)</f>
        <v>43455.64583</v>
      </c>
      <c r="B1937" s="1">
        <f>IFERROR(__xludf.DUMMYFUNCTION("""COMPUTED_VALUE"""),127000.0)</f>
        <v>127000</v>
      </c>
      <c r="C1937" s="1">
        <f>IFERROR(__xludf.DUMMYFUNCTION("""COMPUTED_VALUE"""),127000.0)</f>
        <v>127000</v>
      </c>
      <c r="D1937" s="1">
        <f>IFERROR(__xludf.DUMMYFUNCTION("""COMPUTED_VALUE"""),121000.0)</f>
        <v>121000</v>
      </c>
      <c r="E1937" s="1">
        <f>IFERROR(__xludf.DUMMYFUNCTION("""COMPUTED_VALUE"""),121500.0)</f>
        <v>121500</v>
      </c>
      <c r="F1937" s="1">
        <f>IFERROR(__xludf.DUMMYFUNCTION("""COMPUTED_VALUE"""),507653.0)</f>
        <v>507653</v>
      </c>
    </row>
    <row r="1938">
      <c r="A1938" s="2">
        <f>IFERROR(__xludf.DUMMYFUNCTION("""COMPUTED_VALUE"""),43458.64583333333)</f>
        <v>43458.64583</v>
      </c>
      <c r="B1938" s="1">
        <f>IFERROR(__xludf.DUMMYFUNCTION("""COMPUTED_VALUE"""),122000.0)</f>
        <v>122000</v>
      </c>
      <c r="C1938" s="1">
        <f>IFERROR(__xludf.DUMMYFUNCTION("""COMPUTED_VALUE"""),124500.0)</f>
        <v>124500</v>
      </c>
      <c r="D1938" s="1">
        <f>IFERROR(__xludf.DUMMYFUNCTION("""COMPUTED_VALUE"""),121000.0)</f>
        <v>121000</v>
      </c>
      <c r="E1938" s="1">
        <f>IFERROR(__xludf.DUMMYFUNCTION("""COMPUTED_VALUE"""),123000.0)</f>
        <v>123000</v>
      </c>
      <c r="F1938" s="1">
        <f>IFERROR(__xludf.DUMMYFUNCTION("""COMPUTED_VALUE"""),278884.0)</f>
        <v>278884</v>
      </c>
    </row>
    <row r="1939">
      <c r="A1939" s="2">
        <f>IFERROR(__xludf.DUMMYFUNCTION("""COMPUTED_VALUE"""),43460.64583333333)</f>
        <v>43460.64583</v>
      </c>
      <c r="B1939" s="1">
        <f>IFERROR(__xludf.DUMMYFUNCTION("""COMPUTED_VALUE"""),121000.0)</f>
        <v>121000</v>
      </c>
      <c r="C1939" s="1">
        <f>IFERROR(__xludf.DUMMYFUNCTION("""COMPUTED_VALUE"""),122000.0)</f>
        <v>122000</v>
      </c>
      <c r="D1939" s="1">
        <f>IFERROR(__xludf.DUMMYFUNCTION("""COMPUTED_VALUE"""),117500.0)</f>
        <v>117500</v>
      </c>
      <c r="E1939" s="1">
        <f>IFERROR(__xludf.DUMMYFUNCTION("""COMPUTED_VALUE"""),119000.0)</f>
        <v>119000</v>
      </c>
      <c r="F1939" s="1">
        <f>IFERROR(__xludf.DUMMYFUNCTION("""COMPUTED_VALUE"""),275517.0)</f>
        <v>275517</v>
      </c>
    </row>
    <row r="1940">
      <c r="A1940" s="2">
        <f>IFERROR(__xludf.DUMMYFUNCTION("""COMPUTED_VALUE"""),43461.64583333333)</f>
        <v>43461.64583</v>
      </c>
      <c r="B1940" s="1">
        <f>IFERROR(__xludf.DUMMYFUNCTION("""COMPUTED_VALUE"""),120500.0)</f>
        <v>120500</v>
      </c>
      <c r="C1940" s="1">
        <f>IFERROR(__xludf.DUMMYFUNCTION("""COMPUTED_VALUE"""),123000.0)</f>
        <v>123000</v>
      </c>
      <c r="D1940" s="1">
        <f>IFERROR(__xludf.DUMMYFUNCTION("""COMPUTED_VALUE"""),118500.0)</f>
        <v>118500</v>
      </c>
      <c r="E1940" s="1">
        <f>IFERROR(__xludf.DUMMYFUNCTION("""COMPUTED_VALUE"""),122500.0)</f>
        <v>122500</v>
      </c>
      <c r="F1940" s="1">
        <f>IFERROR(__xludf.DUMMYFUNCTION("""COMPUTED_VALUE"""),371637.0)</f>
        <v>371637</v>
      </c>
    </row>
    <row r="1941">
      <c r="A1941" s="2">
        <f>IFERROR(__xludf.DUMMYFUNCTION("""COMPUTED_VALUE"""),43462.64583333333)</f>
        <v>43462.64583</v>
      </c>
      <c r="B1941" s="1">
        <f>IFERROR(__xludf.DUMMYFUNCTION("""COMPUTED_VALUE"""),122500.0)</f>
        <v>122500</v>
      </c>
      <c r="C1941" s="1">
        <f>IFERROR(__xludf.DUMMYFUNCTION("""COMPUTED_VALUE"""),123000.0)</f>
        <v>123000</v>
      </c>
      <c r="D1941" s="1">
        <f>IFERROR(__xludf.DUMMYFUNCTION("""COMPUTED_VALUE"""),120500.0)</f>
        <v>120500</v>
      </c>
      <c r="E1941" s="1">
        <f>IFERROR(__xludf.DUMMYFUNCTION("""COMPUTED_VALUE"""),122000.0)</f>
        <v>122000</v>
      </c>
      <c r="F1941" s="1">
        <f>IFERROR(__xludf.DUMMYFUNCTION("""COMPUTED_VALUE"""),322665.0)</f>
        <v>322665</v>
      </c>
    </row>
    <row r="1942">
      <c r="A1942" s="2">
        <f>IFERROR(__xludf.DUMMYFUNCTION("""COMPUTED_VALUE"""),43467.64583333333)</f>
        <v>43467.64583</v>
      </c>
      <c r="B1942" s="1">
        <f>IFERROR(__xludf.DUMMYFUNCTION("""COMPUTED_VALUE"""),121000.0)</f>
        <v>121000</v>
      </c>
      <c r="C1942" s="1">
        <f>IFERROR(__xludf.DUMMYFUNCTION("""COMPUTED_VALUE"""),122000.0)</f>
        <v>122000</v>
      </c>
      <c r="D1942" s="1">
        <f>IFERROR(__xludf.DUMMYFUNCTION("""COMPUTED_VALUE"""),117000.0)</f>
        <v>117000</v>
      </c>
      <c r="E1942" s="1">
        <f>IFERROR(__xludf.DUMMYFUNCTION("""COMPUTED_VALUE"""),118000.0)</f>
        <v>118000</v>
      </c>
      <c r="F1942" s="1">
        <f>IFERROR(__xludf.DUMMYFUNCTION("""COMPUTED_VALUE"""),356120.0)</f>
        <v>356120</v>
      </c>
    </row>
    <row r="1943">
      <c r="A1943" s="2">
        <f>IFERROR(__xludf.DUMMYFUNCTION("""COMPUTED_VALUE"""),43468.64583333333)</f>
        <v>43468.64583</v>
      </c>
      <c r="B1943" s="1">
        <f>IFERROR(__xludf.DUMMYFUNCTION("""COMPUTED_VALUE"""),120000.0)</f>
        <v>120000</v>
      </c>
      <c r="C1943" s="1">
        <f>IFERROR(__xludf.DUMMYFUNCTION("""COMPUTED_VALUE"""),125000.0)</f>
        <v>125000</v>
      </c>
      <c r="D1943" s="1">
        <f>IFERROR(__xludf.DUMMYFUNCTION("""COMPUTED_VALUE"""),119000.0)</f>
        <v>119000</v>
      </c>
      <c r="E1943" s="1">
        <f>IFERROR(__xludf.DUMMYFUNCTION("""COMPUTED_VALUE"""),122000.0)</f>
        <v>122000</v>
      </c>
      <c r="F1943" s="1">
        <f>IFERROR(__xludf.DUMMYFUNCTION("""COMPUTED_VALUE"""),525020.0)</f>
        <v>525020</v>
      </c>
    </row>
    <row r="1944">
      <c r="A1944" s="2">
        <f>IFERROR(__xludf.DUMMYFUNCTION("""COMPUTED_VALUE"""),43469.64583333333)</f>
        <v>43469.64583</v>
      </c>
      <c r="B1944" s="1">
        <f>IFERROR(__xludf.DUMMYFUNCTION("""COMPUTED_VALUE"""),123500.0)</f>
        <v>123500</v>
      </c>
      <c r="C1944" s="1">
        <f>IFERROR(__xludf.DUMMYFUNCTION("""COMPUTED_VALUE"""),126000.0)</f>
        <v>126000</v>
      </c>
      <c r="D1944" s="1">
        <f>IFERROR(__xludf.DUMMYFUNCTION("""COMPUTED_VALUE"""),122500.0)</f>
        <v>122500</v>
      </c>
      <c r="E1944" s="1">
        <f>IFERROR(__xludf.DUMMYFUNCTION("""COMPUTED_VALUE"""),125500.0)</f>
        <v>125500</v>
      </c>
      <c r="F1944" s="1">
        <f>IFERROR(__xludf.DUMMYFUNCTION("""COMPUTED_VALUE"""),520785.0)</f>
        <v>520785</v>
      </c>
    </row>
    <row r="1945">
      <c r="A1945" s="2">
        <f>IFERROR(__xludf.DUMMYFUNCTION("""COMPUTED_VALUE"""),43472.64583333333)</f>
        <v>43472.64583</v>
      </c>
      <c r="B1945" s="1">
        <f>IFERROR(__xludf.DUMMYFUNCTION("""COMPUTED_VALUE"""),128000.0)</f>
        <v>128000</v>
      </c>
      <c r="C1945" s="1">
        <f>IFERROR(__xludf.DUMMYFUNCTION("""COMPUTED_VALUE"""),132500.0)</f>
        <v>132500</v>
      </c>
      <c r="D1945" s="1">
        <f>IFERROR(__xludf.DUMMYFUNCTION("""COMPUTED_VALUE"""),127000.0)</f>
        <v>127000</v>
      </c>
      <c r="E1945" s="1">
        <f>IFERROR(__xludf.DUMMYFUNCTION("""COMPUTED_VALUE"""),131500.0)</f>
        <v>131500</v>
      </c>
      <c r="F1945" s="1">
        <f>IFERROR(__xludf.DUMMYFUNCTION("""COMPUTED_VALUE"""),502619.0)</f>
        <v>502619</v>
      </c>
    </row>
    <row r="1946">
      <c r="A1946" s="2">
        <f>IFERROR(__xludf.DUMMYFUNCTION("""COMPUTED_VALUE"""),43473.64583333333)</f>
        <v>43473.64583</v>
      </c>
      <c r="B1946" s="1">
        <f>IFERROR(__xludf.DUMMYFUNCTION("""COMPUTED_VALUE"""),132000.0)</f>
        <v>132000</v>
      </c>
      <c r="C1946" s="1">
        <f>IFERROR(__xludf.DUMMYFUNCTION("""COMPUTED_VALUE"""),134000.0)</f>
        <v>134000</v>
      </c>
      <c r="D1946" s="1">
        <f>IFERROR(__xludf.DUMMYFUNCTION("""COMPUTED_VALUE"""),129000.0)</f>
        <v>129000</v>
      </c>
      <c r="E1946" s="1">
        <f>IFERROR(__xludf.DUMMYFUNCTION("""COMPUTED_VALUE"""),130000.0)</f>
        <v>130000</v>
      </c>
      <c r="F1946" s="1">
        <f>IFERROR(__xludf.DUMMYFUNCTION("""COMPUTED_VALUE"""),376127.0)</f>
        <v>376127</v>
      </c>
    </row>
    <row r="1947">
      <c r="A1947" s="2">
        <f>IFERROR(__xludf.DUMMYFUNCTION("""COMPUTED_VALUE"""),43474.64583333333)</f>
        <v>43474.64583</v>
      </c>
      <c r="B1947" s="1">
        <f>IFERROR(__xludf.DUMMYFUNCTION("""COMPUTED_VALUE"""),131000.0)</f>
        <v>131000</v>
      </c>
      <c r="C1947" s="1">
        <f>IFERROR(__xludf.DUMMYFUNCTION("""COMPUTED_VALUE"""),134500.0)</f>
        <v>134500</v>
      </c>
      <c r="D1947" s="1">
        <f>IFERROR(__xludf.DUMMYFUNCTION("""COMPUTED_VALUE"""),129500.0)</f>
        <v>129500</v>
      </c>
      <c r="E1947" s="1">
        <f>IFERROR(__xludf.DUMMYFUNCTION("""COMPUTED_VALUE"""),133000.0)</f>
        <v>133000</v>
      </c>
      <c r="F1947" s="1">
        <f>IFERROR(__xludf.DUMMYFUNCTION("""COMPUTED_VALUE"""),381372.0)</f>
        <v>381372</v>
      </c>
    </row>
    <row r="1948">
      <c r="A1948" s="2">
        <f>IFERROR(__xludf.DUMMYFUNCTION("""COMPUTED_VALUE"""),43475.64583333333)</f>
        <v>43475.64583</v>
      </c>
      <c r="B1948" s="1">
        <f>IFERROR(__xludf.DUMMYFUNCTION("""COMPUTED_VALUE"""),132000.0)</f>
        <v>132000</v>
      </c>
      <c r="C1948" s="1">
        <f>IFERROR(__xludf.DUMMYFUNCTION("""COMPUTED_VALUE"""),134500.0)</f>
        <v>134500</v>
      </c>
      <c r="D1948" s="1">
        <f>IFERROR(__xludf.DUMMYFUNCTION("""COMPUTED_VALUE"""),130000.0)</f>
        <v>130000</v>
      </c>
      <c r="E1948" s="1">
        <f>IFERROR(__xludf.DUMMYFUNCTION("""COMPUTED_VALUE"""),131000.0)</f>
        <v>131000</v>
      </c>
      <c r="F1948" s="1">
        <f>IFERROR(__xludf.DUMMYFUNCTION("""COMPUTED_VALUE"""),293112.0)</f>
        <v>293112</v>
      </c>
    </row>
    <row r="1949">
      <c r="A1949" s="2">
        <f>IFERROR(__xludf.DUMMYFUNCTION("""COMPUTED_VALUE"""),43476.64583333333)</f>
        <v>43476.64583</v>
      </c>
      <c r="B1949" s="1">
        <f>IFERROR(__xludf.DUMMYFUNCTION("""COMPUTED_VALUE"""),133000.0)</f>
        <v>133000</v>
      </c>
      <c r="C1949" s="1">
        <f>IFERROR(__xludf.DUMMYFUNCTION("""COMPUTED_VALUE"""),134500.0)</f>
        <v>134500</v>
      </c>
      <c r="D1949" s="1">
        <f>IFERROR(__xludf.DUMMYFUNCTION("""COMPUTED_VALUE"""),130500.0)</f>
        <v>130500</v>
      </c>
      <c r="E1949" s="1">
        <f>IFERROR(__xludf.DUMMYFUNCTION("""COMPUTED_VALUE"""),131000.0)</f>
        <v>131000</v>
      </c>
      <c r="F1949" s="1">
        <f>IFERROR(__xludf.DUMMYFUNCTION("""COMPUTED_VALUE"""),322925.0)</f>
        <v>322925</v>
      </c>
    </row>
    <row r="1950">
      <c r="A1950" s="2">
        <f>IFERROR(__xludf.DUMMYFUNCTION("""COMPUTED_VALUE"""),43479.64583333333)</f>
        <v>43479.64583</v>
      </c>
      <c r="B1950" s="1">
        <f>IFERROR(__xludf.DUMMYFUNCTION("""COMPUTED_VALUE"""),130000.0)</f>
        <v>130000</v>
      </c>
      <c r="C1950" s="1">
        <f>IFERROR(__xludf.DUMMYFUNCTION("""COMPUTED_VALUE"""),130500.0)</f>
        <v>130500</v>
      </c>
      <c r="D1950" s="1">
        <f>IFERROR(__xludf.DUMMYFUNCTION("""COMPUTED_VALUE"""),125000.0)</f>
        <v>125000</v>
      </c>
      <c r="E1950" s="1">
        <f>IFERROR(__xludf.DUMMYFUNCTION("""COMPUTED_VALUE"""),127000.0)</f>
        <v>127000</v>
      </c>
      <c r="F1950" s="1">
        <f>IFERROR(__xludf.DUMMYFUNCTION("""COMPUTED_VALUE"""),525411.0)</f>
        <v>525411</v>
      </c>
    </row>
    <row r="1951">
      <c r="A1951" s="2">
        <f>IFERROR(__xludf.DUMMYFUNCTION("""COMPUTED_VALUE"""),43480.64583333333)</f>
        <v>43480.64583</v>
      </c>
      <c r="B1951" s="1">
        <f>IFERROR(__xludf.DUMMYFUNCTION("""COMPUTED_VALUE"""),127500.0)</f>
        <v>127500</v>
      </c>
      <c r="C1951" s="1">
        <f>IFERROR(__xludf.DUMMYFUNCTION("""COMPUTED_VALUE"""),132500.0)</f>
        <v>132500</v>
      </c>
      <c r="D1951" s="1">
        <f>IFERROR(__xludf.DUMMYFUNCTION("""COMPUTED_VALUE"""),127500.0)</f>
        <v>127500</v>
      </c>
      <c r="E1951" s="1">
        <f>IFERROR(__xludf.DUMMYFUNCTION("""COMPUTED_VALUE"""),132500.0)</f>
        <v>132500</v>
      </c>
      <c r="F1951" s="1">
        <f>IFERROR(__xludf.DUMMYFUNCTION("""COMPUTED_VALUE"""),335999.0)</f>
        <v>335999</v>
      </c>
    </row>
    <row r="1952">
      <c r="A1952" s="2">
        <f>IFERROR(__xludf.DUMMYFUNCTION("""COMPUTED_VALUE"""),43481.64583333333)</f>
        <v>43481.64583</v>
      </c>
      <c r="B1952" s="1">
        <f>IFERROR(__xludf.DUMMYFUNCTION("""COMPUTED_VALUE"""),132500.0)</f>
        <v>132500</v>
      </c>
      <c r="C1952" s="1">
        <f>IFERROR(__xludf.DUMMYFUNCTION("""COMPUTED_VALUE"""),135000.0)</f>
        <v>135000</v>
      </c>
      <c r="D1952" s="1">
        <f>IFERROR(__xludf.DUMMYFUNCTION("""COMPUTED_VALUE"""),131000.0)</f>
        <v>131000</v>
      </c>
      <c r="E1952" s="1">
        <f>IFERROR(__xludf.DUMMYFUNCTION("""COMPUTED_VALUE"""),132500.0)</f>
        <v>132500</v>
      </c>
      <c r="F1952" s="1">
        <f>IFERROR(__xludf.DUMMYFUNCTION("""COMPUTED_VALUE"""),272719.0)</f>
        <v>272719</v>
      </c>
    </row>
    <row r="1953">
      <c r="A1953" s="2">
        <f>IFERROR(__xludf.DUMMYFUNCTION("""COMPUTED_VALUE"""),43482.64583333333)</f>
        <v>43482.64583</v>
      </c>
      <c r="B1953" s="1">
        <f>IFERROR(__xludf.DUMMYFUNCTION("""COMPUTED_VALUE"""),131500.0)</f>
        <v>131500</v>
      </c>
      <c r="C1953" s="1">
        <f>IFERROR(__xludf.DUMMYFUNCTION("""COMPUTED_VALUE"""),138000.0)</f>
        <v>138000</v>
      </c>
      <c r="D1953" s="1">
        <f>IFERROR(__xludf.DUMMYFUNCTION("""COMPUTED_VALUE"""),131500.0)</f>
        <v>131500</v>
      </c>
      <c r="E1953" s="1">
        <f>IFERROR(__xludf.DUMMYFUNCTION("""COMPUTED_VALUE"""),136000.0)</f>
        <v>136000</v>
      </c>
      <c r="F1953" s="1">
        <f>IFERROR(__xludf.DUMMYFUNCTION("""COMPUTED_VALUE"""),407099.0)</f>
        <v>407099</v>
      </c>
    </row>
    <row r="1954">
      <c r="A1954" s="2">
        <f>IFERROR(__xludf.DUMMYFUNCTION("""COMPUTED_VALUE"""),43483.64583333333)</f>
        <v>43483.64583</v>
      </c>
      <c r="B1954" s="1">
        <f>IFERROR(__xludf.DUMMYFUNCTION("""COMPUTED_VALUE"""),137000.0)</f>
        <v>137000</v>
      </c>
      <c r="C1954" s="1">
        <f>IFERROR(__xludf.DUMMYFUNCTION("""COMPUTED_VALUE"""),138500.0)</f>
        <v>138500</v>
      </c>
      <c r="D1954" s="1">
        <f>IFERROR(__xludf.DUMMYFUNCTION("""COMPUTED_VALUE"""),136500.0)</f>
        <v>136500</v>
      </c>
      <c r="E1954" s="1">
        <f>IFERROR(__xludf.DUMMYFUNCTION("""COMPUTED_VALUE"""),137500.0)</f>
        <v>137500</v>
      </c>
      <c r="F1954" s="1">
        <f>IFERROR(__xludf.DUMMYFUNCTION("""COMPUTED_VALUE"""),328761.0)</f>
        <v>328761</v>
      </c>
    </row>
    <row r="1955">
      <c r="A1955" s="2">
        <f>IFERROR(__xludf.DUMMYFUNCTION("""COMPUTED_VALUE"""),43486.64583333333)</f>
        <v>43486.64583</v>
      </c>
      <c r="B1955" s="1">
        <f>IFERROR(__xludf.DUMMYFUNCTION("""COMPUTED_VALUE"""),138000.0)</f>
        <v>138000</v>
      </c>
      <c r="C1955" s="1">
        <f>IFERROR(__xludf.DUMMYFUNCTION("""COMPUTED_VALUE"""),138000.0)</f>
        <v>138000</v>
      </c>
      <c r="D1955" s="1">
        <f>IFERROR(__xludf.DUMMYFUNCTION("""COMPUTED_VALUE"""),131000.0)</f>
        <v>131000</v>
      </c>
      <c r="E1955" s="1">
        <f>IFERROR(__xludf.DUMMYFUNCTION("""COMPUTED_VALUE"""),131000.0)</f>
        <v>131000</v>
      </c>
      <c r="F1955" s="1">
        <f>IFERROR(__xludf.DUMMYFUNCTION("""COMPUTED_VALUE"""),457161.0)</f>
        <v>457161</v>
      </c>
    </row>
    <row r="1956">
      <c r="A1956" s="2">
        <f>IFERROR(__xludf.DUMMYFUNCTION("""COMPUTED_VALUE"""),43487.64583333333)</f>
        <v>43487.64583</v>
      </c>
      <c r="B1956" s="1">
        <f>IFERROR(__xludf.DUMMYFUNCTION("""COMPUTED_VALUE"""),128500.0)</f>
        <v>128500</v>
      </c>
      <c r="C1956" s="1">
        <f>IFERROR(__xludf.DUMMYFUNCTION("""COMPUTED_VALUE"""),130500.0)</f>
        <v>130500</v>
      </c>
      <c r="D1956" s="1">
        <f>IFERROR(__xludf.DUMMYFUNCTION("""COMPUTED_VALUE"""),126500.0)</f>
        <v>126500</v>
      </c>
      <c r="E1956" s="1">
        <f>IFERROR(__xludf.DUMMYFUNCTION("""COMPUTED_VALUE"""),130000.0)</f>
        <v>130000</v>
      </c>
      <c r="F1956" s="1">
        <f>IFERROR(__xludf.DUMMYFUNCTION("""COMPUTED_VALUE"""),502285.0)</f>
        <v>502285</v>
      </c>
    </row>
    <row r="1957">
      <c r="A1957" s="2">
        <f>IFERROR(__xludf.DUMMYFUNCTION("""COMPUTED_VALUE"""),43488.64583333333)</f>
        <v>43488.64583</v>
      </c>
      <c r="B1957" s="1">
        <f>IFERROR(__xludf.DUMMYFUNCTION("""COMPUTED_VALUE"""),130000.0)</f>
        <v>130000</v>
      </c>
      <c r="C1957" s="1">
        <f>IFERROR(__xludf.DUMMYFUNCTION("""COMPUTED_VALUE"""),134500.0)</f>
        <v>134500</v>
      </c>
      <c r="D1957" s="1">
        <f>IFERROR(__xludf.DUMMYFUNCTION("""COMPUTED_VALUE"""),130000.0)</f>
        <v>130000</v>
      </c>
      <c r="E1957" s="1">
        <f>IFERROR(__xludf.DUMMYFUNCTION("""COMPUTED_VALUE"""),132500.0)</f>
        <v>132500</v>
      </c>
      <c r="F1957" s="1">
        <f>IFERROR(__xludf.DUMMYFUNCTION("""COMPUTED_VALUE"""),259375.0)</f>
        <v>259375</v>
      </c>
    </row>
    <row r="1958">
      <c r="A1958" s="2">
        <f>IFERROR(__xludf.DUMMYFUNCTION("""COMPUTED_VALUE"""),43489.64583333333)</f>
        <v>43489.64583</v>
      </c>
      <c r="B1958" s="1">
        <f>IFERROR(__xludf.DUMMYFUNCTION("""COMPUTED_VALUE"""),131000.0)</f>
        <v>131000</v>
      </c>
      <c r="C1958" s="1">
        <f>IFERROR(__xludf.DUMMYFUNCTION("""COMPUTED_VALUE"""),132500.0)</f>
        <v>132500</v>
      </c>
      <c r="D1958" s="1">
        <f>IFERROR(__xludf.DUMMYFUNCTION("""COMPUTED_VALUE"""),127500.0)</f>
        <v>127500</v>
      </c>
      <c r="E1958" s="1">
        <f>IFERROR(__xludf.DUMMYFUNCTION("""COMPUTED_VALUE"""),129500.0)</f>
        <v>129500</v>
      </c>
      <c r="F1958" s="1">
        <f>IFERROR(__xludf.DUMMYFUNCTION("""COMPUTED_VALUE"""),562335.0)</f>
        <v>562335</v>
      </c>
    </row>
    <row r="1959">
      <c r="A1959" s="2">
        <f>IFERROR(__xludf.DUMMYFUNCTION("""COMPUTED_VALUE"""),43490.64583333333)</f>
        <v>43490.64583</v>
      </c>
      <c r="B1959" s="1">
        <f>IFERROR(__xludf.DUMMYFUNCTION("""COMPUTED_VALUE"""),127500.0)</f>
        <v>127500</v>
      </c>
      <c r="C1959" s="1">
        <f>IFERROR(__xludf.DUMMYFUNCTION("""COMPUTED_VALUE"""),131000.0)</f>
        <v>131000</v>
      </c>
      <c r="D1959" s="1">
        <f>IFERROR(__xludf.DUMMYFUNCTION("""COMPUTED_VALUE"""),127000.0)</f>
        <v>127000</v>
      </c>
      <c r="E1959" s="1">
        <f>IFERROR(__xludf.DUMMYFUNCTION("""COMPUTED_VALUE"""),130000.0)</f>
        <v>130000</v>
      </c>
      <c r="F1959" s="1">
        <f>IFERROR(__xludf.DUMMYFUNCTION("""COMPUTED_VALUE"""),281650.0)</f>
        <v>281650</v>
      </c>
    </row>
    <row r="1960">
      <c r="A1960" s="2">
        <f>IFERROR(__xludf.DUMMYFUNCTION("""COMPUTED_VALUE"""),43493.64583333333)</f>
        <v>43493.64583</v>
      </c>
      <c r="B1960" s="1">
        <f>IFERROR(__xludf.DUMMYFUNCTION("""COMPUTED_VALUE"""),129500.0)</f>
        <v>129500</v>
      </c>
      <c r="C1960" s="1">
        <f>IFERROR(__xludf.DUMMYFUNCTION("""COMPUTED_VALUE"""),132500.0)</f>
        <v>132500</v>
      </c>
      <c r="D1960" s="1">
        <f>IFERROR(__xludf.DUMMYFUNCTION("""COMPUTED_VALUE"""),129500.0)</f>
        <v>129500</v>
      </c>
      <c r="E1960" s="1">
        <f>IFERROR(__xludf.DUMMYFUNCTION("""COMPUTED_VALUE"""),132000.0)</f>
        <v>132000</v>
      </c>
      <c r="F1960" s="1">
        <f>IFERROR(__xludf.DUMMYFUNCTION("""COMPUTED_VALUE"""),283360.0)</f>
        <v>283360</v>
      </c>
    </row>
    <row r="1961">
      <c r="A1961" s="2">
        <f>IFERROR(__xludf.DUMMYFUNCTION("""COMPUTED_VALUE"""),43494.64583333333)</f>
        <v>43494.64583</v>
      </c>
      <c r="B1961" s="1">
        <f>IFERROR(__xludf.DUMMYFUNCTION("""COMPUTED_VALUE"""),130000.0)</f>
        <v>130000</v>
      </c>
      <c r="C1961" s="1">
        <f>IFERROR(__xludf.DUMMYFUNCTION("""COMPUTED_VALUE"""),136500.0)</f>
        <v>136500</v>
      </c>
      <c r="D1961" s="1">
        <f>IFERROR(__xludf.DUMMYFUNCTION("""COMPUTED_VALUE"""),130000.0)</f>
        <v>130000</v>
      </c>
      <c r="E1961" s="1">
        <f>IFERROR(__xludf.DUMMYFUNCTION("""COMPUTED_VALUE"""),136000.0)</f>
        <v>136000</v>
      </c>
      <c r="F1961" s="1">
        <f>IFERROR(__xludf.DUMMYFUNCTION("""COMPUTED_VALUE"""),411369.0)</f>
        <v>411369</v>
      </c>
    </row>
    <row r="1962">
      <c r="A1962" s="2">
        <f>IFERROR(__xludf.DUMMYFUNCTION("""COMPUTED_VALUE"""),43495.64583333333)</f>
        <v>43495.64583</v>
      </c>
      <c r="B1962" s="1">
        <f>IFERROR(__xludf.DUMMYFUNCTION("""COMPUTED_VALUE"""),139000.0)</f>
        <v>139000</v>
      </c>
      <c r="C1962" s="1">
        <f>IFERROR(__xludf.DUMMYFUNCTION("""COMPUTED_VALUE"""),139500.0)</f>
        <v>139500</v>
      </c>
      <c r="D1962" s="1">
        <f>IFERROR(__xludf.DUMMYFUNCTION("""COMPUTED_VALUE"""),133000.0)</f>
        <v>133000</v>
      </c>
      <c r="E1962" s="1">
        <f>IFERROR(__xludf.DUMMYFUNCTION("""COMPUTED_VALUE"""),136000.0)</f>
        <v>136000</v>
      </c>
      <c r="F1962" s="1">
        <f>IFERROR(__xludf.DUMMYFUNCTION("""COMPUTED_VALUE"""),462280.0)</f>
        <v>462280</v>
      </c>
    </row>
    <row r="1963">
      <c r="A1963" s="2">
        <f>IFERROR(__xludf.DUMMYFUNCTION("""COMPUTED_VALUE"""),43496.64583333333)</f>
        <v>43496.64583</v>
      </c>
      <c r="B1963" s="1">
        <f>IFERROR(__xludf.DUMMYFUNCTION("""COMPUTED_VALUE"""),138000.0)</f>
        <v>138000</v>
      </c>
      <c r="C1963" s="1">
        <f>IFERROR(__xludf.DUMMYFUNCTION("""COMPUTED_VALUE"""),143500.0)</f>
        <v>143500</v>
      </c>
      <c r="D1963" s="1">
        <f>IFERROR(__xludf.DUMMYFUNCTION("""COMPUTED_VALUE"""),136000.0)</f>
        <v>136000</v>
      </c>
      <c r="E1963" s="1">
        <f>IFERROR(__xludf.DUMMYFUNCTION("""COMPUTED_VALUE"""),136000.0)</f>
        <v>136000</v>
      </c>
      <c r="F1963" s="1">
        <f>IFERROR(__xludf.DUMMYFUNCTION("""COMPUTED_VALUE"""),1054276.0)</f>
        <v>1054276</v>
      </c>
    </row>
    <row r="1964">
      <c r="A1964" s="2">
        <f>IFERROR(__xludf.DUMMYFUNCTION("""COMPUTED_VALUE"""),43497.64583333333)</f>
        <v>43497.64583</v>
      </c>
      <c r="B1964" s="1">
        <f>IFERROR(__xludf.DUMMYFUNCTION("""COMPUTED_VALUE"""),138000.0)</f>
        <v>138000</v>
      </c>
      <c r="C1964" s="1">
        <f>IFERROR(__xludf.DUMMYFUNCTION("""COMPUTED_VALUE"""),140000.0)</f>
        <v>140000</v>
      </c>
      <c r="D1964" s="1">
        <f>IFERROR(__xludf.DUMMYFUNCTION("""COMPUTED_VALUE"""),133000.0)</f>
        <v>133000</v>
      </c>
      <c r="E1964" s="1">
        <f>IFERROR(__xludf.DUMMYFUNCTION("""COMPUTED_VALUE"""),133500.0)</f>
        <v>133500</v>
      </c>
      <c r="F1964" s="1">
        <f>IFERROR(__xludf.DUMMYFUNCTION("""COMPUTED_VALUE"""),530284.0)</f>
        <v>530284</v>
      </c>
    </row>
    <row r="1965">
      <c r="A1965" s="2">
        <f>IFERROR(__xludf.DUMMYFUNCTION("""COMPUTED_VALUE"""),43503.64583333333)</f>
        <v>43503.64583</v>
      </c>
      <c r="B1965" s="1">
        <f>IFERROR(__xludf.DUMMYFUNCTION("""COMPUTED_VALUE"""),132000.0)</f>
        <v>132000</v>
      </c>
      <c r="C1965" s="1">
        <f>IFERROR(__xludf.DUMMYFUNCTION("""COMPUTED_VALUE"""),134000.0)</f>
        <v>134000</v>
      </c>
      <c r="D1965" s="1">
        <f>IFERROR(__xludf.DUMMYFUNCTION("""COMPUTED_VALUE"""),128500.0)</f>
        <v>128500</v>
      </c>
      <c r="E1965" s="1">
        <f>IFERROR(__xludf.DUMMYFUNCTION("""COMPUTED_VALUE"""),129000.0)</f>
        <v>129000</v>
      </c>
      <c r="F1965" s="1">
        <f>IFERROR(__xludf.DUMMYFUNCTION("""COMPUTED_VALUE"""),737938.0)</f>
        <v>737938</v>
      </c>
    </row>
    <row r="1966">
      <c r="A1966" s="2">
        <f>IFERROR(__xludf.DUMMYFUNCTION("""COMPUTED_VALUE"""),43504.64583333333)</f>
        <v>43504.64583</v>
      </c>
      <c r="B1966" s="1">
        <f>IFERROR(__xludf.DUMMYFUNCTION("""COMPUTED_VALUE"""),126500.0)</f>
        <v>126500</v>
      </c>
      <c r="C1966" s="1">
        <f>IFERROR(__xludf.DUMMYFUNCTION("""COMPUTED_VALUE"""),129000.0)</f>
        <v>129000</v>
      </c>
      <c r="D1966" s="1">
        <f>IFERROR(__xludf.DUMMYFUNCTION("""COMPUTED_VALUE"""),124500.0)</f>
        <v>124500</v>
      </c>
      <c r="E1966" s="1">
        <f>IFERROR(__xludf.DUMMYFUNCTION("""COMPUTED_VALUE"""),126000.0)</f>
        <v>126000</v>
      </c>
      <c r="F1966" s="1">
        <f>IFERROR(__xludf.DUMMYFUNCTION("""COMPUTED_VALUE"""),704393.0)</f>
        <v>704393</v>
      </c>
    </row>
    <row r="1967">
      <c r="A1967" s="2">
        <f>IFERROR(__xludf.DUMMYFUNCTION("""COMPUTED_VALUE"""),43507.64583333333)</f>
        <v>43507.64583</v>
      </c>
      <c r="B1967" s="1">
        <f>IFERROR(__xludf.DUMMYFUNCTION("""COMPUTED_VALUE"""),127000.0)</f>
        <v>127000</v>
      </c>
      <c r="C1967" s="1">
        <f>IFERROR(__xludf.DUMMYFUNCTION("""COMPUTED_VALUE"""),128500.0)</f>
        <v>128500</v>
      </c>
      <c r="D1967" s="1">
        <f>IFERROR(__xludf.DUMMYFUNCTION("""COMPUTED_VALUE"""),125000.0)</f>
        <v>125000</v>
      </c>
      <c r="E1967" s="1">
        <f>IFERROR(__xludf.DUMMYFUNCTION("""COMPUTED_VALUE"""),125500.0)</f>
        <v>125500</v>
      </c>
      <c r="F1967" s="1">
        <f>IFERROR(__xludf.DUMMYFUNCTION("""COMPUTED_VALUE"""),801465.0)</f>
        <v>801465</v>
      </c>
    </row>
    <row r="1968">
      <c r="A1968" s="2">
        <f>IFERROR(__xludf.DUMMYFUNCTION("""COMPUTED_VALUE"""),43508.64583333333)</f>
        <v>43508.64583</v>
      </c>
      <c r="B1968" s="1">
        <f>IFERROR(__xludf.DUMMYFUNCTION("""COMPUTED_VALUE"""),123500.0)</f>
        <v>123500</v>
      </c>
      <c r="C1968" s="1">
        <f>IFERROR(__xludf.DUMMYFUNCTION("""COMPUTED_VALUE"""),124000.0)</f>
        <v>124000</v>
      </c>
      <c r="D1968" s="1">
        <f>IFERROR(__xludf.DUMMYFUNCTION("""COMPUTED_VALUE"""),121500.0)</f>
        <v>121500</v>
      </c>
      <c r="E1968" s="1">
        <f>IFERROR(__xludf.DUMMYFUNCTION("""COMPUTED_VALUE"""),123500.0)</f>
        <v>123500</v>
      </c>
      <c r="F1968" s="1">
        <f>IFERROR(__xludf.DUMMYFUNCTION("""COMPUTED_VALUE"""),1160217.0)</f>
        <v>1160217</v>
      </c>
    </row>
    <row r="1969">
      <c r="A1969" s="2">
        <f>IFERROR(__xludf.DUMMYFUNCTION("""COMPUTED_VALUE"""),43509.64583333333)</f>
        <v>43509.64583</v>
      </c>
      <c r="B1969" s="1">
        <f>IFERROR(__xludf.DUMMYFUNCTION("""COMPUTED_VALUE"""),123500.0)</f>
        <v>123500</v>
      </c>
      <c r="C1969" s="1">
        <f>IFERROR(__xludf.DUMMYFUNCTION("""COMPUTED_VALUE"""),126500.0)</f>
        <v>126500</v>
      </c>
      <c r="D1969" s="1">
        <f>IFERROR(__xludf.DUMMYFUNCTION("""COMPUTED_VALUE"""),123500.0)</f>
        <v>123500</v>
      </c>
      <c r="E1969" s="1">
        <f>IFERROR(__xludf.DUMMYFUNCTION("""COMPUTED_VALUE"""),125000.0)</f>
        <v>125000</v>
      </c>
      <c r="F1969" s="1">
        <f>IFERROR(__xludf.DUMMYFUNCTION("""COMPUTED_VALUE"""),373571.0)</f>
        <v>373571</v>
      </c>
    </row>
    <row r="1970">
      <c r="A1970" s="2">
        <f>IFERROR(__xludf.DUMMYFUNCTION("""COMPUTED_VALUE"""),43510.64583333333)</f>
        <v>43510.64583</v>
      </c>
      <c r="B1970" s="1">
        <f>IFERROR(__xludf.DUMMYFUNCTION("""COMPUTED_VALUE"""),125000.0)</f>
        <v>125000</v>
      </c>
      <c r="C1970" s="1">
        <f>IFERROR(__xludf.DUMMYFUNCTION("""COMPUTED_VALUE"""),130500.0)</f>
        <v>130500</v>
      </c>
      <c r="D1970" s="1">
        <f>IFERROR(__xludf.DUMMYFUNCTION("""COMPUTED_VALUE"""),125000.0)</f>
        <v>125000</v>
      </c>
      <c r="E1970" s="1">
        <f>IFERROR(__xludf.DUMMYFUNCTION("""COMPUTED_VALUE"""),127500.0)</f>
        <v>127500</v>
      </c>
      <c r="F1970" s="1">
        <f>IFERROR(__xludf.DUMMYFUNCTION("""COMPUTED_VALUE"""),700427.0)</f>
        <v>700427</v>
      </c>
    </row>
    <row r="1971">
      <c r="A1971" s="2">
        <f>IFERROR(__xludf.DUMMYFUNCTION("""COMPUTED_VALUE"""),43511.64583333333)</f>
        <v>43511.64583</v>
      </c>
      <c r="B1971" s="1">
        <f>IFERROR(__xludf.DUMMYFUNCTION("""COMPUTED_VALUE"""),128500.0)</f>
        <v>128500</v>
      </c>
      <c r="C1971" s="1">
        <f>IFERROR(__xludf.DUMMYFUNCTION("""COMPUTED_VALUE"""),131000.0)</f>
        <v>131000</v>
      </c>
      <c r="D1971" s="1">
        <f>IFERROR(__xludf.DUMMYFUNCTION("""COMPUTED_VALUE"""),127500.0)</f>
        <v>127500</v>
      </c>
      <c r="E1971" s="1">
        <f>IFERROR(__xludf.DUMMYFUNCTION("""COMPUTED_VALUE"""),127500.0)</f>
        <v>127500</v>
      </c>
      <c r="F1971" s="1">
        <f>IFERROR(__xludf.DUMMYFUNCTION("""COMPUTED_VALUE"""),420100.0)</f>
        <v>420100</v>
      </c>
    </row>
    <row r="1972">
      <c r="A1972" s="2">
        <f>IFERROR(__xludf.DUMMYFUNCTION("""COMPUTED_VALUE"""),43514.64583333333)</f>
        <v>43514.64583</v>
      </c>
      <c r="B1972" s="1">
        <f>IFERROR(__xludf.DUMMYFUNCTION("""COMPUTED_VALUE"""),129500.0)</f>
        <v>129500</v>
      </c>
      <c r="C1972" s="1">
        <f>IFERROR(__xludf.DUMMYFUNCTION("""COMPUTED_VALUE"""),131000.0)</f>
        <v>131000</v>
      </c>
      <c r="D1972" s="1">
        <f>IFERROR(__xludf.DUMMYFUNCTION("""COMPUTED_VALUE"""),125500.0)</f>
        <v>125500</v>
      </c>
      <c r="E1972" s="1">
        <f>IFERROR(__xludf.DUMMYFUNCTION("""COMPUTED_VALUE"""),127000.0)</f>
        <v>127000</v>
      </c>
      <c r="F1972" s="1">
        <f>IFERROR(__xludf.DUMMYFUNCTION("""COMPUTED_VALUE"""),533191.0)</f>
        <v>533191</v>
      </c>
    </row>
    <row r="1973">
      <c r="A1973" s="2">
        <f>IFERROR(__xludf.DUMMYFUNCTION("""COMPUTED_VALUE"""),43515.64583333333)</f>
        <v>43515.64583</v>
      </c>
      <c r="B1973" s="1">
        <f>IFERROR(__xludf.DUMMYFUNCTION("""COMPUTED_VALUE"""),127000.0)</f>
        <v>127000</v>
      </c>
      <c r="C1973" s="1">
        <f>IFERROR(__xludf.DUMMYFUNCTION("""COMPUTED_VALUE"""),128000.0)</f>
        <v>128000</v>
      </c>
      <c r="D1973" s="1">
        <f>IFERROR(__xludf.DUMMYFUNCTION("""COMPUTED_VALUE"""),125500.0)</f>
        <v>125500</v>
      </c>
      <c r="E1973" s="1">
        <f>IFERROR(__xludf.DUMMYFUNCTION("""COMPUTED_VALUE"""),126500.0)</f>
        <v>126500</v>
      </c>
      <c r="F1973" s="1">
        <f>IFERROR(__xludf.DUMMYFUNCTION("""COMPUTED_VALUE"""),218351.0)</f>
        <v>218351</v>
      </c>
    </row>
    <row r="1974">
      <c r="A1974" s="2">
        <f>IFERROR(__xludf.DUMMYFUNCTION("""COMPUTED_VALUE"""),43516.64583333333)</f>
        <v>43516.64583</v>
      </c>
      <c r="B1974" s="1">
        <f>IFERROR(__xludf.DUMMYFUNCTION("""COMPUTED_VALUE"""),126500.0)</f>
        <v>126500</v>
      </c>
      <c r="C1974" s="1">
        <f>IFERROR(__xludf.DUMMYFUNCTION("""COMPUTED_VALUE"""),128000.0)</f>
        <v>128000</v>
      </c>
      <c r="D1974" s="1">
        <f>IFERROR(__xludf.DUMMYFUNCTION("""COMPUTED_VALUE"""),125500.0)</f>
        <v>125500</v>
      </c>
      <c r="E1974" s="1">
        <f>IFERROR(__xludf.DUMMYFUNCTION("""COMPUTED_VALUE"""),127000.0)</f>
        <v>127000</v>
      </c>
      <c r="F1974" s="1">
        <f>IFERROR(__xludf.DUMMYFUNCTION("""COMPUTED_VALUE"""),231753.0)</f>
        <v>231753</v>
      </c>
    </row>
    <row r="1975">
      <c r="A1975" s="2">
        <f>IFERROR(__xludf.DUMMYFUNCTION("""COMPUTED_VALUE"""),43517.64583333333)</f>
        <v>43517.64583</v>
      </c>
      <c r="B1975" s="1">
        <f>IFERROR(__xludf.DUMMYFUNCTION("""COMPUTED_VALUE"""),126500.0)</f>
        <v>126500</v>
      </c>
      <c r="C1975" s="1">
        <f>IFERROR(__xludf.DUMMYFUNCTION("""COMPUTED_VALUE"""),130000.0)</f>
        <v>130000</v>
      </c>
      <c r="D1975" s="1">
        <f>IFERROR(__xludf.DUMMYFUNCTION("""COMPUTED_VALUE"""),126500.0)</f>
        <v>126500</v>
      </c>
      <c r="E1975" s="1">
        <f>IFERROR(__xludf.DUMMYFUNCTION("""COMPUTED_VALUE"""),129000.0)</f>
        <v>129000</v>
      </c>
      <c r="F1975" s="1">
        <f>IFERROR(__xludf.DUMMYFUNCTION("""COMPUTED_VALUE"""),347083.0)</f>
        <v>347083</v>
      </c>
    </row>
    <row r="1976">
      <c r="A1976" s="2">
        <f>IFERROR(__xludf.DUMMYFUNCTION("""COMPUTED_VALUE"""),43518.64583333333)</f>
        <v>43518.64583</v>
      </c>
      <c r="B1976" s="1">
        <f>IFERROR(__xludf.DUMMYFUNCTION("""COMPUTED_VALUE"""),129500.0)</f>
        <v>129500</v>
      </c>
      <c r="C1976" s="1">
        <f>IFERROR(__xludf.DUMMYFUNCTION("""COMPUTED_VALUE"""),129500.0)</f>
        <v>129500</v>
      </c>
      <c r="D1976" s="1">
        <f>IFERROR(__xludf.DUMMYFUNCTION("""COMPUTED_VALUE"""),125000.0)</f>
        <v>125000</v>
      </c>
      <c r="E1976" s="1">
        <f>IFERROR(__xludf.DUMMYFUNCTION("""COMPUTED_VALUE"""),127000.0)</f>
        <v>127000</v>
      </c>
      <c r="F1976" s="1">
        <f>IFERROR(__xludf.DUMMYFUNCTION("""COMPUTED_VALUE"""),301395.0)</f>
        <v>301395</v>
      </c>
    </row>
    <row r="1977">
      <c r="A1977" s="2">
        <f>IFERROR(__xludf.DUMMYFUNCTION("""COMPUTED_VALUE"""),43521.64583333333)</f>
        <v>43521.64583</v>
      </c>
      <c r="B1977" s="1">
        <f>IFERROR(__xludf.DUMMYFUNCTION("""COMPUTED_VALUE"""),127000.0)</f>
        <v>127000</v>
      </c>
      <c r="C1977" s="1">
        <f>IFERROR(__xludf.DUMMYFUNCTION("""COMPUTED_VALUE"""),128500.0)</f>
        <v>128500</v>
      </c>
      <c r="D1977" s="1">
        <f>IFERROR(__xludf.DUMMYFUNCTION("""COMPUTED_VALUE"""),125500.0)</f>
        <v>125500</v>
      </c>
      <c r="E1977" s="1">
        <f>IFERROR(__xludf.DUMMYFUNCTION("""COMPUTED_VALUE"""),126000.0)</f>
        <v>126000</v>
      </c>
      <c r="F1977" s="1">
        <f>IFERROR(__xludf.DUMMYFUNCTION("""COMPUTED_VALUE"""),338113.0)</f>
        <v>338113</v>
      </c>
    </row>
    <row r="1978">
      <c r="A1978" s="2">
        <f>IFERROR(__xludf.DUMMYFUNCTION("""COMPUTED_VALUE"""),43522.64583333333)</f>
        <v>43522.64583</v>
      </c>
      <c r="B1978" s="1">
        <f>IFERROR(__xludf.DUMMYFUNCTION("""COMPUTED_VALUE"""),126500.0)</f>
        <v>126500</v>
      </c>
      <c r="C1978" s="1">
        <f>IFERROR(__xludf.DUMMYFUNCTION("""COMPUTED_VALUE"""),134000.0)</f>
        <v>134000</v>
      </c>
      <c r="D1978" s="1">
        <f>IFERROR(__xludf.DUMMYFUNCTION("""COMPUTED_VALUE"""),126000.0)</f>
        <v>126000</v>
      </c>
      <c r="E1978" s="1">
        <f>IFERROR(__xludf.DUMMYFUNCTION("""COMPUTED_VALUE"""),131500.0)</f>
        <v>131500</v>
      </c>
      <c r="F1978" s="1">
        <f>IFERROR(__xludf.DUMMYFUNCTION("""COMPUTED_VALUE"""),591643.0)</f>
        <v>591643</v>
      </c>
    </row>
    <row r="1979">
      <c r="A1979" s="2">
        <f>IFERROR(__xludf.DUMMYFUNCTION("""COMPUTED_VALUE"""),43523.64583333333)</f>
        <v>43523.64583</v>
      </c>
      <c r="B1979" s="1">
        <f>IFERROR(__xludf.DUMMYFUNCTION("""COMPUTED_VALUE"""),132000.0)</f>
        <v>132000</v>
      </c>
      <c r="C1979" s="1">
        <f>IFERROR(__xludf.DUMMYFUNCTION("""COMPUTED_VALUE"""),134000.0)</f>
        <v>134000</v>
      </c>
      <c r="D1979" s="1">
        <f>IFERROR(__xludf.DUMMYFUNCTION("""COMPUTED_VALUE"""),129000.0)</f>
        <v>129000</v>
      </c>
      <c r="E1979" s="1">
        <f>IFERROR(__xludf.DUMMYFUNCTION("""COMPUTED_VALUE"""),129500.0)</f>
        <v>129500</v>
      </c>
      <c r="F1979" s="1">
        <f>IFERROR(__xludf.DUMMYFUNCTION("""COMPUTED_VALUE"""),322664.0)</f>
        <v>322664</v>
      </c>
    </row>
    <row r="1980">
      <c r="A1980" s="2">
        <f>IFERROR(__xludf.DUMMYFUNCTION("""COMPUTED_VALUE"""),43524.64583333333)</f>
        <v>43524.64583</v>
      </c>
      <c r="B1980" s="1">
        <f>IFERROR(__xludf.DUMMYFUNCTION("""COMPUTED_VALUE"""),130500.0)</f>
        <v>130500</v>
      </c>
      <c r="C1980" s="1">
        <f>IFERROR(__xludf.DUMMYFUNCTION("""COMPUTED_VALUE"""),136000.0)</f>
        <v>136000</v>
      </c>
      <c r="D1980" s="1">
        <f>IFERROR(__xludf.DUMMYFUNCTION("""COMPUTED_VALUE"""),130000.0)</f>
        <v>130000</v>
      </c>
      <c r="E1980" s="1">
        <f>IFERROR(__xludf.DUMMYFUNCTION("""COMPUTED_VALUE"""),133000.0)</f>
        <v>133000</v>
      </c>
      <c r="F1980" s="1">
        <f>IFERROR(__xludf.DUMMYFUNCTION("""COMPUTED_VALUE"""),584183.0)</f>
        <v>584183</v>
      </c>
    </row>
    <row r="1981">
      <c r="A1981" s="2">
        <f>IFERROR(__xludf.DUMMYFUNCTION("""COMPUTED_VALUE"""),43528.64583333333)</f>
        <v>43528.64583</v>
      </c>
      <c r="B1981" s="1">
        <f>IFERROR(__xludf.DUMMYFUNCTION("""COMPUTED_VALUE"""),135000.0)</f>
        <v>135000</v>
      </c>
      <c r="C1981" s="1">
        <f>IFERROR(__xludf.DUMMYFUNCTION("""COMPUTED_VALUE"""),139500.0)</f>
        <v>139500</v>
      </c>
      <c r="D1981" s="1">
        <f>IFERROR(__xludf.DUMMYFUNCTION("""COMPUTED_VALUE"""),134000.0)</f>
        <v>134000</v>
      </c>
      <c r="E1981" s="1">
        <f>IFERROR(__xludf.DUMMYFUNCTION("""COMPUTED_VALUE"""),138000.0)</f>
        <v>138000</v>
      </c>
      <c r="F1981" s="1">
        <f>IFERROR(__xludf.DUMMYFUNCTION("""COMPUTED_VALUE"""),743644.0)</f>
        <v>743644</v>
      </c>
    </row>
    <row r="1982">
      <c r="A1982" s="2">
        <f>IFERROR(__xludf.DUMMYFUNCTION("""COMPUTED_VALUE"""),43529.64583333333)</f>
        <v>43529.64583</v>
      </c>
      <c r="B1982" s="1">
        <f>IFERROR(__xludf.DUMMYFUNCTION("""COMPUTED_VALUE"""),140000.0)</f>
        <v>140000</v>
      </c>
      <c r="C1982" s="1">
        <f>IFERROR(__xludf.DUMMYFUNCTION("""COMPUTED_VALUE"""),140000.0)</f>
        <v>140000</v>
      </c>
      <c r="D1982" s="1">
        <f>IFERROR(__xludf.DUMMYFUNCTION("""COMPUTED_VALUE"""),135000.0)</f>
        <v>135000</v>
      </c>
      <c r="E1982" s="1">
        <f>IFERROR(__xludf.DUMMYFUNCTION("""COMPUTED_VALUE"""),135500.0)</f>
        <v>135500</v>
      </c>
      <c r="F1982" s="1">
        <f>IFERROR(__xludf.DUMMYFUNCTION("""COMPUTED_VALUE"""),387063.0)</f>
        <v>387063</v>
      </c>
    </row>
    <row r="1983">
      <c r="A1983" s="2">
        <f>IFERROR(__xludf.DUMMYFUNCTION("""COMPUTED_VALUE"""),43530.64583333333)</f>
        <v>43530.64583</v>
      </c>
      <c r="B1983" s="1">
        <f>IFERROR(__xludf.DUMMYFUNCTION("""COMPUTED_VALUE"""),136500.0)</f>
        <v>136500</v>
      </c>
      <c r="C1983" s="1">
        <f>IFERROR(__xludf.DUMMYFUNCTION("""COMPUTED_VALUE"""),139000.0)</f>
        <v>139000</v>
      </c>
      <c r="D1983" s="1">
        <f>IFERROR(__xludf.DUMMYFUNCTION("""COMPUTED_VALUE"""),134500.0)</f>
        <v>134500</v>
      </c>
      <c r="E1983" s="1">
        <f>IFERROR(__xludf.DUMMYFUNCTION("""COMPUTED_VALUE"""),137500.0)</f>
        <v>137500</v>
      </c>
      <c r="F1983" s="1">
        <f>IFERROR(__xludf.DUMMYFUNCTION("""COMPUTED_VALUE"""),403724.0)</f>
        <v>403724</v>
      </c>
    </row>
    <row r="1984">
      <c r="A1984" s="2">
        <f>IFERROR(__xludf.DUMMYFUNCTION("""COMPUTED_VALUE"""),43531.64583333333)</f>
        <v>43531.64583</v>
      </c>
      <c r="B1984" s="1">
        <f>IFERROR(__xludf.DUMMYFUNCTION("""COMPUTED_VALUE"""),139500.0)</f>
        <v>139500</v>
      </c>
      <c r="C1984" s="1">
        <f>IFERROR(__xludf.DUMMYFUNCTION("""COMPUTED_VALUE"""),139500.0)</f>
        <v>139500</v>
      </c>
      <c r="D1984" s="1">
        <f>IFERROR(__xludf.DUMMYFUNCTION("""COMPUTED_VALUE"""),136500.0)</f>
        <v>136500</v>
      </c>
      <c r="E1984" s="1">
        <f>IFERROR(__xludf.DUMMYFUNCTION("""COMPUTED_VALUE"""),138500.0)</f>
        <v>138500</v>
      </c>
      <c r="F1984" s="1">
        <f>IFERROR(__xludf.DUMMYFUNCTION("""COMPUTED_VALUE"""),254573.0)</f>
        <v>254573</v>
      </c>
    </row>
    <row r="1985">
      <c r="A1985" s="2">
        <f>IFERROR(__xludf.DUMMYFUNCTION("""COMPUTED_VALUE"""),43532.64583333333)</f>
        <v>43532.64583</v>
      </c>
      <c r="B1985" s="1">
        <f>IFERROR(__xludf.DUMMYFUNCTION("""COMPUTED_VALUE"""),135500.0)</f>
        <v>135500</v>
      </c>
      <c r="C1985" s="1">
        <f>IFERROR(__xludf.DUMMYFUNCTION("""COMPUTED_VALUE"""),136000.0)</f>
        <v>136000</v>
      </c>
      <c r="D1985" s="1">
        <f>IFERROR(__xludf.DUMMYFUNCTION("""COMPUTED_VALUE"""),131500.0)</f>
        <v>131500</v>
      </c>
      <c r="E1985" s="1">
        <f>IFERROR(__xludf.DUMMYFUNCTION("""COMPUTED_VALUE"""),133000.0)</f>
        <v>133000</v>
      </c>
      <c r="F1985" s="1">
        <f>IFERROR(__xludf.DUMMYFUNCTION("""COMPUTED_VALUE"""),304114.0)</f>
        <v>304114</v>
      </c>
    </row>
    <row r="1986">
      <c r="A1986" s="2">
        <f>IFERROR(__xludf.DUMMYFUNCTION("""COMPUTED_VALUE"""),43535.64583333333)</f>
        <v>43535.64583</v>
      </c>
      <c r="B1986" s="1">
        <f>IFERROR(__xludf.DUMMYFUNCTION("""COMPUTED_VALUE"""),131500.0)</f>
        <v>131500</v>
      </c>
      <c r="C1986" s="1">
        <f>IFERROR(__xludf.DUMMYFUNCTION("""COMPUTED_VALUE"""),133500.0)</f>
        <v>133500</v>
      </c>
      <c r="D1986" s="1">
        <f>IFERROR(__xludf.DUMMYFUNCTION("""COMPUTED_VALUE"""),131000.0)</f>
        <v>131000</v>
      </c>
      <c r="E1986" s="1">
        <f>IFERROR(__xludf.DUMMYFUNCTION("""COMPUTED_VALUE"""),133500.0)</f>
        <v>133500</v>
      </c>
      <c r="F1986" s="1">
        <f>IFERROR(__xludf.DUMMYFUNCTION("""COMPUTED_VALUE"""),151479.0)</f>
        <v>151479</v>
      </c>
    </row>
    <row r="1987">
      <c r="A1987" s="2">
        <f>IFERROR(__xludf.DUMMYFUNCTION("""COMPUTED_VALUE"""),43536.64583333333)</f>
        <v>43536.64583</v>
      </c>
      <c r="B1987" s="1">
        <f>IFERROR(__xludf.DUMMYFUNCTION("""COMPUTED_VALUE"""),135000.0)</f>
        <v>135000</v>
      </c>
      <c r="C1987" s="1">
        <f>IFERROR(__xludf.DUMMYFUNCTION("""COMPUTED_VALUE"""),135500.0)</f>
        <v>135500</v>
      </c>
      <c r="D1987" s="1">
        <f>IFERROR(__xludf.DUMMYFUNCTION("""COMPUTED_VALUE"""),129500.0)</f>
        <v>129500</v>
      </c>
      <c r="E1987" s="1">
        <f>IFERROR(__xludf.DUMMYFUNCTION("""COMPUTED_VALUE"""),130500.0)</f>
        <v>130500</v>
      </c>
      <c r="F1987" s="1">
        <f>IFERROR(__xludf.DUMMYFUNCTION("""COMPUTED_VALUE"""),367651.0)</f>
        <v>367651</v>
      </c>
    </row>
    <row r="1988">
      <c r="A1988" s="2">
        <f>IFERROR(__xludf.DUMMYFUNCTION("""COMPUTED_VALUE"""),43537.64583333333)</f>
        <v>43537.64583</v>
      </c>
      <c r="B1988" s="1">
        <f>IFERROR(__xludf.DUMMYFUNCTION("""COMPUTED_VALUE"""),129500.0)</f>
        <v>129500</v>
      </c>
      <c r="C1988" s="1">
        <f>IFERROR(__xludf.DUMMYFUNCTION("""COMPUTED_VALUE"""),132000.0)</f>
        <v>132000</v>
      </c>
      <c r="D1988" s="1">
        <f>IFERROR(__xludf.DUMMYFUNCTION("""COMPUTED_VALUE"""),128000.0)</f>
        <v>128000</v>
      </c>
      <c r="E1988" s="1">
        <f>IFERROR(__xludf.DUMMYFUNCTION("""COMPUTED_VALUE"""),130500.0)</f>
        <v>130500</v>
      </c>
      <c r="F1988" s="1">
        <f>IFERROR(__xludf.DUMMYFUNCTION("""COMPUTED_VALUE"""),268047.0)</f>
        <v>268047</v>
      </c>
    </row>
    <row r="1989">
      <c r="A1989" s="2">
        <f>IFERROR(__xludf.DUMMYFUNCTION("""COMPUTED_VALUE"""),43538.64583333333)</f>
        <v>43538.64583</v>
      </c>
      <c r="B1989" s="1">
        <f>IFERROR(__xludf.DUMMYFUNCTION("""COMPUTED_VALUE"""),132500.0)</f>
        <v>132500</v>
      </c>
      <c r="C1989" s="1">
        <f>IFERROR(__xludf.DUMMYFUNCTION("""COMPUTED_VALUE"""),133500.0)</f>
        <v>133500</v>
      </c>
      <c r="D1989" s="1">
        <f>IFERROR(__xludf.DUMMYFUNCTION("""COMPUTED_VALUE"""),129000.0)</f>
        <v>129000</v>
      </c>
      <c r="E1989" s="1">
        <f>IFERROR(__xludf.DUMMYFUNCTION("""COMPUTED_VALUE"""),131000.0)</f>
        <v>131000</v>
      </c>
      <c r="F1989" s="1">
        <f>IFERROR(__xludf.DUMMYFUNCTION("""COMPUTED_VALUE"""),554454.0)</f>
        <v>554454</v>
      </c>
    </row>
    <row r="1990">
      <c r="A1990" s="2">
        <f>IFERROR(__xludf.DUMMYFUNCTION("""COMPUTED_VALUE"""),43539.64583333333)</f>
        <v>43539.64583</v>
      </c>
      <c r="B1990" s="1">
        <f>IFERROR(__xludf.DUMMYFUNCTION("""COMPUTED_VALUE"""),131000.0)</f>
        <v>131000</v>
      </c>
      <c r="C1990" s="1">
        <f>IFERROR(__xludf.DUMMYFUNCTION("""COMPUTED_VALUE"""),132000.0)</f>
        <v>132000</v>
      </c>
      <c r="D1990" s="1">
        <f>IFERROR(__xludf.DUMMYFUNCTION("""COMPUTED_VALUE"""),129500.0)</f>
        <v>129500</v>
      </c>
      <c r="E1990" s="1">
        <f>IFERROR(__xludf.DUMMYFUNCTION("""COMPUTED_VALUE"""),130500.0)</f>
        <v>130500</v>
      </c>
      <c r="F1990" s="1">
        <f>IFERROR(__xludf.DUMMYFUNCTION("""COMPUTED_VALUE"""),907507.0)</f>
        <v>907507</v>
      </c>
    </row>
    <row r="1991">
      <c r="A1991" s="2">
        <f>IFERROR(__xludf.DUMMYFUNCTION("""COMPUTED_VALUE"""),43542.64583333333)</f>
        <v>43542.64583</v>
      </c>
      <c r="B1991" s="1">
        <f>IFERROR(__xludf.DUMMYFUNCTION("""COMPUTED_VALUE"""),131500.0)</f>
        <v>131500</v>
      </c>
      <c r="C1991" s="1">
        <f>IFERROR(__xludf.DUMMYFUNCTION("""COMPUTED_VALUE"""),133500.0)</f>
        <v>133500</v>
      </c>
      <c r="D1991" s="1">
        <f>IFERROR(__xludf.DUMMYFUNCTION("""COMPUTED_VALUE"""),131000.0)</f>
        <v>131000</v>
      </c>
      <c r="E1991" s="1">
        <f>IFERROR(__xludf.DUMMYFUNCTION("""COMPUTED_VALUE"""),132000.0)</f>
        <v>132000</v>
      </c>
      <c r="F1991" s="1">
        <f>IFERROR(__xludf.DUMMYFUNCTION("""COMPUTED_VALUE"""),248810.0)</f>
        <v>248810</v>
      </c>
    </row>
    <row r="1992">
      <c r="A1992" s="2">
        <f>IFERROR(__xludf.DUMMYFUNCTION("""COMPUTED_VALUE"""),43543.64583333333)</f>
        <v>43543.64583</v>
      </c>
      <c r="B1992" s="1">
        <f>IFERROR(__xludf.DUMMYFUNCTION("""COMPUTED_VALUE"""),132000.0)</f>
        <v>132000</v>
      </c>
      <c r="C1992" s="1">
        <f>IFERROR(__xludf.DUMMYFUNCTION("""COMPUTED_VALUE"""),132500.0)</f>
        <v>132500</v>
      </c>
      <c r="D1992" s="1">
        <f>IFERROR(__xludf.DUMMYFUNCTION("""COMPUTED_VALUE"""),130000.0)</f>
        <v>130000</v>
      </c>
      <c r="E1992" s="1">
        <f>IFERROR(__xludf.DUMMYFUNCTION("""COMPUTED_VALUE"""),130500.0)</f>
        <v>130500</v>
      </c>
      <c r="F1992" s="1">
        <f>IFERROR(__xludf.DUMMYFUNCTION("""COMPUTED_VALUE"""),200830.0)</f>
        <v>200830</v>
      </c>
    </row>
    <row r="1993">
      <c r="A1993" s="2">
        <f>IFERROR(__xludf.DUMMYFUNCTION("""COMPUTED_VALUE"""),43544.64583333333)</f>
        <v>43544.64583</v>
      </c>
      <c r="B1993" s="1">
        <f>IFERROR(__xludf.DUMMYFUNCTION("""COMPUTED_VALUE"""),130000.0)</f>
        <v>130000</v>
      </c>
      <c r="C1993" s="1">
        <f>IFERROR(__xludf.DUMMYFUNCTION("""COMPUTED_VALUE"""),131000.0)</f>
        <v>131000</v>
      </c>
      <c r="D1993" s="1">
        <f>IFERROR(__xludf.DUMMYFUNCTION("""COMPUTED_VALUE"""),126500.0)</f>
        <v>126500</v>
      </c>
      <c r="E1993" s="1">
        <f>IFERROR(__xludf.DUMMYFUNCTION("""COMPUTED_VALUE"""),128500.0)</f>
        <v>128500</v>
      </c>
      <c r="F1993" s="1">
        <f>IFERROR(__xludf.DUMMYFUNCTION("""COMPUTED_VALUE"""),371499.0)</f>
        <v>371499</v>
      </c>
    </row>
    <row r="1994">
      <c r="A1994" s="2">
        <f>IFERROR(__xludf.DUMMYFUNCTION("""COMPUTED_VALUE"""),43545.64583333333)</f>
        <v>43545.64583</v>
      </c>
      <c r="B1994" s="1">
        <f>IFERROR(__xludf.DUMMYFUNCTION("""COMPUTED_VALUE"""),128500.0)</f>
        <v>128500</v>
      </c>
      <c r="C1994" s="1">
        <f>IFERROR(__xludf.DUMMYFUNCTION("""COMPUTED_VALUE"""),131000.0)</f>
        <v>131000</v>
      </c>
      <c r="D1994" s="1">
        <f>IFERROR(__xludf.DUMMYFUNCTION("""COMPUTED_VALUE"""),127000.0)</f>
        <v>127000</v>
      </c>
      <c r="E1994" s="1">
        <f>IFERROR(__xludf.DUMMYFUNCTION("""COMPUTED_VALUE"""),128000.0)</f>
        <v>128000</v>
      </c>
      <c r="F1994" s="1">
        <f>IFERROR(__xludf.DUMMYFUNCTION("""COMPUTED_VALUE"""),399492.0)</f>
        <v>399492</v>
      </c>
    </row>
    <row r="1995">
      <c r="A1995" s="2">
        <f>IFERROR(__xludf.DUMMYFUNCTION("""COMPUTED_VALUE"""),43546.64583333333)</f>
        <v>43546.64583</v>
      </c>
      <c r="B1995" s="1">
        <f>IFERROR(__xludf.DUMMYFUNCTION("""COMPUTED_VALUE"""),127000.0)</f>
        <v>127000</v>
      </c>
      <c r="C1995" s="1">
        <f>IFERROR(__xludf.DUMMYFUNCTION("""COMPUTED_VALUE"""),129500.0)</f>
        <v>129500</v>
      </c>
      <c r="D1995" s="1">
        <f>IFERROR(__xludf.DUMMYFUNCTION("""COMPUTED_VALUE"""),126000.0)</f>
        <v>126000</v>
      </c>
      <c r="E1995" s="1">
        <f>IFERROR(__xludf.DUMMYFUNCTION("""COMPUTED_VALUE"""),127000.0)</f>
        <v>127000</v>
      </c>
      <c r="F1995" s="1">
        <f>IFERROR(__xludf.DUMMYFUNCTION("""COMPUTED_VALUE"""),379311.0)</f>
        <v>379311</v>
      </c>
    </row>
    <row r="1996">
      <c r="A1996" s="2">
        <f>IFERROR(__xludf.DUMMYFUNCTION("""COMPUTED_VALUE"""),43549.64583333333)</f>
        <v>43549.64583</v>
      </c>
      <c r="B1996" s="1">
        <f>IFERROR(__xludf.DUMMYFUNCTION("""COMPUTED_VALUE"""),126000.0)</f>
        <v>126000</v>
      </c>
      <c r="C1996" s="1">
        <f>IFERROR(__xludf.DUMMYFUNCTION("""COMPUTED_VALUE"""),128000.0)</f>
        <v>128000</v>
      </c>
      <c r="D1996" s="1">
        <f>IFERROR(__xludf.DUMMYFUNCTION("""COMPUTED_VALUE"""),125000.0)</f>
        <v>125000</v>
      </c>
      <c r="E1996" s="1">
        <f>IFERROR(__xludf.DUMMYFUNCTION("""COMPUTED_VALUE"""),126000.0)</f>
        <v>126000</v>
      </c>
      <c r="F1996" s="1">
        <f>IFERROR(__xludf.DUMMYFUNCTION("""COMPUTED_VALUE"""),279179.0)</f>
        <v>279179</v>
      </c>
    </row>
    <row r="1997">
      <c r="A1997" s="2">
        <f>IFERROR(__xludf.DUMMYFUNCTION("""COMPUTED_VALUE"""),43550.64583333333)</f>
        <v>43550.64583</v>
      </c>
      <c r="B1997" s="1">
        <f>IFERROR(__xludf.DUMMYFUNCTION("""COMPUTED_VALUE"""),125500.0)</f>
        <v>125500</v>
      </c>
      <c r="C1997" s="1">
        <f>IFERROR(__xludf.DUMMYFUNCTION("""COMPUTED_VALUE"""),127000.0)</f>
        <v>127000</v>
      </c>
      <c r="D1997" s="1">
        <f>IFERROR(__xludf.DUMMYFUNCTION("""COMPUTED_VALUE"""),125000.0)</f>
        <v>125000</v>
      </c>
      <c r="E1997" s="1">
        <f>IFERROR(__xludf.DUMMYFUNCTION("""COMPUTED_VALUE"""),126500.0)</f>
        <v>126500</v>
      </c>
      <c r="F1997" s="1">
        <f>IFERROR(__xludf.DUMMYFUNCTION("""COMPUTED_VALUE"""),452377.0)</f>
        <v>452377</v>
      </c>
    </row>
    <row r="1998">
      <c r="A1998" s="2">
        <f>IFERROR(__xludf.DUMMYFUNCTION("""COMPUTED_VALUE"""),43551.64583333333)</f>
        <v>43551.64583</v>
      </c>
      <c r="B1998" s="1">
        <f>IFERROR(__xludf.DUMMYFUNCTION("""COMPUTED_VALUE"""),126000.0)</f>
        <v>126000</v>
      </c>
      <c r="C1998" s="1">
        <f>IFERROR(__xludf.DUMMYFUNCTION("""COMPUTED_VALUE"""),126000.0)</f>
        <v>126000</v>
      </c>
      <c r="D1998" s="1">
        <f>IFERROR(__xludf.DUMMYFUNCTION("""COMPUTED_VALUE"""),122000.0)</f>
        <v>122000</v>
      </c>
      <c r="E1998" s="1">
        <f>IFERROR(__xludf.DUMMYFUNCTION("""COMPUTED_VALUE"""),123000.0)</f>
        <v>123000</v>
      </c>
      <c r="F1998" s="1">
        <f>IFERROR(__xludf.DUMMYFUNCTION("""COMPUTED_VALUE"""),429156.0)</f>
        <v>429156</v>
      </c>
    </row>
    <row r="1999">
      <c r="A1999" s="2">
        <f>IFERROR(__xludf.DUMMYFUNCTION("""COMPUTED_VALUE"""),43552.64583333333)</f>
        <v>43552.64583</v>
      </c>
      <c r="B1999" s="1">
        <f>IFERROR(__xludf.DUMMYFUNCTION("""COMPUTED_VALUE"""),122500.0)</f>
        <v>122500</v>
      </c>
      <c r="C1999" s="1">
        <f>IFERROR(__xludf.DUMMYFUNCTION("""COMPUTED_VALUE"""),123000.0)</f>
        <v>123000</v>
      </c>
      <c r="D1999" s="1">
        <f>IFERROR(__xludf.DUMMYFUNCTION("""COMPUTED_VALUE"""),120500.0)</f>
        <v>120500</v>
      </c>
      <c r="E1999" s="1">
        <f>IFERROR(__xludf.DUMMYFUNCTION("""COMPUTED_VALUE"""),122000.0)</f>
        <v>122000</v>
      </c>
      <c r="F1999" s="1">
        <f>IFERROR(__xludf.DUMMYFUNCTION("""COMPUTED_VALUE"""),449545.0)</f>
        <v>449545</v>
      </c>
    </row>
    <row r="2000">
      <c r="A2000" s="2">
        <f>IFERROR(__xludf.DUMMYFUNCTION("""COMPUTED_VALUE"""),43553.64583333333)</f>
        <v>43553.64583</v>
      </c>
      <c r="B2000" s="1">
        <f>IFERROR(__xludf.DUMMYFUNCTION("""COMPUTED_VALUE"""),121500.0)</f>
        <v>121500</v>
      </c>
      <c r="C2000" s="1">
        <f>IFERROR(__xludf.DUMMYFUNCTION("""COMPUTED_VALUE"""),124500.0)</f>
        <v>124500</v>
      </c>
      <c r="D2000" s="1">
        <f>IFERROR(__xludf.DUMMYFUNCTION("""COMPUTED_VALUE"""),121500.0)</f>
        <v>121500</v>
      </c>
      <c r="E2000" s="1">
        <f>IFERROR(__xludf.DUMMYFUNCTION("""COMPUTED_VALUE"""),124000.0)</f>
        <v>124000</v>
      </c>
      <c r="F2000" s="1">
        <f>IFERROR(__xludf.DUMMYFUNCTION("""COMPUTED_VALUE"""),421477.0)</f>
        <v>421477</v>
      </c>
    </row>
    <row r="2001">
      <c r="A2001" s="2">
        <f>IFERROR(__xludf.DUMMYFUNCTION("""COMPUTED_VALUE"""),43556.64583333333)</f>
        <v>43556.64583</v>
      </c>
      <c r="B2001" s="1">
        <f>IFERROR(__xludf.DUMMYFUNCTION("""COMPUTED_VALUE"""),124000.0)</f>
        <v>124000</v>
      </c>
      <c r="C2001" s="1">
        <f>IFERROR(__xludf.DUMMYFUNCTION("""COMPUTED_VALUE"""),125500.0)</f>
        <v>125500</v>
      </c>
      <c r="D2001" s="1">
        <f>IFERROR(__xludf.DUMMYFUNCTION("""COMPUTED_VALUE"""),123500.0)</f>
        <v>123500</v>
      </c>
      <c r="E2001" s="1">
        <f>IFERROR(__xludf.DUMMYFUNCTION("""COMPUTED_VALUE"""),124000.0)</f>
        <v>124000</v>
      </c>
      <c r="F2001" s="1">
        <f>IFERROR(__xludf.DUMMYFUNCTION("""COMPUTED_VALUE"""),367014.0)</f>
        <v>367014</v>
      </c>
    </row>
    <row r="2002">
      <c r="A2002" s="2">
        <f>IFERROR(__xludf.DUMMYFUNCTION("""COMPUTED_VALUE"""),43557.64583333333)</f>
        <v>43557.64583</v>
      </c>
      <c r="B2002" s="1">
        <f>IFERROR(__xludf.DUMMYFUNCTION("""COMPUTED_VALUE"""),124500.0)</f>
        <v>124500</v>
      </c>
      <c r="C2002" s="1">
        <f>IFERROR(__xludf.DUMMYFUNCTION("""COMPUTED_VALUE"""),125500.0)</f>
        <v>125500</v>
      </c>
      <c r="D2002" s="1">
        <f>IFERROR(__xludf.DUMMYFUNCTION("""COMPUTED_VALUE"""),123500.0)</f>
        <v>123500</v>
      </c>
      <c r="E2002" s="1">
        <f>IFERROR(__xludf.DUMMYFUNCTION("""COMPUTED_VALUE"""),124500.0)</f>
        <v>124500</v>
      </c>
      <c r="F2002" s="1">
        <f>IFERROR(__xludf.DUMMYFUNCTION("""COMPUTED_VALUE"""),471744.0)</f>
        <v>471744</v>
      </c>
    </row>
    <row r="2003">
      <c r="A2003" s="2">
        <f>IFERROR(__xludf.DUMMYFUNCTION("""COMPUTED_VALUE"""),43558.64583333333)</f>
        <v>43558.64583</v>
      </c>
      <c r="B2003" s="1">
        <f>IFERROR(__xludf.DUMMYFUNCTION("""COMPUTED_VALUE"""),123000.0)</f>
        <v>123000</v>
      </c>
      <c r="C2003" s="1">
        <f>IFERROR(__xludf.DUMMYFUNCTION("""COMPUTED_VALUE"""),123500.0)</f>
        <v>123500</v>
      </c>
      <c r="D2003" s="1">
        <f>IFERROR(__xludf.DUMMYFUNCTION("""COMPUTED_VALUE"""),121000.0)</f>
        <v>121000</v>
      </c>
      <c r="E2003" s="1">
        <f>IFERROR(__xludf.DUMMYFUNCTION("""COMPUTED_VALUE"""),122000.0)</f>
        <v>122000</v>
      </c>
      <c r="F2003" s="1">
        <f>IFERROR(__xludf.DUMMYFUNCTION("""COMPUTED_VALUE"""),958364.0)</f>
        <v>958364</v>
      </c>
    </row>
    <row r="2004">
      <c r="A2004" s="2">
        <f>IFERROR(__xludf.DUMMYFUNCTION("""COMPUTED_VALUE"""),43559.64583333333)</f>
        <v>43559.64583</v>
      </c>
      <c r="B2004" s="1">
        <f>IFERROR(__xludf.DUMMYFUNCTION("""COMPUTED_VALUE"""),122500.0)</f>
        <v>122500</v>
      </c>
      <c r="C2004" s="1">
        <f>IFERROR(__xludf.DUMMYFUNCTION("""COMPUTED_VALUE"""),123500.0)</f>
        <v>123500</v>
      </c>
      <c r="D2004" s="1">
        <f>IFERROR(__xludf.DUMMYFUNCTION("""COMPUTED_VALUE"""),121500.0)</f>
        <v>121500</v>
      </c>
      <c r="E2004" s="1">
        <f>IFERROR(__xludf.DUMMYFUNCTION("""COMPUTED_VALUE"""),122500.0)</f>
        <v>122500</v>
      </c>
      <c r="F2004" s="1">
        <f>IFERROR(__xludf.DUMMYFUNCTION("""COMPUTED_VALUE"""),361821.0)</f>
        <v>361821</v>
      </c>
    </row>
    <row r="2005">
      <c r="A2005" s="2">
        <f>IFERROR(__xludf.DUMMYFUNCTION("""COMPUTED_VALUE"""),43560.64583333333)</f>
        <v>43560.64583</v>
      </c>
      <c r="B2005" s="1">
        <f>IFERROR(__xludf.DUMMYFUNCTION("""COMPUTED_VALUE"""),122500.0)</f>
        <v>122500</v>
      </c>
      <c r="C2005" s="1">
        <f>IFERROR(__xludf.DUMMYFUNCTION("""COMPUTED_VALUE"""),123500.0)</f>
        <v>123500</v>
      </c>
      <c r="D2005" s="1">
        <f>IFERROR(__xludf.DUMMYFUNCTION("""COMPUTED_VALUE"""),122000.0)</f>
        <v>122000</v>
      </c>
      <c r="E2005" s="1">
        <f>IFERROR(__xludf.DUMMYFUNCTION("""COMPUTED_VALUE"""),123000.0)</f>
        <v>123000</v>
      </c>
      <c r="F2005" s="1">
        <f>IFERROR(__xludf.DUMMYFUNCTION("""COMPUTED_VALUE"""),365838.0)</f>
        <v>365838</v>
      </c>
    </row>
    <row r="2006">
      <c r="A2006" s="2">
        <f>IFERROR(__xludf.DUMMYFUNCTION("""COMPUTED_VALUE"""),43563.64583333333)</f>
        <v>43563.64583</v>
      </c>
      <c r="B2006" s="1">
        <f>IFERROR(__xludf.DUMMYFUNCTION("""COMPUTED_VALUE"""),122500.0)</f>
        <v>122500</v>
      </c>
      <c r="C2006" s="1">
        <f>IFERROR(__xludf.DUMMYFUNCTION("""COMPUTED_VALUE"""),123000.0)</f>
        <v>123000</v>
      </c>
      <c r="D2006" s="1">
        <f>IFERROR(__xludf.DUMMYFUNCTION("""COMPUTED_VALUE"""),121000.0)</f>
        <v>121000</v>
      </c>
      <c r="E2006" s="1">
        <f>IFERROR(__xludf.DUMMYFUNCTION("""COMPUTED_VALUE"""),121500.0)</f>
        <v>121500</v>
      </c>
      <c r="F2006" s="1">
        <f>IFERROR(__xludf.DUMMYFUNCTION("""COMPUTED_VALUE"""),393376.0)</f>
        <v>393376</v>
      </c>
    </row>
    <row r="2007">
      <c r="A2007" s="2">
        <f>IFERROR(__xludf.DUMMYFUNCTION("""COMPUTED_VALUE"""),43564.64583333333)</f>
        <v>43564.64583</v>
      </c>
      <c r="B2007" s="1">
        <f>IFERROR(__xludf.DUMMYFUNCTION("""COMPUTED_VALUE"""),121500.0)</f>
        <v>121500</v>
      </c>
      <c r="C2007" s="1">
        <f>IFERROR(__xludf.DUMMYFUNCTION("""COMPUTED_VALUE"""),122500.0)</f>
        <v>122500</v>
      </c>
      <c r="D2007" s="1">
        <f>IFERROR(__xludf.DUMMYFUNCTION("""COMPUTED_VALUE"""),121000.0)</f>
        <v>121000</v>
      </c>
      <c r="E2007" s="1">
        <f>IFERROR(__xludf.DUMMYFUNCTION("""COMPUTED_VALUE"""),121500.0)</f>
        <v>121500</v>
      </c>
      <c r="F2007" s="1">
        <f>IFERROR(__xludf.DUMMYFUNCTION("""COMPUTED_VALUE"""),423498.0)</f>
        <v>423498</v>
      </c>
    </row>
    <row r="2008">
      <c r="A2008" s="2">
        <f>IFERROR(__xludf.DUMMYFUNCTION("""COMPUTED_VALUE"""),43565.64583333333)</f>
        <v>43565.64583</v>
      </c>
      <c r="B2008" s="1">
        <f>IFERROR(__xludf.DUMMYFUNCTION("""COMPUTED_VALUE"""),121500.0)</f>
        <v>121500</v>
      </c>
      <c r="C2008" s="1">
        <f>IFERROR(__xludf.DUMMYFUNCTION("""COMPUTED_VALUE"""),122500.0)</f>
        <v>122500</v>
      </c>
      <c r="D2008" s="1">
        <f>IFERROR(__xludf.DUMMYFUNCTION("""COMPUTED_VALUE"""),121000.0)</f>
        <v>121000</v>
      </c>
      <c r="E2008" s="1">
        <f>IFERROR(__xludf.DUMMYFUNCTION("""COMPUTED_VALUE"""),122000.0)</f>
        <v>122000</v>
      </c>
      <c r="F2008" s="1">
        <f>IFERROR(__xludf.DUMMYFUNCTION("""COMPUTED_VALUE"""),459206.0)</f>
        <v>459206</v>
      </c>
    </row>
    <row r="2009">
      <c r="A2009" s="2">
        <f>IFERROR(__xludf.DUMMYFUNCTION("""COMPUTED_VALUE"""),43566.64583333333)</f>
        <v>43566.64583</v>
      </c>
      <c r="B2009" s="1">
        <f>IFERROR(__xludf.DUMMYFUNCTION("""COMPUTED_VALUE"""),121500.0)</f>
        <v>121500</v>
      </c>
      <c r="C2009" s="1">
        <f>IFERROR(__xludf.DUMMYFUNCTION("""COMPUTED_VALUE"""),123000.0)</f>
        <v>123000</v>
      </c>
      <c r="D2009" s="1">
        <f>IFERROR(__xludf.DUMMYFUNCTION("""COMPUTED_VALUE"""),121000.0)</f>
        <v>121000</v>
      </c>
      <c r="E2009" s="1">
        <f>IFERROR(__xludf.DUMMYFUNCTION("""COMPUTED_VALUE"""),121500.0)</f>
        <v>121500</v>
      </c>
      <c r="F2009" s="1">
        <f>IFERROR(__xludf.DUMMYFUNCTION("""COMPUTED_VALUE"""),615217.0)</f>
        <v>615217</v>
      </c>
    </row>
    <row r="2010">
      <c r="A2010" s="2">
        <f>IFERROR(__xludf.DUMMYFUNCTION("""COMPUTED_VALUE"""),43567.64583333333)</f>
        <v>43567.64583</v>
      </c>
      <c r="B2010" s="1">
        <f>IFERROR(__xludf.DUMMYFUNCTION("""COMPUTED_VALUE"""),121500.0)</f>
        <v>121500</v>
      </c>
      <c r="C2010" s="1">
        <f>IFERROR(__xludf.DUMMYFUNCTION("""COMPUTED_VALUE"""),122000.0)</f>
        <v>122000</v>
      </c>
      <c r="D2010" s="1">
        <f>IFERROR(__xludf.DUMMYFUNCTION("""COMPUTED_VALUE"""),119500.0)</f>
        <v>119500</v>
      </c>
      <c r="E2010" s="1">
        <f>IFERROR(__xludf.DUMMYFUNCTION("""COMPUTED_VALUE"""),119500.0)</f>
        <v>119500</v>
      </c>
      <c r="F2010" s="1">
        <f>IFERROR(__xludf.DUMMYFUNCTION("""COMPUTED_VALUE"""),953216.0)</f>
        <v>953216</v>
      </c>
    </row>
    <row r="2011">
      <c r="A2011" s="2">
        <f>IFERROR(__xludf.DUMMYFUNCTION("""COMPUTED_VALUE"""),43570.64583333333)</f>
        <v>43570.64583</v>
      </c>
      <c r="B2011" s="1">
        <f>IFERROR(__xludf.DUMMYFUNCTION("""COMPUTED_VALUE"""),119000.0)</f>
        <v>119000</v>
      </c>
      <c r="C2011" s="1">
        <f>IFERROR(__xludf.DUMMYFUNCTION("""COMPUTED_VALUE"""),120000.0)</f>
        <v>120000</v>
      </c>
      <c r="D2011" s="1">
        <f>IFERROR(__xludf.DUMMYFUNCTION("""COMPUTED_VALUE"""),118000.0)</f>
        <v>118000</v>
      </c>
      <c r="E2011" s="1">
        <f>IFERROR(__xludf.DUMMYFUNCTION("""COMPUTED_VALUE"""),119500.0)</f>
        <v>119500</v>
      </c>
      <c r="F2011" s="1">
        <f>IFERROR(__xludf.DUMMYFUNCTION("""COMPUTED_VALUE"""),596131.0)</f>
        <v>596131</v>
      </c>
    </row>
    <row r="2012">
      <c r="A2012" s="2">
        <f>IFERROR(__xludf.DUMMYFUNCTION("""COMPUTED_VALUE"""),43571.64583333333)</f>
        <v>43571.64583</v>
      </c>
      <c r="B2012" s="1">
        <f>IFERROR(__xludf.DUMMYFUNCTION("""COMPUTED_VALUE"""),119500.0)</f>
        <v>119500</v>
      </c>
      <c r="C2012" s="1">
        <f>IFERROR(__xludf.DUMMYFUNCTION("""COMPUTED_VALUE"""),120500.0)</f>
        <v>120500</v>
      </c>
      <c r="D2012" s="1">
        <f>IFERROR(__xludf.DUMMYFUNCTION("""COMPUTED_VALUE"""),119000.0)</f>
        <v>119000</v>
      </c>
      <c r="E2012" s="1">
        <f>IFERROR(__xludf.DUMMYFUNCTION("""COMPUTED_VALUE"""),119500.0)</f>
        <v>119500</v>
      </c>
      <c r="F2012" s="1">
        <f>IFERROR(__xludf.DUMMYFUNCTION("""COMPUTED_VALUE"""),973625.0)</f>
        <v>973625</v>
      </c>
    </row>
    <row r="2013">
      <c r="A2013" s="2">
        <f>IFERROR(__xludf.DUMMYFUNCTION("""COMPUTED_VALUE"""),43572.64583333333)</f>
        <v>43572.64583</v>
      </c>
      <c r="B2013" s="1">
        <f>IFERROR(__xludf.DUMMYFUNCTION("""COMPUTED_VALUE"""),120000.0)</f>
        <v>120000</v>
      </c>
      <c r="C2013" s="1">
        <f>IFERROR(__xludf.DUMMYFUNCTION("""COMPUTED_VALUE"""),120000.0)</f>
        <v>120000</v>
      </c>
      <c r="D2013" s="1">
        <f>IFERROR(__xludf.DUMMYFUNCTION("""COMPUTED_VALUE"""),119000.0)</f>
        <v>119000</v>
      </c>
      <c r="E2013" s="1">
        <f>IFERROR(__xludf.DUMMYFUNCTION("""COMPUTED_VALUE"""),119500.0)</f>
        <v>119500</v>
      </c>
      <c r="F2013" s="1">
        <f>IFERROR(__xludf.DUMMYFUNCTION("""COMPUTED_VALUE"""),639441.0)</f>
        <v>639441</v>
      </c>
    </row>
    <row r="2014">
      <c r="A2014" s="2">
        <f>IFERROR(__xludf.DUMMYFUNCTION("""COMPUTED_VALUE"""),43573.64583333333)</f>
        <v>43573.64583</v>
      </c>
      <c r="B2014" s="1">
        <f>IFERROR(__xludf.DUMMYFUNCTION("""COMPUTED_VALUE"""),119000.0)</f>
        <v>119000</v>
      </c>
      <c r="C2014" s="1">
        <f>IFERROR(__xludf.DUMMYFUNCTION("""COMPUTED_VALUE"""),120000.0)</f>
        <v>120000</v>
      </c>
      <c r="D2014" s="1">
        <f>IFERROR(__xludf.DUMMYFUNCTION("""COMPUTED_VALUE"""),117000.0)</f>
        <v>117000</v>
      </c>
      <c r="E2014" s="1">
        <f>IFERROR(__xludf.DUMMYFUNCTION("""COMPUTED_VALUE"""),118000.0)</f>
        <v>118000</v>
      </c>
      <c r="F2014" s="1">
        <f>IFERROR(__xludf.DUMMYFUNCTION("""COMPUTED_VALUE"""),776721.0)</f>
        <v>776721</v>
      </c>
    </row>
    <row r="2015">
      <c r="A2015" s="2">
        <f>IFERROR(__xludf.DUMMYFUNCTION("""COMPUTED_VALUE"""),43574.64583333333)</f>
        <v>43574.64583</v>
      </c>
      <c r="B2015" s="1">
        <f>IFERROR(__xludf.DUMMYFUNCTION("""COMPUTED_VALUE"""),119000.0)</f>
        <v>119000</v>
      </c>
      <c r="C2015" s="1">
        <f>IFERROR(__xludf.DUMMYFUNCTION("""COMPUTED_VALUE"""),119000.0)</f>
        <v>119000</v>
      </c>
      <c r="D2015" s="1">
        <f>IFERROR(__xludf.DUMMYFUNCTION("""COMPUTED_VALUE"""),117500.0)</f>
        <v>117500</v>
      </c>
      <c r="E2015" s="1">
        <f>IFERROR(__xludf.DUMMYFUNCTION("""COMPUTED_VALUE"""),118000.0)</f>
        <v>118000</v>
      </c>
      <c r="F2015" s="1">
        <f>IFERROR(__xludf.DUMMYFUNCTION("""COMPUTED_VALUE"""),247009.0)</f>
        <v>247009</v>
      </c>
    </row>
    <row r="2016">
      <c r="A2016" s="2">
        <f>IFERROR(__xludf.DUMMYFUNCTION("""COMPUTED_VALUE"""),43577.64583333333)</f>
        <v>43577.64583</v>
      </c>
      <c r="B2016" s="1">
        <f>IFERROR(__xludf.DUMMYFUNCTION("""COMPUTED_VALUE"""),118000.0)</f>
        <v>118000</v>
      </c>
      <c r="C2016" s="1">
        <f>IFERROR(__xludf.DUMMYFUNCTION("""COMPUTED_VALUE"""),119500.0)</f>
        <v>119500</v>
      </c>
      <c r="D2016" s="1">
        <f>IFERROR(__xludf.DUMMYFUNCTION("""COMPUTED_VALUE"""),117500.0)</f>
        <v>117500</v>
      </c>
      <c r="E2016" s="1">
        <f>IFERROR(__xludf.DUMMYFUNCTION("""COMPUTED_VALUE"""),118000.0)</f>
        <v>118000</v>
      </c>
      <c r="F2016" s="1">
        <f>IFERROR(__xludf.DUMMYFUNCTION("""COMPUTED_VALUE"""),531346.0)</f>
        <v>531346</v>
      </c>
    </row>
    <row r="2017">
      <c r="A2017" s="2">
        <f>IFERROR(__xludf.DUMMYFUNCTION("""COMPUTED_VALUE"""),43578.64583333333)</f>
        <v>43578.64583</v>
      </c>
      <c r="B2017" s="1">
        <f>IFERROR(__xludf.DUMMYFUNCTION("""COMPUTED_VALUE"""),119000.0)</f>
        <v>119000</v>
      </c>
      <c r="C2017" s="1">
        <f>IFERROR(__xludf.DUMMYFUNCTION("""COMPUTED_VALUE"""),121000.0)</f>
        <v>121000</v>
      </c>
      <c r="D2017" s="1">
        <f>IFERROR(__xludf.DUMMYFUNCTION("""COMPUTED_VALUE"""),119000.0)</f>
        <v>119000</v>
      </c>
      <c r="E2017" s="1">
        <f>IFERROR(__xludf.DUMMYFUNCTION("""COMPUTED_VALUE"""),120500.0)</f>
        <v>120500</v>
      </c>
      <c r="F2017" s="1">
        <f>IFERROR(__xludf.DUMMYFUNCTION("""COMPUTED_VALUE"""),815629.0)</f>
        <v>815629</v>
      </c>
    </row>
    <row r="2018">
      <c r="A2018" s="2">
        <f>IFERROR(__xludf.DUMMYFUNCTION("""COMPUTED_VALUE"""),43579.64583333333)</f>
        <v>43579.64583</v>
      </c>
      <c r="B2018" s="1">
        <f>IFERROR(__xludf.DUMMYFUNCTION("""COMPUTED_VALUE"""),122000.0)</f>
        <v>122000</v>
      </c>
      <c r="C2018" s="1">
        <f>IFERROR(__xludf.DUMMYFUNCTION("""COMPUTED_VALUE"""),122500.0)</f>
        <v>122500</v>
      </c>
      <c r="D2018" s="1">
        <f>IFERROR(__xludf.DUMMYFUNCTION("""COMPUTED_VALUE"""),119500.0)</f>
        <v>119500</v>
      </c>
      <c r="E2018" s="1">
        <f>IFERROR(__xludf.DUMMYFUNCTION("""COMPUTED_VALUE"""),121000.0)</f>
        <v>121000</v>
      </c>
      <c r="F2018" s="1">
        <f>IFERROR(__xludf.DUMMYFUNCTION("""COMPUTED_VALUE"""),906235.0)</f>
        <v>906235</v>
      </c>
    </row>
    <row r="2019">
      <c r="A2019" s="2">
        <f>IFERROR(__xludf.DUMMYFUNCTION("""COMPUTED_VALUE"""),43580.64583333333)</f>
        <v>43580.64583</v>
      </c>
      <c r="B2019" s="1">
        <f>IFERROR(__xludf.DUMMYFUNCTION("""COMPUTED_VALUE"""),122000.0)</f>
        <v>122000</v>
      </c>
      <c r="C2019" s="1">
        <f>IFERROR(__xludf.DUMMYFUNCTION("""COMPUTED_VALUE"""),122000.0)</f>
        <v>122000</v>
      </c>
      <c r="D2019" s="1">
        <f>IFERROR(__xludf.DUMMYFUNCTION("""COMPUTED_VALUE"""),120000.0)</f>
        <v>120000</v>
      </c>
      <c r="E2019" s="1">
        <f>IFERROR(__xludf.DUMMYFUNCTION("""COMPUTED_VALUE"""),120500.0)</f>
        <v>120500</v>
      </c>
      <c r="F2019" s="1">
        <f>IFERROR(__xludf.DUMMYFUNCTION("""COMPUTED_VALUE"""),720472.0)</f>
        <v>720472</v>
      </c>
    </row>
    <row r="2020">
      <c r="A2020" s="2">
        <f>IFERROR(__xludf.DUMMYFUNCTION("""COMPUTED_VALUE"""),43581.64583333333)</f>
        <v>43581.64583</v>
      </c>
      <c r="B2020" s="1">
        <f>IFERROR(__xludf.DUMMYFUNCTION("""COMPUTED_VALUE"""),120000.0)</f>
        <v>120000</v>
      </c>
      <c r="C2020" s="1">
        <f>IFERROR(__xludf.DUMMYFUNCTION("""COMPUTED_VALUE"""),120500.0)</f>
        <v>120500</v>
      </c>
      <c r="D2020" s="1">
        <f>IFERROR(__xludf.DUMMYFUNCTION("""COMPUTED_VALUE"""),117500.0)</f>
        <v>117500</v>
      </c>
      <c r="E2020" s="1">
        <f>IFERROR(__xludf.DUMMYFUNCTION("""COMPUTED_VALUE"""),118000.0)</f>
        <v>118000</v>
      </c>
      <c r="F2020" s="1">
        <f>IFERROR(__xludf.DUMMYFUNCTION("""COMPUTED_VALUE"""),544042.0)</f>
        <v>544042</v>
      </c>
    </row>
    <row r="2021">
      <c r="A2021" s="2">
        <f>IFERROR(__xludf.DUMMYFUNCTION("""COMPUTED_VALUE"""),43584.64583333333)</f>
        <v>43584.64583</v>
      </c>
      <c r="B2021" s="1">
        <f>IFERROR(__xludf.DUMMYFUNCTION("""COMPUTED_VALUE"""),118500.0)</f>
        <v>118500</v>
      </c>
      <c r="C2021" s="1">
        <f>IFERROR(__xludf.DUMMYFUNCTION("""COMPUTED_VALUE"""),120000.0)</f>
        <v>120000</v>
      </c>
      <c r="D2021" s="1">
        <f>IFERROR(__xludf.DUMMYFUNCTION("""COMPUTED_VALUE"""),117000.0)</f>
        <v>117000</v>
      </c>
      <c r="E2021" s="1">
        <f>IFERROR(__xludf.DUMMYFUNCTION("""COMPUTED_VALUE"""),120000.0)</f>
        <v>120000</v>
      </c>
      <c r="F2021" s="1">
        <f>IFERROR(__xludf.DUMMYFUNCTION("""COMPUTED_VALUE"""),429353.0)</f>
        <v>429353</v>
      </c>
    </row>
    <row r="2022">
      <c r="A2022" s="2">
        <f>IFERROR(__xludf.DUMMYFUNCTION("""COMPUTED_VALUE"""),43585.64583333333)</f>
        <v>43585.64583</v>
      </c>
      <c r="B2022" s="1">
        <f>IFERROR(__xludf.DUMMYFUNCTION("""COMPUTED_VALUE"""),119000.0)</f>
        <v>119000</v>
      </c>
      <c r="C2022" s="1">
        <f>IFERROR(__xludf.DUMMYFUNCTION("""COMPUTED_VALUE"""),120000.0)</f>
        <v>120000</v>
      </c>
      <c r="D2022" s="1">
        <f>IFERROR(__xludf.DUMMYFUNCTION("""COMPUTED_VALUE"""),117500.0)</f>
        <v>117500</v>
      </c>
      <c r="E2022" s="1">
        <f>IFERROR(__xludf.DUMMYFUNCTION("""COMPUTED_VALUE"""),119500.0)</f>
        <v>119500</v>
      </c>
      <c r="F2022" s="1">
        <f>IFERROR(__xludf.DUMMYFUNCTION("""COMPUTED_VALUE"""),569162.0)</f>
        <v>569162</v>
      </c>
    </row>
    <row r="2023">
      <c r="A2023" s="2">
        <f>IFERROR(__xludf.DUMMYFUNCTION("""COMPUTED_VALUE"""),43587.64583333333)</f>
        <v>43587.64583</v>
      </c>
      <c r="B2023" s="1">
        <f>IFERROR(__xludf.DUMMYFUNCTION("""COMPUTED_VALUE"""),119000.0)</f>
        <v>119000</v>
      </c>
      <c r="C2023" s="1">
        <f>IFERROR(__xludf.DUMMYFUNCTION("""COMPUTED_VALUE"""),124000.0)</f>
        <v>124000</v>
      </c>
      <c r="D2023" s="1">
        <f>IFERROR(__xludf.DUMMYFUNCTION("""COMPUTED_VALUE"""),118500.0)</f>
        <v>118500</v>
      </c>
      <c r="E2023" s="1">
        <f>IFERROR(__xludf.DUMMYFUNCTION("""COMPUTED_VALUE"""),122000.0)</f>
        <v>122000</v>
      </c>
      <c r="F2023" s="1">
        <f>IFERROR(__xludf.DUMMYFUNCTION("""COMPUTED_VALUE"""),691901.0)</f>
        <v>691901</v>
      </c>
    </row>
    <row r="2024">
      <c r="A2024" s="2">
        <f>IFERROR(__xludf.DUMMYFUNCTION("""COMPUTED_VALUE"""),43588.64583333333)</f>
        <v>43588.64583</v>
      </c>
      <c r="B2024" s="1">
        <f>IFERROR(__xludf.DUMMYFUNCTION("""COMPUTED_VALUE"""),122000.0)</f>
        <v>122000</v>
      </c>
      <c r="C2024" s="1">
        <f>IFERROR(__xludf.DUMMYFUNCTION("""COMPUTED_VALUE"""),124500.0)</f>
        <v>124500</v>
      </c>
      <c r="D2024" s="1">
        <f>IFERROR(__xludf.DUMMYFUNCTION("""COMPUTED_VALUE"""),121500.0)</f>
        <v>121500</v>
      </c>
      <c r="E2024" s="1">
        <f>IFERROR(__xludf.DUMMYFUNCTION("""COMPUTED_VALUE"""),124000.0)</f>
        <v>124000</v>
      </c>
      <c r="F2024" s="1">
        <f>IFERROR(__xludf.DUMMYFUNCTION("""COMPUTED_VALUE"""),705503.0)</f>
        <v>705503</v>
      </c>
    </row>
    <row r="2025">
      <c r="A2025" s="2">
        <f>IFERROR(__xludf.DUMMYFUNCTION("""COMPUTED_VALUE"""),43592.64583333333)</f>
        <v>43592.64583</v>
      </c>
      <c r="B2025" s="1">
        <f>IFERROR(__xludf.DUMMYFUNCTION("""COMPUTED_VALUE"""),122000.0)</f>
        <v>122000</v>
      </c>
      <c r="C2025" s="1">
        <f>IFERROR(__xludf.DUMMYFUNCTION("""COMPUTED_VALUE"""),125500.0)</f>
        <v>125500</v>
      </c>
      <c r="D2025" s="1">
        <f>IFERROR(__xludf.DUMMYFUNCTION("""COMPUTED_VALUE"""),121500.0)</f>
        <v>121500</v>
      </c>
      <c r="E2025" s="1">
        <f>IFERROR(__xludf.DUMMYFUNCTION("""COMPUTED_VALUE"""),124000.0)</f>
        <v>124000</v>
      </c>
      <c r="F2025" s="1">
        <f>IFERROR(__xludf.DUMMYFUNCTION("""COMPUTED_VALUE"""),696627.0)</f>
        <v>696627</v>
      </c>
    </row>
    <row r="2026">
      <c r="A2026" s="2">
        <f>IFERROR(__xludf.DUMMYFUNCTION("""COMPUTED_VALUE"""),43593.64583333333)</f>
        <v>43593.64583</v>
      </c>
      <c r="B2026" s="1">
        <f>IFERROR(__xludf.DUMMYFUNCTION("""COMPUTED_VALUE"""),122000.0)</f>
        <v>122000</v>
      </c>
      <c r="C2026" s="1">
        <f>IFERROR(__xludf.DUMMYFUNCTION("""COMPUTED_VALUE"""),124000.0)</f>
        <v>124000</v>
      </c>
      <c r="D2026" s="1">
        <f>IFERROR(__xludf.DUMMYFUNCTION("""COMPUTED_VALUE"""),122000.0)</f>
        <v>122000</v>
      </c>
      <c r="E2026" s="1">
        <f>IFERROR(__xludf.DUMMYFUNCTION("""COMPUTED_VALUE"""),123500.0)</f>
        <v>123500</v>
      </c>
      <c r="F2026" s="1">
        <f>IFERROR(__xludf.DUMMYFUNCTION("""COMPUTED_VALUE"""),317483.0)</f>
        <v>317483</v>
      </c>
    </row>
    <row r="2027">
      <c r="A2027" s="2">
        <f>IFERROR(__xludf.DUMMYFUNCTION("""COMPUTED_VALUE"""),43594.64583333333)</f>
        <v>43594.64583</v>
      </c>
      <c r="B2027" s="1">
        <f>IFERROR(__xludf.DUMMYFUNCTION("""COMPUTED_VALUE"""),122500.0)</f>
        <v>122500</v>
      </c>
      <c r="C2027" s="1">
        <f>IFERROR(__xludf.DUMMYFUNCTION("""COMPUTED_VALUE"""),124000.0)</f>
        <v>124000</v>
      </c>
      <c r="D2027" s="1">
        <f>IFERROR(__xludf.DUMMYFUNCTION("""COMPUTED_VALUE"""),119000.0)</f>
        <v>119000</v>
      </c>
      <c r="E2027" s="1">
        <f>IFERROR(__xludf.DUMMYFUNCTION("""COMPUTED_VALUE"""),119000.0)</f>
        <v>119000</v>
      </c>
      <c r="F2027" s="1">
        <f>IFERROR(__xludf.DUMMYFUNCTION("""COMPUTED_VALUE"""),799208.0)</f>
        <v>799208</v>
      </c>
    </row>
    <row r="2028">
      <c r="A2028" s="2">
        <f>IFERROR(__xludf.DUMMYFUNCTION("""COMPUTED_VALUE"""),43595.64583333333)</f>
        <v>43595.64583</v>
      </c>
      <c r="B2028" s="1">
        <f>IFERROR(__xludf.DUMMYFUNCTION("""COMPUTED_VALUE"""),120500.0)</f>
        <v>120500</v>
      </c>
      <c r="C2028" s="1">
        <f>IFERROR(__xludf.DUMMYFUNCTION("""COMPUTED_VALUE"""),123000.0)</f>
        <v>123000</v>
      </c>
      <c r="D2028" s="1">
        <f>IFERROR(__xludf.DUMMYFUNCTION("""COMPUTED_VALUE"""),120000.0)</f>
        <v>120000</v>
      </c>
      <c r="E2028" s="1">
        <f>IFERROR(__xludf.DUMMYFUNCTION("""COMPUTED_VALUE"""),122500.0)</f>
        <v>122500</v>
      </c>
      <c r="F2028" s="1">
        <f>IFERROR(__xludf.DUMMYFUNCTION("""COMPUTED_VALUE"""),474352.0)</f>
        <v>474352</v>
      </c>
    </row>
    <row r="2029">
      <c r="A2029" s="2">
        <f>IFERROR(__xludf.DUMMYFUNCTION("""COMPUTED_VALUE"""),43598.64583333333)</f>
        <v>43598.64583</v>
      </c>
      <c r="B2029" s="1">
        <f>IFERROR(__xludf.DUMMYFUNCTION("""COMPUTED_VALUE"""),121500.0)</f>
        <v>121500</v>
      </c>
      <c r="C2029" s="1">
        <f>IFERROR(__xludf.DUMMYFUNCTION("""COMPUTED_VALUE"""),124000.0)</f>
        <v>124000</v>
      </c>
      <c r="D2029" s="1">
        <f>IFERROR(__xludf.DUMMYFUNCTION("""COMPUTED_VALUE"""),121500.0)</f>
        <v>121500</v>
      </c>
      <c r="E2029" s="1">
        <f>IFERROR(__xludf.DUMMYFUNCTION("""COMPUTED_VALUE"""),122500.0)</f>
        <v>122500</v>
      </c>
      <c r="F2029" s="1">
        <f>IFERROR(__xludf.DUMMYFUNCTION("""COMPUTED_VALUE"""),343827.0)</f>
        <v>343827</v>
      </c>
    </row>
    <row r="2030">
      <c r="A2030" s="2">
        <f>IFERROR(__xludf.DUMMYFUNCTION("""COMPUTED_VALUE"""),43599.64583333333)</f>
        <v>43599.64583</v>
      </c>
      <c r="B2030" s="1">
        <f>IFERROR(__xludf.DUMMYFUNCTION("""COMPUTED_VALUE"""),121000.0)</f>
        <v>121000</v>
      </c>
      <c r="C2030" s="1">
        <f>IFERROR(__xludf.DUMMYFUNCTION("""COMPUTED_VALUE"""),123500.0)</f>
        <v>123500</v>
      </c>
      <c r="D2030" s="1">
        <f>IFERROR(__xludf.DUMMYFUNCTION("""COMPUTED_VALUE"""),119500.0)</f>
        <v>119500</v>
      </c>
      <c r="E2030" s="1">
        <f>IFERROR(__xludf.DUMMYFUNCTION("""COMPUTED_VALUE"""),122000.0)</f>
        <v>122000</v>
      </c>
      <c r="F2030" s="1">
        <f>IFERROR(__xludf.DUMMYFUNCTION("""COMPUTED_VALUE"""),532037.0)</f>
        <v>532037</v>
      </c>
    </row>
    <row r="2031">
      <c r="A2031" s="2">
        <f>IFERROR(__xludf.DUMMYFUNCTION("""COMPUTED_VALUE"""),43600.64583333333)</f>
        <v>43600.64583</v>
      </c>
      <c r="B2031" s="1">
        <f>IFERROR(__xludf.DUMMYFUNCTION("""COMPUTED_VALUE"""),121500.0)</f>
        <v>121500</v>
      </c>
      <c r="C2031" s="1">
        <f>IFERROR(__xludf.DUMMYFUNCTION("""COMPUTED_VALUE"""),123000.0)</f>
        <v>123000</v>
      </c>
      <c r="D2031" s="1">
        <f>IFERROR(__xludf.DUMMYFUNCTION("""COMPUTED_VALUE"""),120000.0)</f>
        <v>120000</v>
      </c>
      <c r="E2031" s="1">
        <f>IFERROR(__xludf.DUMMYFUNCTION("""COMPUTED_VALUE"""),120000.0)</f>
        <v>120000</v>
      </c>
      <c r="F2031" s="1">
        <f>IFERROR(__xludf.DUMMYFUNCTION("""COMPUTED_VALUE"""),460936.0)</f>
        <v>460936</v>
      </c>
    </row>
    <row r="2032">
      <c r="A2032" s="2">
        <f>IFERROR(__xludf.DUMMYFUNCTION("""COMPUTED_VALUE"""),43601.64583333333)</f>
        <v>43601.64583</v>
      </c>
      <c r="B2032" s="1">
        <f>IFERROR(__xludf.DUMMYFUNCTION("""COMPUTED_VALUE"""),120500.0)</f>
        <v>120500</v>
      </c>
      <c r="C2032" s="1">
        <f>IFERROR(__xludf.DUMMYFUNCTION("""COMPUTED_VALUE"""),121000.0)</f>
        <v>121000</v>
      </c>
      <c r="D2032" s="1">
        <f>IFERROR(__xludf.DUMMYFUNCTION("""COMPUTED_VALUE"""),118000.0)</f>
        <v>118000</v>
      </c>
      <c r="E2032" s="1">
        <f>IFERROR(__xludf.DUMMYFUNCTION("""COMPUTED_VALUE"""),119000.0)</f>
        <v>119000</v>
      </c>
      <c r="F2032" s="1">
        <f>IFERROR(__xludf.DUMMYFUNCTION("""COMPUTED_VALUE"""),484468.0)</f>
        <v>484468</v>
      </c>
    </row>
    <row r="2033">
      <c r="A2033" s="2">
        <f>IFERROR(__xludf.DUMMYFUNCTION("""COMPUTED_VALUE"""),43602.64583333333)</f>
        <v>43602.64583</v>
      </c>
      <c r="B2033" s="1">
        <f>IFERROR(__xludf.DUMMYFUNCTION("""COMPUTED_VALUE"""),120000.0)</f>
        <v>120000</v>
      </c>
      <c r="C2033" s="1">
        <f>IFERROR(__xludf.DUMMYFUNCTION("""COMPUTED_VALUE"""),123500.0)</f>
        <v>123500</v>
      </c>
      <c r="D2033" s="1">
        <f>IFERROR(__xludf.DUMMYFUNCTION("""COMPUTED_VALUE"""),118500.0)</f>
        <v>118500</v>
      </c>
      <c r="E2033" s="1">
        <f>IFERROR(__xludf.DUMMYFUNCTION("""COMPUTED_VALUE"""),121000.0)</f>
        <v>121000</v>
      </c>
      <c r="F2033" s="1">
        <f>IFERROR(__xludf.DUMMYFUNCTION("""COMPUTED_VALUE"""),439545.0)</f>
        <v>439545</v>
      </c>
    </row>
    <row r="2034">
      <c r="A2034" s="2">
        <f>IFERROR(__xludf.DUMMYFUNCTION("""COMPUTED_VALUE"""),43605.64583333333)</f>
        <v>43605.64583</v>
      </c>
      <c r="B2034" s="1">
        <f>IFERROR(__xludf.DUMMYFUNCTION("""COMPUTED_VALUE"""),121500.0)</f>
        <v>121500</v>
      </c>
      <c r="C2034" s="1">
        <f>IFERROR(__xludf.DUMMYFUNCTION("""COMPUTED_VALUE"""),121500.0)</f>
        <v>121500</v>
      </c>
      <c r="D2034" s="1">
        <f>IFERROR(__xludf.DUMMYFUNCTION("""COMPUTED_VALUE"""),118000.0)</f>
        <v>118000</v>
      </c>
      <c r="E2034" s="1">
        <f>IFERROR(__xludf.DUMMYFUNCTION("""COMPUTED_VALUE"""),118500.0)</f>
        <v>118500</v>
      </c>
      <c r="F2034" s="1">
        <f>IFERROR(__xludf.DUMMYFUNCTION("""COMPUTED_VALUE"""),449916.0)</f>
        <v>449916</v>
      </c>
    </row>
    <row r="2035">
      <c r="A2035" s="2">
        <f>IFERROR(__xludf.DUMMYFUNCTION("""COMPUTED_VALUE"""),43606.64583333333)</f>
        <v>43606.64583</v>
      </c>
      <c r="B2035" s="1">
        <f>IFERROR(__xludf.DUMMYFUNCTION("""COMPUTED_VALUE"""),117500.0)</f>
        <v>117500</v>
      </c>
      <c r="C2035" s="1">
        <f>IFERROR(__xludf.DUMMYFUNCTION("""COMPUTED_VALUE"""),119500.0)</f>
        <v>119500</v>
      </c>
      <c r="D2035" s="1">
        <f>IFERROR(__xludf.DUMMYFUNCTION("""COMPUTED_VALUE"""),113500.0)</f>
        <v>113500</v>
      </c>
      <c r="E2035" s="1">
        <f>IFERROR(__xludf.DUMMYFUNCTION("""COMPUTED_VALUE"""),114500.0)</f>
        <v>114500</v>
      </c>
      <c r="F2035" s="1">
        <f>IFERROR(__xludf.DUMMYFUNCTION("""COMPUTED_VALUE"""),603105.0)</f>
        <v>603105</v>
      </c>
    </row>
    <row r="2036">
      <c r="A2036" s="2">
        <f>IFERROR(__xludf.DUMMYFUNCTION("""COMPUTED_VALUE"""),43607.64583333333)</f>
        <v>43607.64583</v>
      </c>
      <c r="B2036" s="1">
        <f>IFERROR(__xludf.DUMMYFUNCTION("""COMPUTED_VALUE"""),115000.0)</f>
        <v>115000</v>
      </c>
      <c r="C2036" s="1">
        <f>IFERROR(__xludf.DUMMYFUNCTION("""COMPUTED_VALUE"""),115000.0)</f>
        <v>115000</v>
      </c>
      <c r="D2036" s="1">
        <f>IFERROR(__xludf.DUMMYFUNCTION("""COMPUTED_VALUE"""),111000.0)</f>
        <v>111000</v>
      </c>
      <c r="E2036" s="1">
        <f>IFERROR(__xludf.DUMMYFUNCTION("""COMPUTED_VALUE"""),113000.0)</f>
        <v>113000</v>
      </c>
      <c r="F2036" s="1">
        <f>IFERROR(__xludf.DUMMYFUNCTION("""COMPUTED_VALUE"""),567069.0)</f>
        <v>567069</v>
      </c>
    </row>
    <row r="2037">
      <c r="A2037" s="2">
        <f>IFERROR(__xludf.DUMMYFUNCTION("""COMPUTED_VALUE"""),43608.64583333333)</f>
        <v>43608.64583</v>
      </c>
      <c r="B2037" s="1">
        <f>IFERROR(__xludf.DUMMYFUNCTION("""COMPUTED_VALUE"""),112500.0)</f>
        <v>112500</v>
      </c>
      <c r="C2037" s="1">
        <f>IFERROR(__xludf.DUMMYFUNCTION("""COMPUTED_VALUE"""),114000.0)</f>
        <v>114000</v>
      </c>
      <c r="D2037" s="1">
        <f>IFERROR(__xludf.DUMMYFUNCTION("""COMPUTED_VALUE"""),110000.0)</f>
        <v>110000</v>
      </c>
      <c r="E2037" s="1">
        <f>IFERROR(__xludf.DUMMYFUNCTION("""COMPUTED_VALUE"""),113000.0)</f>
        <v>113000</v>
      </c>
      <c r="F2037" s="1">
        <f>IFERROR(__xludf.DUMMYFUNCTION("""COMPUTED_VALUE"""),545497.0)</f>
        <v>545497</v>
      </c>
    </row>
    <row r="2038">
      <c r="A2038" s="2">
        <f>IFERROR(__xludf.DUMMYFUNCTION("""COMPUTED_VALUE"""),43609.64583333333)</f>
        <v>43609.64583</v>
      </c>
      <c r="B2038" s="1">
        <f>IFERROR(__xludf.DUMMYFUNCTION("""COMPUTED_VALUE"""),113000.0)</f>
        <v>113000</v>
      </c>
      <c r="C2038" s="1">
        <f>IFERROR(__xludf.DUMMYFUNCTION("""COMPUTED_VALUE"""),115000.0)</f>
        <v>115000</v>
      </c>
      <c r="D2038" s="1">
        <f>IFERROR(__xludf.DUMMYFUNCTION("""COMPUTED_VALUE"""),112500.0)</f>
        <v>112500</v>
      </c>
      <c r="E2038" s="1">
        <f>IFERROR(__xludf.DUMMYFUNCTION("""COMPUTED_VALUE"""),113500.0)</f>
        <v>113500</v>
      </c>
      <c r="F2038" s="1">
        <f>IFERROR(__xludf.DUMMYFUNCTION("""COMPUTED_VALUE"""),408081.0)</f>
        <v>408081</v>
      </c>
    </row>
    <row r="2039">
      <c r="A2039" s="2">
        <f>IFERROR(__xludf.DUMMYFUNCTION("""COMPUTED_VALUE"""),43612.64583333333)</f>
        <v>43612.64583</v>
      </c>
      <c r="B2039" s="1">
        <f>IFERROR(__xludf.DUMMYFUNCTION("""COMPUTED_VALUE"""),112500.0)</f>
        <v>112500</v>
      </c>
      <c r="C2039" s="1">
        <f>IFERROR(__xludf.DUMMYFUNCTION("""COMPUTED_VALUE"""),113000.0)</f>
        <v>113000</v>
      </c>
      <c r="D2039" s="1">
        <f>IFERROR(__xludf.DUMMYFUNCTION("""COMPUTED_VALUE"""),109500.0)</f>
        <v>109500</v>
      </c>
      <c r="E2039" s="1">
        <f>IFERROR(__xludf.DUMMYFUNCTION("""COMPUTED_VALUE"""),110500.0)</f>
        <v>110500</v>
      </c>
      <c r="F2039" s="1">
        <f>IFERROR(__xludf.DUMMYFUNCTION("""COMPUTED_VALUE"""),369902.0)</f>
        <v>369902</v>
      </c>
    </row>
    <row r="2040">
      <c r="A2040" s="2">
        <f>IFERROR(__xludf.DUMMYFUNCTION("""COMPUTED_VALUE"""),43613.64583333333)</f>
        <v>43613.64583</v>
      </c>
      <c r="B2040" s="1">
        <f>IFERROR(__xludf.DUMMYFUNCTION("""COMPUTED_VALUE"""),109500.0)</f>
        <v>109500</v>
      </c>
      <c r="C2040" s="1">
        <f>IFERROR(__xludf.DUMMYFUNCTION("""COMPUTED_VALUE"""),112500.0)</f>
        <v>112500</v>
      </c>
      <c r="D2040" s="1">
        <f>IFERROR(__xludf.DUMMYFUNCTION("""COMPUTED_VALUE"""),108500.0)</f>
        <v>108500</v>
      </c>
      <c r="E2040" s="1">
        <f>IFERROR(__xludf.DUMMYFUNCTION("""COMPUTED_VALUE"""),108500.0)</f>
        <v>108500</v>
      </c>
      <c r="F2040" s="1">
        <f>IFERROR(__xludf.DUMMYFUNCTION("""COMPUTED_VALUE"""),1490526.0)</f>
        <v>1490526</v>
      </c>
    </row>
    <row r="2041">
      <c r="A2041" s="2">
        <f>IFERROR(__xludf.DUMMYFUNCTION("""COMPUTED_VALUE"""),43614.64583333333)</f>
        <v>43614.64583</v>
      </c>
      <c r="B2041" s="1">
        <f>IFERROR(__xludf.DUMMYFUNCTION("""COMPUTED_VALUE"""),109000.0)</f>
        <v>109000</v>
      </c>
      <c r="C2041" s="1">
        <f>IFERROR(__xludf.DUMMYFUNCTION("""COMPUTED_VALUE"""),111000.0)</f>
        <v>111000</v>
      </c>
      <c r="D2041" s="1">
        <f>IFERROR(__xludf.DUMMYFUNCTION("""COMPUTED_VALUE"""),108500.0)</f>
        <v>108500</v>
      </c>
      <c r="E2041" s="1">
        <f>IFERROR(__xludf.DUMMYFUNCTION("""COMPUTED_VALUE"""),109500.0)</f>
        <v>109500</v>
      </c>
      <c r="F2041" s="1">
        <f>IFERROR(__xludf.DUMMYFUNCTION("""COMPUTED_VALUE"""),515196.0)</f>
        <v>515196</v>
      </c>
    </row>
    <row r="2042">
      <c r="A2042" s="2">
        <f>IFERROR(__xludf.DUMMYFUNCTION("""COMPUTED_VALUE"""),43615.64583333333)</f>
        <v>43615.64583</v>
      </c>
      <c r="B2042" s="1">
        <f>IFERROR(__xludf.DUMMYFUNCTION("""COMPUTED_VALUE"""),110000.0)</f>
        <v>110000</v>
      </c>
      <c r="C2042" s="1">
        <f>IFERROR(__xludf.DUMMYFUNCTION("""COMPUTED_VALUE"""),114000.0)</f>
        <v>114000</v>
      </c>
      <c r="D2042" s="1">
        <f>IFERROR(__xludf.DUMMYFUNCTION("""COMPUTED_VALUE"""),109500.0)</f>
        <v>109500</v>
      </c>
      <c r="E2042" s="1">
        <f>IFERROR(__xludf.DUMMYFUNCTION("""COMPUTED_VALUE"""),112000.0)</f>
        <v>112000</v>
      </c>
      <c r="F2042" s="1">
        <f>IFERROR(__xludf.DUMMYFUNCTION("""COMPUTED_VALUE"""),378379.0)</f>
        <v>378379</v>
      </c>
    </row>
    <row r="2043">
      <c r="A2043" s="2">
        <f>IFERROR(__xludf.DUMMYFUNCTION("""COMPUTED_VALUE"""),43616.64583333333)</f>
        <v>43616.64583</v>
      </c>
      <c r="B2043" s="1">
        <f>IFERROR(__xludf.DUMMYFUNCTION("""COMPUTED_VALUE"""),111500.0)</f>
        <v>111500</v>
      </c>
      <c r="C2043" s="1">
        <f>IFERROR(__xludf.DUMMYFUNCTION("""COMPUTED_VALUE"""),112500.0)</f>
        <v>112500</v>
      </c>
      <c r="D2043" s="1">
        <f>IFERROR(__xludf.DUMMYFUNCTION("""COMPUTED_VALUE"""),110000.0)</f>
        <v>110000</v>
      </c>
      <c r="E2043" s="1">
        <f>IFERROR(__xludf.DUMMYFUNCTION("""COMPUTED_VALUE"""),111500.0)</f>
        <v>111500</v>
      </c>
      <c r="F2043" s="1">
        <f>IFERROR(__xludf.DUMMYFUNCTION("""COMPUTED_VALUE"""),310649.0)</f>
        <v>310649</v>
      </c>
    </row>
    <row r="2044">
      <c r="A2044" s="2">
        <f>IFERROR(__xludf.DUMMYFUNCTION("""COMPUTED_VALUE"""),43619.64583333333)</f>
        <v>43619.64583</v>
      </c>
      <c r="B2044" s="1">
        <f>IFERROR(__xludf.DUMMYFUNCTION("""COMPUTED_VALUE"""),113000.0)</f>
        <v>113000</v>
      </c>
      <c r="C2044" s="1">
        <f>IFERROR(__xludf.DUMMYFUNCTION("""COMPUTED_VALUE"""),115000.0)</f>
        <v>115000</v>
      </c>
      <c r="D2044" s="1">
        <f>IFERROR(__xludf.DUMMYFUNCTION("""COMPUTED_VALUE"""),112000.0)</f>
        <v>112000</v>
      </c>
      <c r="E2044" s="1">
        <f>IFERROR(__xludf.DUMMYFUNCTION("""COMPUTED_VALUE"""),115000.0)</f>
        <v>115000</v>
      </c>
      <c r="F2044" s="1">
        <f>IFERROR(__xludf.DUMMYFUNCTION("""COMPUTED_VALUE"""),391824.0)</f>
        <v>391824</v>
      </c>
    </row>
    <row r="2045">
      <c r="A2045" s="2">
        <f>IFERROR(__xludf.DUMMYFUNCTION("""COMPUTED_VALUE"""),43620.64583333333)</f>
        <v>43620.64583</v>
      </c>
      <c r="B2045" s="1">
        <f>IFERROR(__xludf.DUMMYFUNCTION("""COMPUTED_VALUE"""),114000.0)</f>
        <v>114000</v>
      </c>
      <c r="C2045" s="1">
        <f>IFERROR(__xludf.DUMMYFUNCTION("""COMPUTED_VALUE"""),114500.0)</f>
        <v>114500</v>
      </c>
      <c r="D2045" s="1">
        <f>IFERROR(__xludf.DUMMYFUNCTION("""COMPUTED_VALUE"""),110500.0)</f>
        <v>110500</v>
      </c>
      <c r="E2045" s="1">
        <f>IFERROR(__xludf.DUMMYFUNCTION("""COMPUTED_VALUE"""),111000.0)</f>
        <v>111000</v>
      </c>
      <c r="F2045" s="1">
        <f>IFERROR(__xludf.DUMMYFUNCTION("""COMPUTED_VALUE"""),531826.0)</f>
        <v>531826</v>
      </c>
    </row>
    <row r="2046">
      <c r="A2046" s="2">
        <f>IFERROR(__xludf.DUMMYFUNCTION("""COMPUTED_VALUE"""),43621.64583333333)</f>
        <v>43621.64583</v>
      </c>
      <c r="B2046" s="1">
        <f>IFERROR(__xludf.DUMMYFUNCTION("""COMPUTED_VALUE"""),112000.0)</f>
        <v>112000</v>
      </c>
      <c r="C2046" s="1">
        <f>IFERROR(__xludf.DUMMYFUNCTION("""COMPUTED_VALUE"""),112500.0)</f>
        <v>112500</v>
      </c>
      <c r="D2046" s="1">
        <f>IFERROR(__xludf.DUMMYFUNCTION("""COMPUTED_VALUE"""),109500.0)</f>
        <v>109500</v>
      </c>
      <c r="E2046" s="1">
        <f>IFERROR(__xludf.DUMMYFUNCTION("""COMPUTED_VALUE"""),110500.0)</f>
        <v>110500</v>
      </c>
      <c r="F2046" s="1">
        <f>IFERROR(__xludf.DUMMYFUNCTION("""COMPUTED_VALUE"""),471689.0)</f>
        <v>471689</v>
      </c>
    </row>
    <row r="2047">
      <c r="A2047" s="2">
        <f>IFERROR(__xludf.DUMMYFUNCTION("""COMPUTED_VALUE"""),43623.64583333333)</f>
        <v>43623.64583</v>
      </c>
      <c r="B2047" s="1">
        <f>IFERROR(__xludf.DUMMYFUNCTION("""COMPUTED_VALUE"""),110000.0)</f>
        <v>110000</v>
      </c>
      <c r="C2047" s="1">
        <f>IFERROR(__xludf.DUMMYFUNCTION("""COMPUTED_VALUE"""),112000.0)</f>
        <v>112000</v>
      </c>
      <c r="D2047" s="1">
        <f>IFERROR(__xludf.DUMMYFUNCTION("""COMPUTED_VALUE"""),110000.0)</f>
        <v>110000</v>
      </c>
      <c r="E2047" s="1">
        <f>IFERROR(__xludf.DUMMYFUNCTION("""COMPUTED_VALUE"""),111000.0)</f>
        <v>111000</v>
      </c>
      <c r="F2047" s="1">
        <f>IFERROR(__xludf.DUMMYFUNCTION("""COMPUTED_VALUE"""),386800.0)</f>
        <v>386800</v>
      </c>
    </row>
    <row r="2048">
      <c r="A2048" s="2">
        <f>IFERROR(__xludf.DUMMYFUNCTION("""COMPUTED_VALUE"""),43626.64583333333)</f>
        <v>43626.64583</v>
      </c>
      <c r="B2048" s="1">
        <f>IFERROR(__xludf.DUMMYFUNCTION("""COMPUTED_VALUE"""),111500.0)</f>
        <v>111500</v>
      </c>
      <c r="C2048" s="1">
        <f>IFERROR(__xludf.DUMMYFUNCTION("""COMPUTED_VALUE"""),114500.0)</f>
        <v>114500</v>
      </c>
      <c r="D2048" s="1">
        <f>IFERROR(__xludf.DUMMYFUNCTION("""COMPUTED_VALUE"""),111000.0)</f>
        <v>111000</v>
      </c>
      <c r="E2048" s="1">
        <f>IFERROR(__xludf.DUMMYFUNCTION("""COMPUTED_VALUE"""),114000.0)</f>
        <v>114000</v>
      </c>
      <c r="F2048" s="1">
        <f>IFERROR(__xludf.DUMMYFUNCTION("""COMPUTED_VALUE"""),464590.0)</f>
        <v>464590</v>
      </c>
    </row>
    <row r="2049">
      <c r="A2049" s="2">
        <f>IFERROR(__xludf.DUMMYFUNCTION("""COMPUTED_VALUE"""),43627.64583333333)</f>
        <v>43627.64583</v>
      </c>
      <c r="B2049" s="1">
        <f>IFERROR(__xludf.DUMMYFUNCTION("""COMPUTED_VALUE"""),114000.0)</f>
        <v>114000</v>
      </c>
      <c r="C2049" s="1">
        <f>IFERROR(__xludf.DUMMYFUNCTION("""COMPUTED_VALUE"""),114500.0)</f>
        <v>114500</v>
      </c>
      <c r="D2049" s="1">
        <f>IFERROR(__xludf.DUMMYFUNCTION("""COMPUTED_VALUE"""),112500.0)</f>
        <v>112500</v>
      </c>
      <c r="E2049" s="1">
        <f>IFERROR(__xludf.DUMMYFUNCTION("""COMPUTED_VALUE"""),113000.0)</f>
        <v>113000</v>
      </c>
      <c r="F2049" s="1">
        <f>IFERROR(__xludf.DUMMYFUNCTION("""COMPUTED_VALUE"""),423258.0)</f>
        <v>423258</v>
      </c>
    </row>
    <row r="2050">
      <c r="A2050" s="2">
        <f>IFERROR(__xludf.DUMMYFUNCTION("""COMPUTED_VALUE"""),43628.64583333333)</f>
        <v>43628.64583</v>
      </c>
      <c r="B2050" s="1">
        <f>IFERROR(__xludf.DUMMYFUNCTION("""COMPUTED_VALUE"""),112000.0)</f>
        <v>112000</v>
      </c>
      <c r="C2050" s="1">
        <f>IFERROR(__xludf.DUMMYFUNCTION("""COMPUTED_VALUE"""),114500.0)</f>
        <v>114500</v>
      </c>
      <c r="D2050" s="1">
        <f>IFERROR(__xludf.DUMMYFUNCTION("""COMPUTED_VALUE"""),112000.0)</f>
        <v>112000</v>
      </c>
      <c r="E2050" s="1">
        <f>IFERROR(__xludf.DUMMYFUNCTION("""COMPUTED_VALUE"""),114000.0)</f>
        <v>114000</v>
      </c>
      <c r="F2050" s="1">
        <f>IFERROR(__xludf.DUMMYFUNCTION("""COMPUTED_VALUE"""),354664.0)</f>
        <v>354664</v>
      </c>
    </row>
    <row r="2051">
      <c r="A2051" s="2">
        <f>IFERROR(__xludf.DUMMYFUNCTION("""COMPUTED_VALUE"""),43629.64583333333)</f>
        <v>43629.64583</v>
      </c>
      <c r="B2051" s="1">
        <f>IFERROR(__xludf.DUMMYFUNCTION("""COMPUTED_VALUE"""),114500.0)</f>
        <v>114500</v>
      </c>
      <c r="C2051" s="1">
        <f>IFERROR(__xludf.DUMMYFUNCTION("""COMPUTED_VALUE"""),115500.0)</f>
        <v>115500</v>
      </c>
      <c r="D2051" s="1">
        <f>IFERROR(__xludf.DUMMYFUNCTION("""COMPUTED_VALUE"""),112000.0)</f>
        <v>112000</v>
      </c>
      <c r="E2051" s="1">
        <f>IFERROR(__xludf.DUMMYFUNCTION("""COMPUTED_VALUE"""),113000.0)</f>
        <v>113000</v>
      </c>
      <c r="F2051" s="1">
        <f>IFERROR(__xludf.DUMMYFUNCTION("""COMPUTED_VALUE"""),551067.0)</f>
        <v>551067</v>
      </c>
    </row>
    <row r="2052">
      <c r="A2052" s="2">
        <f>IFERROR(__xludf.DUMMYFUNCTION("""COMPUTED_VALUE"""),43630.64583333333)</f>
        <v>43630.64583</v>
      </c>
      <c r="B2052" s="1">
        <f>IFERROR(__xludf.DUMMYFUNCTION("""COMPUTED_VALUE"""),112000.0)</f>
        <v>112000</v>
      </c>
      <c r="C2052" s="1">
        <f>IFERROR(__xludf.DUMMYFUNCTION("""COMPUTED_VALUE"""),113000.0)</f>
        <v>113000</v>
      </c>
      <c r="D2052" s="1">
        <f>IFERROR(__xludf.DUMMYFUNCTION("""COMPUTED_VALUE"""),110500.0)</f>
        <v>110500</v>
      </c>
      <c r="E2052" s="1">
        <f>IFERROR(__xludf.DUMMYFUNCTION("""COMPUTED_VALUE"""),111500.0)</f>
        <v>111500</v>
      </c>
      <c r="F2052" s="1">
        <f>IFERROR(__xludf.DUMMYFUNCTION("""COMPUTED_VALUE"""),553083.0)</f>
        <v>553083</v>
      </c>
    </row>
    <row r="2053">
      <c r="A2053" s="2">
        <f>IFERROR(__xludf.DUMMYFUNCTION("""COMPUTED_VALUE"""),43633.64583333333)</f>
        <v>43633.64583</v>
      </c>
      <c r="B2053" s="1">
        <f>IFERROR(__xludf.DUMMYFUNCTION("""COMPUTED_VALUE"""),111500.0)</f>
        <v>111500</v>
      </c>
      <c r="C2053" s="1">
        <f>IFERROR(__xludf.DUMMYFUNCTION("""COMPUTED_VALUE"""),111500.0)</f>
        <v>111500</v>
      </c>
      <c r="D2053" s="1">
        <f>IFERROR(__xludf.DUMMYFUNCTION("""COMPUTED_VALUE"""),110000.0)</f>
        <v>110000</v>
      </c>
      <c r="E2053" s="1">
        <f>IFERROR(__xludf.DUMMYFUNCTION("""COMPUTED_VALUE"""),110500.0)</f>
        <v>110500</v>
      </c>
      <c r="F2053" s="1">
        <f>IFERROR(__xludf.DUMMYFUNCTION("""COMPUTED_VALUE"""),475346.0)</f>
        <v>475346</v>
      </c>
    </row>
    <row r="2054">
      <c r="A2054" s="2">
        <f>IFERROR(__xludf.DUMMYFUNCTION("""COMPUTED_VALUE"""),43634.64583333333)</f>
        <v>43634.64583</v>
      </c>
      <c r="B2054" s="1">
        <f>IFERROR(__xludf.DUMMYFUNCTION("""COMPUTED_VALUE"""),109500.0)</f>
        <v>109500</v>
      </c>
      <c r="C2054" s="1">
        <f>IFERROR(__xludf.DUMMYFUNCTION("""COMPUTED_VALUE"""),110000.0)</f>
        <v>110000</v>
      </c>
      <c r="D2054" s="1">
        <f>IFERROR(__xludf.DUMMYFUNCTION("""COMPUTED_VALUE"""),106500.0)</f>
        <v>106500</v>
      </c>
      <c r="E2054" s="1">
        <f>IFERROR(__xludf.DUMMYFUNCTION("""COMPUTED_VALUE"""),109000.0)</f>
        <v>109000</v>
      </c>
      <c r="F2054" s="1">
        <f>IFERROR(__xludf.DUMMYFUNCTION("""COMPUTED_VALUE"""),791946.0)</f>
        <v>791946</v>
      </c>
    </row>
    <row r="2055">
      <c r="A2055" s="2">
        <f>IFERROR(__xludf.DUMMYFUNCTION("""COMPUTED_VALUE"""),43635.64583333333)</f>
        <v>43635.64583</v>
      </c>
      <c r="B2055" s="1">
        <f>IFERROR(__xludf.DUMMYFUNCTION("""COMPUTED_VALUE"""),110000.0)</f>
        <v>110000</v>
      </c>
      <c r="C2055" s="1">
        <f>IFERROR(__xludf.DUMMYFUNCTION("""COMPUTED_VALUE"""),110000.0)</f>
        <v>110000</v>
      </c>
      <c r="D2055" s="1">
        <f>IFERROR(__xludf.DUMMYFUNCTION("""COMPUTED_VALUE"""),107000.0)</f>
        <v>107000</v>
      </c>
      <c r="E2055" s="1">
        <f>IFERROR(__xludf.DUMMYFUNCTION("""COMPUTED_VALUE"""),110000.0)</f>
        <v>110000</v>
      </c>
      <c r="F2055" s="1">
        <f>IFERROR(__xludf.DUMMYFUNCTION("""COMPUTED_VALUE"""),483689.0)</f>
        <v>483689</v>
      </c>
    </row>
    <row r="2056">
      <c r="A2056" s="2">
        <f>IFERROR(__xludf.DUMMYFUNCTION("""COMPUTED_VALUE"""),43636.64583333333)</f>
        <v>43636.64583</v>
      </c>
      <c r="B2056" s="1">
        <f>IFERROR(__xludf.DUMMYFUNCTION("""COMPUTED_VALUE"""),110000.0)</f>
        <v>110000</v>
      </c>
      <c r="C2056" s="1">
        <f>IFERROR(__xludf.DUMMYFUNCTION("""COMPUTED_VALUE"""),112000.0)</f>
        <v>112000</v>
      </c>
      <c r="D2056" s="1">
        <f>IFERROR(__xludf.DUMMYFUNCTION("""COMPUTED_VALUE"""),109000.0)</f>
        <v>109000</v>
      </c>
      <c r="E2056" s="1">
        <f>IFERROR(__xludf.DUMMYFUNCTION("""COMPUTED_VALUE"""),111500.0)</f>
        <v>111500</v>
      </c>
      <c r="F2056" s="1">
        <f>IFERROR(__xludf.DUMMYFUNCTION("""COMPUTED_VALUE"""),282163.0)</f>
        <v>282163</v>
      </c>
    </row>
    <row r="2057">
      <c r="A2057" s="2">
        <f>IFERROR(__xludf.DUMMYFUNCTION("""COMPUTED_VALUE"""),43637.64583333333)</f>
        <v>43637.64583</v>
      </c>
      <c r="B2057" s="1">
        <f>IFERROR(__xludf.DUMMYFUNCTION("""COMPUTED_VALUE"""),112500.0)</f>
        <v>112500</v>
      </c>
      <c r="C2057" s="1">
        <f>IFERROR(__xludf.DUMMYFUNCTION("""COMPUTED_VALUE"""),115000.0)</f>
        <v>115000</v>
      </c>
      <c r="D2057" s="1">
        <f>IFERROR(__xludf.DUMMYFUNCTION("""COMPUTED_VALUE"""),111500.0)</f>
        <v>111500</v>
      </c>
      <c r="E2057" s="1">
        <f>IFERROR(__xludf.DUMMYFUNCTION("""COMPUTED_VALUE"""),113000.0)</f>
        <v>113000</v>
      </c>
      <c r="F2057" s="1">
        <f>IFERROR(__xludf.DUMMYFUNCTION("""COMPUTED_VALUE"""),555965.0)</f>
        <v>555965</v>
      </c>
    </row>
    <row r="2058">
      <c r="A2058" s="2">
        <f>IFERROR(__xludf.DUMMYFUNCTION("""COMPUTED_VALUE"""),43640.64583333333)</f>
        <v>43640.64583</v>
      </c>
      <c r="B2058" s="1">
        <f>IFERROR(__xludf.DUMMYFUNCTION("""COMPUTED_VALUE"""),113000.0)</f>
        <v>113000</v>
      </c>
      <c r="C2058" s="1">
        <f>IFERROR(__xludf.DUMMYFUNCTION("""COMPUTED_VALUE"""),113500.0)</f>
        <v>113500</v>
      </c>
      <c r="D2058" s="1">
        <f>IFERROR(__xludf.DUMMYFUNCTION("""COMPUTED_VALUE"""),112000.0)</f>
        <v>112000</v>
      </c>
      <c r="E2058" s="1">
        <f>IFERROR(__xludf.DUMMYFUNCTION("""COMPUTED_VALUE"""),113500.0)</f>
        <v>113500</v>
      </c>
      <c r="F2058" s="1">
        <f>IFERROR(__xludf.DUMMYFUNCTION("""COMPUTED_VALUE"""),254210.0)</f>
        <v>254210</v>
      </c>
    </row>
    <row r="2059">
      <c r="A2059" s="2">
        <f>IFERROR(__xludf.DUMMYFUNCTION("""COMPUTED_VALUE"""),43641.64583333333)</f>
        <v>43641.64583</v>
      </c>
      <c r="B2059" s="1">
        <f>IFERROR(__xludf.DUMMYFUNCTION("""COMPUTED_VALUE"""),114000.0)</f>
        <v>114000</v>
      </c>
      <c r="C2059" s="1">
        <f>IFERROR(__xludf.DUMMYFUNCTION("""COMPUTED_VALUE"""),116000.0)</f>
        <v>116000</v>
      </c>
      <c r="D2059" s="1">
        <f>IFERROR(__xludf.DUMMYFUNCTION("""COMPUTED_VALUE"""),113000.0)</f>
        <v>113000</v>
      </c>
      <c r="E2059" s="1">
        <f>IFERROR(__xludf.DUMMYFUNCTION("""COMPUTED_VALUE"""),114500.0)</f>
        <v>114500</v>
      </c>
      <c r="F2059" s="1">
        <f>IFERROR(__xludf.DUMMYFUNCTION("""COMPUTED_VALUE"""),473961.0)</f>
        <v>473961</v>
      </c>
    </row>
    <row r="2060">
      <c r="A2060" s="2">
        <f>IFERROR(__xludf.DUMMYFUNCTION("""COMPUTED_VALUE"""),43642.64583333333)</f>
        <v>43642.64583</v>
      </c>
      <c r="B2060" s="1">
        <f>IFERROR(__xludf.DUMMYFUNCTION("""COMPUTED_VALUE"""),114500.0)</f>
        <v>114500</v>
      </c>
      <c r="C2060" s="1">
        <f>IFERROR(__xludf.DUMMYFUNCTION("""COMPUTED_VALUE"""),116500.0)</f>
        <v>116500</v>
      </c>
      <c r="D2060" s="1">
        <f>IFERROR(__xludf.DUMMYFUNCTION("""COMPUTED_VALUE"""),114000.0)</f>
        <v>114000</v>
      </c>
      <c r="E2060" s="1">
        <f>IFERROR(__xludf.DUMMYFUNCTION("""COMPUTED_VALUE"""),115500.0)</f>
        <v>115500</v>
      </c>
      <c r="F2060" s="1">
        <f>IFERROR(__xludf.DUMMYFUNCTION("""COMPUTED_VALUE"""),300077.0)</f>
        <v>300077</v>
      </c>
    </row>
    <row r="2061">
      <c r="A2061" s="2">
        <f>IFERROR(__xludf.DUMMYFUNCTION("""COMPUTED_VALUE"""),43643.64583333333)</f>
        <v>43643.64583</v>
      </c>
      <c r="B2061" s="1">
        <f>IFERROR(__xludf.DUMMYFUNCTION("""COMPUTED_VALUE"""),115500.0)</f>
        <v>115500</v>
      </c>
      <c r="C2061" s="1">
        <f>IFERROR(__xludf.DUMMYFUNCTION("""COMPUTED_VALUE"""),116000.0)</f>
        <v>116000</v>
      </c>
      <c r="D2061" s="1">
        <f>IFERROR(__xludf.DUMMYFUNCTION("""COMPUTED_VALUE"""),113000.0)</f>
        <v>113000</v>
      </c>
      <c r="E2061" s="1">
        <f>IFERROR(__xludf.DUMMYFUNCTION("""COMPUTED_VALUE"""),115000.0)</f>
        <v>115000</v>
      </c>
      <c r="F2061" s="1">
        <f>IFERROR(__xludf.DUMMYFUNCTION("""COMPUTED_VALUE"""),375582.0)</f>
        <v>375582</v>
      </c>
    </row>
    <row r="2062">
      <c r="A2062" s="2">
        <f>IFERROR(__xludf.DUMMYFUNCTION("""COMPUTED_VALUE"""),43644.64583333333)</f>
        <v>43644.64583</v>
      </c>
      <c r="B2062" s="1">
        <f>IFERROR(__xludf.DUMMYFUNCTION("""COMPUTED_VALUE"""),114500.0)</f>
        <v>114500</v>
      </c>
      <c r="C2062" s="1">
        <f>IFERROR(__xludf.DUMMYFUNCTION("""COMPUTED_VALUE"""),115500.0)</f>
        <v>115500</v>
      </c>
      <c r="D2062" s="1">
        <f>IFERROR(__xludf.DUMMYFUNCTION("""COMPUTED_VALUE"""),112500.0)</f>
        <v>112500</v>
      </c>
      <c r="E2062" s="1">
        <f>IFERROR(__xludf.DUMMYFUNCTION("""COMPUTED_VALUE"""),114000.0)</f>
        <v>114000</v>
      </c>
      <c r="F2062" s="1">
        <f>IFERROR(__xludf.DUMMYFUNCTION("""COMPUTED_VALUE"""),267404.0)</f>
        <v>267404</v>
      </c>
    </row>
    <row r="2063">
      <c r="A2063" s="2">
        <f>IFERROR(__xludf.DUMMYFUNCTION("""COMPUTED_VALUE"""),43647.64583333333)</f>
        <v>43647.64583</v>
      </c>
      <c r="B2063" s="1">
        <f>IFERROR(__xludf.DUMMYFUNCTION("""COMPUTED_VALUE"""),114500.0)</f>
        <v>114500</v>
      </c>
      <c r="C2063" s="1">
        <f>IFERROR(__xludf.DUMMYFUNCTION("""COMPUTED_VALUE"""),115500.0)</f>
        <v>115500</v>
      </c>
      <c r="D2063" s="1">
        <f>IFERROR(__xludf.DUMMYFUNCTION("""COMPUTED_VALUE"""),114000.0)</f>
        <v>114000</v>
      </c>
      <c r="E2063" s="1">
        <f>IFERROR(__xludf.DUMMYFUNCTION("""COMPUTED_VALUE"""),114500.0)</f>
        <v>114500</v>
      </c>
      <c r="F2063" s="1">
        <f>IFERROR(__xludf.DUMMYFUNCTION("""COMPUTED_VALUE"""),306736.0)</f>
        <v>306736</v>
      </c>
    </row>
    <row r="2064">
      <c r="A2064" s="2">
        <f>IFERROR(__xludf.DUMMYFUNCTION("""COMPUTED_VALUE"""),43648.64583333333)</f>
        <v>43648.64583</v>
      </c>
      <c r="B2064" s="1">
        <f>IFERROR(__xludf.DUMMYFUNCTION("""COMPUTED_VALUE"""),114000.0)</f>
        <v>114000</v>
      </c>
      <c r="C2064" s="1">
        <f>IFERROR(__xludf.DUMMYFUNCTION("""COMPUTED_VALUE"""),115500.0)</f>
        <v>115500</v>
      </c>
      <c r="D2064" s="1">
        <f>IFERROR(__xludf.DUMMYFUNCTION("""COMPUTED_VALUE"""),112000.0)</f>
        <v>112000</v>
      </c>
      <c r="E2064" s="1">
        <f>IFERROR(__xludf.DUMMYFUNCTION("""COMPUTED_VALUE"""),115000.0)</f>
        <v>115000</v>
      </c>
      <c r="F2064" s="1">
        <f>IFERROR(__xludf.DUMMYFUNCTION("""COMPUTED_VALUE"""),273980.0)</f>
        <v>273980</v>
      </c>
    </row>
    <row r="2065">
      <c r="A2065" s="2">
        <f>IFERROR(__xludf.DUMMYFUNCTION("""COMPUTED_VALUE"""),43649.64583333333)</f>
        <v>43649.64583</v>
      </c>
      <c r="B2065" s="1">
        <f>IFERROR(__xludf.DUMMYFUNCTION("""COMPUTED_VALUE"""),116000.0)</f>
        <v>116000</v>
      </c>
      <c r="C2065" s="1">
        <f>IFERROR(__xludf.DUMMYFUNCTION("""COMPUTED_VALUE"""),118500.0)</f>
        <v>118500</v>
      </c>
      <c r="D2065" s="1">
        <f>IFERROR(__xludf.DUMMYFUNCTION("""COMPUTED_VALUE"""),115000.0)</f>
        <v>115000</v>
      </c>
      <c r="E2065" s="1">
        <f>IFERROR(__xludf.DUMMYFUNCTION("""COMPUTED_VALUE"""),117500.0)</f>
        <v>117500</v>
      </c>
      <c r="F2065" s="1">
        <f>IFERROR(__xludf.DUMMYFUNCTION("""COMPUTED_VALUE"""),408701.0)</f>
        <v>408701</v>
      </c>
    </row>
    <row r="2066">
      <c r="A2066" s="2">
        <f>IFERROR(__xludf.DUMMYFUNCTION("""COMPUTED_VALUE"""),43650.64583333333)</f>
        <v>43650.64583</v>
      </c>
      <c r="B2066" s="1">
        <f>IFERROR(__xludf.DUMMYFUNCTION("""COMPUTED_VALUE"""),116000.0)</f>
        <v>116000</v>
      </c>
      <c r="C2066" s="1">
        <f>IFERROR(__xludf.DUMMYFUNCTION("""COMPUTED_VALUE"""),119500.0)</f>
        <v>119500</v>
      </c>
      <c r="D2066" s="1">
        <f>IFERROR(__xludf.DUMMYFUNCTION("""COMPUTED_VALUE"""),116000.0)</f>
        <v>116000</v>
      </c>
      <c r="E2066" s="1">
        <f>IFERROR(__xludf.DUMMYFUNCTION("""COMPUTED_VALUE"""),118000.0)</f>
        <v>118000</v>
      </c>
      <c r="F2066" s="1">
        <f>IFERROR(__xludf.DUMMYFUNCTION("""COMPUTED_VALUE"""),355658.0)</f>
        <v>355658</v>
      </c>
    </row>
    <row r="2067">
      <c r="A2067" s="2">
        <f>IFERROR(__xludf.DUMMYFUNCTION("""COMPUTED_VALUE"""),43651.64583333333)</f>
        <v>43651.64583</v>
      </c>
      <c r="B2067" s="1">
        <f>IFERROR(__xludf.DUMMYFUNCTION("""COMPUTED_VALUE"""),118500.0)</f>
        <v>118500</v>
      </c>
      <c r="C2067" s="1">
        <f>IFERROR(__xludf.DUMMYFUNCTION("""COMPUTED_VALUE"""),121500.0)</f>
        <v>121500</v>
      </c>
      <c r="D2067" s="1">
        <f>IFERROR(__xludf.DUMMYFUNCTION("""COMPUTED_VALUE"""),118500.0)</f>
        <v>118500</v>
      </c>
      <c r="E2067" s="1">
        <f>IFERROR(__xludf.DUMMYFUNCTION("""COMPUTED_VALUE"""),121000.0)</f>
        <v>121000</v>
      </c>
      <c r="F2067" s="1">
        <f>IFERROR(__xludf.DUMMYFUNCTION("""COMPUTED_VALUE"""),409700.0)</f>
        <v>409700</v>
      </c>
    </row>
    <row r="2068">
      <c r="A2068" s="2">
        <f>IFERROR(__xludf.DUMMYFUNCTION("""COMPUTED_VALUE"""),43654.64583333333)</f>
        <v>43654.64583</v>
      </c>
      <c r="B2068" s="1">
        <f>IFERROR(__xludf.DUMMYFUNCTION("""COMPUTED_VALUE"""),120500.0)</f>
        <v>120500</v>
      </c>
      <c r="C2068" s="1">
        <f>IFERROR(__xludf.DUMMYFUNCTION("""COMPUTED_VALUE"""),121000.0)</f>
        <v>121000</v>
      </c>
      <c r="D2068" s="1">
        <f>IFERROR(__xludf.DUMMYFUNCTION("""COMPUTED_VALUE"""),118000.0)</f>
        <v>118000</v>
      </c>
      <c r="E2068" s="1">
        <f>IFERROR(__xludf.DUMMYFUNCTION("""COMPUTED_VALUE"""),118500.0)</f>
        <v>118500</v>
      </c>
      <c r="F2068" s="1">
        <f>IFERROR(__xludf.DUMMYFUNCTION("""COMPUTED_VALUE"""),306897.0)</f>
        <v>306897</v>
      </c>
    </row>
    <row r="2069">
      <c r="A2069" s="2">
        <f>IFERROR(__xludf.DUMMYFUNCTION("""COMPUTED_VALUE"""),43655.64583333333)</f>
        <v>43655.64583</v>
      </c>
      <c r="B2069" s="1">
        <f>IFERROR(__xludf.DUMMYFUNCTION("""COMPUTED_VALUE"""),118000.0)</f>
        <v>118000</v>
      </c>
      <c r="C2069" s="1">
        <f>IFERROR(__xludf.DUMMYFUNCTION("""COMPUTED_VALUE"""),120000.0)</f>
        <v>120000</v>
      </c>
      <c r="D2069" s="1">
        <f>IFERROR(__xludf.DUMMYFUNCTION("""COMPUTED_VALUE"""),115000.0)</f>
        <v>115000</v>
      </c>
      <c r="E2069" s="1">
        <f>IFERROR(__xludf.DUMMYFUNCTION("""COMPUTED_VALUE"""),115500.0)</f>
        <v>115500</v>
      </c>
      <c r="F2069" s="1">
        <f>IFERROR(__xludf.DUMMYFUNCTION("""COMPUTED_VALUE"""),460058.0)</f>
        <v>460058</v>
      </c>
    </row>
    <row r="2070">
      <c r="A2070" s="2">
        <f>IFERROR(__xludf.DUMMYFUNCTION("""COMPUTED_VALUE"""),43656.64583333333)</f>
        <v>43656.64583</v>
      </c>
      <c r="B2070" s="1">
        <f>IFERROR(__xludf.DUMMYFUNCTION("""COMPUTED_VALUE"""),116500.0)</f>
        <v>116500</v>
      </c>
      <c r="C2070" s="1">
        <f>IFERROR(__xludf.DUMMYFUNCTION("""COMPUTED_VALUE"""),119000.0)</f>
        <v>119000</v>
      </c>
      <c r="D2070" s="1">
        <f>IFERROR(__xludf.DUMMYFUNCTION("""COMPUTED_VALUE"""),115500.0)</f>
        <v>115500</v>
      </c>
      <c r="E2070" s="1">
        <f>IFERROR(__xludf.DUMMYFUNCTION("""COMPUTED_VALUE"""),115500.0)</f>
        <v>115500</v>
      </c>
      <c r="F2070" s="1">
        <f>IFERROR(__xludf.DUMMYFUNCTION("""COMPUTED_VALUE"""),267438.0)</f>
        <v>267438</v>
      </c>
    </row>
    <row r="2071">
      <c r="A2071" s="2">
        <f>IFERROR(__xludf.DUMMYFUNCTION("""COMPUTED_VALUE"""),43657.64583333333)</f>
        <v>43657.64583</v>
      </c>
      <c r="B2071" s="1">
        <f>IFERROR(__xludf.DUMMYFUNCTION("""COMPUTED_VALUE"""),115500.0)</f>
        <v>115500</v>
      </c>
      <c r="C2071" s="1">
        <f>IFERROR(__xludf.DUMMYFUNCTION("""COMPUTED_VALUE"""),118000.0)</f>
        <v>118000</v>
      </c>
      <c r="D2071" s="1">
        <f>IFERROR(__xludf.DUMMYFUNCTION("""COMPUTED_VALUE"""),115500.0)</f>
        <v>115500</v>
      </c>
      <c r="E2071" s="1">
        <f>IFERROR(__xludf.DUMMYFUNCTION("""COMPUTED_VALUE"""),117000.0)</f>
        <v>117000</v>
      </c>
      <c r="F2071" s="1">
        <f>IFERROR(__xludf.DUMMYFUNCTION("""COMPUTED_VALUE"""),293389.0)</f>
        <v>293389</v>
      </c>
    </row>
    <row r="2072">
      <c r="A2072" s="2">
        <f>IFERROR(__xludf.DUMMYFUNCTION("""COMPUTED_VALUE"""),43658.64583333333)</f>
        <v>43658.64583</v>
      </c>
      <c r="B2072" s="1">
        <f>IFERROR(__xludf.DUMMYFUNCTION("""COMPUTED_VALUE"""),117000.0)</f>
        <v>117000</v>
      </c>
      <c r="C2072" s="1">
        <f>IFERROR(__xludf.DUMMYFUNCTION("""COMPUTED_VALUE"""),118500.0)</f>
        <v>118500</v>
      </c>
      <c r="D2072" s="1">
        <f>IFERROR(__xludf.DUMMYFUNCTION("""COMPUTED_VALUE"""),116500.0)</f>
        <v>116500</v>
      </c>
      <c r="E2072" s="1">
        <f>IFERROR(__xludf.DUMMYFUNCTION("""COMPUTED_VALUE"""),117000.0)</f>
        <v>117000</v>
      </c>
      <c r="F2072" s="1">
        <f>IFERROR(__xludf.DUMMYFUNCTION("""COMPUTED_VALUE"""),160685.0)</f>
        <v>160685</v>
      </c>
    </row>
    <row r="2073">
      <c r="A2073" s="2">
        <f>IFERROR(__xludf.DUMMYFUNCTION("""COMPUTED_VALUE"""),43661.64583333333)</f>
        <v>43661.64583</v>
      </c>
      <c r="B2073" s="1">
        <f>IFERROR(__xludf.DUMMYFUNCTION("""COMPUTED_VALUE"""),118000.0)</f>
        <v>118000</v>
      </c>
      <c r="C2073" s="1">
        <f>IFERROR(__xludf.DUMMYFUNCTION("""COMPUTED_VALUE"""),120000.0)</f>
        <v>120000</v>
      </c>
      <c r="D2073" s="1">
        <f>IFERROR(__xludf.DUMMYFUNCTION("""COMPUTED_VALUE"""),116500.0)</f>
        <v>116500</v>
      </c>
      <c r="E2073" s="1">
        <f>IFERROR(__xludf.DUMMYFUNCTION("""COMPUTED_VALUE"""),118000.0)</f>
        <v>118000</v>
      </c>
      <c r="F2073" s="1">
        <f>IFERROR(__xludf.DUMMYFUNCTION("""COMPUTED_VALUE"""),263893.0)</f>
        <v>263893</v>
      </c>
    </row>
    <row r="2074">
      <c r="A2074" s="2">
        <f>IFERROR(__xludf.DUMMYFUNCTION("""COMPUTED_VALUE"""),43662.64583333333)</f>
        <v>43662.64583</v>
      </c>
      <c r="B2074" s="1">
        <f>IFERROR(__xludf.DUMMYFUNCTION("""COMPUTED_VALUE"""),119000.0)</f>
        <v>119000</v>
      </c>
      <c r="C2074" s="1">
        <f>IFERROR(__xludf.DUMMYFUNCTION("""COMPUTED_VALUE"""),120500.0)</f>
        <v>120500</v>
      </c>
      <c r="D2074" s="1">
        <f>IFERROR(__xludf.DUMMYFUNCTION("""COMPUTED_VALUE"""),117500.0)</f>
        <v>117500</v>
      </c>
      <c r="E2074" s="1">
        <f>IFERROR(__xludf.DUMMYFUNCTION("""COMPUTED_VALUE"""),120000.0)</f>
        <v>120000</v>
      </c>
      <c r="F2074" s="1">
        <f>IFERROR(__xludf.DUMMYFUNCTION("""COMPUTED_VALUE"""),391260.0)</f>
        <v>391260</v>
      </c>
    </row>
    <row r="2075">
      <c r="A2075" s="2">
        <f>IFERROR(__xludf.DUMMYFUNCTION("""COMPUTED_VALUE"""),43663.64583333333)</f>
        <v>43663.64583</v>
      </c>
      <c r="B2075" s="1">
        <f>IFERROR(__xludf.DUMMYFUNCTION("""COMPUTED_VALUE"""),120000.0)</f>
        <v>120000</v>
      </c>
      <c r="C2075" s="1">
        <f>IFERROR(__xludf.DUMMYFUNCTION("""COMPUTED_VALUE"""),120000.0)</f>
        <v>120000</v>
      </c>
      <c r="D2075" s="1">
        <f>IFERROR(__xludf.DUMMYFUNCTION("""COMPUTED_VALUE"""),118000.0)</f>
        <v>118000</v>
      </c>
      <c r="E2075" s="1">
        <f>IFERROR(__xludf.DUMMYFUNCTION("""COMPUTED_VALUE"""),119000.0)</f>
        <v>119000</v>
      </c>
      <c r="F2075" s="1">
        <f>IFERROR(__xludf.DUMMYFUNCTION("""COMPUTED_VALUE"""),205316.0)</f>
        <v>205316</v>
      </c>
    </row>
    <row r="2076">
      <c r="A2076" s="2">
        <f>IFERROR(__xludf.DUMMYFUNCTION("""COMPUTED_VALUE"""),43664.64583333333)</f>
        <v>43664.64583</v>
      </c>
      <c r="B2076" s="1">
        <f>IFERROR(__xludf.DUMMYFUNCTION("""COMPUTED_VALUE"""),118500.0)</f>
        <v>118500</v>
      </c>
      <c r="C2076" s="1">
        <f>IFERROR(__xludf.DUMMYFUNCTION("""COMPUTED_VALUE"""),122000.0)</f>
        <v>122000</v>
      </c>
      <c r="D2076" s="1">
        <f>IFERROR(__xludf.DUMMYFUNCTION("""COMPUTED_VALUE"""),118500.0)</f>
        <v>118500</v>
      </c>
      <c r="E2076" s="1">
        <f>IFERROR(__xludf.DUMMYFUNCTION("""COMPUTED_VALUE"""),120500.0)</f>
        <v>120500</v>
      </c>
      <c r="F2076" s="1">
        <f>IFERROR(__xludf.DUMMYFUNCTION("""COMPUTED_VALUE"""),267715.0)</f>
        <v>267715</v>
      </c>
    </row>
    <row r="2077">
      <c r="A2077" s="2">
        <f>IFERROR(__xludf.DUMMYFUNCTION("""COMPUTED_VALUE"""),43665.64583333333)</f>
        <v>43665.64583</v>
      </c>
      <c r="B2077" s="1">
        <f>IFERROR(__xludf.DUMMYFUNCTION("""COMPUTED_VALUE"""),121000.0)</f>
        <v>121000</v>
      </c>
      <c r="C2077" s="1">
        <f>IFERROR(__xludf.DUMMYFUNCTION("""COMPUTED_VALUE"""),123000.0)</f>
        <v>123000</v>
      </c>
      <c r="D2077" s="1">
        <f>IFERROR(__xludf.DUMMYFUNCTION("""COMPUTED_VALUE"""),121000.0)</f>
        <v>121000</v>
      </c>
      <c r="E2077" s="1">
        <f>IFERROR(__xludf.DUMMYFUNCTION("""COMPUTED_VALUE"""),122500.0)</f>
        <v>122500</v>
      </c>
      <c r="F2077" s="1">
        <f>IFERROR(__xludf.DUMMYFUNCTION("""COMPUTED_VALUE"""),445122.0)</f>
        <v>445122</v>
      </c>
    </row>
    <row r="2078">
      <c r="A2078" s="2">
        <f>IFERROR(__xludf.DUMMYFUNCTION("""COMPUTED_VALUE"""),43668.64583333333)</f>
        <v>43668.64583</v>
      </c>
      <c r="B2078" s="1">
        <f>IFERROR(__xludf.DUMMYFUNCTION("""COMPUTED_VALUE"""),122000.0)</f>
        <v>122000</v>
      </c>
      <c r="C2078" s="1">
        <f>IFERROR(__xludf.DUMMYFUNCTION("""COMPUTED_VALUE"""),122500.0)</f>
        <v>122500</v>
      </c>
      <c r="D2078" s="1">
        <f>IFERROR(__xludf.DUMMYFUNCTION("""COMPUTED_VALUE"""),120500.0)</f>
        <v>120500</v>
      </c>
      <c r="E2078" s="1">
        <f>IFERROR(__xludf.DUMMYFUNCTION("""COMPUTED_VALUE"""),121000.0)</f>
        <v>121000</v>
      </c>
      <c r="F2078" s="1">
        <f>IFERROR(__xludf.DUMMYFUNCTION("""COMPUTED_VALUE"""),346897.0)</f>
        <v>346897</v>
      </c>
    </row>
    <row r="2079">
      <c r="A2079" s="2">
        <f>IFERROR(__xludf.DUMMYFUNCTION("""COMPUTED_VALUE"""),43669.64583333333)</f>
        <v>43669.64583</v>
      </c>
      <c r="B2079" s="1">
        <f>IFERROR(__xludf.DUMMYFUNCTION("""COMPUTED_VALUE"""),122500.0)</f>
        <v>122500</v>
      </c>
      <c r="C2079" s="1">
        <f>IFERROR(__xludf.DUMMYFUNCTION("""COMPUTED_VALUE"""),123000.0)</f>
        <v>123000</v>
      </c>
      <c r="D2079" s="1">
        <f>IFERROR(__xludf.DUMMYFUNCTION("""COMPUTED_VALUE"""),122000.0)</f>
        <v>122000</v>
      </c>
      <c r="E2079" s="1">
        <f>IFERROR(__xludf.DUMMYFUNCTION("""COMPUTED_VALUE"""),122500.0)</f>
        <v>122500</v>
      </c>
      <c r="F2079" s="1">
        <f>IFERROR(__xludf.DUMMYFUNCTION("""COMPUTED_VALUE"""),358255.0)</f>
        <v>358255</v>
      </c>
    </row>
    <row r="2080">
      <c r="A2080" s="2">
        <f>IFERROR(__xludf.DUMMYFUNCTION("""COMPUTED_VALUE"""),43670.64583333333)</f>
        <v>43670.64583</v>
      </c>
      <c r="B2080" s="1">
        <f>IFERROR(__xludf.DUMMYFUNCTION("""COMPUTED_VALUE"""),122500.0)</f>
        <v>122500</v>
      </c>
      <c r="C2080" s="1">
        <f>IFERROR(__xludf.DUMMYFUNCTION("""COMPUTED_VALUE"""),124500.0)</f>
        <v>124500</v>
      </c>
      <c r="D2080" s="1">
        <f>IFERROR(__xludf.DUMMYFUNCTION("""COMPUTED_VALUE"""),122500.0)</f>
        <v>122500</v>
      </c>
      <c r="E2080" s="1">
        <f>IFERROR(__xludf.DUMMYFUNCTION("""COMPUTED_VALUE"""),123500.0)</f>
        <v>123500</v>
      </c>
      <c r="F2080" s="1">
        <f>IFERROR(__xludf.DUMMYFUNCTION("""COMPUTED_VALUE"""),606769.0)</f>
        <v>606769</v>
      </c>
    </row>
    <row r="2081">
      <c r="A2081" s="2">
        <f>IFERROR(__xludf.DUMMYFUNCTION("""COMPUTED_VALUE"""),43671.64583333333)</f>
        <v>43671.64583</v>
      </c>
      <c r="B2081" s="1">
        <f>IFERROR(__xludf.DUMMYFUNCTION("""COMPUTED_VALUE"""),125500.0)</f>
        <v>125500</v>
      </c>
      <c r="C2081" s="1">
        <f>IFERROR(__xludf.DUMMYFUNCTION("""COMPUTED_VALUE"""),134500.0)</f>
        <v>134500</v>
      </c>
      <c r="D2081" s="1">
        <f>IFERROR(__xludf.DUMMYFUNCTION("""COMPUTED_VALUE"""),125000.0)</f>
        <v>125000</v>
      </c>
      <c r="E2081" s="1">
        <f>IFERROR(__xludf.DUMMYFUNCTION("""COMPUTED_VALUE"""),134000.0)</f>
        <v>134000</v>
      </c>
      <c r="F2081" s="1">
        <f>IFERROR(__xludf.DUMMYFUNCTION("""COMPUTED_VALUE"""),1635774.0)</f>
        <v>1635774</v>
      </c>
    </row>
    <row r="2082">
      <c r="A2082" s="2">
        <f>IFERROR(__xludf.DUMMYFUNCTION("""COMPUTED_VALUE"""),43672.64583333333)</f>
        <v>43672.64583</v>
      </c>
      <c r="B2082" s="1">
        <f>IFERROR(__xludf.DUMMYFUNCTION("""COMPUTED_VALUE"""),137500.0)</f>
        <v>137500</v>
      </c>
      <c r="C2082" s="1">
        <f>IFERROR(__xludf.DUMMYFUNCTION("""COMPUTED_VALUE"""),142000.0)</f>
        <v>142000</v>
      </c>
      <c r="D2082" s="1">
        <f>IFERROR(__xludf.DUMMYFUNCTION("""COMPUTED_VALUE"""),136500.0)</f>
        <v>136500</v>
      </c>
      <c r="E2082" s="1">
        <f>IFERROR(__xludf.DUMMYFUNCTION("""COMPUTED_VALUE"""),141000.0)</f>
        <v>141000</v>
      </c>
      <c r="F2082" s="1">
        <f>IFERROR(__xludf.DUMMYFUNCTION("""COMPUTED_VALUE"""),1440686.0)</f>
        <v>1440686</v>
      </c>
    </row>
    <row r="2083">
      <c r="A2083" s="2">
        <f>IFERROR(__xludf.DUMMYFUNCTION("""COMPUTED_VALUE"""),43675.64583333333)</f>
        <v>43675.64583</v>
      </c>
      <c r="B2083" s="1">
        <f>IFERROR(__xludf.DUMMYFUNCTION("""COMPUTED_VALUE"""),139500.0)</f>
        <v>139500</v>
      </c>
      <c r="C2083" s="1">
        <f>IFERROR(__xludf.DUMMYFUNCTION("""COMPUTED_VALUE"""),141000.0)</f>
        <v>141000</v>
      </c>
      <c r="D2083" s="1">
        <f>IFERROR(__xludf.DUMMYFUNCTION("""COMPUTED_VALUE"""),137000.0)</f>
        <v>137000</v>
      </c>
      <c r="E2083" s="1">
        <f>IFERROR(__xludf.DUMMYFUNCTION("""COMPUTED_VALUE"""),138500.0)</f>
        <v>138500</v>
      </c>
      <c r="F2083" s="1">
        <f>IFERROR(__xludf.DUMMYFUNCTION("""COMPUTED_VALUE"""),583629.0)</f>
        <v>583629</v>
      </c>
    </row>
    <row r="2084">
      <c r="A2084" s="2">
        <f>IFERROR(__xludf.DUMMYFUNCTION("""COMPUTED_VALUE"""),43676.64583333333)</f>
        <v>43676.64583</v>
      </c>
      <c r="B2084" s="1">
        <f>IFERROR(__xludf.DUMMYFUNCTION("""COMPUTED_VALUE"""),140000.0)</f>
        <v>140000</v>
      </c>
      <c r="C2084" s="1">
        <f>IFERROR(__xludf.DUMMYFUNCTION("""COMPUTED_VALUE"""),140500.0)</f>
        <v>140500</v>
      </c>
      <c r="D2084" s="1">
        <f>IFERROR(__xludf.DUMMYFUNCTION("""COMPUTED_VALUE"""),136500.0)</f>
        <v>136500</v>
      </c>
      <c r="E2084" s="1">
        <f>IFERROR(__xludf.DUMMYFUNCTION("""COMPUTED_VALUE"""),138500.0)</f>
        <v>138500</v>
      </c>
      <c r="F2084" s="1">
        <f>IFERROR(__xludf.DUMMYFUNCTION("""COMPUTED_VALUE"""),364674.0)</f>
        <v>364674</v>
      </c>
    </row>
    <row r="2085">
      <c r="A2085" s="2">
        <f>IFERROR(__xludf.DUMMYFUNCTION("""COMPUTED_VALUE"""),43677.64583333333)</f>
        <v>43677.64583</v>
      </c>
      <c r="B2085" s="1">
        <f>IFERROR(__xludf.DUMMYFUNCTION("""COMPUTED_VALUE"""),139000.0)</f>
        <v>139000</v>
      </c>
      <c r="C2085" s="1">
        <f>IFERROR(__xludf.DUMMYFUNCTION("""COMPUTED_VALUE"""),139500.0)</f>
        <v>139500</v>
      </c>
      <c r="D2085" s="1">
        <f>IFERROR(__xludf.DUMMYFUNCTION("""COMPUTED_VALUE"""),136000.0)</f>
        <v>136000</v>
      </c>
      <c r="E2085" s="1">
        <f>IFERROR(__xludf.DUMMYFUNCTION("""COMPUTED_VALUE"""),138000.0)</f>
        <v>138000</v>
      </c>
      <c r="F2085" s="1">
        <f>IFERROR(__xludf.DUMMYFUNCTION("""COMPUTED_VALUE"""),361525.0)</f>
        <v>361525</v>
      </c>
    </row>
    <row r="2086">
      <c r="A2086" s="2">
        <f>IFERROR(__xludf.DUMMYFUNCTION("""COMPUTED_VALUE"""),43678.64583333333)</f>
        <v>43678.64583</v>
      </c>
      <c r="B2086" s="1">
        <f>IFERROR(__xludf.DUMMYFUNCTION("""COMPUTED_VALUE"""),139500.0)</f>
        <v>139500</v>
      </c>
      <c r="C2086" s="1">
        <f>IFERROR(__xludf.DUMMYFUNCTION("""COMPUTED_VALUE"""),141500.0)</f>
        <v>141500</v>
      </c>
      <c r="D2086" s="1">
        <f>IFERROR(__xludf.DUMMYFUNCTION("""COMPUTED_VALUE"""),138500.0)</f>
        <v>138500</v>
      </c>
      <c r="E2086" s="1">
        <f>IFERROR(__xludf.DUMMYFUNCTION("""COMPUTED_VALUE"""),140500.0)</f>
        <v>140500</v>
      </c>
      <c r="F2086" s="1">
        <f>IFERROR(__xludf.DUMMYFUNCTION("""COMPUTED_VALUE"""),460049.0)</f>
        <v>460049</v>
      </c>
    </row>
    <row r="2087">
      <c r="A2087" s="2">
        <f>IFERROR(__xludf.DUMMYFUNCTION("""COMPUTED_VALUE"""),43679.64583333333)</f>
        <v>43679.64583</v>
      </c>
      <c r="B2087" s="1">
        <f>IFERROR(__xludf.DUMMYFUNCTION("""COMPUTED_VALUE"""),139000.0)</f>
        <v>139000</v>
      </c>
      <c r="C2087" s="1">
        <f>IFERROR(__xludf.DUMMYFUNCTION("""COMPUTED_VALUE"""),142500.0)</f>
        <v>142500</v>
      </c>
      <c r="D2087" s="1">
        <f>IFERROR(__xludf.DUMMYFUNCTION("""COMPUTED_VALUE"""),138500.0)</f>
        <v>138500</v>
      </c>
      <c r="E2087" s="1">
        <f>IFERROR(__xludf.DUMMYFUNCTION("""COMPUTED_VALUE"""),142000.0)</f>
        <v>142000</v>
      </c>
      <c r="F2087" s="1">
        <f>IFERROR(__xludf.DUMMYFUNCTION("""COMPUTED_VALUE"""),484009.0)</f>
        <v>484009</v>
      </c>
    </row>
    <row r="2088">
      <c r="A2088" s="2">
        <f>IFERROR(__xludf.DUMMYFUNCTION("""COMPUTED_VALUE"""),43682.64583333333)</f>
        <v>43682.64583</v>
      </c>
      <c r="B2088" s="1">
        <f>IFERROR(__xludf.DUMMYFUNCTION("""COMPUTED_VALUE"""),141000.0)</f>
        <v>141000</v>
      </c>
      <c r="C2088" s="1">
        <f>IFERROR(__xludf.DUMMYFUNCTION("""COMPUTED_VALUE"""),142000.0)</f>
        <v>142000</v>
      </c>
      <c r="D2088" s="1">
        <f>IFERROR(__xludf.DUMMYFUNCTION("""COMPUTED_VALUE"""),135500.0)</f>
        <v>135500</v>
      </c>
      <c r="E2088" s="1">
        <f>IFERROR(__xludf.DUMMYFUNCTION("""COMPUTED_VALUE"""),138000.0)</f>
        <v>138000</v>
      </c>
      <c r="F2088" s="1">
        <f>IFERROR(__xludf.DUMMYFUNCTION("""COMPUTED_VALUE"""),733982.0)</f>
        <v>733982</v>
      </c>
    </row>
    <row r="2089">
      <c r="A2089" s="2">
        <f>IFERROR(__xludf.DUMMYFUNCTION("""COMPUTED_VALUE"""),43683.64583333333)</f>
        <v>43683.64583</v>
      </c>
      <c r="B2089" s="1">
        <f>IFERROR(__xludf.DUMMYFUNCTION("""COMPUTED_VALUE"""),134000.0)</f>
        <v>134000</v>
      </c>
      <c r="C2089" s="1">
        <f>IFERROR(__xludf.DUMMYFUNCTION("""COMPUTED_VALUE"""),140000.0)</f>
        <v>140000</v>
      </c>
      <c r="D2089" s="1">
        <f>IFERROR(__xludf.DUMMYFUNCTION("""COMPUTED_VALUE"""),132000.0)</f>
        <v>132000</v>
      </c>
      <c r="E2089" s="1">
        <f>IFERROR(__xludf.DUMMYFUNCTION("""COMPUTED_VALUE"""),138500.0)</f>
        <v>138500</v>
      </c>
      <c r="F2089" s="1">
        <f>IFERROR(__xludf.DUMMYFUNCTION("""COMPUTED_VALUE"""),610095.0)</f>
        <v>610095</v>
      </c>
    </row>
    <row r="2090">
      <c r="A2090" s="2">
        <f>IFERROR(__xludf.DUMMYFUNCTION("""COMPUTED_VALUE"""),43684.64583333333)</f>
        <v>43684.64583</v>
      </c>
      <c r="B2090" s="1">
        <f>IFERROR(__xludf.DUMMYFUNCTION("""COMPUTED_VALUE"""),139000.0)</f>
        <v>139000</v>
      </c>
      <c r="C2090" s="1">
        <f>IFERROR(__xludf.DUMMYFUNCTION("""COMPUTED_VALUE"""),139500.0)</f>
        <v>139500</v>
      </c>
      <c r="D2090" s="1">
        <f>IFERROR(__xludf.DUMMYFUNCTION("""COMPUTED_VALUE"""),136000.0)</f>
        <v>136000</v>
      </c>
      <c r="E2090" s="1">
        <f>IFERROR(__xludf.DUMMYFUNCTION("""COMPUTED_VALUE"""),137500.0)</f>
        <v>137500</v>
      </c>
      <c r="F2090" s="1">
        <f>IFERROR(__xludf.DUMMYFUNCTION("""COMPUTED_VALUE"""),336416.0)</f>
        <v>336416</v>
      </c>
    </row>
    <row r="2091">
      <c r="A2091" s="2">
        <f>IFERROR(__xludf.DUMMYFUNCTION("""COMPUTED_VALUE"""),43685.64583333333)</f>
        <v>43685.64583</v>
      </c>
      <c r="B2091" s="1">
        <f>IFERROR(__xludf.DUMMYFUNCTION("""COMPUTED_VALUE"""),139500.0)</f>
        <v>139500</v>
      </c>
      <c r="C2091" s="1">
        <f>IFERROR(__xludf.DUMMYFUNCTION("""COMPUTED_VALUE"""),142000.0)</f>
        <v>142000</v>
      </c>
      <c r="D2091" s="1">
        <f>IFERROR(__xludf.DUMMYFUNCTION("""COMPUTED_VALUE"""),136500.0)</f>
        <v>136500</v>
      </c>
      <c r="E2091" s="1">
        <f>IFERROR(__xludf.DUMMYFUNCTION("""COMPUTED_VALUE"""),140000.0)</f>
        <v>140000</v>
      </c>
      <c r="F2091" s="1">
        <f>IFERROR(__xludf.DUMMYFUNCTION("""COMPUTED_VALUE"""),496443.0)</f>
        <v>496443</v>
      </c>
    </row>
    <row r="2092">
      <c r="A2092" s="2">
        <f>IFERROR(__xludf.DUMMYFUNCTION("""COMPUTED_VALUE"""),43686.64583333333)</f>
        <v>43686.64583</v>
      </c>
      <c r="B2092" s="1">
        <f>IFERROR(__xludf.DUMMYFUNCTION("""COMPUTED_VALUE"""),142000.0)</f>
        <v>142000</v>
      </c>
      <c r="C2092" s="1">
        <f>IFERROR(__xludf.DUMMYFUNCTION("""COMPUTED_VALUE"""),145000.0)</f>
        <v>145000</v>
      </c>
      <c r="D2092" s="1">
        <f>IFERROR(__xludf.DUMMYFUNCTION("""COMPUTED_VALUE"""),140500.0)</f>
        <v>140500</v>
      </c>
      <c r="E2092" s="1">
        <f>IFERROR(__xludf.DUMMYFUNCTION("""COMPUTED_VALUE"""),142500.0)</f>
        <v>142500</v>
      </c>
      <c r="F2092" s="1">
        <f>IFERROR(__xludf.DUMMYFUNCTION("""COMPUTED_VALUE"""),368133.0)</f>
        <v>368133</v>
      </c>
    </row>
    <row r="2093">
      <c r="A2093" s="2">
        <f>IFERROR(__xludf.DUMMYFUNCTION("""COMPUTED_VALUE"""),43689.64583333333)</f>
        <v>43689.64583</v>
      </c>
      <c r="B2093" s="1">
        <f>IFERROR(__xludf.DUMMYFUNCTION("""COMPUTED_VALUE"""),142500.0)</f>
        <v>142500</v>
      </c>
      <c r="C2093" s="1">
        <f>IFERROR(__xludf.DUMMYFUNCTION("""COMPUTED_VALUE"""),144500.0)</f>
        <v>144500</v>
      </c>
      <c r="D2093" s="1">
        <f>IFERROR(__xludf.DUMMYFUNCTION("""COMPUTED_VALUE"""),140500.0)</f>
        <v>140500</v>
      </c>
      <c r="E2093" s="1">
        <f>IFERROR(__xludf.DUMMYFUNCTION("""COMPUTED_VALUE"""),140500.0)</f>
        <v>140500</v>
      </c>
      <c r="F2093" s="1">
        <f>IFERROR(__xludf.DUMMYFUNCTION("""COMPUTED_VALUE"""),217292.0)</f>
        <v>217292</v>
      </c>
    </row>
    <row r="2094">
      <c r="A2094" s="2">
        <f>IFERROR(__xludf.DUMMYFUNCTION("""COMPUTED_VALUE"""),43690.64583333333)</f>
        <v>43690.64583</v>
      </c>
      <c r="B2094" s="1">
        <f>IFERROR(__xludf.DUMMYFUNCTION("""COMPUTED_VALUE"""),139000.0)</f>
        <v>139000</v>
      </c>
      <c r="C2094" s="1">
        <f>IFERROR(__xludf.DUMMYFUNCTION("""COMPUTED_VALUE"""),144500.0)</f>
        <v>144500</v>
      </c>
      <c r="D2094" s="1">
        <f>IFERROR(__xludf.DUMMYFUNCTION("""COMPUTED_VALUE"""),138500.0)</f>
        <v>138500</v>
      </c>
      <c r="E2094" s="1">
        <f>IFERROR(__xludf.DUMMYFUNCTION("""COMPUTED_VALUE"""),142500.0)</f>
        <v>142500</v>
      </c>
      <c r="F2094" s="1">
        <f>IFERROR(__xludf.DUMMYFUNCTION("""COMPUTED_VALUE"""),352863.0)</f>
        <v>352863</v>
      </c>
    </row>
    <row r="2095">
      <c r="A2095" s="2">
        <f>IFERROR(__xludf.DUMMYFUNCTION("""COMPUTED_VALUE"""),43691.64583333333)</f>
        <v>43691.64583</v>
      </c>
      <c r="B2095" s="1">
        <f>IFERROR(__xludf.DUMMYFUNCTION("""COMPUTED_VALUE"""),142500.0)</f>
        <v>142500</v>
      </c>
      <c r="C2095" s="1">
        <f>IFERROR(__xludf.DUMMYFUNCTION("""COMPUTED_VALUE"""),143000.0)</f>
        <v>143000</v>
      </c>
      <c r="D2095" s="1">
        <f>IFERROR(__xludf.DUMMYFUNCTION("""COMPUTED_VALUE"""),138500.0)</f>
        <v>138500</v>
      </c>
      <c r="E2095" s="1">
        <f>IFERROR(__xludf.DUMMYFUNCTION("""COMPUTED_VALUE"""),139000.0)</f>
        <v>139000</v>
      </c>
      <c r="F2095" s="1">
        <f>IFERROR(__xludf.DUMMYFUNCTION("""COMPUTED_VALUE"""),433070.0)</f>
        <v>433070</v>
      </c>
    </row>
    <row r="2096">
      <c r="A2096" s="2">
        <f>IFERROR(__xludf.DUMMYFUNCTION("""COMPUTED_VALUE"""),43693.64583333333)</f>
        <v>43693.64583</v>
      </c>
      <c r="B2096" s="1">
        <f>IFERROR(__xludf.DUMMYFUNCTION("""COMPUTED_VALUE"""),138500.0)</f>
        <v>138500</v>
      </c>
      <c r="C2096" s="1">
        <f>IFERROR(__xludf.DUMMYFUNCTION("""COMPUTED_VALUE"""),140500.0)</f>
        <v>140500</v>
      </c>
      <c r="D2096" s="1">
        <f>IFERROR(__xludf.DUMMYFUNCTION("""COMPUTED_VALUE"""),137500.0)</f>
        <v>137500</v>
      </c>
      <c r="E2096" s="1">
        <f>IFERROR(__xludf.DUMMYFUNCTION("""COMPUTED_VALUE"""),139500.0)</f>
        <v>139500</v>
      </c>
      <c r="F2096" s="1">
        <f>IFERROR(__xludf.DUMMYFUNCTION("""COMPUTED_VALUE"""),351686.0)</f>
        <v>351686</v>
      </c>
    </row>
    <row r="2097">
      <c r="A2097" s="2">
        <f>IFERROR(__xludf.DUMMYFUNCTION("""COMPUTED_VALUE"""),43696.64583333333)</f>
        <v>43696.64583</v>
      </c>
      <c r="B2097" s="1">
        <f>IFERROR(__xludf.DUMMYFUNCTION("""COMPUTED_VALUE"""),139000.0)</f>
        <v>139000</v>
      </c>
      <c r="C2097" s="1">
        <f>IFERROR(__xludf.DUMMYFUNCTION("""COMPUTED_VALUE"""),141000.0)</f>
        <v>141000</v>
      </c>
      <c r="D2097" s="1">
        <f>IFERROR(__xludf.DUMMYFUNCTION("""COMPUTED_VALUE"""),138000.0)</f>
        <v>138000</v>
      </c>
      <c r="E2097" s="1">
        <f>IFERROR(__xludf.DUMMYFUNCTION("""COMPUTED_VALUE"""),139000.0)</f>
        <v>139000</v>
      </c>
      <c r="F2097" s="1">
        <f>IFERROR(__xludf.DUMMYFUNCTION("""COMPUTED_VALUE"""),487500.0)</f>
        <v>487500</v>
      </c>
    </row>
    <row r="2098">
      <c r="A2098" s="2">
        <f>IFERROR(__xludf.DUMMYFUNCTION("""COMPUTED_VALUE"""),43697.64583333333)</f>
        <v>43697.64583</v>
      </c>
      <c r="B2098" s="1">
        <f>IFERROR(__xludf.DUMMYFUNCTION("""COMPUTED_VALUE"""),139000.0)</f>
        <v>139000</v>
      </c>
      <c r="C2098" s="1">
        <f>IFERROR(__xludf.DUMMYFUNCTION("""COMPUTED_VALUE"""),145500.0)</f>
        <v>145500</v>
      </c>
      <c r="D2098" s="1">
        <f>IFERROR(__xludf.DUMMYFUNCTION("""COMPUTED_VALUE"""),139000.0)</f>
        <v>139000</v>
      </c>
      <c r="E2098" s="1">
        <f>IFERROR(__xludf.DUMMYFUNCTION("""COMPUTED_VALUE"""),145500.0)</f>
        <v>145500</v>
      </c>
      <c r="F2098" s="1">
        <f>IFERROR(__xludf.DUMMYFUNCTION("""COMPUTED_VALUE"""),556246.0)</f>
        <v>556246</v>
      </c>
    </row>
    <row r="2099">
      <c r="A2099" s="2">
        <f>IFERROR(__xludf.DUMMYFUNCTION("""COMPUTED_VALUE"""),43698.64583333333)</f>
        <v>43698.64583</v>
      </c>
      <c r="B2099" s="1">
        <f>IFERROR(__xludf.DUMMYFUNCTION("""COMPUTED_VALUE"""),144500.0)</f>
        <v>144500</v>
      </c>
      <c r="C2099" s="1">
        <f>IFERROR(__xludf.DUMMYFUNCTION("""COMPUTED_VALUE"""),148500.0)</f>
        <v>148500</v>
      </c>
      <c r="D2099" s="1">
        <f>IFERROR(__xludf.DUMMYFUNCTION("""COMPUTED_VALUE"""),142500.0)</f>
        <v>142500</v>
      </c>
      <c r="E2099" s="1">
        <f>IFERROR(__xludf.DUMMYFUNCTION("""COMPUTED_VALUE"""),147500.0)</f>
        <v>147500</v>
      </c>
      <c r="F2099" s="1">
        <f>IFERROR(__xludf.DUMMYFUNCTION("""COMPUTED_VALUE"""),514109.0)</f>
        <v>514109</v>
      </c>
    </row>
    <row r="2100">
      <c r="A2100" s="2">
        <f>IFERROR(__xludf.DUMMYFUNCTION("""COMPUTED_VALUE"""),43699.64583333333)</f>
        <v>43699.64583</v>
      </c>
      <c r="B2100" s="1">
        <f>IFERROR(__xludf.DUMMYFUNCTION("""COMPUTED_VALUE"""),148000.0)</f>
        <v>148000</v>
      </c>
      <c r="C2100" s="1">
        <f>IFERROR(__xludf.DUMMYFUNCTION("""COMPUTED_VALUE"""),150500.0)</f>
        <v>150500</v>
      </c>
      <c r="D2100" s="1">
        <f>IFERROR(__xludf.DUMMYFUNCTION("""COMPUTED_VALUE"""),147500.0)</f>
        <v>147500</v>
      </c>
      <c r="E2100" s="1">
        <f>IFERROR(__xludf.DUMMYFUNCTION("""COMPUTED_VALUE"""),148000.0)</f>
        <v>148000</v>
      </c>
      <c r="F2100" s="1">
        <f>IFERROR(__xludf.DUMMYFUNCTION("""COMPUTED_VALUE"""),499537.0)</f>
        <v>499537</v>
      </c>
    </row>
    <row r="2101">
      <c r="A2101" s="2">
        <f>IFERROR(__xludf.DUMMYFUNCTION("""COMPUTED_VALUE"""),43700.64583333333)</f>
        <v>43700.64583</v>
      </c>
      <c r="B2101" s="1">
        <f>IFERROR(__xludf.DUMMYFUNCTION("""COMPUTED_VALUE"""),149000.0)</f>
        <v>149000</v>
      </c>
      <c r="C2101" s="1">
        <f>IFERROR(__xludf.DUMMYFUNCTION("""COMPUTED_VALUE"""),149000.0)</f>
        <v>149000</v>
      </c>
      <c r="D2101" s="1">
        <f>IFERROR(__xludf.DUMMYFUNCTION("""COMPUTED_VALUE"""),145500.0)</f>
        <v>145500</v>
      </c>
      <c r="E2101" s="1">
        <f>IFERROR(__xludf.DUMMYFUNCTION("""COMPUTED_VALUE"""),148500.0)</f>
        <v>148500</v>
      </c>
      <c r="F2101" s="1">
        <f>IFERROR(__xludf.DUMMYFUNCTION("""COMPUTED_VALUE"""),491690.0)</f>
        <v>491690</v>
      </c>
    </row>
    <row r="2102">
      <c r="A2102" s="2">
        <f>IFERROR(__xludf.DUMMYFUNCTION("""COMPUTED_VALUE"""),43703.64583333333)</f>
        <v>43703.64583</v>
      </c>
      <c r="B2102" s="1">
        <f>IFERROR(__xludf.DUMMYFUNCTION("""COMPUTED_VALUE"""),145500.0)</f>
        <v>145500</v>
      </c>
      <c r="C2102" s="1">
        <f>IFERROR(__xludf.DUMMYFUNCTION("""COMPUTED_VALUE"""),147000.0)</f>
        <v>147000</v>
      </c>
      <c r="D2102" s="1">
        <f>IFERROR(__xludf.DUMMYFUNCTION("""COMPUTED_VALUE"""),143000.0)</f>
        <v>143000</v>
      </c>
      <c r="E2102" s="1">
        <f>IFERROR(__xludf.DUMMYFUNCTION("""COMPUTED_VALUE"""),143500.0)</f>
        <v>143500</v>
      </c>
      <c r="F2102" s="1">
        <f>IFERROR(__xludf.DUMMYFUNCTION("""COMPUTED_VALUE"""),423695.0)</f>
        <v>423695</v>
      </c>
    </row>
    <row r="2103">
      <c r="A2103" s="2">
        <f>IFERROR(__xludf.DUMMYFUNCTION("""COMPUTED_VALUE"""),43704.64583333333)</f>
        <v>43704.64583</v>
      </c>
      <c r="B2103" s="1">
        <f>IFERROR(__xludf.DUMMYFUNCTION("""COMPUTED_VALUE"""),144000.0)</f>
        <v>144000</v>
      </c>
      <c r="C2103" s="1">
        <f>IFERROR(__xludf.DUMMYFUNCTION("""COMPUTED_VALUE"""),147500.0)</f>
        <v>147500</v>
      </c>
      <c r="D2103" s="1">
        <f>IFERROR(__xludf.DUMMYFUNCTION("""COMPUTED_VALUE"""),141500.0)</f>
        <v>141500</v>
      </c>
      <c r="E2103" s="1">
        <f>IFERROR(__xludf.DUMMYFUNCTION("""COMPUTED_VALUE"""),146500.0)</f>
        <v>146500</v>
      </c>
      <c r="F2103" s="1">
        <f>IFERROR(__xludf.DUMMYFUNCTION("""COMPUTED_VALUE"""),904199.0)</f>
        <v>904199</v>
      </c>
    </row>
    <row r="2104">
      <c r="A2104" s="2">
        <f>IFERROR(__xludf.DUMMYFUNCTION("""COMPUTED_VALUE"""),43705.64583333333)</f>
        <v>43705.64583</v>
      </c>
      <c r="B2104" s="1">
        <f>IFERROR(__xludf.DUMMYFUNCTION("""COMPUTED_VALUE"""),146500.0)</f>
        <v>146500</v>
      </c>
      <c r="C2104" s="1">
        <f>IFERROR(__xludf.DUMMYFUNCTION("""COMPUTED_VALUE"""),147500.0)</f>
        <v>147500</v>
      </c>
      <c r="D2104" s="1">
        <f>IFERROR(__xludf.DUMMYFUNCTION("""COMPUTED_VALUE"""),144500.0)</f>
        <v>144500</v>
      </c>
      <c r="E2104" s="1">
        <f>IFERROR(__xludf.DUMMYFUNCTION("""COMPUTED_VALUE"""),146500.0)</f>
        <v>146500</v>
      </c>
      <c r="F2104" s="1">
        <f>IFERROR(__xludf.DUMMYFUNCTION("""COMPUTED_VALUE"""),309159.0)</f>
        <v>309159</v>
      </c>
    </row>
    <row r="2105">
      <c r="A2105" s="2">
        <f>IFERROR(__xludf.DUMMYFUNCTION("""COMPUTED_VALUE"""),43706.64583333333)</f>
        <v>43706.64583</v>
      </c>
      <c r="B2105" s="1">
        <f>IFERROR(__xludf.DUMMYFUNCTION("""COMPUTED_VALUE"""),146500.0)</f>
        <v>146500</v>
      </c>
      <c r="C2105" s="1">
        <f>IFERROR(__xludf.DUMMYFUNCTION("""COMPUTED_VALUE"""),146500.0)</f>
        <v>146500</v>
      </c>
      <c r="D2105" s="1">
        <f>IFERROR(__xludf.DUMMYFUNCTION("""COMPUTED_VALUE"""),143500.0)</f>
        <v>143500</v>
      </c>
      <c r="E2105" s="1">
        <f>IFERROR(__xludf.DUMMYFUNCTION("""COMPUTED_VALUE"""),145000.0)</f>
        <v>145000</v>
      </c>
      <c r="F2105" s="1">
        <f>IFERROR(__xludf.DUMMYFUNCTION("""COMPUTED_VALUE"""),408164.0)</f>
        <v>408164</v>
      </c>
    </row>
    <row r="2106">
      <c r="A2106" s="2">
        <f>IFERROR(__xludf.DUMMYFUNCTION("""COMPUTED_VALUE"""),43707.64583333333)</f>
        <v>43707.64583</v>
      </c>
      <c r="B2106" s="1">
        <f>IFERROR(__xludf.DUMMYFUNCTION("""COMPUTED_VALUE"""),146000.0)</f>
        <v>146000</v>
      </c>
      <c r="C2106" s="1">
        <f>IFERROR(__xludf.DUMMYFUNCTION("""COMPUTED_VALUE"""),149000.0)</f>
        <v>149000</v>
      </c>
      <c r="D2106" s="1">
        <f>IFERROR(__xludf.DUMMYFUNCTION("""COMPUTED_VALUE"""),144500.0)</f>
        <v>144500</v>
      </c>
      <c r="E2106" s="1">
        <f>IFERROR(__xludf.DUMMYFUNCTION("""COMPUTED_VALUE"""),146500.0)</f>
        <v>146500</v>
      </c>
      <c r="F2106" s="1">
        <f>IFERROR(__xludf.DUMMYFUNCTION("""COMPUTED_VALUE"""),424498.0)</f>
        <v>424498</v>
      </c>
    </row>
    <row r="2107">
      <c r="A2107" s="2">
        <f>IFERROR(__xludf.DUMMYFUNCTION("""COMPUTED_VALUE"""),43710.64583333333)</f>
        <v>43710.64583</v>
      </c>
      <c r="B2107" s="1">
        <f>IFERROR(__xludf.DUMMYFUNCTION("""COMPUTED_VALUE"""),156000.0)</f>
        <v>156000</v>
      </c>
      <c r="C2107" s="1">
        <f>IFERROR(__xludf.DUMMYFUNCTION("""COMPUTED_VALUE"""),156000.0)</f>
        <v>156000</v>
      </c>
      <c r="D2107" s="1">
        <f>IFERROR(__xludf.DUMMYFUNCTION("""COMPUTED_VALUE"""),147500.0)</f>
        <v>147500</v>
      </c>
      <c r="E2107" s="1">
        <f>IFERROR(__xludf.DUMMYFUNCTION("""COMPUTED_VALUE"""),150000.0)</f>
        <v>150000</v>
      </c>
      <c r="F2107" s="1">
        <f>IFERROR(__xludf.DUMMYFUNCTION("""COMPUTED_VALUE"""),371788.0)</f>
        <v>371788</v>
      </c>
    </row>
    <row r="2108">
      <c r="A2108" s="2">
        <f>IFERROR(__xludf.DUMMYFUNCTION("""COMPUTED_VALUE"""),43711.64583333333)</f>
        <v>43711.64583</v>
      </c>
      <c r="B2108" s="1">
        <f>IFERROR(__xludf.DUMMYFUNCTION("""COMPUTED_VALUE"""),151500.0)</f>
        <v>151500</v>
      </c>
      <c r="C2108" s="1">
        <f>IFERROR(__xludf.DUMMYFUNCTION("""COMPUTED_VALUE"""),151500.0)</f>
        <v>151500</v>
      </c>
      <c r="D2108" s="1">
        <f>IFERROR(__xludf.DUMMYFUNCTION("""COMPUTED_VALUE"""),149000.0)</f>
        <v>149000</v>
      </c>
      <c r="E2108" s="1">
        <f>IFERROR(__xludf.DUMMYFUNCTION("""COMPUTED_VALUE"""),150500.0)</f>
        <v>150500</v>
      </c>
      <c r="F2108" s="1">
        <f>IFERROR(__xludf.DUMMYFUNCTION("""COMPUTED_VALUE"""),308863.0)</f>
        <v>308863</v>
      </c>
    </row>
    <row r="2109">
      <c r="A2109" s="2">
        <f>IFERROR(__xludf.DUMMYFUNCTION("""COMPUTED_VALUE"""),43712.64583333333)</f>
        <v>43712.64583</v>
      </c>
      <c r="B2109" s="1">
        <f>IFERROR(__xludf.DUMMYFUNCTION("""COMPUTED_VALUE"""),149500.0)</f>
        <v>149500</v>
      </c>
      <c r="C2109" s="1">
        <f>IFERROR(__xludf.DUMMYFUNCTION("""COMPUTED_VALUE"""),151000.0)</f>
        <v>151000</v>
      </c>
      <c r="D2109" s="1">
        <f>IFERROR(__xludf.DUMMYFUNCTION("""COMPUTED_VALUE"""),149000.0)</f>
        <v>149000</v>
      </c>
      <c r="E2109" s="1">
        <f>IFERROR(__xludf.DUMMYFUNCTION("""COMPUTED_VALUE"""),151000.0)</f>
        <v>151000</v>
      </c>
      <c r="F2109" s="1">
        <f>IFERROR(__xludf.DUMMYFUNCTION("""COMPUTED_VALUE"""),351494.0)</f>
        <v>351494</v>
      </c>
    </row>
    <row r="2110">
      <c r="A2110" s="2">
        <f>IFERROR(__xludf.DUMMYFUNCTION("""COMPUTED_VALUE"""),43713.64583333333)</f>
        <v>43713.64583</v>
      </c>
      <c r="B2110" s="1">
        <f>IFERROR(__xludf.DUMMYFUNCTION("""COMPUTED_VALUE"""),150000.0)</f>
        <v>150000</v>
      </c>
      <c r="C2110" s="1">
        <f>IFERROR(__xludf.DUMMYFUNCTION("""COMPUTED_VALUE"""),151000.0)</f>
        <v>151000</v>
      </c>
      <c r="D2110" s="1">
        <f>IFERROR(__xludf.DUMMYFUNCTION("""COMPUTED_VALUE"""),145000.0)</f>
        <v>145000</v>
      </c>
      <c r="E2110" s="1">
        <f>IFERROR(__xludf.DUMMYFUNCTION("""COMPUTED_VALUE"""),147000.0)</f>
        <v>147000</v>
      </c>
      <c r="F2110" s="1">
        <f>IFERROR(__xludf.DUMMYFUNCTION("""COMPUTED_VALUE"""),548033.0)</f>
        <v>548033</v>
      </c>
    </row>
    <row r="2111">
      <c r="A2111" s="2">
        <f>IFERROR(__xludf.DUMMYFUNCTION("""COMPUTED_VALUE"""),43714.64583333333)</f>
        <v>43714.64583</v>
      </c>
      <c r="B2111" s="1">
        <f>IFERROR(__xludf.DUMMYFUNCTION("""COMPUTED_VALUE"""),146000.0)</f>
        <v>146000</v>
      </c>
      <c r="C2111" s="1">
        <f>IFERROR(__xludf.DUMMYFUNCTION("""COMPUTED_VALUE"""),150000.0)</f>
        <v>150000</v>
      </c>
      <c r="D2111" s="1">
        <f>IFERROR(__xludf.DUMMYFUNCTION("""COMPUTED_VALUE"""),145500.0)</f>
        <v>145500</v>
      </c>
      <c r="E2111" s="1">
        <f>IFERROR(__xludf.DUMMYFUNCTION("""COMPUTED_VALUE"""),149500.0)</f>
        <v>149500</v>
      </c>
      <c r="F2111" s="1">
        <f>IFERROR(__xludf.DUMMYFUNCTION("""COMPUTED_VALUE"""),223250.0)</f>
        <v>223250</v>
      </c>
    </row>
    <row r="2112">
      <c r="A2112" s="2">
        <f>IFERROR(__xludf.DUMMYFUNCTION("""COMPUTED_VALUE"""),43717.64583333333)</f>
        <v>43717.64583</v>
      </c>
      <c r="B2112" s="1">
        <f>IFERROR(__xludf.DUMMYFUNCTION("""COMPUTED_VALUE"""),149500.0)</f>
        <v>149500</v>
      </c>
      <c r="C2112" s="1">
        <f>IFERROR(__xludf.DUMMYFUNCTION("""COMPUTED_VALUE"""),154000.0)</f>
        <v>154000</v>
      </c>
      <c r="D2112" s="1">
        <f>IFERROR(__xludf.DUMMYFUNCTION("""COMPUTED_VALUE"""),148500.0)</f>
        <v>148500</v>
      </c>
      <c r="E2112" s="1">
        <f>IFERROR(__xludf.DUMMYFUNCTION("""COMPUTED_VALUE"""),153000.0)</f>
        <v>153000</v>
      </c>
      <c r="F2112" s="1">
        <f>IFERROR(__xludf.DUMMYFUNCTION("""COMPUTED_VALUE"""),464232.0)</f>
        <v>464232</v>
      </c>
    </row>
    <row r="2113">
      <c r="A2113" s="2">
        <f>IFERROR(__xludf.DUMMYFUNCTION("""COMPUTED_VALUE"""),43718.64583333333)</f>
        <v>43718.64583</v>
      </c>
      <c r="B2113" s="1">
        <f>IFERROR(__xludf.DUMMYFUNCTION("""COMPUTED_VALUE"""),153000.0)</f>
        <v>153000</v>
      </c>
      <c r="C2113" s="1">
        <f>IFERROR(__xludf.DUMMYFUNCTION("""COMPUTED_VALUE"""),153000.0)</f>
        <v>153000</v>
      </c>
      <c r="D2113" s="1">
        <f>IFERROR(__xludf.DUMMYFUNCTION("""COMPUTED_VALUE"""),150000.0)</f>
        <v>150000</v>
      </c>
      <c r="E2113" s="1">
        <f>IFERROR(__xludf.DUMMYFUNCTION("""COMPUTED_VALUE"""),150500.0)</f>
        <v>150500</v>
      </c>
      <c r="F2113" s="1">
        <f>IFERROR(__xludf.DUMMYFUNCTION("""COMPUTED_VALUE"""),297053.0)</f>
        <v>297053</v>
      </c>
    </row>
    <row r="2114">
      <c r="A2114" s="2">
        <f>IFERROR(__xludf.DUMMYFUNCTION("""COMPUTED_VALUE"""),43719.64583333333)</f>
        <v>43719.64583</v>
      </c>
      <c r="B2114" s="1">
        <f>IFERROR(__xludf.DUMMYFUNCTION("""COMPUTED_VALUE"""),150500.0)</f>
        <v>150500</v>
      </c>
      <c r="C2114" s="1">
        <f>IFERROR(__xludf.DUMMYFUNCTION("""COMPUTED_VALUE"""),154000.0)</f>
        <v>154000</v>
      </c>
      <c r="D2114" s="1">
        <f>IFERROR(__xludf.DUMMYFUNCTION("""COMPUTED_VALUE"""),150000.0)</f>
        <v>150000</v>
      </c>
      <c r="E2114" s="1">
        <f>IFERROR(__xludf.DUMMYFUNCTION("""COMPUTED_VALUE"""),153500.0)</f>
        <v>153500</v>
      </c>
      <c r="F2114" s="1">
        <f>IFERROR(__xludf.DUMMYFUNCTION("""COMPUTED_VALUE"""),738431.0)</f>
        <v>738431</v>
      </c>
    </row>
    <row r="2115">
      <c r="A2115" s="2">
        <f>IFERROR(__xludf.DUMMYFUNCTION("""COMPUTED_VALUE"""),43724.64583333333)</f>
        <v>43724.64583</v>
      </c>
      <c r="B2115" s="1">
        <f>IFERROR(__xludf.DUMMYFUNCTION("""COMPUTED_VALUE"""),154500.0)</f>
        <v>154500</v>
      </c>
      <c r="C2115" s="1">
        <f>IFERROR(__xludf.DUMMYFUNCTION("""COMPUTED_VALUE"""),156500.0)</f>
        <v>156500</v>
      </c>
      <c r="D2115" s="1">
        <f>IFERROR(__xludf.DUMMYFUNCTION("""COMPUTED_VALUE"""),153500.0)</f>
        <v>153500</v>
      </c>
      <c r="E2115" s="1">
        <f>IFERROR(__xludf.DUMMYFUNCTION("""COMPUTED_VALUE"""),154500.0)</f>
        <v>154500</v>
      </c>
      <c r="F2115" s="1">
        <f>IFERROR(__xludf.DUMMYFUNCTION("""COMPUTED_VALUE"""),449618.0)</f>
        <v>449618</v>
      </c>
    </row>
    <row r="2116">
      <c r="A2116" s="2">
        <f>IFERROR(__xludf.DUMMYFUNCTION("""COMPUTED_VALUE"""),43725.64583333333)</f>
        <v>43725.64583</v>
      </c>
      <c r="B2116" s="1">
        <f>IFERROR(__xludf.DUMMYFUNCTION("""COMPUTED_VALUE"""),153000.0)</f>
        <v>153000</v>
      </c>
      <c r="C2116" s="1">
        <f>IFERROR(__xludf.DUMMYFUNCTION("""COMPUTED_VALUE"""),155500.0)</f>
        <v>155500</v>
      </c>
      <c r="D2116" s="1">
        <f>IFERROR(__xludf.DUMMYFUNCTION("""COMPUTED_VALUE"""),153000.0)</f>
        <v>153000</v>
      </c>
      <c r="E2116" s="1">
        <f>IFERROR(__xludf.DUMMYFUNCTION("""COMPUTED_VALUE"""),155000.0)</f>
        <v>155000</v>
      </c>
      <c r="F2116" s="1">
        <f>IFERROR(__xludf.DUMMYFUNCTION("""COMPUTED_VALUE"""),304106.0)</f>
        <v>304106</v>
      </c>
    </row>
    <row r="2117">
      <c r="A2117" s="2">
        <f>IFERROR(__xludf.DUMMYFUNCTION("""COMPUTED_VALUE"""),43726.64583333333)</f>
        <v>43726.64583</v>
      </c>
      <c r="B2117" s="1">
        <f>IFERROR(__xludf.DUMMYFUNCTION("""COMPUTED_VALUE"""),156000.0)</f>
        <v>156000</v>
      </c>
      <c r="C2117" s="1">
        <f>IFERROR(__xludf.DUMMYFUNCTION("""COMPUTED_VALUE"""),159500.0)</f>
        <v>159500</v>
      </c>
      <c r="D2117" s="1">
        <f>IFERROR(__xludf.DUMMYFUNCTION("""COMPUTED_VALUE"""),155500.0)</f>
        <v>155500</v>
      </c>
      <c r="E2117" s="1">
        <f>IFERROR(__xludf.DUMMYFUNCTION("""COMPUTED_VALUE"""),159000.0)</f>
        <v>159000</v>
      </c>
      <c r="F2117" s="1">
        <f>IFERROR(__xludf.DUMMYFUNCTION("""COMPUTED_VALUE"""),465208.0)</f>
        <v>465208</v>
      </c>
    </row>
    <row r="2118">
      <c r="A2118" s="2">
        <f>IFERROR(__xludf.DUMMYFUNCTION("""COMPUTED_VALUE"""),43727.64583333333)</f>
        <v>43727.64583</v>
      </c>
      <c r="B2118" s="1">
        <f>IFERROR(__xludf.DUMMYFUNCTION("""COMPUTED_VALUE"""),157000.0)</f>
        <v>157000</v>
      </c>
      <c r="C2118" s="1">
        <f>IFERROR(__xludf.DUMMYFUNCTION("""COMPUTED_VALUE"""),158000.0)</f>
        <v>158000</v>
      </c>
      <c r="D2118" s="1">
        <f>IFERROR(__xludf.DUMMYFUNCTION("""COMPUTED_VALUE"""),156000.0)</f>
        <v>156000</v>
      </c>
      <c r="E2118" s="1">
        <f>IFERROR(__xludf.DUMMYFUNCTION("""COMPUTED_VALUE"""),157500.0)</f>
        <v>157500</v>
      </c>
      <c r="F2118" s="1">
        <f>IFERROR(__xludf.DUMMYFUNCTION("""COMPUTED_VALUE"""),377446.0)</f>
        <v>377446</v>
      </c>
    </row>
    <row r="2119">
      <c r="A2119" s="2">
        <f>IFERROR(__xludf.DUMMYFUNCTION("""COMPUTED_VALUE"""),43728.64583333333)</f>
        <v>43728.64583</v>
      </c>
      <c r="B2119" s="1">
        <f>IFERROR(__xludf.DUMMYFUNCTION("""COMPUTED_VALUE"""),156000.0)</f>
        <v>156000</v>
      </c>
      <c r="C2119" s="1">
        <f>IFERROR(__xludf.DUMMYFUNCTION("""COMPUTED_VALUE"""),158000.0)</f>
        <v>158000</v>
      </c>
      <c r="D2119" s="1">
        <f>IFERROR(__xludf.DUMMYFUNCTION("""COMPUTED_VALUE"""),156000.0)</f>
        <v>156000</v>
      </c>
      <c r="E2119" s="1">
        <f>IFERROR(__xludf.DUMMYFUNCTION("""COMPUTED_VALUE"""),157000.0)</f>
        <v>157000</v>
      </c>
      <c r="F2119" s="1">
        <f>IFERROR(__xludf.DUMMYFUNCTION("""COMPUTED_VALUE"""),390181.0)</f>
        <v>390181</v>
      </c>
    </row>
    <row r="2120">
      <c r="A2120" s="2">
        <f>IFERROR(__xludf.DUMMYFUNCTION("""COMPUTED_VALUE"""),43731.64583333333)</f>
        <v>43731.64583</v>
      </c>
      <c r="B2120" s="1">
        <f>IFERROR(__xludf.DUMMYFUNCTION("""COMPUTED_VALUE"""),157500.0)</f>
        <v>157500</v>
      </c>
      <c r="C2120" s="1">
        <f>IFERROR(__xludf.DUMMYFUNCTION("""COMPUTED_VALUE"""),158000.0)</f>
        <v>158000</v>
      </c>
      <c r="D2120" s="1">
        <f>IFERROR(__xludf.DUMMYFUNCTION("""COMPUTED_VALUE"""),155500.0)</f>
        <v>155500</v>
      </c>
      <c r="E2120" s="1">
        <f>IFERROR(__xludf.DUMMYFUNCTION("""COMPUTED_VALUE"""),157000.0)</f>
        <v>157000</v>
      </c>
      <c r="F2120" s="1">
        <f>IFERROR(__xludf.DUMMYFUNCTION("""COMPUTED_VALUE"""),204570.0)</f>
        <v>204570</v>
      </c>
    </row>
    <row r="2121">
      <c r="A2121" s="2">
        <f>IFERROR(__xludf.DUMMYFUNCTION("""COMPUTED_VALUE"""),43732.64583333333)</f>
        <v>43732.64583</v>
      </c>
      <c r="B2121" s="1">
        <f>IFERROR(__xludf.DUMMYFUNCTION("""COMPUTED_VALUE"""),157000.0)</f>
        <v>157000</v>
      </c>
      <c r="C2121" s="1">
        <f>IFERROR(__xludf.DUMMYFUNCTION("""COMPUTED_VALUE"""),158500.0)</f>
        <v>158500</v>
      </c>
      <c r="D2121" s="1">
        <f>IFERROR(__xludf.DUMMYFUNCTION("""COMPUTED_VALUE"""),155500.0)</f>
        <v>155500</v>
      </c>
      <c r="E2121" s="1">
        <f>IFERROR(__xludf.DUMMYFUNCTION("""COMPUTED_VALUE"""),158000.0)</f>
        <v>158000</v>
      </c>
      <c r="F2121" s="1">
        <f>IFERROR(__xludf.DUMMYFUNCTION("""COMPUTED_VALUE"""),195994.0)</f>
        <v>195994</v>
      </c>
    </row>
    <row r="2122">
      <c r="A2122" s="2">
        <f>IFERROR(__xludf.DUMMYFUNCTION("""COMPUTED_VALUE"""),43733.64583333333)</f>
        <v>43733.64583</v>
      </c>
      <c r="B2122" s="1">
        <f>IFERROR(__xludf.DUMMYFUNCTION("""COMPUTED_VALUE"""),155500.0)</f>
        <v>155500</v>
      </c>
      <c r="C2122" s="1">
        <f>IFERROR(__xludf.DUMMYFUNCTION("""COMPUTED_VALUE"""),159000.0)</f>
        <v>159000</v>
      </c>
      <c r="D2122" s="1">
        <f>IFERROR(__xludf.DUMMYFUNCTION("""COMPUTED_VALUE"""),155500.0)</f>
        <v>155500</v>
      </c>
      <c r="E2122" s="1">
        <f>IFERROR(__xludf.DUMMYFUNCTION("""COMPUTED_VALUE"""),158000.0)</f>
        <v>158000</v>
      </c>
      <c r="F2122" s="1">
        <f>IFERROR(__xludf.DUMMYFUNCTION("""COMPUTED_VALUE"""),274586.0)</f>
        <v>274586</v>
      </c>
    </row>
    <row r="2123">
      <c r="A2123" s="2">
        <f>IFERROR(__xludf.DUMMYFUNCTION("""COMPUTED_VALUE"""),43734.64583333333)</f>
        <v>43734.64583</v>
      </c>
      <c r="B2123" s="1">
        <f>IFERROR(__xludf.DUMMYFUNCTION("""COMPUTED_VALUE"""),157500.0)</f>
        <v>157500</v>
      </c>
      <c r="C2123" s="1">
        <f>IFERROR(__xludf.DUMMYFUNCTION("""COMPUTED_VALUE"""),159000.0)</f>
        <v>159000</v>
      </c>
      <c r="D2123" s="1">
        <f>IFERROR(__xludf.DUMMYFUNCTION("""COMPUTED_VALUE"""),156500.0)</f>
        <v>156500</v>
      </c>
      <c r="E2123" s="1">
        <f>IFERROR(__xludf.DUMMYFUNCTION("""COMPUTED_VALUE"""),158000.0)</f>
        <v>158000</v>
      </c>
      <c r="F2123" s="1">
        <f>IFERROR(__xludf.DUMMYFUNCTION("""COMPUTED_VALUE"""),313084.0)</f>
        <v>313084</v>
      </c>
    </row>
    <row r="2124">
      <c r="A2124" s="2">
        <f>IFERROR(__xludf.DUMMYFUNCTION("""COMPUTED_VALUE"""),43735.64583333333)</f>
        <v>43735.64583</v>
      </c>
      <c r="B2124" s="1">
        <f>IFERROR(__xludf.DUMMYFUNCTION("""COMPUTED_VALUE"""),158500.0)</f>
        <v>158500</v>
      </c>
      <c r="C2124" s="1">
        <f>IFERROR(__xludf.DUMMYFUNCTION("""COMPUTED_VALUE"""),158500.0)</f>
        <v>158500</v>
      </c>
      <c r="D2124" s="1">
        <f>IFERROR(__xludf.DUMMYFUNCTION("""COMPUTED_VALUE"""),154500.0)</f>
        <v>154500</v>
      </c>
      <c r="E2124" s="1">
        <f>IFERROR(__xludf.DUMMYFUNCTION("""COMPUTED_VALUE"""),156000.0)</f>
        <v>156000</v>
      </c>
      <c r="F2124" s="1">
        <f>IFERROR(__xludf.DUMMYFUNCTION("""COMPUTED_VALUE"""),241249.0)</f>
        <v>241249</v>
      </c>
    </row>
    <row r="2125">
      <c r="A2125" s="2">
        <f>IFERROR(__xludf.DUMMYFUNCTION("""COMPUTED_VALUE"""),43738.64583333333)</f>
        <v>43738.64583</v>
      </c>
      <c r="B2125" s="1">
        <f>IFERROR(__xludf.DUMMYFUNCTION("""COMPUTED_VALUE"""),155000.0)</f>
        <v>155000</v>
      </c>
      <c r="C2125" s="1">
        <f>IFERROR(__xludf.DUMMYFUNCTION("""COMPUTED_VALUE"""),157500.0)</f>
        <v>157500</v>
      </c>
      <c r="D2125" s="1">
        <f>IFERROR(__xludf.DUMMYFUNCTION("""COMPUTED_VALUE"""),154500.0)</f>
        <v>154500</v>
      </c>
      <c r="E2125" s="1">
        <f>IFERROR(__xludf.DUMMYFUNCTION("""COMPUTED_VALUE"""),157000.0)</f>
        <v>157000</v>
      </c>
      <c r="F2125" s="1">
        <f>IFERROR(__xludf.DUMMYFUNCTION("""COMPUTED_VALUE"""),313910.0)</f>
        <v>313910</v>
      </c>
    </row>
    <row r="2126">
      <c r="A2126" s="2">
        <f>IFERROR(__xludf.DUMMYFUNCTION("""COMPUTED_VALUE"""),43739.64583333333)</f>
        <v>43739.64583</v>
      </c>
      <c r="B2126" s="1">
        <f>IFERROR(__xludf.DUMMYFUNCTION("""COMPUTED_VALUE"""),157500.0)</f>
        <v>157500</v>
      </c>
      <c r="C2126" s="1">
        <f>IFERROR(__xludf.DUMMYFUNCTION("""COMPUTED_VALUE"""),160000.0)</f>
        <v>160000</v>
      </c>
      <c r="D2126" s="1">
        <f>IFERROR(__xludf.DUMMYFUNCTION("""COMPUTED_VALUE"""),157000.0)</f>
        <v>157000</v>
      </c>
      <c r="E2126" s="1">
        <f>IFERROR(__xludf.DUMMYFUNCTION("""COMPUTED_VALUE"""),160000.0)</f>
        <v>160000</v>
      </c>
      <c r="F2126" s="1">
        <f>IFERROR(__xludf.DUMMYFUNCTION("""COMPUTED_VALUE"""),260668.0)</f>
        <v>260668</v>
      </c>
    </row>
    <row r="2127">
      <c r="A2127" s="2">
        <f>IFERROR(__xludf.DUMMYFUNCTION("""COMPUTED_VALUE"""),43740.64583333333)</f>
        <v>43740.64583</v>
      </c>
      <c r="B2127" s="1">
        <f>IFERROR(__xludf.DUMMYFUNCTION("""COMPUTED_VALUE"""),159000.0)</f>
        <v>159000</v>
      </c>
      <c r="C2127" s="1">
        <f>IFERROR(__xludf.DUMMYFUNCTION("""COMPUTED_VALUE"""),160000.0)</f>
        <v>160000</v>
      </c>
      <c r="D2127" s="1">
        <f>IFERROR(__xludf.DUMMYFUNCTION("""COMPUTED_VALUE"""),156500.0)</f>
        <v>156500</v>
      </c>
      <c r="E2127" s="1">
        <f>IFERROR(__xludf.DUMMYFUNCTION("""COMPUTED_VALUE"""),157000.0)</f>
        <v>157000</v>
      </c>
      <c r="F2127" s="1">
        <f>IFERROR(__xludf.DUMMYFUNCTION("""COMPUTED_VALUE"""),203708.0)</f>
        <v>203708</v>
      </c>
    </row>
    <row r="2128">
      <c r="A2128" s="2">
        <f>IFERROR(__xludf.DUMMYFUNCTION("""COMPUTED_VALUE"""),43742.64583333333)</f>
        <v>43742.64583</v>
      </c>
      <c r="B2128" s="1">
        <f>IFERROR(__xludf.DUMMYFUNCTION("""COMPUTED_VALUE"""),155500.0)</f>
        <v>155500</v>
      </c>
      <c r="C2128" s="1">
        <f>IFERROR(__xludf.DUMMYFUNCTION("""COMPUTED_VALUE"""),159000.0)</f>
        <v>159000</v>
      </c>
      <c r="D2128" s="1">
        <f>IFERROR(__xludf.DUMMYFUNCTION("""COMPUTED_VALUE"""),148500.0)</f>
        <v>148500</v>
      </c>
      <c r="E2128" s="1">
        <f>IFERROR(__xludf.DUMMYFUNCTION("""COMPUTED_VALUE"""),150500.0)</f>
        <v>150500</v>
      </c>
      <c r="F2128" s="1">
        <f>IFERROR(__xludf.DUMMYFUNCTION("""COMPUTED_VALUE"""),602642.0)</f>
        <v>602642</v>
      </c>
    </row>
    <row r="2129">
      <c r="A2129" s="2">
        <f>IFERROR(__xludf.DUMMYFUNCTION("""COMPUTED_VALUE"""),43745.64583333333)</f>
        <v>43745.64583</v>
      </c>
      <c r="B2129" s="1">
        <f>IFERROR(__xludf.DUMMYFUNCTION("""COMPUTED_VALUE"""),150500.0)</f>
        <v>150500</v>
      </c>
      <c r="C2129" s="1">
        <f>IFERROR(__xludf.DUMMYFUNCTION("""COMPUTED_VALUE"""),153500.0)</f>
        <v>153500</v>
      </c>
      <c r="D2129" s="1">
        <f>IFERROR(__xludf.DUMMYFUNCTION("""COMPUTED_VALUE"""),150000.0)</f>
        <v>150000</v>
      </c>
      <c r="E2129" s="1">
        <f>IFERROR(__xludf.DUMMYFUNCTION("""COMPUTED_VALUE"""),153000.0)</f>
        <v>153000</v>
      </c>
      <c r="F2129" s="1">
        <f>IFERROR(__xludf.DUMMYFUNCTION("""COMPUTED_VALUE"""),387749.0)</f>
        <v>387749</v>
      </c>
    </row>
    <row r="2130">
      <c r="A2130" s="2">
        <f>IFERROR(__xludf.DUMMYFUNCTION("""COMPUTED_VALUE"""),43746.64583333333)</f>
        <v>43746.64583</v>
      </c>
      <c r="B2130" s="1">
        <f>IFERROR(__xludf.DUMMYFUNCTION("""COMPUTED_VALUE"""),154500.0)</f>
        <v>154500</v>
      </c>
      <c r="C2130" s="1">
        <f>IFERROR(__xludf.DUMMYFUNCTION("""COMPUTED_VALUE"""),154500.0)</f>
        <v>154500</v>
      </c>
      <c r="D2130" s="1">
        <f>IFERROR(__xludf.DUMMYFUNCTION("""COMPUTED_VALUE"""),151500.0)</f>
        <v>151500</v>
      </c>
      <c r="E2130" s="1">
        <f>IFERROR(__xludf.DUMMYFUNCTION("""COMPUTED_VALUE"""),153500.0)</f>
        <v>153500</v>
      </c>
      <c r="F2130" s="1">
        <f>IFERROR(__xludf.DUMMYFUNCTION("""COMPUTED_VALUE"""),250805.0)</f>
        <v>250805</v>
      </c>
    </row>
    <row r="2131">
      <c r="A2131" s="2">
        <f>IFERROR(__xludf.DUMMYFUNCTION("""COMPUTED_VALUE"""),43748.64583333333)</f>
        <v>43748.64583</v>
      </c>
      <c r="B2131" s="1">
        <f>IFERROR(__xludf.DUMMYFUNCTION("""COMPUTED_VALUE"""),151500.0)</f>
        <v>151500</v>
      </c>
      <c r="C2131" s="1">
        <f>IFERROR(__xludf.DUMMYFUNCTION("""COMPUTED_VALUE"""),155500.0)</f>
        <v>155500</v>
      </c>
      <c r="D2131" s="1">
        <f>IFERROR(__xludf.DUMMYFUNCTION("""COMPUTED_VALUE"""),150500.0)</f>
        <v>150500</v>
      </c>
      <c r="E2131" s="1">
        <f>IFERROR(__xludf.DUMMYFUNCTION("""COMPUTED_VALUE"""),153500.0)</f>
        <v>153500</v>
      </c>
      <c r="F2131" s="1">
        <f>IFERROR(__xludf.DUMMYFUNCTION("""COMPUTED_VALUE"""),404228.0)</f>
        <v>404228</v>
      </c>
    </row>
    <row r="2132">
      <c r="A2132" s="2">
        <f>IFERROR(__xludf.DUMMYFUNCTION("""COMPUTED_VALUE"""),43749.64583333333)</f>
        <v>43749.64583</v>
      </c>
      <c r="B2132" s="1">
        <f>IFERROR(__xludf.DUMMYFUNCTION("""COMPUTED_VALUE"""),156500.0)</f>
        <v>156500</v>
      </c>
      <c r="C2132" s="1">
        <f>IFERROR(__xludf.DUMMYFUNCTION("""COMPUTED_VALUE"""),157000.0)</f>
        <v>157000</v>
      </c>
      <c r="D2132" s="1">
        <f>IFERROR(__xludf.DUMMYFUNCTION("""COMPUTED_VALUE"""),153500.0)</f>
        <v>153500</v>
      </c>
      <c r="E2132" s="1">
        <f>IFERROR(__xludf.DUMMYFUNCTION("""COMPUTED_VALUE"""),156000.0)</f>
        <v>156000</v>
      </c>
      <c r="F2132" s="1">
        <f>IFERROR(__xludf.DUMMYFUNCTION("""COMPUTED_VALUE"""),216730.0)</f>
        <v>216730</v>
      </c>
    </row>
    <row r="2133">
      <c r="A2133" s="2">
        <f>IFERROR(__xludf.DUMMYFUNCTION("""COMPUTED_VALUE"""),43752.64583333333)</f>
        <v>43752.64583</v>
      </c>
      <c r="B2133" s="1">
        <f>IFERROR(__xludf.DUMMYFUNCTION("""COMPUTED_VALUE"""),156000.0)</f>
        <v>156000</v>
      </c>
      <c r="C2133" s="1">
        <f>IFERROR(__xludf.DUMMYFUNCTION("""COMPUTED_VALUE"""),156500.0)</f>
        <v>156500</v>
      </c>
      <c r="D2133" s="1">
        <f>IFERROR(__xludf.DUMMYFUNCTION("""COMPUTED_VALUE"""),153500.0)</f>
        <v>153500</v>
      </c>
      <c r="E2133" s="1">
        <f>IFERROR(__xludf.DUMMYFUNCTION("""COMPUTED_VALUE"""),156000.0)</f>
        <v>156000</v>
      </c>
      <c r="F2133" s="1">
        <f>IFERROR(__xludf.DUMMYFUNCTION("""COMPUTED_VALUE"""),246407.0)</f>
        <v>246407</v>
      </c>
    </row>
    <row r="2134">
      <c r="A2134" s="2">
        <f>IFERROR(__xludf.DUMMYFUNCTION("""COMPUTED_VALUE"""),43753.64583333333)</f>
        <v>43753.64583</v>
      </c>
      <c r="B2134" s="1">
        <f>IFERROR(__xludf.DUMMYFUNCTION("""COMPUTED_VALUE"""),156500.0)</f>
        <v>156500</v>
      </c>
      <c r="C2134" s="1">
        <f>IFERROR(__xludf.DUMMYFUNCTION("""COMPUTED_VALUE"""),156500.0)</f>
        <v>156500</v>
      </c>
      <c r="D2134" s="1">
        <f>IFERROR(__xludf.DUMMYFUNCTION("""COMPUTED_VALUE"""),150500.0)</f>
        <v>150500</v>
      </c>
      <c r="E2134" s="1">
        <f>IFERROR(__xludf.DUMMYFUNCTION("""COMPUTED_VALUE"""),151500.0)</f>
        <v>151500</v>
      </c>
      <c r="F2134" s="1">
        <f>IFERROR(__xludf.DUMMYFUNCTION("""COMPUTED_VALUE"""),297569.0)</f>
        <v>297569</v>
      </c>
    </row>
    <row r="2135">
      <c r="A2135" s="2">
        <f>IFERROR(__xludf.DUMMYFUNCTION("""COMPUTED_VALUE"""),43754.64583333333)</f>
        <v>43754.64583</v>
      </c>
      <c r="B2135" s="1">
        <f>IFERROR(__xludf.DUMMYFUNCTION("""COMPUTED_VALUE"""),151500.0)</f>
        <v>151500</v>
      </c>
      <c r="C2135" s="1">
        <f>IFERROR(__xludf.DUMMYFUNCTION("""COMPUTED_VALUE"""),155000.0)</f>
        <v>155000</v>
      </c>
      <c r="D2135" s="1">
        <f>IFERROR(__xludf.DUMMYFUNCTION("""COMPUTED_VALUE"""),151000.0)</f>
        <v>151000</v>
      </c>
      <c r="E2135" s="1">
        <f>IFERROR(__xludf.DUMMYFUNCTION("""COMPUTED_VALUE"""),154500.0)</f>
        <v>154500</v>
      </c>
      <c r="F2135" s="1">
        <f>IFERROR(__xludf.DUMMYFUNCTION("""COMPUTED_VALUE"""),280882.0)</f>
        <v>280882</v>
      </c>
    </row>
    <row r="2136">
      <c r="A2136" s="2">
        <f>IFERROR(__xludf.DUMMYFUNCTION("""COMPUTED_VALUE"""),43755.64583333333)</f>
        <v>43755.64583</v>
      </c>
      <c r="B2136" s="1">
        <f>IFERROR(__xludf.DUMMYFUNCTION("""COMPUTED_VALUE"""),155000.0)</f>
        <v>155000</v>
      </c>
      <c r="C2136" s="1">
        <f>IFERROR(__xludf.DUMMYFUNCTION("""COMPUTED_VALUE"""),156500.0)</f>
        <v>156500</v>
      </c>
      <c r="D2136" s="1">
        <f>IFERROR(__xludf.DUMMYFUNCTION("""COMPUTED_VALUE"""),152000.0)</f>
        <v>152000</v>
      </c>
      <c r="E2136" s="1">
        <f>IFERROR(__xludf.DUMMYFUNCTION("""COMPUTED_VALUE"""),153000.0)</f>
        <v>153000</v>
      </c>
      <c r="F2136" s="1">
        <f>IFERROR(__xludf.DUMMYFUNCTION("""COMPUTED_VALUE"""),280276.0)</f>
        <v>280276</v>
      </c>
    </row>
    <row r="2137">
      <c r="A2137" s="2">
        <f>IFERROR(__xludf.DUMMYFUNCTION("""COMPUTED_VALUE"""),43756.64583333333)</f>
        <v>43756.64583</v>
      </c>
      <c r="B2137" s="1">
        <f>IFERROR(__xludf.DUMMYFUNCTION("""COMPUTED_VALUE"""),151500.0)</f>
        <v>151500</v>
      </c>
      <c r="C2137" s="1">
        <f>IFERROR(__xludf.DUMMYFUNCTION("""COMPUTED_VALUE"""),153500.0)</f>
        <v>153500</v>
      </c>
      <c r="D2137" s="1">
        <f>IFERROR(__xludf.DUMMYFUNCTION("""COMPUTED_VALUE"""),150000.0)</f>
        <v>150000</v>
      </c>
      <c r="E2137" s="1">
        <f>IFERROR(__xludf.DUMMYFUNCTION("""COMPUTED_VALUE"""),150500.0)</f>
        <v>150500</v>
      </c>
      <c r="F2137" s="1">
        <f>IFERROR(__xludf.DUMMYFUNCTION("""COMPUTED_VALUE"""),245740.0)</f>
        <v>245740</v>
      </c>
    </row>
    <row r="2138">
      <c r="A2138" s="2">
        <f>IFERROR(__xludf.DUMMYFUNCTION("""COMPUTED_VALUE"""),43759.64583333333)</f>
        <v>43759.64583</v>
      </c>
      <c r="B2138" s="1">
        <f>IFERROR(__xludf.DUMMYFUNCTION("""COMPUTED_VALUE"""),151500.0)</f>
        <v>151500</v>
      </c>
      <c r="C2138" s="1">
        <f>IFERROR(__xludf.DUMMYFUNCTION("""COMPUTED_VALUE"""),153500.0)</f>
        <v>153500</v>
      </c>
      <c r="D2138" s="1">
        <f>IFERROR(__xludf.DUMMYFUNCTION("""COMPUTED_VALUE"""),149000.0)</f>
        <v>149000</v>
      </c>
      <c r="E2138" s="1">
        <f>IFERROR(__xludf.DUMMYFUNCTION("""COMPUTED_VALUE"""),152000.0)</f>
        <v>152000</v>
      </c>
      <c r="F2138" s="1">
        <f>IFERROR(__xludf.DUMMYFUNCTION("""COMPUTED_VALUE"""),245735.0)</f>
        <v>245735</v>
      </c>
    </row>
    <row r="2139">
      <c r="A2139" s="2">
        <f>IFERROR(__xludf.DUMMYFUNCTION("""COMPUTED_VALUE"""),43760.64583333333)</f>
        <v>43760.64583</v>
      </c>
      <c r="B2139" s="1">
        <f>IFERROR(__xludf.DUMMYFUNCTION("""COMPUTED_VALUE"""),150500.0)</f>
        <v>150500</v>
      </c>
      <c r="C2139" s="1">
        <f>IFERROR(__xludf.DUMMYFUNCTION("""COMPUTED_VALUE"""),154500.0)</f>
        <v>154500</v>
      </c>
      <c r="D2139" s="1">
        <f>IFERROR(__xludf.DUMMYFUNCTION("""COMPUTED_VALUE"""),150500.0)</f>
        <v>150500</v>
      </c>
      <c r="E2139" s="1">
        <f>IFERROR(__xludf.DUMMYFUNCTION("""COMPUTED_VALUE"""),154000.0)</f>
        <v>154000</v>
      </c>
      <c r="F2139" s="1">
        <f>IFERROR(__xludf.DUMMYFUNCTION("""COMPUTED_VALUE"""),360102.0)</f>
        <v>360102</v>
      </c>
    </row>
    <row r="2140">
      <c r="A2140" s="2">
        <f>IFERROR(__xludf.DUMMYFUNCTION("""COMPUTED_VALUE"""),43761.64583333333)</f>
        <v>43761.64583</v>
      </c>
      <c r="B2140" s="1">
        <f>IFERROR(__xludf.DUMMYFUNCTION("""COMPUTED_VALUE"""),152000.0)</f>
        <v>152000</v>
      </c>
      <c r="C2140" s="1">
        <f>IFERROR(__xludf.DUMMYFUNCTION("""COMPUTED_VALUE"""),153500.0)</f>
        <v>153500</v>
      </c>
      <c r="D2140" s="1">
        <f>IFERROR(__xludf.DUMMYFUNCTION("""COMPUTED_VALUE"""),151500.0)</f>
        <v>151500</v>
      </c>
      <c r="E2140" s="1">
        <f>IFERROR(__xludf.DUMMYFUNCTION("""COMPUTED_VALUE"""),152500.0)</f>
        <v>152500</v>
      </c>
      <c r="F2140" s="1">
        <f>IFERROR(__xludf.DUMMYFUNCTION("""COMPUTED_VALUE"""),226744.0)</f>
        <v>226744</v>
      </c>
    </row>
    <row r="2141">
      <c r="A2141" s="2">
        <f>IFERROR(__xludf.DUMMYFUNCTION("""COMPUTED_VALUE"""),43762.64583333333)</f>
        <v>43762.64583</v>
      </c>
      <c r="B2141" s="1">
        <f>IFERROR(__xludf.DUMMYFUNCTION("""COMPUTED_VALUE"""),151500.0)</f>
        <v>151500</v>
      </c>
      <c r="C2141" s="1">
        <f>IFERROR(__xludf.DUMMYFUNCTION("""COMPUTED_VALUE"""),153000.0)</f>
        <v>153000</v>
      </c>
      <c r="D2141" s="1">
        <f>IFERROR(__xludf.DUMMYFUNCTION("""COMPUTED_VALUE"""),150500.0)</f>
        <v>150500</v>
      </c>
      <c r="E2141" s="1">
        <f>IFERROR(__xludf.DUMMYFUNCTION("""COMPUTED_VALUE"""),153000.0)</f>
        <v>153000</v>
      </c>
      <c r="F2141" s="1">
        <f>IFERROR(__xludf.DUMMYFUNCTION("""COMPUTED_VALUE"""),224666.0)</f>
        <v>224666</v>
      </c>
    </row>
    <row r="2142">
      <c r="A2142" s="2">
        <f>IFERROR(__xludf.DUMMYFUNCTION("""COMPUTED_VALUE"""),43763.64583333333)</f>
        <v>43763.64583</v>
      </c>
      <c r="B2142" s="1">
        <f>IFERROR(__xludf.DUMMYFUNCTION("""COMPUTED_VALUE"""),151000.0)</f>
        <v>151000</v>
      </c>
      <c r="C2142" s="1">
        <f>IFERROR(__xludf.DUMMYFUNCTION("""COMPUTED_VALUE"""),153500.0)</f>
        <v>153500</v>
      </c>
      <c r="D2142" s="1">
        <f>IFERROR(__xludf.DUMMYFUNCTION("""COMPUTED_VALUE"""),151000.0)</f>
        <v>151000</v>
      </c>
      <c r="E2142" s="1">
        <f>IFERROR(__xludf.DUMMYFUNCTION("""COMPUTED_VALUE"""),152500.0)</f>
        <v>152500</v>
      </c>
      <c r="F2142" s="1">
        <f>IFERROR(__xludf.DUMMYFUNCTION("""COMPUTED_VALUE"""),162510.0)</f>
        <v>162510</v>
      </c>
    </row>
    <row r="2143">
      <c r="A2143" s="2">
        <f>IFERROR(__xludf.DUMMYFUNCTION("""COMPUTED_VALUE"""),43766.64583333333)</f>
        <v>43766.64583</v>
      </c>
      <c r="B2143" s="1">
        <f>IFERROR(__xludf.DUMMYFUNCTION("""COMPUTED_VALUE"""),152500.0)</f>
        <v>152500</v>
      </c>
      <c r="C2143" s="1">
        <f>IFERROR(__xludf.DUMMYFUNCTION("""COMPUTED_VALUE"""),158000.0)</f>
        <v>158000</v>
      </c>
      <c r="D2143" s="1">
        <f>IFERROR(__xludf.DUMMYFUNCTION("""COMPUTED_VALUE"""),152500.0)</f>
        <v>152500</v>
      </c>
      <c r="E2143" s="1">
        <f>IFERROR(__xludf.DUMMYFUNCTION("""COMPUTED_VALUE"""),157000.0)</f>
        <v>157000</v>
      </c>
      <c r="F2143" s="1">
        <f>IFERROR(__xludf.DUMMYFUNCTION("""COMPUTED_VALUE"""),335238.0)</f>
        <v>335238</v>
      </c>
    </row>
    <row r="2144">
      <c r="A2144" s="2">
        <f>IFERROR(__xludf.DUMMYFUNCTION("""COMPUTED_VALUE"""),43767.64583333333)</f>
        <v>43767.64583</v>
      </c>
      <c r="B2144" s="1">
        <f>IFERROR(__xludf.DUMMYFUNCTION("""COMPUTED_VALUE"""),157500.0)</f>
        <v>157500</v>
      </c>
      <c r="C2144" s="1">
        <f>IFERROR(__xludf.DUMMYFUNCTION("""COMPUTED_VALUE"""),158000.0)</f>
        <v>158000</v>
      </c>
      <c r="D2144" s="1">
        <f>IFERROR(__xludf.DUMMYFUNCTION("""COMPUTED_VALUE"""),152000.0)</f>
        <v>152000</v>
      </c>
      <c r="E2144" s="1">
        <f>IFERROR(__xludf.DUMMYFUNCTION("""COMPUTED_VALUE"""),153000.0)</f>
        <v>153000</v>
      </c>
      <c r="F2144" s="1">
        <f>IFERROR(__xludf.DUMMYFUNCTION("""COMPUTED_VALUE"""),321007.0)</f>
        <v>321007</v>
      </c>
    </row>
    <row r="2145">
      <c r="A2145" s="2">
        <f>IFERROR(__xludf.DUMMYFUNCTION("""COMPUTED_VALUE"""),43768.64583333333)</f>
        <v>43768.64583</v>
      </c>
      <c r="B2145" s="1">
        <f>IFERROR(__xludf.DUMMYFUNCTION("""COMPUTED_VALUE"""),152000.0)</f>
        <v>152000</v>
      </c>
      <c r="C2145" s="1">
        <f>IFERROR(__xludf.DUMMYFUNCTION("""COMPUTED_VALUE"""),154500.0)</f>
        <v>154500</v>
      </c>
      <c r="D2145" s="1">
        <f>IFERROR(__xludf.DUMMYFUNCTION("""COMPUTED_VALUE"""),151500.0)</f>
        <v>151500</v>
      </c>
      <c r="E2145" s="1">
        <f>IFERROR(__xludf.DUMMYFUNCTION("""COMPUTED_VALUE"""),154500.0)</f>
        <v>154500</v>
      </c>
      <c r="F2145" s="1">
        <f>IFERROR(__xludf.DUMMYFUNCTION("""COMPUTED_VALUE"""),290658.0)</f>
        <v>290658</v>
      </c>
    </row>
    <row r="2146">
      <c r="A2146" s="2">
        <f>IFERROR(__xludf.DUMMYFUNCTION("""COMPUTED_VALUE"""),43769.64583333333)</f>
        <v>43769.64583</v>
      </c>
      <c r="B2146" s="1">
        <f>IFERROR(__xludf.DUMMYFUNCTION("""COMPUTED_VALUE"""),159000.0)</f>
        <v>159000</v>
      </c>
      <c r="C2146" s="1">
        <f>IFERROR(__xludf.DUMMYFUNCTION("""COMPUTED_VALUE"""),167000.0)</f>
        <v>167000</v>
      </c>
      <c r="D2146" s="1">
        <f>IFERROR(__xludf.DUMMYFUNCTION("""COMPUTED_VALUE"""),157500.0)</f>
        <v>157500</v>
      </c>
      <c r="E2146" s="1">
        <f>IFERROR(__xludf.DUMMYFUNCTION("""COMPUTED_VALUE"""),164000.0)</f>
        <v>164000</v>
      </c>
      <c r="F2146" s="1">
        <f>IFERROR(__xludf.DUMMYFUNCTION("""COMPUTED_VALUE"""),1409619.0)</f>
        <v>1409619</v>
      </c>
    </row>
    <row r="2147">
      <c r="A2147" s="2">
        <f>IFERROR(__xludf.DUMMYFUNCTION("""COMPUTED_VALUE"""),43770.64583333333)</f>
        <v>43770.64583</v>
      </c>
      <c r="B2147" s="1">
        <f>IFERROR(__xludf.DUMMYFUNCTION("""COMPUTED_VALUE"""),166000.0)</f>
        <v>166000</v>
      </c>
      <c r="C2147" s="1">
        <f>IFERROR(__xludf.DUMMYFUNCTION("""COMPUTED_VALUE"""),168500.0)</f>
        <v>168500</v>
      </c>
      <c r="D2147" s="1">
        <f>IFERROR(__xludf.DUMMYFUNCTION("""COMPUTED_VALUE"""),164000.0)</f>
        <v>164000</v>
      </c>
      <c r="E2147" s="1">
        <f>IFERROR(__xludf.DUMMYFUNCTION("""COMPUTED_VALUE"""),167000.0)</f>
        <v>167000</v>
      </c>
      <c r="F2147" s="1">
        <f>IFERROR(__xludf.DUMMYFUNCTION("""COMPUTED_VALUE"""),720358.0)</f>
        <v>720358</v>
      </c>
    </row>
    <row r="2148">
      <c r="A2148" s="2">
        <f>IFERROR(__xludf.DUMMYFUNCTION("""COMPUTED_VALUE"""),43773.64583333333)</f>
        <v>43773.64583</v>
      </c>
      <c r="B2148" s="1">
        <f>IFERROR(__xludf.DUMMYFUNCTION("""COMPUTED_VALUE"""),165500.0)</f>
        <v>165500</v>
      </c>
      <c r="C2148" s="1">
        <f>IFERROR(__xludf.DUMMYFUNCTION("""COMPUTED_VALUE"""),167000.0)</f>
        <v>167000</v>
      </c>
      <c r="D2148" s="1">
        <f>IFERROR(__xludf.DUMMYFUNCTION("""COMPUTED_VALUE"""),162000.0)</f>
        <v>162000</v>
      </c>
      <c r="E2148" s="1">
        <f>IFERROR(__xludf.DUMMYFUNCTION("""COMPUTED_VALUE"""),164500.0)</f>
        <v>164500</v>
      </c>
      <c r="F2148" s="1">
        <f>IFERROR(__xludf.DUMMYFUNCTION("""COMPUTED_VALUE"""),455199.0)</f>
        <v>455199</v>
      </c>
    </row>
    <row r="2149">
      <c r="A2149" s="2">
        <f>IFERROR(__xludf.DUMMYFUNCTION("""COMPUTED_VALUE"""),43774.64583333333)</f>
        <v>43774.64583</v>
      </c>
      <c r="B2149" s="1">
        <f>IFERROR(__xludf.DUMMYFUNCTION("""COMPUTED_VALUE"""),164000.0)</f>
        <v>164000</v>
      </c>
      <c r="C2149" s="1">
        <f>IFERROR(__xludf.DUMMYFUNCTION("""COMPUTED_VALUE"""),164500.0)</f>
        <v>164500</v>
      </c>
      <c r="D2149" s="1">
        <f>IFERROR(__xludf.DUMMYFUNCTION("""COMPUTED_VALUE"""),159500.0)</f>
        <v>159500</v>
      </c>
      <c r="E2149" s="1">
        <f>IFERROR(__xludf.DUMMYFUNCTION("""COMPUTED_VALUE"""),161500.0)</f>
        <v>161500</v>
      </c>
      <c r="F2149" s="1">
        <f>IFERROR(__xludf.DUMMYFUNCTION("""COMPUTED_VALUE"""),662116.0)</f>
        <v>662116</v>
      </c>
    </row>
    <row r="2150">
      <c r="A2150" s="2">
        <f>IFERROR(__xludf.DUMMYFUNCTION("""COMPUTED_VALUE"""),43775.64583333333)</f>
        <v>43775.64583</v>
      </c>
      <c r="B2150" s="1">
        <f>IFERROR(__xludf.DUMMYFUNCTION("""COMPUTED_VALUE"""),161500.0)</f>
        <v>161500</v>
      </c>
      <c r="C2150" s="1">
        <f>IFERROR(__xludf.DUMMYFUNCTION("""COMPUTED_VALUE"""),164000.0)</f>
        <v>164000</v>
      </c>
      <c r="D2150" s="1">
        <f>IFERROR(__xludf.DUMMYFUNCTION("""COMPUTED_VALUE"""),160500.0)</f>
        <v>160500</v>
      </c>
      <c r="E2150" s="1">
        <f>IFERROR(__xludf.DUMMYFUNCTION("""COMPUTED_VALUE"""),161500.0)</f>
        <v>161500</v>
      </c>
      <c r="F2150" s="1">
        <f>IFERROR(__xludf.DUMMYFUNCTION("""COMPUTED_VALUE"""),332755.0)</f>
        <v>332755</v>
      </c>
    </row>
    <row r="2151">
      <c r="A2151" s="2">
        <f>IFERROR(__xludf.DUMMYFUNCTION("""COMPUTED_VALUE"""),43776.64583333333)</f>
        <v>43776.64583</v>
      </c>
      <c r="B2151" s="1">
        <f>IFERROR(__xludf.DUMMYFUNCTION("""COMPUTED_VALUE"""),162000.0)</f>
        <v>162000</v>
      </c>
      <c r="C2151" s="1">
        <f>IFERROR(__xludf.DUMMYFUNCTION("""COMPUTED_VALUE"""),166500.0)</f>
        <v>166500</v>
      </c>
      <c r="D2151" s="1">
        <f>IFERROR(__xludf.DUMMYFUNCTION("""COMPUTED_VALUE"""),161000.0)</f>
        <v>161000</v>
      </c>
      <c r="E2151" s="1">
        <f>IFERROR(__xludf.DUMMYFUNCTION("""COMPUTED_VALUE"""),165500.0)</f>
        <v>165500</v>
      </c>
      <c r="F2151" s="1">
        <f>IFERROR(__xludf.DUMMYFUNCTION("""COMPUTED_VALUE"""),390866.0)</f>
        <v>390866</v>
      </c>
    </row>
    <row r="2152">
      <c r="A2152" s="2">
        <f>IFERROR(__xludf.DUMMYFUNCTION("""COMPUTED_VALUE"""),43777.64583333333)</f>
        <v>43777.64583</v>
      </c>
      <c r="B2152" s="1">
        <f>IFERROR(__xludf.DUMMYFUNCTION("""COMPUTED_VALUE"""),165000.0)</f>
        <v>165000</v>
      </c>
      <c r="C2152" s="1">
        <f>IFERROR(__xludf.DUMMYFUNCTION("""COMPUTED_VALUE"""),165000.0)</f>
        <v>165000</v>
      </c>
      <c r="D2152" s="1">
        <f>IFERROR(__xludf.DUMMYFUNCTION("""COMPUTED_VALUE"""),162000.0)</f>
        <v>162000</v>
      </c>
      <c r="E2152" s="1">
        <f>IFERROR(__xludf.DUMMYFUNCTION("""COMPUTED_VALUE"""),163500.0)</f>
        <v>163500</v>
      </c>
      <c r="F2152" s="1">
        <f>IFERROR(__xludf.DUMMYFUNCTION("""COMPUTED_VALUE"""),306968.0)</f>
        <v>306968</v>
      </c>
    </row>
    <row r="2153">
      <c r="A2153" s="2">
        <f>IFERROR(__xludf.DUMMYFUNCTION("""COMPUTED_VALUE"""),43780.64583333333)</f>
        <v>43780.64583</v>
      </c>
      <c r="B2153" s="1">
        <f>IFERROR(__xludf.DUMMYFUNCTION("""COMPUTED_VALUE"""),163500.0)</f>
        <v>163500</v>
      </c>
      <c r="C2153" s="1">
        <f>IFERROR(__xludf.DUMMYFUNCTION("""COMPUTED_VALUE"""),165000.0)</f>
        <v>165000</v>
      </c>
      <c r="D2153" s="1">
        <f>IFERROR(__xludf.DUMMYFUNCTION("""COMPUTED_VALUE"""),162500.0)</f>
        <v>162500</v>
      </c>
      <c r="E2153" s="1">
        <f>IFERROR(__xludf.DUMMYFUNCTION("""COMPUTED_VALUE"""),163000.0)</f>
        <v>163000</v>
      </c>
      <c r="F2153" s="1">
        <f>IFERROR(__xludf.DUMMYFUNCTION("""COMPUTED_VALUE"""),231149.0)</f>
        <v>231149</v>
      </c>
    </row>
    <row r="2154">
      <c r="A2154" s="2">
        <f>IFERROR(__xludf.DUMMYFUNCTION("""COMPUTED_VALUE"""),43781.64583333333)</f>
        <v>43781.64583</v>
      </c>
      <c r="B2154" s="1">
        <f>IFERROR(__xludf.DUMMYFUNCTION("""COMPUTED_VALUE"""),164000.0)</f>
        <v>164000</v>
      </c>
      <c r="C2154" s="1">
        <f>IFERROR(__xludf.DUMMYFUNCTION("""COMPUTED_VALUE"""),164000.0)</f>
        <v>164000</v>
      </c>
      <c r="D2154" s="1">
        <f>IFERROR(__xludf.DUMMYFUNCTION("""COMPUTED_VALUE"""),160000.0)</f>
        <v>160000</v>
      </c>
      <c r="E2154" s="1">
        <f>IFERROR(__xludf.DUMMYFUNCTION("""COMPUTED_VALUE"""),162000.0)</f>
        <v>162000</v>
      </c>
      <c r="F2154" s="1">
        <f>IFERROR(__xludf.DUMMYFUNCTION("""COMPUTED_VALUE"""),236652.0)</f>
        <v>236652</v>
      </c>
    </row>
    <row r="2155">
      <c r="A2155" s="2">
        <f>IFERROR(__xludf.DUMMYFUNCTION("""COMPUTED_VALUE"""),43782.64583333333)</f>
        <v>43782.64583</v>
      </c>
      <c r="B2155" s="1">
        <f>IFERROR(__xludf.DUMMYFUNCTION("""COMPUTED_VALUE"""),158500.0)</f>
        <v>158500</v>
      </c>
      <c r="C2155" s="1">
        <f>IFERROR(__xludf.DUMMYFUNCTION("""COMPUTED_VALUE"""),159000.0)</f>
        <v>159000</v>
      </c>
      <c r="D2155" s="1">
        <f>IFERROR(__xludf.DUMMYFUNCTION("""COMPUTED_VALUE"""),156000.0)</f>
        <v>156000</v>
      </c>
      <c r="E2155" s="1">
        <f>IFERROR(__xludf.DUMMYFUNCTION("""COMPUTED_VALUE"""),158000.0)</f>
        <v>158000</v>
      </c>
      <c r="F2155" s="1">
        <f>IFERROR(__xludf.DUMMYFUNCTION("""COMPUTED_VALUE"""),500221.0)</f>
        <v>500221</v>
      </c>
    </row>
    <row r="2156">
      <c r="A2156" s="2">
        <f>IFERROR(__xludf.DUMMYFUNCTION("""COMPUTED_VALUE"""),43783.6875)</f>
        <v>43783.6875</v>
      </c>
      <c r="B2156" s="1">
        <f>IFERROR(__xludf.DUMMYFUNCTION("""COMPUTED_VALUE"""),170000.0)</f>
        <v>170000</v>
      </c>
      <c r="C2156" s="1">
        <f>IFERROR(__xludf.DUMMYFUNCTION("""COMPUTED_VALUE"""),180000.0)</f>
        <v>180000</v>
      </c>
      <c r="D2156" s="1">
        <f>IFERROR(__xludf.DUMMYFUNCTION("""COMPUTED_VALUE"""),169500.0)</f>
        <v>169500</v>
      </c>
      <c r="E2156" s="1">
        <f>IFERROR(__xludf.DUMMYFUNCTION("""COMPUTED_VALUE"""),180000.0)</f>
        <v>180000</v>
      </c>
      <c r="F2156" s="1">
        <f>IFERROR(__xludf.DUMMYFUNCTION("""COMPUTED_VALUE"""),2042648.0)</f>
        <v>2042648</v>
      </c>
    </row>
    <row r="2157">
      <c r="A2157" s="2">
        <f>IFERROR(__xludf.DUMMYFUNCTION("""COMPUTED_VALUE"""),43784.64583333333)</f>
        <v>43784.64583</v>
      </c>
      <c r="B2157" s="1">
        <f>IFERROR(__xludf.DUMMYFUNCTION("""COMPUTED_VALUE"""),177000.0)</f>
        <v>177000</v>
      </c>
      <c r="C2157" s="1">
        <f>IFERROR(__xludf.DUMMYFUNCTION("""COMPUTED_VALUE"""),179000.0)</f>
        <v>179000</v>
      </c>
      <c r="D2157" s="1">
        <f>IFERROR(__xludf.DUMMYFUNCTION("""COMPUTED_VALUE"""),173000.0)</f>
        <v>173000</v>
      </c>
      <c r="E2157" s="1">
        <f>IFERROR(__xludf.DUMMYFUNCTION("""COMPUTED_VALUE"""),173500.0)</f>
        <v>173500</v>
      </c>
      <c r="F2157" s="1">
        <f>IFERROR(__xludf.DUMMYFUNCTION("""COMPUTED_VALUE"""),886846.0)</f>
        <v>886846</v>
      </c>
    </row>
    <row r="2158">
      <c r="A2158" s="2">
        <f>IFERROR(__xludf.DUMMYFUNCTION("""COMPUTED_VALUE"""),43787.64583333333)</f>
        <v>43787.64583</v>
      </c>
      <c r="B2158" s="1">
        <f>IFERROR(__xludf.DUMMYFUNCTION("""COMPUTED_VALUE"""),177500.0)</f>
        <v>177500</v>
      </c>
      <c r="C2158" s="1">
        <f>IFERROR(__xludf.DUMMYFUNCTION("""COMPUTED_VALUE"""),181500.0)</f>
        <v>181500</v>
      </c>
      <c r="D2158" s="1">
        <f>IFERROR(__xludf.DUMMYFUNCTION("""COMPUTED_VALUE"""),172500.0)</f>
        <v>172500</v>
      </c>
      <c r="E2158" s="1">
        <f>IFERROR(__xludf.DUMMYFUNCTION("""COMPUTED_VALUE"""),178500.0)</f>
        <v>178500</v>
      </c>
      <c r="F2158" s="1">
        <f>IFERROR(__xludf.DUMMYFUNCTION("""COMPUTED_VALUE"""),876975.0)</f>
        <v>876975</v>
      </c>
    </row>
    <row r="2159">
      <c r="A2159" s="2">
        <f>IFERROR(__xludf.DUMMYFUNCTION("""COMPUTED_VALUE"""),43788.64583333333)</f>
        <v>43788.64583</v>
      </c>
      <c r="B2159" s="1">
        <f>IFERROR(__xludf.DUMMYFUNCTION("""COMPUTED_VALUE"""),174500.0)</f>
        <v>174500</v>
      </c>
      <c r="C2159" s="1">
        <f>IFERROR(__xludf.DUMMYFUNCTION("""COMPUTED_VALUE"""),176000.0)</f>
        <v>176000</v>
      </c>
      <c r="D2159" s="1">
        <f>IFERROR(__xludf.DUMMYFUNCTION("""COMPUTED_VALUE"""),169500.0)</f>
        <v>169500</v>
      </c>
      <c r="E2159" s="1">
        <f>IFERROR(__xludf.DUMMYFUNCTION("""COMPUTED_VALUE"""),170500.0)</f>
        <v>170500</v>
      </c>
      <c r="F2159" s="1">
        <f>IFERROR(__xludf.DUMMYFUNCTION("""COMPUTED_VALUE"""),1055749.0)</f>
        <v>1055749</v>
      </c>
    </row>
    <row r="2160">
      <c r="A2160" s="2">
        <f>IFERROR(__xludf.DUMMYFUNCTION("""COMPUTED_VALUE"""),43789.64583333333)</f>
        <v>43789.64583</v>
      </c>
      <c r="B2160" s="1">
        <f>IFERROR(__xludf.DUMMYFUNCTION("""COMPUTED_VALUE"""),170500.0)</f>
        <v>170500</v>
      </c>
      <c r="C2160" s="1">
        <f>IFERROR(__xludf.DUMMYFUNCTION("""COMPUTED_VALUE"""),174000.0)</f>
        <v>174000</v>
      </c>
      <c r="D2160" s="1">
        <f>IFERROR(__xludf.DUMMYFUNCTION("""COMPUTED_VALUE"""),168000.0)</f>
        <v>168000</v>
      </c>
      <c r="E2160" s="1">
        <f>IFERROR(__xludf.DUMMYFUNCTION("""COMPUTED_VALUE"""),169500.0)</f>
        <v>169500</v>
      </c>
      <c r="F2160" s="1">
        <f>IFERROR(__xludf.DUMMYFUNCTION("""COMPUTED_VALUE"""),602206.0)</f>
        <v>602206</v>
      </c>
    </row>
    <row r="2161">
      <c r="A2161" s="2">
        <f>IFERROR(__xludf.DUMMYFUNCTION("""COMPUTED_VALUE"""),43790.64583333333)</f>
        <v>43790.64583</v>
      </c>
      <c r="B2161" s="1">
        <f>IFERROR(__xludf.DUMMYFUNCTION("""COMPUTED_VALUE"""),169000.0)</f>
        <v>169000</v>
      </c>
      <c r="C2161" s="1">
        <f>IFERROR(__xludf.DUMMYFUNCTION("""COMPUTED_VALUE"""),172500.0)</f>
        <v>172500</v>
      </c>
      <c r="D2161" s="1">
        <f>IFERROR(__xludf.DUMMYFUNCTION("""COMPUTED_VALUE"""),168000.0)</f>
        <v>168000</v>
      </c>
      <c r="E2161" s="1">
        <f>IFERROR(__xludf.DUMMYFUNCTION("""COMPUTED_VALUE"""),170000.0)</f>
        <v>170000</v>
      </c>
      <c r="F2161" s="1">
        <f>IFERROR(__xludf.DUMMYFUNCTION("""COMPUTED_VALUE"""),543754.0)</f>
        <v>543754</v>
      </c>
    </row>
    <row r="2162">
      <c r="A2162" s="2">
        <f>IFERROR(__xludf.DUMMYFUNCTION("""COMPUTED_VALUE"""),43791.64583333333)</f>
        <v>43791.64583</v>
      </c>
      <c r="B2162" s="1">
        <f>IFERROR(__xludf.DUMMYFUNCTION("""COMPUTED_VALUE"""),169500.0)</f>
        <v>169500</v>
      </c>
      <c r="C2162" s="1">
        <f>IFERROR(__xludf.DUMMYFUNCTION("""COMPUTED_VALUE"""),171000.0)</f>
        <v>171000</v>
      </c>
      <c r="D2162" s="1">
        <f>IFERROR(__xludf.DUMMYFUNCTION("""COMPUTED_VALUE"""),165500.0)</f>
        <v>165500</v>
      </c>
      <c r="E2162" s="1">
        <f>IFERROR(__xludf.DUMMYFUNCTION("""COMPUTED_VALUE"""),167500.0)</f>
        <v>167500</v>
      </c>
      <c r="F2162" s="1">
        <f>IFERROR(__xludf.DUMMYFUNCTION("""COMPUTED_VALUE"""),481529.0)</f>
        <v>481529</v>
      </c>
    </row>
    <row r="2163">
      <c r="A2163" s="2">
        <f>IFERROR(__xludf.DUMMYFUNCTION("""COMPUTED_VALUE"""),43794.64583333333)</f>
        <v>43794.64583</v>
      </c>
      <c r="B2163" s="1">
        <f>IFERROR(__xludf.DUMMYFUNCTION("""COMPUTED_VALUE"""),168000.0)</f>
        <v>168000</v>
      </c>
      <c r="C2163" s="1">
        <f>IFERROR(__xludf.DUMMYFUNCTION("""COMPUTED_VALUE"""),174500.0)</f>
        <v>174500</v>
      </c>
      <c r="D2163" s="1">
        <f>IFERROR(__xludf.DUMMYFUNCTION("""COMPUTED_VALUE"""),167000.0)</f>
        <v>167000</v>
      </c>
      <c r="E2163" s="1">
        <f>IFERROR(__xludf.DUMMYFUNCTION("""COMPUTED_VALUE"""),174000.0)</f>
        <v>174000</v>
      </c>
      <c r="F2163" s="1">
        <f>IFERROR(__xludf.DUMMYFUNCTION("""COMPUTED_VALUE"""),490795.0)</f>
        <v>490795</v>
      </c>
    </row>
    <row r="2164">
      <c r="A2164" s="2">
        <f>IFERROR(__xludf.DUMMYFUNCTION("""COMPUTED_VALUE"""),43795.64583333333)</f>
        <v>43795.64583</v>
      </c>
      <c r="B2164" s="1">
        <f>IFERROR(__xludf.DUMMYFUNCTION("""COMPUTED_VALUE"""),173500.0)</f>
        <v>173500</v>
      </c>
      <c r="C2164" s="1">
        <f>IFERROR(__xludf.DUMMYFUNCTION("""COMPUTED_VALUE"""),175500.0)</f>
        <v>175500</v>
      </c>
      <c r="D2164" s="1">
        <f>IFERROR(__xludf.DUMMYFUNCTION("""COMPUTED_VALUE"""),171500.0)</f>
        <v>171500</v>
      </c>
      <c r="E2164" s="1">
        <f>IFERROR(__xludf.DUMMYFUNCTION("""COMPUTED_VALUE"""),173000.0)</f>
        <v>173000</v>
      </c>
      <c r="F2164" s="1">
        <f>IFERROR(__xludf.DUMMYFUNCTION("""COMPUTED_VALUE"""),774461.0)</f>
        <v>774461</v>
      </c>
    </row>
    <row r="2165">
      <c r="A2165" s="2">
        <f>IFERROR(__xludf.DUMMYFUNCTION("""COMPUTED_VALUE"""),43796.64583333333)</f>
        <v>43796.64583</v>
      </c>
      <c r="B2165" s="1">
        <f>IFERROR(__xludf.DUMMYFUNCTION("""COMPUTED_VALUE"""),175000.0)</f>
        <v>175000</v>
      </c>
      <c r="C2165" s="1">
        <f>IFERROR(__xludf.DUMMYFUNCTION("""COMPUTED_VALUE"""),175500.0)</f>
        <v>175500</v>
      </c>
      <c r="D2165" s="1">
        <f>IFERROR(__xludf.DUMMYFUNCTION("""COMPUTED_VALUE"""),172000.0)</f>
        <v>172000</v>
      </c>
      <c r="E2165" s="1">
        <f>IFERROR(__xludf.DUMMYFUNCTION("""COMPUTED_VALUE"""),172500.0)</f>
        <v>172500</v>
      </c>
      <c r="F2165" s="1">
        <f>IFERROR(__xludf.DUMMYFUNCTION("""COMPUTED_VALUE"""),299949.0)</f>
        <v>299949</v>
      </c>
    </row>
    <row r="2166">
      <c r="A2166" s="2">
        <f>IFERROR(__xludf.DUMMYFUNCTION("""COMPUTED_VALUE"""),43797.64583333333)</f>
        <v>43797.64583</v>
      </c>
      <c r="B2166" s="1">
        <f>IFERROR(__xludf.DUMMYFUNCTION("""COMPUTED_VALUE"""),172500.0)</f>
        <v>172500</v>
      </c>
      <c r="C2166" s="1">
        <f>IFERROR(__xludf.DUMMYFUNCTION("""COMPUTED_VALUE"""),174500.0)</f>
        <v>174500</v>
      </c>
      <c r="D2166" s="1">
        <f>IFERROR(__xludf.DUMMYFUNCTION("""COMPUTED_VALUE"""),170000.0)</f>
        <v>170000</v>
      </c>
      <c r="E2166" s="1">
        <f>IFERROR(__xludf.DUMMYFUNCTION("""COMPUTED_VALUE"""),173000.0)</f>
        <v>173000</v>
      </c>
      <c r="F2166" s="1">
        <f>IFERROR(__xludf.DUMMYFUNCTION("""COMPUTED_VALUE"""),252885.0)</f>
        <v>252885</v>
      </c>
    </row>
    <row r="2167">
      <c r="A2167" s="2">
        <f>IFERROR(__xludf.DUMMYFUNCTION("""COMPUTED_VALUE"""),43798.64583333333)</f>
        <v>43798.64583</v>
      </c>
      <c r="B2167" s="1">
        <f>IFERROR(__xludf.DUMMYFUNCTION("""COMPUTED_VALUE"""),173000.0)</f>
        <v>173000</v>
      </c>
      <c r="C2167" s="1">
        <f>IFERROR(__xludf.DUMMYFUNCTION("""COMPUTED_VALUE"""),173500.0)</f>
        <v>173500</v>
      </c>
      <c r="D2167" s="1">
        <f>IFERROR(__xludf.DUMMYFUNCTION("""COMPUTED_VALUE"""),168500.0)</f>
        <v>168500</v>
      </c>
      <c r="E2167" s="1">
        <f>IFERROR(__xludf.DUMMYFUNCTION("""COMPUTED_VALUE"""),172000.0)</f>
        <v>172000</v>
      </c>
      <c r="F2167" s="1">
        <f>IFERROR(__xludf.DUMMYFUNCTION("""COMPUTED_VALUE"""),349615.0)</f>
        <v>349615</v>
      </c>
    </row>
    <row r="2168">
      <c r="A2168" s="2">
        <f>IFERROR(__xludf.DUMMYFUNCTION("""COMPUTED_VALUE"""),43801.64583333333)</f>
        <v>43801.64583</v>
      </c>
      <c r="B2168" s="1">
        <f>IFERROR(__xludf.DUMMYFUNCTION("""COMPUTED_VALUE"""),172500.0)</f>
        <v>172500</v>
      </c>
      <c r="C2168" s="1">
        <f>IFERROR(__xludf.DUMMYFUNCTION("""COMPUTED_VALUE"""),175000.0)</f>
        <v>175000</v>
      </c>
      <c r="D2168" s="1">
        <f>IFERROR(__xludf.DUMMYFUNCTION("""COMPUTED_VALUE"""),170000.0)</f>
        <v>170000</v>
      </c>
      <c r="E2168" s="1">
        <f>IFERROR(__xludf.DUMMYFUNCTION("""COMPUTED_VALUE"""),171500.0)</f>
        <v>171500</v>
      </c>
      <c r="F2168" s="1">
        <f>IFERROR(__xludf.DUMMYFUNCTION("""COMPUTED_VALUE"""),275601.0)</f>
        <v>275601</v>
      </c>
    </row>
    <row r="2169">
      <c r="A2169" s="2">
        <f>IFERROR(__xludf.DUMMYFUNCTION("""COMPUTED_VALUE"""),43802.64583333333)</f>
        <v>43802.64583</v>
      </c>
      <c r="B2169" s="1">
        <f>IFERROR(__xludf.DUMMYFUNCTION("""COMPUTED_VALUE"""),170500.0)</f>
        <v>170500</v>
      </c>
      <c r="C2169" s="1">
        <f>IFERROR(__xludf.DUMMYFUNCTION("""COMPUTED_VALUE"""),173500.0)</f>
        <v>173500</v>
      </c>
      <c r="D2169" s="1">
        <f>IFERROR(__xludf.DUMMYFUNCTION("""COMPUTED_VALUE"""),168500.0)</f>
        <v>168500</v>
      </c>
      <c r="E2169" s="1">
        <f>IFERROR(__xludf.DUMMYFUNCTION("""COMPUTED_VALUE"""),172000.0)</f>
        <v>172000</v>
      </c>
      <c r="F2169" s="1">
        <f>IFERROR(__xludf.DUMMYFUNCTION("""COMPUTED_VALUE"""),245675.0)</f>
        <v>245675</v>
      </c>
    </row>
    <row r="2170">
      <c r="A2170" s="2">
        <f>IFERROR(__xludf.DUMMYFUNCTION("""COMPUTED_VALUE"""),43803.64583333333)</f>
        <v>43803.64583</v>
      </c>
      <c r="B2170" s="1">
        <f>IFERROR(__xludf.DUMMYFUNCTION("""COMPUTED_VALUE"""),172000.0)</f>
        <v>172000</v>
      </c>
      <c r="C2170" s="1">
        <f>IFERROR(__xludf.DUMMYFUNCTION("""COMPUTED_VALUE"""),175500.0)</f>
        <v>175500</v>
      </c>
      <c r="D2170" s="1">
        <f>IFERROR(__xludf.DUMMYFUNCTION("""COMPUTED_VALUE"""),171000.0)</f>
        <v>171000</v>
      </c>
      <c r="E2170" s="1">
        <f>IFERROR(__xludf.DUMMYFUNCTION("""COMPUTED_VALUE"""),174500.0)</f>
        <v>174500</v>
      </c>
      <c r="F2170" s="1">
        <f>IFERROR(__xludf.DUMMYFUNCTION("""COMPUTED_VALUE"""),228851.0)</f>
        <v>228851</v>
      </c>
    </row>
    <row r="2171">
      <c r="A2171" s="2">
        <f>IFERROR(__xludf.DUMMYFUNCTION("""COMPUTED_VALUE"""),43804.64583333333)</f>
        <v>43804.64583</v>
      </c>
      <c r="B2171" s="1">
        <f>IFERROR(__xludf.DUMMYFUNCTION("""COMPUTED_VALUE"""),173000.0)</f>
        <v>173000</v>
      </c>
      <c r="C2171" s="1">
        <f>IFERROR(__xludf.DUMMYFUNCTION("""COMPUTED_VALUE"""),174000.0)</f>
        <v>174000</v>
      </c>
      <c r="D2171" s="1">
        <f>IFERROR(__xludf.DUMMYFUNCTION("""COMPUTED_VALUE"""),170000.0)</f>
        <v>170000</v>
      </c>
      <c r="E2171" s="1">
        <f>IFERROR(__xludf.DUMMYFUNCTION("""COMPUTED_VALUE"""),170500.0)</f>
        <v>170500</v>
      </c>
      <c r="F2171" s="1">
        <f>IFERROR(__xludf.DUMMYFUNCTION("""COMPUTED_VALUE"""),271499.0)</f>
        <v>271499</v>
      </c>
    </row>
    <row r="2172">
      <c r="A2172" s="2">
        <f>IFERROR(__xludf.DUMMYFUNCTION("""COMPUTED_VALUE"""),43805.64583333333)</f>
        <v>43805.64583</v>
      </c>
      <c r="B2172" s="1">
        <f>IFERROR(__xludf.DUMMYFUNCTION("""COMPUTED_VALUE"""),172000.0)</f>
        <v>172000</v>
      </c>
      <c r="C2172" s="1">
        <f>IFERROR(__xludf.DUMMYFUNCTION("""COMPUTED_VALUE"""),174500.0)</f>
        <v>174500</v>
      </c>
      <c r="D2172" s="1">
        <f>IFERROR(__xludf.DUMMYFUNCTION("""COMPUTED_VALUE"""),170500.0)</f>
        <v>170500</v>
      </c>
      <c r="E2172" s="1">
        <f>IFERROR(__xludf.DUMMYFUNCTION("""COMPUTED_VALUE"""),174000.0)</f>
        <v>174000</v>
      </c>
      <c r="F2172" s="1">
        <f>IFERROR(__xludf.DUMMYFUNCTION("""COMPUTED_VALUE"""),208849.0)</f>
        <v>208849</v>
      </c>
    </row>
    <row r="2173">
      <c r="A2173" s="2">
        <f>IFERROR(__xludf.DUMMYFUNCTION("""COMPUTED_VALUE"""),43808.64583333333)</f>
        <v>43808.64583</v>
      </c>
      <c r="B2173" s="1">
        <f>IFERROR(__xludf.DUMMYFUNCTION("""COMPUTED_VALUE"""),174000.0)</f>
        <v>174000</v>
      </c>
      <c r="C2173" s="1">
        <f>IFERROR(__xludf.DUMMYFUNCTION("""COMPUTED_VALUE"""),175500.0)</f>
        <v>175500</v>
      </c>
      <c r="D2173" s="1">
        <f>IFERROR(__xludf.DUMMYFUNCTION("""COMPUTED_VALUE"""),173000.0)</f>
        <v>173000</v>
      </c>
      <c r="E2173" s="1">
        <f>IFERROR(__xludf.DUMMYFUNCTION("""COMPUTED_VALUE"""),175000.0)</f>
        <v>175000</v>
      </c>
      <c r="F2173" s="1">
        <f>IFERROR(__xludf.DUMMYFUNCTION("""COMPUTED_VALUE"""),271990.0)</f>
        <v>271990</v>
      </c>
    </row>
    <row r="2174">
      <c r="A2174" s="2">
        <f>IFERROR(__xludf.DUMMYFUNCTION("""COMPUTED_VALUE"""),43809.64583333333)</f>
        <v>43809.64583</v>
      </c>
      <c r="B2174" s="1">
        <f>IFERROR(__xludf.DUMMYFUNCTION("""COMPUTED_VALUE"""),174500.0)</f>
        <v>174500</v>
      </c>
      <c r="C2174" s="1">
        <f>IFERROR(__xludf.DUMMYFUNCTION("""COMPUTED_VALUE"""),175500.0)</f>
        <v>175500</v>
      </c>
      <c r="D2174" s="1">
        <f>IFERROR(__xludf.DUMMYFUNCTION("""COMPUTED_VALUE"""),173000.0)</f>
        <v>173000</v>
      </c>
      <c r="E2174" s="1">
        <f>IFERROR(__xludf.DUMMYFUNCTION("""COMPUTED_VALUE"""),174500.0)</f>
        <v>174500</v>
      </c>
      <c r="F2174" s="1">
        <f>IFERROR(__xludf.DUMMYFUNCTION("""COMPUTED_VALUE"""),215711.0)</f>
        <v>215711</v>
      </c>
    </row>
    <row r="2175">
      <c r="A2175" s="2">
        <f>IFERROR(__xludf.DUMMYFUNCTION("""COMPUTED_VALUE"""),43810.64583333333)</f>
        <v>43810.64583</v>
      </c>
      <c r="B2175" s="1">
        <f>IFERROR(__xludf.DUMMYFUNCTION("""COMPUTED_VALUE"""),175000.0)</f>
        <v>175000</v>
      </c>
      <c r="C2175" s="1">
        <f>IFERROR(__xludf.DUMMYFUNCTION("""COMPUTED_VALUE"""),175500.0)</f>
        <v>175500</v>
      </c>
      <c r="D2175" s="1">
        <f>IFERROR(__xludf.DUMMYFUNCTION("""COMPUTED_VALUE"""),173500.0)</f>
        <v>173500</v>
      </c>
      <c r="E2175" s="1">
        <f>IFERROR(__xludf.DUMMYFUNCTION("""COMPUTED_VALUE"""),174000.0)</f>
        <v>174000</v>
      </c>
      <c r="F2175" s="1">
        <f>IFERROR(__xludf.DUMMYFUNCTION("""COMPUTED_VALUE"""),200711.0)</f>
        <v>200711</v>
      </c>
    </row>
    <row r="2176">
      <c r="A2176" s="2">
        <f>IFERROR(__xludf.DUMMYFUNCTION("""COMPUTED_VALUE"""),43811.64583333333)</f>
        <v>43811.64583</v>
      </c>
      <c r="B2176" s="1">
        <f>IFERROR(__xludf.DUMMYFUNCTION("""COMPUTED_VALUE"""),174500.0)</f>
        <v>174500</v>
      </c>
      <c r="C2176" s="1">
        <f>IFERROR(__xludf.DUMMYFUNCTION("""COMPUTED_VALUE"""),176500.0)</f>
        <v>176500</v>
      </c>
      <c r="D2176" s="1">
        <f>IFERROR(__xludf.DUMMYFUNCTION("""COMPUTED_VALUE"""),173000.0)</f>
        <v>173000</v>
      </c>
      <c r="E2176" s="1">
        <f>IFERROR(__xludf.DUMMYFUNCTION("""COMPUTED_VALUE"""),175500.0)</f>
        <v>175500</v>
      </c>
      <c r="F2176" s="1">
        <f>IFERROR(__xludf.DUMMYFUNCTION("""COMPUTED_VALUE"""),609714.0)</f>
        <v>609714</v>
      </c>
    </row>
    <row r="2177">
      <c r="A2177" s="2">
        <f>IFERROR(__xludf.DUMMYFUNCTION("""COMPUTED_VALUE"""),43812.64583333333)</f>
        <v>43812.64583</v>
      </c>
      <c r="B2177" s="1">
        <f>IFERROR(__xludf.DUMMYFUNCTION("""COMPUTED_VALUE"""),177500.0)</f>
        <v>177500</v>
      </c>
      <c r="C2177" s="1">
        <f>IFERROR(__xludf.DUMMYFUNCTION("""COMPUTED_VALUE"""),177500.0)</f>
        <v>177500</v>
      </c>
      <c r="D2177" s="1">
        <f>IFERROR(__xludf.DUMMYFUNCTION("""COMPUTED_VALUE"""),173000.0)</f>
        <v>173000</v>
      </c>
      <c r="E2177" s="1">
        <f>IFERROR(__xludf.DUMMYFUNCTION("""COMPUTED_VALUE"""),175500.0)</f>
        <v>175500</v>
      </c>
      <c r="F2177" s="1">
        <f>IFERROR(__xludf.DUMMYFUNCTION("""COMPUTED_VALUE"""),317833.0)</f>
        <v>317833</v>
      </c>
    </row>
    <row r="2178">
      <c r="A2178" s="2">
        <f>IFERROR(__xludf.DUMMYFUNCTION("""COMPUTED_VALUE"""),43815.64583333333)</f>
        <v>43815.64583</v>
      </c>
      <c r="B2178" s="1">
        <f>IFERROR(__xludf.DUMMYFUNCTION("""COMPUTED_VALUE"""),175000.0)</f>
        <v>175000</v>
      </c>
      <c r="C2178" s="1">
        <f>IFERROR(__xludf.DUMMYFUNCTION("""COMPUTED_VALUE"""),180000.0)</f>
        <v>180000</v>
      </c>
      <c r="D2178" s="1">
        <f>IFERROR(__xludf.DUMMYFUNCTION("""COMPUTED_VALUE"""),174000.0)</f>
        <v>174000</v>
      </c>
      <c r="E2178" s="1">
        <f>IFERROR(__xludf.DUMMYFUNCTION("""COMPUTED_VALUE"""),179500.0)</f>
        <v>179500</v>
      </c>
      <c r="F2178" s="1">
        <f>IFERROR(__xludf.DUMMYFUNCTION("""COMPUTED_VALUE"""),335819.0)</f>
        <v>335819</v>
      </c>
    </row>
    <row r="2179">
      <c r="A2179" s="2">
        <f>IFERROR(__xludf.DUMMYFUNCTION("""COMPUTED_VALUE"""),43816.64583333333)</f>
        <v>43816.64583</v>
      </c>
      <c r="B2179" s="1">
        <f>IFERROR(__xludf.DUMMYFUNCTION("""COMPUTED_VALUE"""),180000.0)</f>
        <v>180000</v>
      </c>
      <c r="C2179" s="1">
        <f>IFERROR(__xludf.DUMMYFUNCTION("""COMPUTED_VALUE"""),181000.0)</f>
        <v>181000</v>
      </c>
      <c r="D2179" s="1">
        <f>IFERROR(__xludf.DUMMYFUNCTION("""COMPUTED_VALUE"""),178000.0)</f>
        <v>178000</v>
      </c>
      <c r="E2179" s="1">
        <f>IFERROR(__xludf.DUMMYFUNCTION("""COMPUTED_VALUE"""),180500.0)</f>
        <v>180500</v>
      </c>
      <c r="F2179" s="1">
        <f>IFERROR(__xludf.DUMMYFUNCTION("""COMPUTED_VALUE"""),370752.0)</f>
        <v>370752</v>
      </c>
    </row>
    <row r="2180">
      <c r="A2180" s="2">
        <f>IFERROR(__xludf.DUMMYFUNCTION("""COMPUTED_VALUE"""),43817.64583333333)</f>
        <v>43817.64583</v>
      </c>
      <c r="B2180" s="1">
        <f>IFERROR(__xludf.DUMMYFUNCTION("""COMPUTED_VALUE"""),180000.0)</f>
        <v>180000</v>
      </c>
      <c r="C2180" s="1">
        <f>IFERROR(__xludf.DUMMYFUNCTION("""COMPUTED_VALUE"""),180000.0)</f>
        <v>180000</v>
      </c>
      <c r="D2180" s="1">
        <f>IFERROR(__xludf.DUMMYFUNCTION("""COMPUTED_VALUE"""),175000.0)</f>
        <v>175000</v>
      </c>
      <c r="E2180" s="1">
        <f>IFERROR(__xludf.DUMMYFUNCTION("""COMPUTED_VALUE"""),178500.0)</f>
        <v>178500</v>
      </c>
      <c r="F2180" s="1">
        <f>IFERROR(__xludf.DUMMYFUNCTION("""COMPUTED_VALUE"""),310567.0)</f>
        <v>310567</v>
      </c>
    </row>
    <row r="2181">
      <c r="A2181" s="2">
        <f>IFERROR(__xludf.DUMMYFUNCTION("""COMPUTED_VALUE"""),43818.64583333333)</f>
        <v>43818.64583</v>
      </c>
      <c r="B2181" s="1">
        <f>IFERROR(__xludf.DUMMYFUNCTION("""COMPUTED_VALUE"""),175000.0)</f>
        <v>175000</v>
      </c>
      <c r="C2181" s="1">
        <f>IFERROR(__xludf.DUMMYFUNCTION("""COMPUTED_VALUE"""),179500.0)</f>
        <v>179500</v>
      </c>
      <c r="D2181" s="1">
        <f>IFERROR(__xludf.DUMMYFUNCTION("""COMPUTED_VALUE"""),175000.0)</f>
        <v>175000</v>
      </c>
      <c r="E2181" s="1">
        <f>IFERROR(__xludf.DUMMYFUNCTION("""COMPUTED_VALUE"""),179000.0)</f>
        <v>179000</v>
      </c>
      <c r="F2181" s="1">
        <f>IFERROR(__xludf.DUMMYFUNCTION("""COMPUTED_VALUE"""),296857.0)</f>
        <v>296857</v>
      </c>
    </row>
    <row r="2182">
      <c r="A2182" s="2">
        <f>IFERROR(__xludf.DUMMYFUNCTION("""COMPUTED_VALUE"""),43819.64583333333)</f>
        <v>43819.64583</v>
      </c>
      <c r="B2182" s="1">
        <f>IFERROR(__xludf.DUMMYFUNCTION("""COMPUTED_VALUE"""),180000.0)</f>
        <v>180000</v>
      </c>
      <c r="C2182" s="1">
        <f>IFERROR(__xludf.DUMMYFUNCTION("""COMPUTED_VALUE"""),187000.0)</f>
        <v>187000</v>
      </c>
      <c r="D2182" s="1">
        <f>IFERROR(__xludf.DUMMYFUNCTION("""COMPUTED_VALUE"""),179500.0)</f>
        <v>179500</v>
      </c>
      <c r="E2182" s="1">
        <f>IFERROR(__xludf.DUMMYFUNCTION("""COMPUTED_VALUE"""),183500.0)</f>
        <v>183500</v>
      </c>
      <c r="F2182" s="1">
        <f>IFERROR(__xludf.DUMMYFUNCTION("""COMPUTED_VALUE"""),560761.0)</f>
        <v>560761</v>
      </c>
    </row>
    <row r="2183">
      <c r="A2183" s="2">
        <f>IFERROR(__xludf.DUMMYFUNCTION("""COMPUTED_VALUE"""),43822.64583333333)</f>
        <v>43822.64583</v>
      </c>
      <c r="B2183" s="1">
        <f>IFERROR(__xludf.DUMMYFUNCTION("""COMPUTED_VALUE"""),185000.0)</f>
        <v>185000</v>
      </c>
      <c r="C2183" s="1">
        <f>IFERROR(__xludf.DUMMYFUNCTION("""COMPUTED_VALUE"""),185500.0)</f>
        <v>185500</v>
      </c>
      <c r="D2183" s="1">
        <f>IFERROR(__xludf.DUMMYFUNCTION("""COMPUTED_VALUE"""),182000.0)</f>
        <v>182000</v>
      </c>
      <c r="E2183" s="1">
        <f>IFERROR(__xludf.DUMMYFUNCTION("""COMPUTED_VALUE"""),184000.0)</f>
        <v>184000</v>
      </c>
      <c r="F2183" s="1">
        <f>IFERROR(__xludf.DUMMYFUNCTION("""COMPUTED_VALUE"""),250256.0)</f>
        <v>250256</v>
      </c>
    </row>
    <row r="2184">
      <c r="A2184" s="2">
        <f>IFERROR(__xludf.DUMMYFUNCTION("""COMPUTED_VALUE"""),43823.64583333333)</f>
        <v>43823.64583</v>
      </c>
      <c r="B2184" s="1">
        <f>IFERROR(__xludf.DUMMYFUNCTION("""COMPUTED_VALUE"""),184000.0)</f>
        <v>184000</v>
      </c>
      <c r="C2184" s="1">
        <f>IFERROR(__xludf.DUMMYFUNCTION("""COMPUTED_VALUE"""),184000.0)</f>
        <v>184000</v>
      </c>
      <c r="D2184" s="1">
        <f>IFERROR(__xludf.DUMMYFUNCTION("""COMPUTED_VALUE"""),179000.0)</f>
        <v>179000</v>
      </c>
      <c r="E2184" s="1">
        <f>IFERROR(__xludf.DUMMYFUNCTION("""COMPUTED_VALUE"""),182000.0)</f>
        <v>182000</v>
      </c>
      <c r="F2184" s="1">
        <f>IFERROR(__xludf.DUMMYFUNCTION("""COMPUTED_VALUE"""),193440.0)</f>
        <v>193440</v>
      </c>
    </row>
    <row r="2185">
      <c r="A2185" s="2">
        <f>IFERROR(__xludf.DUMMYFUNCTION("""COMPUTED_VALUE"""),43825.64583333333)</f>
        <v>43825.64583</v>
      </c>
      <c r="B2185" s="1">
        <f>IFERROR(__xludf.DUMMYFUNCTION("""COMPUTED_VALUE"""),181500.0)</f>
        <v>181500</v>
      </c>
      <c r="C2185" s="1">
        <f>IFERROR(__xludf.DUMMYFUNCTION("""COMPUTED_VALUE"""),183000.0)</f>
        <v>183000</v>
      </c>
      <c r="D2185" s="1">
        <f>IFERROR(__xludf.DUMMYFUNCTION("""COMPUTED_VALUE"""),179000.0)</f>
        <v>179000</v>
      </c>
      <c r="E2185" s="1">
        <f>IFERROR(__xludf.DUMMYFUNCTION("""COMPUTED_VALUE"""),180500.0)</f>
        <v>180500</v>
      </c>
      <c r="F2185" s="1">
        <f>IFERROR(__xludf.DUMMYFUNCTION("""COMPUTED_VALUE"""),173426.0)</f>
        <v>173426</v>
      </c>
    </row>
    <row r="2186">
      <c r="A2186" s="2">
        <f>IFERROR(__xludf.DUMMYFUNCTION("""COMPUTED_VALUE"""),43826.64583333333)</f>
        <v>43826.64583</v>
      </c>
      <c r="B2186" s="1">
        <f>IFERROR(__xludf.DUMMYFUNCTION("""COMPUTED_VALUE"""),182000.0)</f>
        <v>182000</v>
      </c>
      <c r="C2186" s="1">
        <f>IFERROR(__xludf.DUMMYFUNCTION("""COMPUTED_VALUE"""),185000.0)</f>
        <v>185000</v>
      </c>
      <c r="D2186" s="1">
        <f>IFERROR(__xludf.DUMMYFUNCTION("""COMPUTED_VALUE"""),179000.0)</f>
        <v>179000</v>
      </c>
      <c r="E2186" s="1">
        <f>IFERROR(__xludf.DUMMYFUNCTION("""COMPUTED_VALUE"""),183500.0)</f>
        <v>183500</v>
      </c>
      <c r="F2186" s="1">
        <f>IFERROR(__xludf.DUMMYFUNCTION("""COMPUTED_VALUE"""),323473.0)</f>
        <v>323473</v>
      </c>
    </row>
    <row r="2187">
      <c r="A2187" s="2">
        <f>IFERROR(__xludf.DUMMYFUNCTION("""COMPUTED_VALUE"""),43829.64583333333)</f>
        <v>43829.64583</v>
      </c>
      <c r="B2187" s="1">
        <f>IFERROR(__xludf.DUMMYFUNCTION("""COMPUTED_VALUE"""),183500.0)</f>
        <v>183500</v>
      </c>
      <c r="C2187" s="1">
        <f>IFERROR(__xludf.DUMMYFUNCTION("""COMPUTED_VALUE"""),190000.0)</f>
        <v>190000</v>
      </c>
      <c r="D2187" s="1">
        <f>IFERROR(__xludf.DUMMYFUNCTION("""COMPUTED_VALUE"""),183500.0)</f>
        <v>183500</v>
      </c>
      <c r="E2187" s="1">
        <f>IFERROR(__xludf.DUMMYFUNCTION("""COMPUTED_VALUE"""),186500.0)</f>
        <v>186500</v>
      </c>
      <c r="F2187" s="1">
        <f>IFERROR(__xludf.DUMMYFUNCTION("""COMPUTED_VALUE"""),376541.0)</f>
        <v>376541</v>
      </c>
    </row>
    <row r="2188">
      <c r="A2188" s="2">
        <f>IFERROR(__xludf.DUMMYFUNCTION("""COMPUTED_VALUE"""),43832.64583333333)</f>
        <v>43832.64583</v>
      </c>
      <c r="B2188" s="1">
        <f>IFERROR(__xludf.DUMMYFUNCTION("""COMPUTED_VALUE"""),187500.0)</f>
        <v>187500</v>
      </c>
      <c r="C2188" s="1">
        <f>IFERROR(__xludf.DUMMYFUNCTION("""COMPUTED_VALUE"""),188000.0)</f>
        <v>188000</v>
      </c>
      <c r="D2188" s="1">
        <f>IFERROR(__xludf.DUMMYFUNCTION("""COMPUTED_VALUE"""),182000.0)</f>
        <v>182000</v>
      </c>
      <c r="E2188" s="1">
        <f>IFERROR(__xludf.DUMMYFUNCTION("""COMPUTED_VALUE"""),182500.0)</f>
        <v>182500</v>
      </c>
      <c r="F2188" s="1">
        <f>IFERROR(__xludf.DUMMYFUNCTION("""COMPUTED_VALUE"""),300640.0)</f>
        <v>300640</v>
      </c>
    </row>
    <row r="2189">
      <c r="A2189" s="2">
        <f>IFERROR(__xludf.DUMMYFUNCTION("""COMPUTED_VALUE"""),43833.64583333333)</f>
        <v>43833.64583</v>
      </c>
      <c r="B2189" s="1">
        <f>IFERROR(__xludf.DUMMYFUNCTION("""COMPUTED_VALUE"""),185000.0)</f>
        <v>185000</v>
      </c>
      <c r="C2189" s="1">
        <f>IFERROR(__xludf.DUMMYFUNCTION("""COMPUTED_VALUE"""),186000.0)</f>
        <v>186000</v>
      </c>
      <c r="D2189" s="1">
        <f>IFERROR(__xludf.DUMMYFUNCTION("""COMPUTED_VALUE"""),180500.0)</f>
        <v>180500</v>
      </c>
      <c r="E2189" s="1">
        <f>IFERROR(__xludf.DUMMYFUNCTION("""COMPUTED_VALUE"""),181500.0)</f>
        <v>181500</v>
      </c>
      <c r="F2189" s="1">
        <f>IFERROR(__xludf.DUMMYFUNCTION("""COMPUTED_VALUE"""),454492.0)</f>
        <v>454492</v>
      </c>
    </row>
    <row r="2190">
      <c r="A2190" s="2">
        <f>IFERROR(__xludf.DUMMYFUNCTION("""COMPUTED_VALUE"""),43836.64583333333)</f>
        <v>43836.64583</v>
      </c>
      <c r="B2190" s="1">
        <f>IFERROR(__xludf.DUMMYFUNCTION("""COMPUTED_VALUE"""),180000.0)</f>
        <v>180000</v>
      </c>
      <c r="C2190" s="1">
        <f>IFERROR(__xludf.DUMMYFUNCTION("""COMPUTED_VALUE"""),182000.0)</f>
        <v>182000</v>
      </c>
      <c r="D2190" s="1">
        <f>IFERROR(__xludf.DUMMYFUNCTION("""COMPUTED_VALUE"""),178000.0)</f>
        <v>178000</v>
      </c>
      <c r="E2190" s="1">
        <f>IFERROR(__xludf.DUMMYFUNCTION("""COMPUTED_VALUE"""),180500.0)</f>
        <v>180500</v>
      </c>
      <c r="F2190" s="1">
        <f>IFERROR(__xludf.DUMMYFUNCTION("""COMPUTED_VALUE"""),287970.0)</f>
        <v>287970</v>
      </c>
    </row>
    <row r="2191">
      <c r="A2191" s="2">
        <f>IFERROR(__xludf.DUMMYFUNCTION("""COMPUTED_VALUE"""),43837.64583333333)</f>
        <v>43837.64583</v>
      </c>
      <c r="B2191" s="1">
        <f>IFERROR(__xludf.DUMMYFUNCTION("""COMPUTED_VALUE"""),182500.0)</f>
        <v>182500</v>
      </c>
      <c r="C2191" s="1">
        <f>IFERROR(__xludf.DUMMYFUNCTION("""COMPUTED_VALUE"""),187000.0)</f>
        <v>187000</v>
      </c>
      <c r="D2191" s="1">
        <f>IFERROR(__xludf.DUMMYFUNCTION("""COMPUTED_VALUE"""),181500.0)</f>
        <v>181500</v>
      </c>
      <c r="E2191" s="1">
        <f>IFERROR(__xludf.DUMMYFUNCTION("""COMPUTED_VALUE"""),187000.0)</f>
        <v>187000</v>
      </c>
      <c r="F2191" s="1">
        <f>IFERROR(__xludf.DUMMYFUNCTION("""COMPUTED_VALUE"""),328624.0)</f>
        <v>328624</v>
      </c>
    </row>
    <row r="2192">
      <c r="A2192" s="2">
        <f>IFERROR(__xludf.DUMMYFUNCTION("""COMPUTED_VALUE"""),43838.64583333333)</f>
        <v>43838.64583</v>
      </c>
      <c r="B2192" s="1">
        <f>IFERROR(__xludf.DUMMYFUNCTION("""COMPUTED_VALUE"""),182000.0)</f>
        <v>182000</v>
      </c>
      <c r="C2192" s="1">
        <f>IFERROR(__xludf.DUMMYFUNCTION("""COMPUTED_VALUE"""),183500.0)</f>
        <v>183500</v>
      </c>
      <c r="D2192" s="1">
        <f>IFERROR(__xludf.DUMMYFUNCTION("""COMPUTED_VALUE"""),179000.0)</f>
        <v>179000</v>
      </c>
      <c r="E2192" s="1">
        <f>IFERROR(__xludf.DUMMYFUNCTION("""COMPUTED_VALUE"""),183000.0)</f>
        <v>183000</v>
      </c>
      <c r="F2192" s="1">
        <f>IFERROR(__xludf.DUMMYFUNCTION("""COMPUTED_VALUE"""),820867.0)</f>
        <v>820867</v>
      </c>
    </row>
    <row r="2193">
      <c r="A2193" s="2">
        <f>IFERROR(__xludf.DUMMYFUNCTION("""COMPUTED_VALUE"""),43839.64583333333)</f>
        <v>43839.64583</v>
      </c>
      <c r="B2193" s="1">
        <f>IFERROR(__xludf.DUMMYFUNCTION("""COMPUTED_VALUE"""),183500.0)</f>
        <v>183500</v>
      </c>
      <c r="C2193" s="1">
        <f>IFERROR(__xludf.DUMMYFUNCTION("""COMPUTED_VALUE"""),186500.0)</f>
        <v>186500</v>
      </c>
      <c r="D2193" s="1">
        <f>IFERROR(__xludf.DUMMYFUNCTION("""COMPUTED_VALUE"""),183500.0)</f>
        <v>183500</v>
      </c>
      <c r="E2193" s="1">
        <f>IFERROR(__xludf.DUMMYFUNCTION("""COMPUTED_VALUE"""),186000.0)</f>
        <v>186000</v>
      </c>
      <c r="F2193" s="1">
        <f>IFERROR(__xludf.DUMMYFUNCTION("""COMPUTED_VALUE"""),531355.0)</f>
        <v>531355</v>
      </c>
    </row>
    <row r="2194">
      <c r="A2194" s="2">
        <f>IFERROR(__xludf.DUMMYFUNCTION("""COMPUTED_VALUE"""),43840.64583333333)</f>
        <v>43840.64583</v>
      </c>
      <c r="B2194" s="1">
        <f>IFERROR(__xludf.DUMMYFUNCTION("""COMPUTED_VALUE"""),185000.0)</f>
        <v>185000</v>
      </c>
      <c r="C2194" s="1">
        <f>IFERROR(__xludf.DUMMYFUNCTION("""COMPUTED_VALUE"""),188000.0)</f>
        <v>188000</v>
      </c>
      <c r="D2194" s="1">
        <f>IFERROR(__xludf.DUMMYFUNCTION("""COMPUTED_VALUE"""),184000.0)</f>
        <v>184000</v>
      </c>
      <c r="E2194" s="1">
        <f>IFERROR(__xludf.DUMMYFUNCTION("""COMPUTED_VALUE"""),188000.0)</f>
        <v>188000</v>
      </c>
      <c r="F2194" s="1">
        <f>IFERROR(__xludf.DUMMYFUNCTION("""COMPUTED_VALUE"""),398739.0)</f>
        <v>398739</v>
      </c>
    </row>
    <row r="2195">
      <c r="A2195" s="2">
        <f>IFERROR(__xludf.DUMMYFUNCTION("""COMPUTED_VALUE"""),43843.64583333333)</f>
        <v>43843.64583</v>
      </c>
      <c r="B2195" s="1">
        <f>IFERROR(__xludf.DUMMYFUNCTION("""COMPUTED_VALUE"""),187500.0)</f>
        <v>187500</v>
      </c>
      <c r="C2195" s="1">
        <f>IFERROR(__xludf.DUMMYFUNCTION("""COMPUTED_VALUE"""),188500.0)</f>
        <v>188500</v>
      </c>
      <c r="D2195" s="1">
        <f>IFERROR(__xludf.DUMMYFUNCTION("""COMPUTED_VALUE"""),186000.0)</f>
        <v>186000</v>
      </c>
      <c r="E2195" s="1">
        <f>IFERROR(__xludf.DUMMYFUNCTION("""COMPUTED_VALUE"""),188000.0)</f>
        <v>188000</v>
      </c>
      <c r="F2195" s="1">
        <f>IFERROR(__xludf.DUMMYFUNCTION("""COMPUTED_VALUE"""),337749.0)</f>
        <v>337749</v>
      </c>
    </row>
    <row r="2196">
      <c r="A2196" s="2">
        <f>IFERROR(__xludf.DUMMYFUNCTION("""COMPUTED_VALUE"""),43844.64583333333)</f>
        <v>43844.64583</v>
      </c>
      <c r="B2196" s="1">
        <f>IFERROR(__xludf.DUMMYFUNCTION("""COMPUTED_VALUE"""),188000.0)</f>
        <v>188000</v>
      </c>
      <c r="C2196" s="1">
        <f>IFERROR(__xludf.DUMMYFUNCTION("""COMPUTED_VALUE"""),194500.0)</f>
        <v>194500</v>
      </c>
      <c r="D2196" s="1">
        <f>IFERROR(__xludf.DUMMYFUNCTION("""COMPUTED_VALUE"""),188000.0)</f>
        <v>188000</v>
      </c>
      <c r="E2196" s="1">
        <f>IFERROR(__xludf.DUMMYFUNCTION("""COMPUTED_VALUE"""),190500.0)</f>
        <v>190500</v>
      </c>
      <c r="F2196" s="1">
        <f>IFERROR(__xludf.DUMMYFUNCTION("""COMPUTED_VALUE"""),501286.0)</f>
        <v>501286</v>
      </c>
    </row>
    <row r="2197">
      <c r="A2197" s="2">
        <f>IFERROR(__xludf.DUMMYFUNCTION("""COMPUTED_VALUE"""),43845.64583333333)</f>
        <v>43845.64583</v>
      </c>
      <c r="B2197" s="1">
        <f>IFERROR(__xludf.DUMMYFUNCTION("""COMPUTED_VALUE"""),189500.0)</f>
        <v>189500</v>
      </c>
      <c r="C2197" s="1">
        <f>IFERROR(__xludf.DUMMYFUNCTION("""COMPUTED_VALUE"""),192000.0)</f>
        <v>192000</v>
      </c>
      <c r="D2197" s="1">
        <f>IFERROR(__xludf.DUMMYFUNCTION("""COMPUTED_VALUE"""),188500.0)</f>
        <v>188500</v>
      </c>
      <c r="E2197" s="1">
        <f>IFERROR(__xludf.DUMMYFUNCTION("""COMPUTED_VALUE"""),191500.0)</f>
        <v>191500</v>
      </c>
      <c r="F2197" s="1">
        <f>IFERROR(__xludf.DUMMYFUNCTION("""COMPUTED_VALUE"""),323778.0)</f>
        <v>323778</v>
      </c>
    </row>
    <row r="2198">
      <c r="A2198" s="2">
        <f>IFERROR(__xludf.DUMMYFUNCTION("""COMPUTED_VALUE"""),43846.64583333333)</f>
        <v>43846.64583</v>
      </c>
      <c r="B2198" s="1">
        <f>IFERROR(__xludf.DUMMYFUNCTION("""COMPUTED_VALUE"""),190000.0)</f>
        <v>190000</v>
      </c>
      <c r="C2198" s="1">
        <f>IFERROR(__xludf.DUMMYFUNCTION("""COMPUTED_VALUE"""),192500.0)</f>
        <v>192500</v>
      </c>
      <c r="D2198" s="1">
        <f>IFERROR(__xludf.DUMMYFUNCTION("""COMPUTED_VALUE"""),189000.0)</f>
        <v>189000</v>
      </c>
      <c r="E2198" s="1">
        <f>IFERROR(__xludf.DUMMYFUNCTION("""COMPUTED_VALUE"""),191500.0)</f>
        <v>191500</v>
      </c>
      <c r="F2198" s="1">
        <f>IFERROR(__xludf.DUMMYFUNCTION("""COMPUTED_VALUE"""),245107.0)</f>
        <v>245107</v>
      </c>
    </row>
    <row r="2199">
      <c r="A2199" s="2">
        <f>IFERROR(__xludf.DUMMYFUNCTION("""COMPUTED_VALUE"""),43847.64583333333)</f>
        <v>43847.64583</v>
      </c>
      <c r="B2199" s="1">
        <f>IFERROR(__xludf.DUMMYFUNCTION("""COMPUTED_VALUE"""),190500.0)</f>
        <v>190500</v>
      </c>
      <c r="C2199" s="1">
        <f>IFERROR(__xludf.DUMMYFUNCTION("""COMPUTED_VALUE"""),192500.0)</f>
        <v>192500</v>
      </c>
      <c r="D2199" s="1">
        <f>IFERROR(__xludf.DUMMYFUNCTION("""COMPUTED_VALUE"""),189500.0)</f>
        <v>189500</v>
      </c>
      <c r="E2199" s="1">
        <f>IFERROR(__xludf.DUMMYFUNCTION("""COMPUTED_VALUE"""),191000.0)</f>
        <v>191000</v>
      </c>
      <c r="F2199" s="1">
        <f>IFERROR(__xludf.DUMMYFUNCTION("""COMPUTED_VALUE"""),286019.0)</f>
        <v>286019</v>
      </c>
    </row>
    <row r="2200">
      <c r="A2200" s="2">
        <f>IFERROR(__xludf.DUMMYFUNCTION("""COMPUTED_VALUE"""),43850.64583333333)</f>
        <v>43850.64583</v>
      </c>
      <c r="B2200" s="1">
        <f>IFERROR(__xludf.DUMMYFUNCTION("""COMPUTED_VALUE"""),190000.0)</f>
        <v>190000</v>
      </c>
      <c r="C2200" s="1">
        <f>IFERROR(__xludf.DUMMYFUNCTION("""COMPUTED_VALUE"""),190500.0)</f>
        <v>190500</v>
      </c>
      <c r="D2200" s="1">
        <f>IFERROR(__xludf.DUMMYFUNCTION("""COMPUTED_VALUE"""),187000.0)</f>
        <v>187000</v>
      </c>
      <c r="E2200" s="1">
        <f>IFERROR(__xludf.DUMMYFUNCTION("""COMPUTED_VALUE"""),187500.0)</f>
        <v>187500</v>
      </c>
      <c r="F2200" s="1">
        <f>IFERROR(__xludf.DUMMYFUNCTION("""COMPUTED_VALUE"""),454733.0)</f>
        <v>454733</v>
      </c>
    </row>
    <row r="2201">
      <c r="A2201" s="2">
        <f>IFERROR(__xludf.DUMMYFUNCTION("""COMPUTED_VALUE"""),43851.64583333333)</f>
        <v>43851.64583</v>
      </c>
      <c r="B2201" s="1">
        <f>IFERROR(__xludf.DUMMYFUNCTION("""COMPUTED_VALUE"""),187500.0)</f>
        <v>187500</v>
      </c>
      <c r="C2201" s="1">
        <f>IFERROR(__xludf.DUMMYFUNCTION("""COMPUTED_VALUE"""),189500.0)</f>
        <v>189500</v>
      </c>
      <c r="D2201" s="1">
        <f>IFERROR(__xludf.DUMMYFUNCTION("""COMPUTED_VALUE"""),181000.0)</f>
        <v>181000</v>
      </c>
      <c r="E2201" s="1">
        <f>IFERROR(__xludf.DUMMYFUNCTION("""COMPUTED_VALUE"""),182000.0)</f>
        <v>182000</v>
      </c>
      <c r="F2201" s="1">
        <f>IFERROR(__xludf.DUMMYFUNCTION("""COMPUTED_VALUE"""),547678.0)</f>
        <v>547678</v>
      </c>
    </row>
    <row r="2202">
      <c r="A2202" s="2">
        <f>IFERROR(__xludf.DUMMYFUNCTION("""COMPUTED_VALUE"""),43852.64583333333)</f>
        <v>43852.64583</v>
      </c>
      <c r="B2202" s="1">
        <f>IFERROR(__xludf.DUMMYFUNCTION("""COMPUTED_VALUE"""),185000.0)</f>
        <v>185000</v>
      </c>
      <c r="C2202" s="1">
        <f>IFERROR(__xludf.DUMMYFUNCTION("""COMPUTED_VALUE"""),190000.0)</f>
        <v>190000</v>
      </c>
      <c r="D2202" s="1">
        <f>IFERROR(__xludf.DUMMYFUNCTION("""COMPUTED_VALUE"""),184500.0)</f>
        <v>184500</v>
      </c>
      <c r="E2202" s="1">
        <f>IFERROR(__xludf.DUMMYFUNCTION("""COMPUTED_VALUE"""),186000.0)</f>
        <v>186000</v>
      </c>
      <c r="F2202" s="1">
        <f>IFERROR(__xludf.DUMMYFUNCTION("""COMPUTED_VALUE"""),429852.0)</f>
        <v>429852</v>
      </c>
    </row>
    <row r="2203">
      <c r="A2203" s="2">
        <f>IFERROR(__xludf.DUMMYFUNCTION("""COMPUTED_VALUE"""),43853.64583333333)</f>
        <v>43853.64583</v>
      </c>
      <c r="B2203" s="1">
        <f>IFERROR(__xludf.DUMMYFUNCTION("""COMPUTED_VALUE"""),185000.0)</f>
        <v>185000</v>
      </c>
      <c r="C2203" s="1">
        <f>IFERROR(__xludf.DUMMYFUNCTION("""COMPUTED_VALUE"""),185500.0)</f>
        <v>185500</v>
      </c>
      <c r="D2203" s="1">
        <f>IFERROR(__xludf.DUMMYFUNCTION("""COMPUTED_VALUE"""),181500.0)</f>
        <v>181500</v>
      </c>
      <c r="E2203" s="1">
        <f>IFERROR(__xludf.DUMMYFUNCTION("""COMPUTED_VALUE"""),183000.0)</f>
        <v>183000</v>
      </c>
      <c r="F2203" s="1">
        <f>IFERROR(__xludf.DUMMYFUNCTION("""COMPUTED_VALUE"""),375929.0)</f>
        <v>375929</v>
      </c>
    </row>
    <row r="2204">
      <c r="A2204" s="2">
        <f>IFERROR(__xludf.DUMMYFUNCTION("""COMPUTED_VALUE"""),43858.64583333333)</f>
        <v>43858.64583</v>
      </c>
      <c r="B2204" s="1">
        <f>IFERROR(__xludf.DUMMYFUNCTION("""COMPUTED_VALUE"""),182000.0)</f>
        <v>182000</v>
      </c>
      <c r="C2204" s="1">
        <f>IFERROR(__xludf.DUMMYFUNCTION("""COMPUTED_VALUE"""),184500.0)</f>
        <v>184500</v>
      </c>
      <c r="D2204" s="1">
        <f>IFERROR(__xludf.DUMMYFUNCTION("""COMPUTED_VALUE"""),178000.0)</f>
        <v>178000</v>
      </c>
      <c r="E2204" s="1">
        <f>IFERROR(__xludf.DUMMYFUNCTION("""COMPUTED_VALUE"""),178500.0)</f>
        <v>178500</v>
      </c>
      <c r="F2204" s="1">
        <f>IFERROR(__xludf.DUMMYFUNCTION("""COMPUTED_VALUE"""),476253.0)</f>
        <v>476253</v>
      </c>
    </row>
    <row r="2205">
      <c r="A2205" s="2">
        <f>IFERROR(__xludf.DUMMYFUNCTION("""COMPUTED_VALUE"""),43859.64583333333)</f>
        <v>43859.64583</v>
      </c>
      <c r="B2205" s="1">
        <f>IFERROR(__xludf.DUMMYFUNCTION("""COMPUTED_VALUE"""),183000.0)</f>
        <v>183000</v>
      </c>
      <c r="C2205" s="1">
        <f>IFERROR(__xludf.DUMMYFUNCTION("""COMPUTED_VALUE"""),183500.0)</f>
        <v>183500</v>
      </c>
      <c r="D2205" s="1">
        <f>IFERROR(__xludf.DUMMYFUNCTION("""COMPUTED_VALUE"""),180000.0)</f>
        <v>180000</v>
      </c>
      <c r="E2205" s="1">
        <f>IFERROR(__xludf.DUMMYFUNCTION("""COMPUTED_VALUE"""),180000.0)</f>
        <v>180000</v>
      </c>
      <c r="F2205" s="1">
        <f>IFERROR(__xludf.DUMMYFUNCTION("""COMPUTED_VALUE"""),434897.0)</f>
        <v>434897</v>
      </c>
    </row>
    <row r="2206">
      <c r="A2206" s="2">
        <f>IFERROR(__xludf.DUMMYFUNCTION("""COMPUTED_VALUE"""),43860.64583333333)</f>
        <v>43860.64583</v>
      </c>
      <c r="B2206" s="1">
        <f>IFERROR(__xludf.DUMMYFUNCTION("""COMPUTED_VALUE"""),179500.0)</f>
        <v>179500</v>
      </c>
      <c r="C2206" s="1">
        <f>IFERROR(__xludf.DUMMYFUNCTION("""COMPUTED_VALUE"""),183000.0)</f>
        <v>183000</v>
      </c>
      <c r="D2206" s="1">
        <f>IFERROR(__xludf.DUMMYFUNCTION("""COMPUTED_VALUE"""),175000.0)</f>
        <v>175000</v>
      </c>
      <c r="E2206" s="1">
        <f>IFERROR(__xludf.DUMMYFUNCTION("""COMPUTED_VALUE"""),180000.0)</f>
        <v>180000</v>
      </c>
      <c r="F2206" s="1">
        <f>IFERROR(__xludf.DUMMYFUNCTION("""COMPUTED_VALUE"""),772160.0)</f>
        <v>772160</v>
      </c>
    </row>
    <row r="2207">
      <c r="A2207" s="2">
        <f>IFERROR(__xludf.DUMMYFUNCTION("""COMPUTED_VALUE"""),43861.64583333333)</f>
        <v>43861.64583</v>
      </c>
      <c r="B2207" s="1">
        <f>IFERROR(__xludf.DUMMYFUNCTION("""COMPUTED_VALUE"""),180000.0)</f>
        <v>180000</v>
      </c>
      <c r="C2207" s="1">
        <f>IFERROR(__xludf.DUMMYFUNCTION("""COMPUTED_VALUE"""),180500.0)</f>
        <v>180500</v>
      </c>
      <c r="D2207" s="1">
        <f>IFERROR(__xludf.DUMMYFUNCTION("""COMPUTED_VALUE"""),177500.0)</f>
        <v>177500</v>
      </c>
      <c r="E2207" s="1">
        <f>IFERROR(__xludf.DUMMYFUNCTION("""COMPUTED_VALUE"""),179500.0)</f>
        <v>179500</v>
      </c>
      <c r="F2207" s="1">
        <f>IFERROR(__xludf.DUMMYFUNCTION("""COMPUTED_VALUE"""),537062.0)</f>
        <v>537062</v>
      </c>
    </row>
    <row r="2208">
      <c r="A2208" s="2">
        <f>IFERROR(__xludf.DUMMYFUNCTION("""COMPUTED_VALUE"""),43864.64583333333)</f>
        <v>43864.64583</v>
      </c>
      <c r="B2208" s="1">
        <f>IFERROR(__xludf.DUMMYFUNCTION("""COMPUTED_VALUE"""),178000.0)</f>
        <v>178000</v>
      </c>
      <c r="C2208" s="1">
        <f>IFERROR(__xludf.DUMMYFUNCTION("""COMPUTED_VALUE"""),180500.0)</f>
        <v>180500</v>
      </c>
      <c r="D2208" s="1">
        <f>IFERROR(__xludf.DUMMYFUNCTION("""COMPUTED_VALUE"""),176000.0)</f>
        <v>176000</v>
      </c>
      <c r="E2208" s="1">
        <f>IFERROR(__xludf.DUMMYFUNCTION("""COMPUTED_VALUE"""),177500.0)</f>
        <v>177500</v>
      </c>
      <c r="F2208" s="1">
        <f>IFERROR(__xludf.DUMMYFUNCTION("""COMPUTED_VALUE"""),485913.0)</f>
        <v>485913</v>
      </c>
    </row>
    <row r="2209">
      <c r="A2209" s="2">
        <f>IFERROR(__xludf.DUMMYFUNCTION("""COMPUTED_VALUE"""),43865.64583333333)</f>
        <v>43865.64583</v>
      </c>
      <c r="B2209" s="1">
        <f>IFERROR(__xludf.DUMMYFUNCTION("""COMPUTED_VALUE"""),177500.0)</f>
        <v>177500</v>
      </c>
      <c r="C2209" s="1">
        <f>IFERROR(__xludf.DUMMYFUNCTION("""COMPUTED_VALUE"""),181500.0)</f>
        <v>181500</v>
      </c>
      <c r="D2209" s="1">
        <f>IFERROR(__xludf.DUMMYFUNCTION("""COMPUTED_VALUE"""),175000.0)</f>
        <v>175000</v>
      </c>
      <c r="E2209" s="1">
        <f>IFERROR(__xludf.DUMMYFUNCTION("""COMPUTED_VALUE"""),180500.0)</f>
        <v>180500</v>
      </c>
      <c r="F2209" s="1">
        <f>IFERROR(__xludf.DUMMYFUNCTION("""COMPUTED_VALUE"""),563463.0)</f>
        <v>563463</v>
      </c>
    </row>
    <row r="2210">
      <c r="A2210" s="2">
        <f>IFERROR(__xludf.DUMMYFUNCTION("""COMPUTED_VALUE"""),43866.64583333333)</f>
        <v>43866.64583</v>
      </c>
      <c r="B2210" s="1">
        <f>IFERROR(__xludf.DUMMYFUNCTION("""COMPUTED_VALUE"""),181000.0)</f>
        <v>181000</v>
      </c>
      <c r="C2210" s="1">
        <f>IFERROR(__xludf.DUMMYFUNCTION("""COMPUTED_VALUE"""),183500.0)</f>
        <v>183500</v>
      </c>
      <c r="D2210" s="1">
        <f>IFERROR(__xludf.DUMMYFUNCTION("""COMPUTED_VALUE"""),178500.0)</f>
        <v>178500</v>
      </c>
      <c r="E2210" s="1">
        <f>IFERROR(__xludf.DUMMYFUNCTION("""COMPUTED_VALUE"""),181500.0)</f>
        <v>181500</v>
      </c>
      <c r="F2210" s="1">
        <f>IFERROR(__xludf.DUMMYFUNCTION("""COMPUTED_VALUE"""),653809.0)</f>
        <v>653809</v>
      </c>
    </row>
    <row r="2211">
      <c r="A2211" s="2">
        <f>IFERROR(__xludf.DUMMYFUNCTION("""COMPUTED_VALUE"""),43867.64583333333)</f>
        <v>43867.64583</v>
      </c>
      <c r="B2211" s="1">
        <f>IFERROR(__xludf.DUMMYFUNCTION("""COMPUTED_VALUE"""),182500.0)</f>
        <v>182500</v>
      </c>
      <c r="C2211" s="1">
        <f>IFERROR(__xludf.DUMMYFUNCTION("""COMPUTED_VALUE"""),183500.0)</f>
        <v>183500</v>
      </c>
      <c r="D2211" s="1">
        <f>IFERROR(__xludf.DUMMYFUNCTION("""COMPUTED_VALUE"""),180500.0)</f>
        <v>180500</v>
      </c>
      <c r="E2211" s="1">
        <f>IFERROR(__xludf.DUMMYFUNCTION("""COMPUTED_VALUE"""),181500.0)</f>
        <v>181500</v>
      </c>
      <c r="F2211" s="1">
        <f>IFERROR(__xludf.DUMMYFUNCTION("""COMPUTED_VALUE"""),659850.0)</f>
        <v>659850</v>
      </c>
    </row>
    <row r="2212">
      <c r="A2212" s="2">
        <f>IFERROR(__xludf.DUMMYFUNCTION("""COMPUTED_VALUE"""),43868.64583333333)</f>
        <v>43868.64583</v>
      </c>
      <c r="B2212" s="1">
        <f>IFERROR(__xludf.DUMMYFUNCTION("""COMPUTED_VALUE"""),181500.0)</f>
        <v>181500</v>
      </c>
      <c r="C2212" s="1">
        <f>IFERROR(__xludf.DUMMYFUNCTION("""COMPUTED_VALUE"""),188500.0)</f>
        <v>188500</v>
      </c>
      <c r="D2212" s="1">
        <f>IFERROR(__xludf.DUMMYFUNCTION("""COMPUTED_VALUE"""),181000.0)</f>
        <v>181000</v>
      </c>
      <c r="E2212" s="1">
        <f>IFERROR(__xludf.DUMMYFUNCTION("""COMPUTED_VALUE"""),185000.0)</f>
        <v>185000</v>
      </c>
      <c r="F2212" s="1">
        <f>IFERROR(__xludf.DUMMYFUNCTION("""COMPUTED_VALUE"""),728633.0)</f>
        <v>728633</v>
      </c>
    </row>
    <row r="2213">
      <c r="A2213" s="2">
        <f>IFERROR(__xludf.DUMMYFUNCTION("""COMPUTED_VALUE"""),43871.64583333333)</f>
        <v>43871.64583</v>
      </c>
      <c r="B2213" s="1">
        <f>IFERROR(__xludf.DUMMYFUNCTION("""COMPUTED_VALUE"""),182500.0)</f>
        <v>182500</v>
      </c>
      <c r="C2213" s="1">
        <f>IFERROR(__xludf.DUMMYFUNCTION("""COMPUTED_VALUE"""),184000.0)</f>
        <v>184000</v>
      </c>
      <c r="D2213" s="1">
        <f>IFERROR(__xludf.DUMMYFUNCTION("""COMPUTED_VALUE"""),180500.0)</f>
        <v>180500</v>
      </c>
      <c r="E2213" s="1">
        <f>IFERROR(__xludf.DUMMYFUNCTION("""COMPUTED_VALUE"""),183500.0)</f>
        <v>183500</v>
      </c>
      <c r="F2213" s="1">
        <f>IFERROR(__xludf.DUMMYFUNCTION("""COMPUTED_VALUE"""),433051.0)</f>
        <v>433051</v>
      </c>
    </row>
    <row r="2214">
      <c r="A2214" s="2">
        <f>IFERROR(__xludf.DUMMYFUNCTION("""COMPUTED_VALUE"""),43872.64583333333)</f>
        <v>43872.64583</v>
      </c>
      <c r="B2214" s="1">
        <f>IFERROR(__xludf.DUMMYFUNCTION("""COMPUTED_VALUE"""),183500.0)</f>
        <v>183500</v>
      </c>
      <c r="C2214" s="1">
        <f>IFERROR(__xludf.DUMMYFUNCTION("""COMPUTED_VALUE"""),185000.0)</f>
        <v>185000</v>
      </c>
      <c r="D2214" s="1">
        <f>IFERROR(__xludf.DUMMYFUNCTION("""COMPUTED_VALUE"""),183000.0)</f>
        <v>183000</v>
      </c>
      <c r="E2214" s="1">
        <f>IFERROR(__xludf.DUMMYFUNCTION("""COMPUTED_VALUE"""),184500.0)</f>
        <v>184500</v>
      </c>
      <c r="F2214" s="1">
        <f>IFERROR(__xludf.DUMMYFUNCTION("""COMPUTED_VALUE"""),400386.0)</f>
        <v>400386</v>
      </c>
    </row>
    <row r="2215">
      <c r="A2215" s="2">
        <f>IFERROR(__xludf.DUMMYFUNCTION("""COMPUTED_VALUE"""),43873.64583333333)</f>
        <v>43873.64583</v>
      </c>
      <c r="B2215" s="1">
        <f>IFERROR(__xludf.DUMMYFUNCTION("""COMPUTED_VALUE"""),183000.0)</f>
        <v>183000</v>
      </c>
      <c r="C2215" s="1">
        <f>IFERROR(__xludf.DUMMYFUNCTION("""COMPUTED_VALUE"""),185000.0)</f>
        <v>185000</v>
      </c>
      <c r="D2215" s="1">
        <f>IFERROR(__xludf.DUMMYFUNCTION("""COMPUTED_VALUE"""),181500.0)</f>
        <v>181500</v>
      </c>
      <c r="E2215" s="1">
        <f>IFERROR(__xludf.DUMMYFUNCTION("""COMPUTED_VALUE"""),185000.0)</f>
        <v>185000</v>
      </c>
      <c r="F2215" s="1">
        <f>IFERROR(__xludf.DUMMYFUNCTION("""COMPUTED_VALUE"""),351892.0)</f>
        <v>351892</v>
      </c>
    </row>
    <row r="2216">
      <c r="A2216" s="2">
        <f>IFERROR(__xludf.DUMMYFUNCTION("""COMPUTED_VALUE"""),43874.64583333333)</f>
        <v>43874.64583</v>
      </c>
      <c r="B2216" s="1">
        <f>IFERROR(__xludf.DUMMYFUNCTION("""COMPUTED_VALUE"""),184000.0)</f>
        <v>184000</v>
      </c>
      <c r="C2216" s="1">
        <f>IFERROR(__xludf.DUMMYFUNCTION("""COMPUTED_VALUE"""),185000.0)</f>
        <v>185000</v>
      </c>
      <c r="D2216" s="1">
        <f>IFERROR(__xludf.DUMMYFUNCTION("""COMPUTED_VALUE"""),183000.0)</f>
        <v>183000</v>
      </c>
      <c r="E2216" s="1">
        <f>IFERROR(__xludf.DUMMYFUNCTION("""COMPUTED_VALUE"""),184500.0)</f>
        <v>184500</v>
      </c>
      <c r="F2216" s="1">
        <f>IFERROR(__xludf.DUMMYFUNCTION("""COMPUTED_VALUE"""),555923.0)</f>
        <v>555923</v>
      </c>
    </row>
    <row r="2217">
      <c r="A2217" s="2">
        <f>IFERROR(__xludf.DUMMYFUNCTION("""COMPUTED_VALUE"""),43875.64583333333)</f>
        <v>43875.64583</v>
      </c>
      <c r="B2217" s="1">
        <f>IFERROR(__xludf.DUMMYFUNCTION("""COMPUTED_VALUE"""),184000.0)</f>
        <v>184000</v>
      </c>
      <c r="C2217" s="1">
        <f>IFERROR(__xludf.DUMMYFUNCTION("""COMPUTED_VALUE"""),187500.0)</f>
        <v>187500</v>
      </c>
      <c r="D2217" s="1">
        <f>IFERROR(__xludf.DUMMYFUNCTION("""COMPUTED_VALUE"""),184000.0)</f>
        <v>184000</v>
      </c>
      <c r="E2217" s="1">
        <f>IFERROR(__xludf.DUMMYFUNCTION("""COMPUTED_VALUE"""),186500.0)</f>
        <v>186500</v>
      </c>
      <c r="F2217" s="1">
        <f>IFERROR(__xludf.DUMMYFUNCTION("""COMPUTED_VALUE"""),659429.0)</f>
        <v>659429</v>
      </c>
    </row>
    <row r="2218">
      <c r="A2218" s="2">
        <f>IFERROR(__xludf.DUMMYFUNCTION("""COMPUTED_VALUE"""),43878.64583333333)</f>
        <v>43878.64583</v>
      </c>
      <c r="B2218" s="1">
        <f>IFERROR(__xludf.DUMMYFUNCTION("""COMPUTED_VALUE"""),184500.0)</f>
        <v>184500</v>
      </c>
      <c r="C2218" s="1">
        <f>IFERROR(__xludf.DUMMYFUNCTION("""COMPUTED_VALUE"""),189000.0)</f>
        <v>189000</v>
      </c>
      <c r="D2218" s="1">
        <f>IFERROR(__xludf.DUMMYFUNCTION("""COMPUTED_VALUE"""),184500.0)</f>
        <v>184500</v>
      </c>
      <c r="E2218" s="1">
        <f>IFERROR(__xludf.DUMMYFUNCTION("""COMPUTED_VALUE"""),188500.0)</f>
        <v>188500</v>
      </c>
      <c r="F2218" s="1">
        <f>IFERROR(__xludf.DUMMYFUNCTION("""COMPUTED_VALUE"""),312407.0)</f>
        <v>312407</v>
      </c>
    </row>
    <row r="2219">
      <c r="A2219" s="2">
        <f>IFERROR(__xludf.DUMMYFUNCTION("""COMPUTED_VALUE"""),43879.64583333333)</f>
        <v>43879.64583</v>
      </c>
      <c r="B2219" s="1">
        <f>IFERROR(__xludf.DUMMYFUNCTION("""COMPUTED_VALUE"""),186500.0)</f>
        <v>186500</v>
      </c>
      <c r="C2219" s="1">
        <f>IFERROR(__xludf.DUMMYFUNCTION("""COMPUTED_VALUE"""),188500.0)</f>
        <v>188500</v>
      </c>
      <c r="D2219" s="1">
        <f>IFERROR(__xludf.DUMMYFUNCTION("""COMPUTED_VALUE"""),185500.0)</f>
        <v>185500</v>
      </c>
      <c r="E2219" s="1">
        <f>IFERROR(__xludf.DUMMYFUNCTION("""COMPUTED_VALUE"""),186500.0)</f>
        <v>186500</v>
      </c>
      <c r="F2219" s="1">
        <f>IFERROR(__xludf.DUMMYFUNCTION("""COMPUTED_VALUE"""),345642.0)</f>
        <v>345642</v>
      </c>
    </row>
    <row r="2220">
      <c r="A2220" s="2">
        <f>IFERROR(__xludf.DUMMYFUNCTION("""COMPUTED_VALUE"""),43880.64583333333)</f>
        <v>43880.64583</v>
      </c>
      <c r="B2220" s="1">
        <f>IFERROR(__xludf.DUMMYFUNCTION("""COMPUTED_VALUE"""),188000.0)</f>
        <v>188000</v>
      </c>
      <c r="C2220" s="1">
        <f>IFERROR(__xludf.DUMMYFUNCTION("""COMPUTED_VALUE"""),191000.0)</f>
        <v>191000</v>
      </c>
      <c r="D2220" s="1">
        <f>IFERROR(__xludf.DUMMYFUNCTION("""COMPUTED_VALUE"""),185000.0)</f>
        <v>185000</v>
      </c>
      <c r="E2220" s="1">
        <f>IFERROR(__xludf.DUMMYFUNCTION("""COMPUTED_VALUE"""),189500.0)</f>
        <v>189500</v>
      </c>
      <c r="F2220" s="1">
        <f>IFERROR(__xludf.DUMMYFUNCTION("""COMPUTED_VALUE"""),560743.0)</f>
        <v>560743</v>
      </c>
    </row>
    <row r="2221">
      <c r="A2221" s="2">
        <f>IFERROR(__xludf.DUMMYFUNCTION("""COMPUTED_VALUE"""),43881.64583333333)</f>
        <v>43881.64583</v>
      </c>
      <c r="B2221" s="1">
        <f>IFERROR(__xludf.DUMMYFUNCTION("""COMPUTED_VALUE"""),189500.0)</f>
        <v>189500</v>
      </c>
      <c r="C2221" s="1">
        <f>IFERROR(__xludf.DUMMYFUNCTION("""COMPUTED_VALUE"""),191500.0)</f>
        <v>191500</v>
      </c>
      <c r="D2221" s="1">
        <f>IFERROR(__xludf.DUMMYFUNCTION("""COMPUTED_VALUE"""),187500.0)</f>
        <v>187500</v>
      </c>
      <c r="E2221" s="1">
        <f>IFERROR(__xludf.DUMMYFUNCTION("""COMPUTED_VALUE"""),190000.0)</f>
        <v>190000</v>
      </c>
      <c r="F2221" s="1">
        <f>IFERROR(__xludf.DUMMYFUNCTION("""COMPUTED_VALUE"""),427402.0)</f>
        <v>427402</v>
      </c>
    </row>
    <row r="2222">
      <c r="A2222" s="2">
        <f>IFERROR(__xludf.DUMMYFUNCTION("""COMPUTED_VALUE"""),43882.64583333333)</f>
        <v>43882.64583</v>
      </c>
      <c r="B2222" s="1">
        <f>IFERROR(__xludf.DUMMYFUNCTION("""COMPUTED_VALUE"""),187500.0)</f>
        <v>187500</v>
      </c>
      <c r="C2222" s="1">
        <f>IFERROR(__xludf.DUMMYFUNCTION("""COMPUTED_VALUE"""),191000.0)</f>
        <v>191000</v>
      </c>
      <c r="D2222" s="1">
        <f>IFERROR(__xludf.DUMMYFUNCTION("""COMPUTED_VALUE"""),187000.0)</f>
        <v>187000</v>
      </c>
      <c r="E2222" s="1">
        <f>IFERROR(__xludf.DUMMYFUNCTION("""COMPUTED_VALUE"""),189500.0)</f>
        <v>189500</v>
      </c>
      <c r="F2222" s="1">
        <f>IFERROR(__xludf.DUMMYFUNCTION("""COMPUTED_VALUE"""),434019.0)</f>
        <v>434019</v>
      </c>
    </row>
    <row r="2223">
      <c r="A2223" s="2">
        <f>IFERROR(__xludf.DUMMYFUNCTION("""COMPUTED_VALUE"""),43885.64583333333)</f>
        <v>43885.64583</v>
      </c>
      <c r="B2223" s="1">
        <f>IFERROR(__xludf.DUMMYFUNCTION("""COMPUTED_VALUE"""),185500.0)</f>
        <v>185500</v>
      </c>
      <c r="C2223" s="1">
        <f>IFERROR(__xludf.DUMMYFUNCTION("""COMPUTED_VALUE"""),187500.0)</f>
        <v>187500</v>
      </c>
      <c r="D2223" s="1">
        <f>IFERROR(__xludf.DUMMYFUNCTION("""COMPUTED_VALUE"""),183500.0)</f>
        <v>183500</v>
      </c>
      <c r="E2223" s="1">
        <f>IFERROR(__xludf.DUMMYFUNCTION("""COMPUTED_VALUE"""),184000.0)</f>
        <v>184000</v>
      </c>
      <c r="F2223" s="1">
        <f>IFERROR(__xludf.DUMMYFUNCTION("""COMPUTED_VALUE"""),567036.0)</f>
        <v>567036</v>
      </c>
    </row>
    <row r="2224">
      <c r="A2224" s="2">
        <f>IFERROR(__xludf.DUMMYFUNCTION("""COMPUTED_VALUE"""),43886.64583333333)</f>
        <v>43886.64583</v>
      </c>
      <c r="B2224" s="1">
        <f>IFERROR(__xludf.DUMMYFUNCTION("""COMPUTED_VALUE"""),184000.0)</f>
        <v>184000</v>
      </c>
      <c r="C2224" s="1">
        <f>IFERROR(__xludf.DUMMYFUNCTION("""COMPUTED_VALUE"""),191000.0)</f>
        <v>191000</v>
      </c>
      <c r="D2224" s="1">
        <f>IFERROR(__xludf.DUMMYFUNCTION("""COMPUTED_VALUE"""),183500.0)</f>
        <v>183500</v>
      </c>
      <c r="E2224" s="1">
        <f>IFERROR(__xludf.DUMMYFUNCTION("""COMPUTED_VALUE"""),190500.0)</f>
        <v>190500</v>
      </c>
      <c r="F2224" s="1">
        <f>IFERROR(__xludf.DUMMYFUNCTION("""COMPUTED_VALUE"""),704859.0)</f>
        <v>704859</v>
      </c>
    </row>
    <row r="2225">
      <c r="A2225" s="2">
        <f>IFERROR(__xludf.DUMMYFUNCTION("""COMPUTED_VALUE"""),43887.64583333333)</f>
        <v>43887.64583</v>
      </c>
      <c r="B2225" s="1">
        <f>IFERROR(__xludf.DUMMYFUNCTION("""COMPUTED_VALUE"""),189500.0)</f>
        <v>189500</v>
      </c>
      <c r="C2225" s="1">
        <f>IFERROR(__xludf.DUMMYFUNCTION("""COMPUTED_VALUE"""),190000.0)</f>
        <v>190000</v>
      </c>
      <c r="D2225" s="1">
        <f>IFERROR(__xludf.DUMMYFUNCTION("""COMPUTED_VALUE"""),186500.0)</f>
        <v>186500</v>
      </c>
      <c r="E2225" s="1">
        <f>IFERROR(__xludf.DUMMYFUNCTION("""COMPUTED_VALUE"""),187000.0)</f>
        <v>187000</v>
      </c>
      <c r="F2225" s="1">
        <f>IFERROR(__xludf.DUMMYFUNCTION("""COMPUTED_VALUE"""),494066.0)</f>
        <v>494066</v>
      </c>
    </row>
    <row r="2226">
      <c r="A2226" s="2">
        <f>IFERROR(__xludf.DUMMYFUNCTION("""COMPUTED_VALUE"""),43888.64583333333)</f>
        <v>43888.64583</v>
      </c>
      <c r="B2226" s="1">
        <f>IFERROR(__xludf.DUMMYFUNCTION("""COMPUTED_VALUE"""),185000.0)</f>
        <v>185000</v>
      </c>
      <c r="C2226" s="1">
        <f>IFERROR(__xludf.DUMMYFUNCTION("""COMPUTED_VALUE"""),187000.0)</f>
        <v>187000</v>
      </c>
      <c r="D2226" s="1">
        <f>IFERROR(__xludf.DUMMYFUNCTION("""COMPUTED_VALUE"""),179000.0)</f>
        <v>179000</v>
      </c>
      <c r="E2226" s="1">
        <f>IFERROR(__xludf.DUMMYFUNCTION("""COMPUTED_VALUE"""),182000.0)</f>
        <v>182000</v>
      </c>
      <c r="F2226" s="1">
        <f>IFERROR(__xludf.DUMMYFUNCTION("""COMPUTED_VALUE"""),535696.0)</f>
        <v>535696</v>
      </c>
    </row>
    <row r="2227">
      <c r="A2227" s="2">
        <f>IFERROR(__xludf.DUMMYFUNCTION("""COMPUTED_VALUE"""),43889.64583333333)</f>
        <v>43889.64583</v>
      </c>
      <c r="B2227" s="1">
        <f>IFERROR(__xludf.DUMMYFUNCTION("""COMPUTED_VALUE"""),179000.0)</f>
        <v>179000</v>
      </c>
      <c r="C2227" s="1">
        <f>IFERROR(__xludf.DUMMYFUNCTION("""COMPUTED_VALUE"""),180000.0)</f>
        <v>180000</v>
      </c>
      <c r="D2227" s="1">
        <f>IFERROR(__xludf.DUMMYFUNCTION("""COMPUTED_VALUE"""),172000.0)</f>
        <v>172000</v>
      </c>
      <c r="E2227" s="1">
        <f>IFERROR(__xludf.DUMMYFUNCTION("""COMPUTED_VALUE"""),174000.0)</f>
        <v>174000</v>
      </c>
      <c r="F2227" s="1">
        <f>IFERROR(__xludf.DUMMYFUNCTION("""COMPUTED_VALUE"""),830654.0)</f>
        <v>830654</v>
      </c>
    </row>
    <row r="2228">
      <c r="A2228" s="2">
        <f>IFERROR(__xludf.DUMMYFUNCTION("""COMPUTED_VALUE"""),43892.64583333333)</f>
        <v>43892.64583</v>
      </c>
      <c r="B2228" s="1">
        <f>IFERROR(__xludf.DUMMYFUNCTION("""COMPUTED_VALUE"""),175000.0)</f>
        <v>175000</v>
      </c>
      <c r="C2228" s="1">
        <f>IFERROR(__xludf.DUMMYFUNCTION("""COMPUTED_VALUE"""),177000.0)</f>
        <v>177000</v>
      </c>
      <c r="D2228" s="1">
        <f>IFERROR(__xludf.DUMMYFUNCTION("""COMPUTED_VALUE"""),172500.0)</f>
        <v>172500</v>
      </c>
      <c r="E2228" s="1">
        <f>IFERROR(__xludf.DUMMYFUNCTION("""COMPUTED_VALUE"""),175000.0)</f>
        <v>175000</v>
      </c>
      <c r="F2228" s="1">
        <f>IFERROR(__xludf.DUMMYFUNCTION("""COMPUTED_VALUE"""),659376.0)</f>
        <v>659376</v>
      </c>
    </row>
    <row r="2229">
      <c r="A2229" s="2">
        <f>IFERROR(__xludf.DUMMYFUNCTION("""COMPUTED_VALUE"""),43893.64583333333)</f>
        <v>43893.64583</v>
      </c>
      <c r="B2229" s="1">
        <f>IFERROR(__xludf.DUMMYFUNCTION("""COMPUTED_VALUE"""),179000.0)</f>
        <v>179000</v>
      </c>
      <c r="C2229" s="1">
        <f>IFERROR(__xludf.DUMMYFUNCTION("""COMPUTED_VALUE"""),180000.0)</f>
        <v>180000</v>
      </c>
      <c r="D2229" s="1">
        <f>IFERROR(__xludf.DUMMYFUNCTION("""COMPUTED_VALUE"""),174000.0)</f>
        <v>174000</v>
      </c>
      <c r="E2229" s="1">
        <f>IFERROR(__xludf.DUMMYFUNCTION("""COMPUTED_VALUE"""),175000.0)</f>
        <v>175000</v>
      </c>
      <c r="F2229" s="1">
        <f>IFERROR(__xludf.DUMMYFUNCTION("""COMPUTED_VALUE"""),544379.0)</f>
        <v>544379</v>
      </c>
    </row>
    <row r="2230">
      <c r="A2230" s="2">
        <f>IFERROR(__xludf.DUMMYFUNCTION("""COMPUTED_VALUE"""),43894.64583333333)</f>
        <v>43894.64583</v>
      </c>
      <c r="B2230" s="1">
        <f>IFERROR(__xludf.DUMMYFUNCTION("""COMPUTED_VALUE"""),174500.0)</f>
        <v>174500</v>
      </c>
      <c r="C2230" s="1">
        <f>IFERROR(__xludf.DUMMYFUNCTION("""COMPUTED_VALUE"""),179500.0)</f>
        <v>179500</v>
      </c>
      <c r="D2230" s="1">
        <f>IFERROR(__xludf.DUMMYFUNCTION("""COMPUTED_VALUE"""),173000.0)</f>
        <v>173000</v>
      </c>
      <c r="E2230" s="1">
        <f>IFERROR(__xludf.DUMMYFUNCTION("""COMPUTED_VALUE"""),178500.0)</f>
        <v>178500</v>
      </c>
      <c r="F2230" s="1">
        <f>IFERROR(__xludf.DUMMYFUNCTION("""COMPUTED_VALUE"""),450252.0)</f>
        <v>450252</v>
      </c>
    </row>
    <row r="2231">
      <c r="A2231" s="2">
        <f>IFERROR(__xludf.DUMMYFUNCTION("""COMPUTED_VALUE"""),43895.64583333333)</f>
        <v>43895.64583</v>
      </c>
      <c r="B2231" s="1">
        <f>IFERROR(__xludf.DUMMYFUNCTION("""COMPUTED_VALUE"""),180500.0)</f>
        <v>180500</v>
      </c>
      <c r="C2231" s="1">
        <f>IFERROR(__xludf.DUMMYFUNCTION("""COMPUTED_VALUE"""),181000.0)</f>
        <v>181000</v>
      </c>
      <c r="D2231" s="1">
        <f>IFERROR(__xludf.DUMMYFUNCTION("""COMPUTED_VALUE"""),178500.0)</f>
        <v>178500</v>
      </c>
      <c r="E2231" s="1">
        <f>IFERROR(__xludf.DUMMYFUNCTION("""COMPUTED_VALUE"""),181000.0)</f>
        <v>181000</v>
      </c>
      <c r="F2231" s="1">
        <f>IFERROR(__xludf.DUMMYFUNCTION("""COMPUTED_VALUE"""),483840.0)</f>
        <v>483840</v>
      </c>
    </row>
    <row r="2232">
      <c r="A2232" s="2">
        <f>IFERROR(__xludf.DUMMYFUNCTION("""COMPUTED_VALUE"""),43896.64583333333)</f>
        <v>43896.64583</v>
      </c>
      <c r="B2232" s="1">
        <f>IFERROR(__xludf.DUMMYFUNCTION("""COMPUTED_VALUE"""),179500.0)</f>
        <v>179500</v>
      </c>
      <c r="C2232" s="1">
        <f>IFERROR(__xludf.DUMMYFUNCTION("""COMPUTED_VALUE"""),181000.0)</f>
        <v>181000</v>
      </c>
      <c r="D2232" s="1">
        <f>IFERROR(__xludf.DUMMYFUNCTION("""COMPUTED_VALUE"""),177500.0)</f>
        <v>177500</v>
      </c>
      <c r="E2232" s="1">
        <f>IFERROR(__xludf.DUMMYFUNCTION("""COMPUTED_VALUE"""),179500.0)</f>
        <v>179500</v>
      </c>
      <c r="F2232" s="1">
        <f>IFERROR(__xludf.DUMMYFUNCTION("""COMPUTED_VALUE"""),293897.0)</f>
        <v>293897</v>
      </c>
    </row>
    <row r="2233">
      <c r="A2233" s="2">
        <f>IFERROR(__xludf.DUMMYFUNCTION("""COMPUTED_VALUE"""),43899.64583333333)</f>
        <v>43899.64583</v>
      </c>
      <c r="B2233" s="1">
        <f>IFERROR(__xludf.DUMMYFUNCTION("""COMPUTED_VALUE"""),174500.0)</f>
        <v>174500</v>
      </c>
      <c r="C2233" s="1">
        <f>IFERROR(__xludf.DUMMYFUNCTION("""COMPUTED_VALUE"""),174500.0)</f>
        <v>174500</v>
      </c>
      <c r="D2233" s="1">
        <f>IFERROR(__xludf.DUMMYFUNCTION("""COMPUTED_VALUE"""),167500.0)</f>
        <v>167500</v>
      </c>
      <c r="E2233" s="1">
        <f>IFERROR(__xludf.DUMMYFUNCTION("""COMPUTED_VALUE"""),168000.0)</f>
        <v>168000</v>
      </c>
      <c r="F2233" s="1">
        <f>IFERROR(__xludf.DUMMYFUNCTION("""COMPUTED_VALUE"""),668089.0)</f>
        <v>668089</v>
      </c>
    </row>
    <row r="2234">
      <c r="A2234" s="2">
        <f>IFERROR(__xludf.DUMMYFUNCTION("""COMPUTED_VALUE"""),43900.64583333333)</f>
        <v>43900.64583</v>
      </c>
      <c r="B2234" s="1">
        <f>IFERROR(__xludf.DUMMYFUNCTION("""COMPUTED_VALUE"""),168000.0)</f>
        <v>168000</v>
      </c>
      <c r="C2234" s="1">
        <f>IFERROR(__xludf.DUMMYFUNCTION("""COMPUTED_VALUE"""),176000.0)</f>
        <v>176000</v>
      </c>
      <c r="D2234" s="1">
        <f>IFERROR(__xludf.DUMMYFUNCTION("""COMPUTED_VALUE"""),165000.0)</f>
        <v>165000</v>
      </c>
      <c r="E2234" s="1">
        <f>IFERROR(__xludf.DUMMYFUNCTION("""COMPUTED_VALUE"""),172000.0)</f>
        <v>172000</v>
      </c>
      <c r="F2234" s="1">
        <f>IFERROR(__xludf.DUMMYFUNCTION("""COMPUTED_VALUE"""),666532.0)</f>
        <v>666532</v>
      </c>
    </row>
    <row r="2235">
      <c r="A2235" s="2">
        <f>IFERROR(__xludf.DUMMYFUNCTION("""COMPUTED_VALUE"""),43901.64583333333)</f>
        <v>43901.64583</v>
      </c>
      <c r="B2235" s="1">
        <f>IFERROR(__xludf.DUMMYFUNCTION("""COMPUTED_VALUE"""),172000.0)</f>
        <v>172000</v>
      </c>
      <c r="C2235" s="1">
        <f>IFERROR(__xludf.DUMMYFUNCTION("""COMPUTED_VALUE"""),174000.0)</f>
        <v>174000</v>
      </c>
      <c r="D2235" s="1">
        <f>IFERROR(__xludf.DUMMYFUNCTION("""COMPUTED_VALUE"""),167500.0)</f>
        <v>167500</v>
      </c>
      <c r="E2235" s="1">
        <f>IFERROR(__xludf.DUMMYFUNCTION("""COMPUTED_VALUE"""),170000.0)</f>
        <v>170000</v>
      </c>
      <c r="F2235" s="1">
        <f>IFERROR(__xludf.DUMMYFUNCTION("""COMPUTED_VALUE"""),483822.0)</f>
        <v>483822</v>
      </c>
    </row>
    <row r="2236">
      <c r="A2236" s="2">
        <f>IFERROR(__xludf.DUMMYFUNCTION("""COMPUTED_VALUE"""),43902.64583333333)</f>
        <v>43902.64583</v>
      </c>
      <c r="B2236" s="1">
        <f>IFERROR(__xludf.DUMMYFUNCTION("""COMPUTED_VALUE"""),170000.0)</f>
        <v>170000</v>
      </c>
      <c r="C2236" s="1">
        <f>IFERROR(__xludf.DUMMYFUNCTION("""COMPUTED_VALUE"""),170000.0)</f>
        <v>170000</v>
      </c>
      <c r="D2236" s="1">
        <f>IFERROR(__xludf.DUMMYFUNCTION("""COMPUTED_VALUE"""),161000.0)</f>
        <v>161000</v>
      </c>
      <c r="E2236" s="1">
        <f>IFERROR(__xludf.DUMMYFUNCTION("""COMPUTED_VALUE"""),166500.0)</f>
        <v>166500</v>
      </c>
      <c r="F2236" s="1">
        <f>IFERROR(__xludf.DUMMYFUNCTION("""COMPUTED_VALUE"""),980814.0)</f>
        <v>980814</v>
      </c>
    </row>
    <row r="2237">
      <c r="A2237" s="2">
        <f>IFERROR(__xludf.DUMMYFUNCTION("""COMPUTED_VALUE"""),43903.64583333333)</f>
        <v>43903.64583</v>
      </c>
      <c r="B2237" s="1">
        <f>IFERROR(__xludf.DUMMYFUNCTION("""COMPUTED_VALUE"""),151000.0)</f>
        <v>151000</v>
      </c>
      <c r="C2237" s="1">
        <f>IFERROR(__xludf.DUMMYFUNCTION("""COMPUTED_VALUE"""),168000.0)</f>
        <v>168000</v>
      </c>
      <c r="D2237" s="1">
        <f>IFERROR(__xludf.DUMMYFUNCTION("""COMPUTED_VALUE"""),149500.0)</f>
        <v>149500</v>
      </c>
      <c r="E2237" s="1">
        <f>IFERROR(__xludf.DUMMYFUNCTION("""COMPUTED_VALUE"""),166000.0)</f>
        <v>166000</v>
      </c>
      <c r="F2237" s="1">
        <f>IFERROR(__xludf.DUMMYFUNCTION("""COMPUTED_VALUE"""),1242510.0)</f>
        <v>1242510</v>
      </c>
    </row>
    <row r="2238">
      <c r="A2238" s="2">
        <f>IFERROR(__xludf.DUMMYFUNCTION("""COMPUTED_VALUE"""),43906.64583333333)</f>
        <v>43906.64583</v>
      </c>
      <c r="B2238" s="1">
        <f>IFERROR(__xludf.DUMMYFUNCTION("""COMPUTED_VALUE"""),166000.0)</f>
        <v>166000</v>
      </c>
      <c r="C2238" s="1">
        <f>IFERROR(__xludf.DUMMYFUNCTION("""COMPUTED_VALUE"""),166500.0)</f>
        <v>166500</v>
      </c>
      <c r="D2238" s="1">
        <f>IFERROR(__xludf.DUMMYFUNCTION("""COMPUTED_VALUE"""),155000.0)</f>
        <v>155000</v>
      </c>
      <c r="E2238" s="1">
        <f>IFERROR(__xludf.DUMMYFUNCTION("""COMPUTED_VALUE"""),155000.0)</f>
        <v>155000</v>
      </c>
      <c r="F2238" s="1">
        <f>IFERROR(__xludf.DUMMYFUNCTION("""COMPUTED_VALUE"""),812823.0)</f>
        <v>812823</v>
      </c>
    </row>
    <row r="2239">
      <c r="A2239" s="2">
        <f>IFERROR(__xludf.DUMMYFUNCTION("""COMPUTED_VALUE"""),43907.64583333333)</f>
        <v>43907.64583</v>
      </c>
      <c r="B2239" s="1">
        <f>IFERROR(__xludf.DUMMYFUNCTION("""COMPUTED_VALUE"""),147500.0)</f>
        <v>147500</v>
      </c>
      <c r="C2239" s="1">
        <f>IFERROR(__xludf.DUMMYFUNCTION("""COMPUTED_VALUE"""),155500.0)</f>
        <v>155500</v>
      </c>
      <c r="D2239" s="1">
        <f>IFERROR(__xludf.DUMMYFUNCTION("""COMPUTED_VALUE"""),147000.0)</f>
        <v>147000</v>
      </c>
      <c r="E2239" s="1">
        <f>IFERROR(__xludf.DUMMYFUNCTION("""COMPUTED_VALUE"""),151000.0)</f>
        <v>151000</v>
      </c>
      <c r="F2239" s="1">
        <f>IFERROR(__xludf.DUMMYFUNCTION("""COMPUTED_VALUE"""),979243.0)</f>
        <v>979243</v>
      </c>
    </row>
    <row r="2240">
      <c r="A2240" s="2">
        <f>IFERROR(__xludf.DUMMYFUNCTION("""COMPUTED_VALUE"""),43908.64583333333)</f>
        <v>43908.64583</v>
      </c>
      <c r="B2240" s="1">
        <f>IFERROR(__xludf.DUMMYFUNCTION("""COMPUTED_VALUE"""),152500.0)</f>
        <v>152500</v>
      </c>
      <c r="C2240" s="1">
        <f>IFERROR(__xludf.DUMMYFUNCTION("""COMPUTED_VALUE"""),156000.0)</f>
        <v>156000</v>
      </c>
      <c r="D2240" s="1">
        <f>IFERROR(__xludf.DUMMYFUNCTION("""COMPUTED_VALUE"""),146000.0)</f>
        <v>146000</v>
      </c>
      <c r="E2240" s="1">
        <f>IFERROR(__xludf.DUMMYFUNCTION("""COMPUTED_VALUE"""),146000.0)</f>
        <v>146000</v>
      </c>
      <c r="F2240" s="1">
        <f>IFERROR(__xludf.DUMMYFUNCTION("""COMPUTED_VALUE"""),666723.0)</f>
        <v>666723</v>
      </c>
    </row>
    <row r="2241">
      <c r="A2241" s="2">
        <f>IFERROR(__xludf.DUMMYFUNCTION("""COMPUTED_VALUE"""),43909.64583333333)</f>
        <v>43909.64583</v>
      </c>
      <c r="B2241" s="1">
        <f>IFERROR(__xludf.DUMMYFUNCTION("""COMPUTED_VALUE"""),150000.0)</f>
        <v>150000</v>
      </c>
      <c r="C2241" s="1">
        <f>IFERROR(__xludf.DUMMYFUNCTION("""COMPUTED_VALUE"""),151500.0)</f>
        <v>151500</v>
      </c>
      <c r="D2241" s="1">
        <f>IFERROR(__xludf.DUMMYFUNCTION("""COMPUTED_VALUE"""),135000.0)</f>
        <v>135000</v>
      </c>
      <c r="E2241" s="1">
        <f>IFERROR(__xludf.DUMMYFUNCTION("""COMPUTED_VALUE"""),144000.0)</f>
        <v>144000</v>
      </c>
      <c r="F2241" s="1">
        <f>IFERROR(__xludf.DUMMYFUNCTION("""COMPUTED_VALUE"""),1154230.0)</f>
        <v>1154230</v>
      </c>
    </row>
    <row r="2242">
      <c r="A2242" s="2">
        <f>IFERROR(__xludf.DUMMYFUNCTION("""COMPUTED_VALUE"""),43910.64583333333)</f>
        <v>43910.64583</v>
      </c>
      <c r="B2242" s="1">
        <f>IFERROR(__xludf.DUMMYFUNCTION("""COMPUTED_VALUE"""),147500.0)</f>
        <v>147500</v>
      </c>
      <c r="C2242" s="1">
        <f>IFERROR(__xludf.DUMMYFUNCTION("""COMPUTED_VALUE"""),156500.0)</f>
        <v>156500</v>
      </c>
      <c r="D2242" s="1">
        <f>IFERROR(__xludf.DUMMYFUNCTION("""COMPUTED_VALUE"""),146000.0)</f>
        <v>146000</v>
      </c>
      <c r="E2242" s="1">
        <f>IFERROR(__xludf.DUMMYFUNCTION("""COMPUTED_VALUE"""),154000.0)</f>
        <v>154000</v>
      </c>
      <c r="F2242" s="1">
        <f>IFERROR(__xludf.DUMMYFUNCTION("""COMPUTED_VALUE"""),997895.0)</f>
        <v>997895</v>
      </c>
    </row>
    <row r="2243">
      <c r="A2243" s="2">
        <f>IFERROR(__xludf.DUMMYFUNCTION("""COMPUTED_VALUE"""),43913.64583333333)</f>
        <v>43913.64583</v>
      </c>
      <c r="B2243" s="1">
        <f>IFERROR(__xludf.DUMMYFUNCTION("""COMPUTED_VALUE"""),141500.0)</f>
        <v>141500</v>
      </c>
      <c r="C2243" s="1">
        <f>IFERROR(__xludf.DUMMYFUNCTION("""COMPUTED_VALUE"""),149500.0)</f>
        <v>149500</v>
      </c>
      <c r="D2243" s="1">
        <f>IFERROR(__xludf.DUMMYFUNCTION("""COMPUTED_VALUE"""),140000.0)</f>
        <v>140000</v>
      </c>
      <c r="E2243" s="1">
        <f>IFERROR(__xludf.DUMMYFUNCTION("""COMPUTED_VALUE"""),143000.0)</f>
        <v>143000</v>
      </c>
      <c r="F2243" s="1">
        <f>IFERROR(__xludf.DUMMYFUNCTION("""COMPUTED_VALUE"""),1033851.0)</f>
        <v>1033851</v>
      </c>
    </row>
    <row r="2244">
      <c r="A2244" s="2">
        <f>IFERROR(__xludf.DUMMYFUNCTION("""COMPUTED_VALUE"""),43914.64583333333)</f>
        <v>43914.64583</v>
      </c>
      <c r="B2244" s="1">
        <f>IFERROR(__xludf.DUMMYFUNCTION("""COMPUTED_VALUE"""),151500.0)</f>
        <v>151500</v>
      </c>
      <c r="C2244" s="1">
        <f>IFERROR(__xludf.DUMMYFUNCTION("""COMPUTED_VALUE"""),157000.0)</f>
        <v>157000</v>
      </c>
      <c r="D2244" s="1">
        <f>IFERROR(__xludf.DUMMYFUNCTION("""COMPUTED_VALUE"""),148000.0)</f>
        <v>148000</v>
      </c>
      <c r="E2244" s="1">
        <f>IFERROR(__xludf.DUMMYFUNCTION("""COMPUTED_VALUE"""),156000.0)</f>
        <v>156000</v>
      </c>
      <c r="F2244" s="1">
        <f>IFERROR(__xludf.DUMMYFUNCTION("""COMPUTED_VALUE"""),960786.0)</f>
        <v>960786</v>
      </c>
    </row>
    <row r="2245">
      <c r="A2245" s="2">
        <f>IFERROR(__xludf.DUMMYFUNCTION("""COMPUTED_VALUE"""),43915.64583333333)</f>
        <v>43915.64583</v>
      </c>
      <c r="B2245" s="1">
        <f>IFERROR(__xludf.DUMMYFUNCTION("""COMPUTED_VALUE"""),160500.0)</f>
        <v>160500</v>
      </c>
      <c r="C2245" s="1">
        <f>IFERROR(__xludf.DUMMYFUNCTION("""COMPUTED_VALUE"""),163000.0)</f>
        <v>163000</v>
      </c>
      <c r="D2245" s="1">
        <f>IFERROR(__xludf.DUMMYFUNCTION("""COMPUTED_VALUE"""),152000.0)</f>
        <v>152000</v>
      </c>
      <c r="E2245" s="1">
        <f>IFERROR(__xludf.DUMMYFUNCTION("""COMPUTED_VALUE"""),156000.0)</f>
        <v>156000</v>
      </c>
      <c r="F2245" s="1">
        <f>IFERROR(__xludf.DUMMYFUNCTION("""COMPUTED_VALUE"""),1039579.0)</f>
        <v>1039579</v>
      </c>
    </row>
    <row r="2246">
      <c r="A2246" s="2">
        <f>IFERROR(__xludf.DUMMYFUNCTION("""COMPUTED_VALUE"""),43916.64583333333)</f>
        <v>43916.64583</v>
      </c>
      <c r="B2246" s="1">
        <f>IFERROR(__xludf.DUMMYFUNCTION("""COMPUTED_VALUE"""),156000.0)</f>
        <v>156000</v>
      </c>
      <c r="C2246" s="1">
        <f>IFERROR(__xludf.DUMMYFUNCTION("""COMPUTED_VALUE"""),158000.0)</f>
        <v>158000</v>
      </c>
      <c r="D2246" s="1">
        <f>IFERROR(__xludf.DUMMYFUNCTION("""COMPUTED_VALUE"""),149500.0)</f>
        <v>149500</v>
      </c>
      <c r="E2246" s="1">
        <f>IFERROR(__xludf.DUMMYFUNCTION("""COMPUTED_VALUE"""),152500.0)</f>
        <v>152500</v>
      </c>
      <c r="F2246" s="1">
        <f>IFERROR(__xludf.DUMMYFUNCTION("""COMPUTED_VALUE"""),988725.0)</f>
        <v>988725</v>
      </c>
    </row>
    <row r="2247">
      <c r="A2247" s="2">
        <f>IFERROR(__xludf.DUMMYFUNCTION("""COMPUTED_VALUE"""),43917.64583333333)</f>
        <v>43917.64583</v>
      </c>
      <c r="B2247" s="1">
        <f>IFERROR(__xludf.DUMMYFUNCTION("""COMPUTED_VALUE"""),161500.0)</f>
        <v>161500</v>
      </c>
      <c r="C2247" s="1">
        <f>IFERROR(__xludf.DUMMYFUNCTION("""COMPUTED_VALUE"""),164500.0)</f>
        <v>164500</v>
      </c>
      <c r="D2247" s="1">
        <f>IFERROR(__xludf.DUMMYFUNCTION("""COMPUTED_VALUE"""),158500.0)</f>
        <v>158500</v>
      </c>
      <c r="E2247" s="1">
        <f>IFERROR(__xludf.DUMMYFUNCTION("""COMPUTED_VALUE"""),164000.0)</f>
        <v>164000</v>
      </c>
      <c r="F2247" s="1">
        <f>IFERROR(__xludf.DUMMYFUNCTION("""COMPUTED_VALUE"""),1217815.0)</f>
        <v>1217815</v>
      </c>
    </row>
    <row r="2248">
      <c r="A2248" s="2">
        <f>IFERROR(__xludf.DUMMYFUNCTION("""COMPUTED_VALUE"""),43920.64583333333)</f>
        <v>43920.64583</v>
      </c>
      <c r="B2248" s="1">
        <f>IFERROR(__xludf.DUMMYFUNCTION("""COMPUTED_VALUE"""),160000.0)</f>
        <v>160000</v>
      </c>
      <c r="C2248" s="1">
        <f>IFERROR(__xludf.DUMMYFUNCTION("""COMPUTED_VALUE"""),165000.0)</f>
        <v>165000</v>
      </c>
      <c r="D2248" s="1">
        <f>IFERROR(__xludf.DUMMYFUNCTION("""COMPUTED_VALUE"""),159000.0)</f>
        <v>159000</v>
      </c>
      <c r="E2248" s="1">
        <f>IFERROR(__xludf.DUMMYFUNCTION("""COMPUTED_VALUE"""),162500.0)</f>
        <v>162500</v>
      </c>
      <c r="F2248" s="1">
        <f>IFERROR(__xludf.DUMMYFUNCTION("""COMPUTED_VALUE"""),630830.0)</f>
        <v>630830</v>
      </c>
    </row>
    <row r="2249">
      <c r="A2249" s="2">
        <f>IFERROR(__xludf.DUMMYFUNCTION("""COMPUTED_VALUE"""),43921.64583333333)</f>
        <v>43921.64583</v>
      </c>
      <c r="B2249" s="1">
        <f>IFERROR(__xludf.DUMMYFUNCTION("""COMPUTED_VALUE"""),163500.0)</f>
        <v>163500</v>
      </c>
      <c r="C2249" s="1">
        <f>IFERROR(__xludf.DUMMYFUNCTION("""COMPUTED_VALUE"""),171000.0)</f>
        <v>171000</v>
      </c>
      <c r="D2249" s="1">
        <f>IFERROR(__xludf.DUMMYFUNCTION("""COMPUTED_VALUE"""),163500.0)</f>
        <v>163500</v>
      </c>
      <c r="E2249" s="1">
        <f>IFERROR(__xludf.DUMMYFUNCTION("""COMPUTED_VALUE"""),170000.0)</f>
        <v>170000</v>
      </c>
      <c r="F2249" s="1">
        <f>IFERROR(__xludf.DUMMYFUNCTION("""COMPUTED_VALUE"""),858165.0)</f>
        <v>858165</v>
      </c>
    </row>
    <row r="2250">
      <c r="A2250" s="2">
        <f>IFERROR(__xludf.DUMMYFUNCTION("""COMPUTED_VALUE"""),43922.64583333333)</f>
        <v>43922.64583</v>
      </c>
      <c r="B2250" s="1">
        <f>IFERROR(__xludf.DUMMYFUNCTION("""COMPUTED_VALUE"""),166500.0)</f>
        <v>166500</v>
      </c>
      <c r="C2250" s="1">
        <f>IFERROR(__xludf.DUMMYFUNCTION("""COMPUTED_VALUE"""),171000.0)</f>
        <v>171000</v>
      </c>
      <c r="D2250" s="1">
        <f>IFERROR(__xludf.DUMMYFUNCTION("""COMPUTED_VALUE"""),163000.0)</f>
        <v>163000</v>
      </c>
      <c r="E2250" s="1">
        <f>IFERROR(__xludf.DUMMYFUNCTION("""COMPUTED_VALUE"""),163000.0)</f>
        <v>163000</v>
      </c>
      <c r="F2250" s="1">
        <f>IFERROR(__xludf.DUMMYFUNCTION("""COMPUTED_VALUE"""),720283.0)</f>
        <v>720283</v>
      </c>
    </row>
    <row r="2251">
      <c r="A2251" s="2">
        <f>IFERROR(__xludf.DUMMYFUNCTION("""COMPUTED_VALUE"""),43923.64583333333)</f>
        <v>43923.64583</v>
      </c>
      <c r="B2251" s="1">
        <f>IFERROR(__xludf.DUMMYFUNCTION("""COMPUTED_VALUE"""),166500.0)</f>
        <v>166500</v>
      </c>
      <c r="C2251" s="1">
        <f>IFERROR(__xludf.DUMMYFUNCTION("""COMPUTED_VALUE"""),175000.0)</f>
        <v>175000</v>
      </c>
      <c r="D2251" s="1">
        <f>IFERROR(__xludf.DUMMYFUNCTION("""COMPUTED_VALUE"""),164500.0)</f>
        <v>164500</v>
      </c>
      <c r="E2251" s="1">
        <f>IFERROR(__xludf.DUMMYFUNCTION("""COMPUTED_VALUE"""),173500.0)</f>
        <v>173500</v>
      </c>
      <c r="F2251" s="1">
        <f>IFERROR(__xludf.DUMMYFUNCTION("""COMPUTED_VALUE"""),1086863.0)</f>
        <v>1086863</v>
      </c>
    </row>
    <row r="2252">
      <c r="A2252" s="2">
        <f>IFERROR(__xludf.DUMMYFUNCTION("""COMPUTED_VALUE"""),43924.64583333333)</f>
        <v>43924.64583</v>
      </c>
      <c r="B2252" s="1">
        <f>IFERROR(__xludf.DUMMYFUNCTION("""COMPUTED_VALUE"""),170000.0)</f>
        <v>170000</v>
      </c>
      <c r="C2252" s="1">
        <f>IFERROR(__xludf.DUMMYFUNCTION("""COMPUTED_VALUE"""),172500.0)</f>
        <v>172500</v>
      </c>
      <c r="D2252" s="1">
        <f>IFERROR(__xludf.DUMMYFUNCTION("""COMPUTED_VALUE"""),168000.0)</f>
        <v>168000</v>
      </c>
      <c r="E2252" s="1">
        <f>IFERROR(__xludf.DUMMYFUNCTION("""COMPUTED_VALUE"""),172000.0)</f>
        <v>172000</v>
      </c>
      <c r="F2252" s="1">
        <f>IFERROR(__xludf.DUMMYFUNCTION("""COMPUTED_VALUE"""),663454.0)</f>
        <v>663454</v>
      </c>
    </row>
    <row r="2253">
      <c r="A2253" s="2">
        <f>IFERROR(__xludf.DUMMYFUNCTION("""COMPUTED_VALUE"""),43927.64583333333)</f>
        <v>43927.64583</v>
      </c>
      <c r="B2253" s="1">
        <f>IFERROR(__xludf.DUMMYFUNCTION("""COMPUTED_VALUE"""),173500.0)</f>
        <v>173500</v>
      </c>
      <c r="C2253" s="1">
        <f>IFERROR(__xludf.DUMMYFUNCTION("""COMPUTED_VALUE"""),176000.0)</f>
        <v>176000</v>
      </c>
      <c r="D2253" s="1">
        <f>IFERROR(__xludf.DUMMYFUNCTION("""COMPUTED_VALUE"""),170500.0)</f>
        <v>170500</v>
      </c>
      <c r="E2253" s="1">
        <f>IFERROR(__xludf.DUMMYFUNCTION("""COMPUTED_VALUE"""),173000.0)</f>
        <v>173000</v>
      </c>
      <c r="F2253" s="1">
        <f>IFERROR(__xludf.DUMMYFUNCTION("""COMPUTED_VALUE"""),655547.0)</f>
        <v>655547</v>
      </c>
    </row>
    <row r="2254">
      <c r="A2254" s="2">
        <f>IFERROR(__xludf.DUMMYFUNCTION("""COMPUTED_VALUE"""),43928.64583333333)</f>
        <v>43928.64583</v>
      </c>
      <c r="B2254" s="1">
        <f>IFERROR(__xludf.DUMMYFUNCTION("""COMPUTED_VALUE"""),174000.0)</f>
        <v>174000</v>
      </c>
      <c r="C2254" s="1">
        <f>IFERROR(__xludf.DUMMYFUNCTION("""COMPUTED_VALUE"""),174500.0)</f>
        <v>174500</v>
      </c>
      <c r="D2254" s="1">
        <f>IFERROR(__xludf.DUMMYFUNCTION("""COMPUTED_VALUE"""),167500.0)</f>
        <v>167500</v>
      </c>
      <c r="E2254" s="1">
        <f>IFERROR(__xludf.DUMMYFUNCTION("""COMPUTED_VALUE"""),169500.0)</f>
        <v>169500</v>
      </c>
      <c r="F2254" s="1">
        <f>IFERROR(__xludf.DUMMYFUNCTION("""COMPUTED_VALUE"""),873091.0)</f>
        <v>873091</v>
      </c>
    </row>
    <row r="2255">
      <c r="A2255" s="2">
        <f>IFERROR(__xludf.DUMMYFUNCTION("""COMPUTED_VALUE"""),43929.64583333333)</f>
        <v>43929.64583</v>
      </c>
      <c r="B2255" s="1">
        <f>IFERROR(__xludf.DUMMYFUNCTION("""COMPUTED_VALUE"""),169000.0)</f>
        <v>169000</v>
      </c>
      <c r="C2255" s="1">
        <f>IFERROR(__xludf.DUMMYFUNCTION("""COMPUTED_VALUE"""),169500.0)</f>
        <v>169500</v>
      </c>
      <c r="D2255" s="1">
        <f>IFERROR(__xludf.DUMMYFUNCTION("""COMPUTED_VALUE"""),166500.0)</f>
        <v>166500</v>
      </c>
      <c r="E2255" s="1">
        <f>IFERROR(__xludf.DUMMYFUNCTION("""COMPUTED_VALUE"""),166500.0)</f>
        <v>166500</v>
      </c>
      <c r="F2255" s="1">
        <f>IFERROR(__xludf.DUMMYFUNCTION("""COMPUTED_VALUE"""),588577.0)</f>
        <v>588577</v>
      </c>
    </row>
    <row r="2256">
      <c r="A2256" s="2">
        <f>IFERROR(__xludf.DUMMYFUNCTION("""COMPUTED_VALUE"""),43930.64583333333)</f>
        <v>43930.64583</v>
      </c>
      <c r="B2256" s="1">
        <f>IFERROR(__xludf.DUMMYFUNCTION("""COMPUTED_VALUE"""),168500.0)</f>
        <v>168500</v>
      </c>
      <c r="C2256" s="1">
        <f>IFERROR(__xludf.DUMMYFUNCTION("""COMPUTED_VALUE"""),169000.0)</f>
        <v>169000</v>
      </c>
      <c r="D2256" s="1">
        <f>IFERROR(__xludf.DUMMYFUNCTION("""COMPUTED_VALUE"""),165000.0)</f>
        <v>165000</v>
      </c>
      <c r="E2256" s="1">
        <f>IFERROR(__xludf.DUMMYFUNCTION("""COMPUTED_VALUE"""),167500.0)</f>
        <v>167500</v>
      </c>
      <c r="F2256" s="1">
        <f>IFERROR(__xludf.DUMMYFUNCTION("""COMPUTED_VALUE"""),682921.0)</f>
        <v>682921</v>
      </c>
    </row>
    <row r="2257">
      <c r="A2257" s="2">
        <f>IFERROR(__xludf.DUMMYFUNCTION("""COMPUTED_VALUE"""),43931.64583333333)</f>
        <v>43931.64583</v>
      </c>
      <c r="B2257" s="1">
        <f>IFERROR(__xludf.DUMMYFUNCTION("""COMPUTED_VALUE"""),166000.0)</f>
        <v>166000</v>
      </c>
      <c r="C2257" s="1">
        <f>IFERROR(__xludf.DUMMYFUNCTION("""COMPUTED_VALUE"""),167000.0)</f>
        <v>167000</v>
      </c>
      <c r="D2257" s="1">
        <f>IFERROR(__xludf.DUMMYFUNCTION("""COMPUTED_VALUE"""),164000.0)</f>
        <v>164000</v>
      </c>
      <c r="E2257" s="1">
        <f>IFERROR(__xludf.DUMMYFUNCTION("""COMPUTED_VALUE"""),166500.0)</f>
        <v>166500</v>
      </c>
      <c r="F2257" s="1">
        <f>IFERROR(__xludf.DUMMYFUNCTION("""COMPUTED_VALUE"""),483720.0)</f>
        <v>483720</v>
      </c>
    </row>
    <row r="2258">
      <c r="A2258" s="2">
        <f>IFERROR(__xludf.DUMMYFUNCTION("""COMPUTED_VALUE"""),43934.64583333333)</f>
        <v>43934.64583</v>
      </c>
      <c r="B2258" s="1">
        <f>IFERROR(__xludf.DUMMYFUNCTION("""COMPUTED_VALUE"""),164500.0)</f>
        <v>164500</v>
      </c>
      <c r="C2258" s="1">
        <f>IFERROR(__xludf.DUMMYFUNCTION("""COMPUTED_VALUE"""),168000.0)</f>
        <v>168000</v>
      </c>
      <c r="D2258" s="1">
        <f>IFERROR(__xludf.DUMMYFUNCTION("""COMPUTED_VALUE"""),162500.0)</f>
        <v>162500</v>
      </c>
      <c r="E2258" s="1">
        <f>IFERROR(__xludf.DUMMYFUNCTION("""COMPUTED_VALUE"""),166000.0)</f>
        <v>166000</v>
      </c>
      <c r="F2258" s="1">
        <f>IFERROR(__xludf.DUMMYFUNCTION("""COMPUTED_VALUE"""),413768.0)</f>
        <v>413768</v>
      </c>
    </row>
    <row r="2259">
      <c r="A2259" s="2">
        <f>IFERROR(__xludf.DUMMYFUNCTION("""COMPUTED_VALUE"""),43935.64583333333)</f>
        <v>43935.64583</v>
      </c>
      <c r="B2259" s="1">
        <f>IFERROR(__xludf.DUMMYFUNCTION("""COMPUTED_VALUE"""),168000.0)</f>
        <v>168000</v>
      </c>
      <c r="C2259" s="1">
        <f>IFERROR(__xludf.DUMMYFUNCTION("""COMPUTED_VALUE"""),170000.0)</f>
        <v>170000</v>
      </c>
      <c r="D2259" s="1">
        <f>IFERROR(__xludf.DUMMYFUNCTION("""COMPUTED_VALUE"""),166500.0)</f>
        <v>166500</v>
      </c>
      <c r="E2259" s="1">
        <f>IFERROR(__xludf.DUMMYFUNCTION("""COMPUTED_VALUE"""),168500.0)</f>
        <v>168500</v>
      </c>
      <c r="F2259" s="1">
        <f>IFERROR(__xludf.DUMMYFUNCTION("""COMPUTED_VALUE"""),520725.0)</f>
        <v>520725</v>
      </c>
    </row>
    <row r="2260">
      <c r="A2260" s="2">
        <f>IFERROR(__xludf.DUMMYFUNCTION("""COMPUTED_VALUE"""),43937.64583333333)</f>
        <v>43937.64583</v>
      </c>
      <c r="B2260" s="1">
        <f>IFERROR(__xludf.DUMMYFUNCTION("""COMPUTED_VALUE"""),168000.0)</f>
        <v>168000</v>
      </c>
      <c r="C2260" s="1">
        <f>IFERROR(__xludf.DUMMYFUNCTION("""COMPUTED_VALUE"""),172500.0)</f>
        <v>172500</v>
      </c>
      <c r="D2260" s="1">
        <f>IFERROR(__xludf.DUMMYFUNCTION("""COMPUTED_VALUE"""),167500.0)</f>
        <v>167500</v>
      </c>
      <c r="E2260" s="1">
        <f>IFERROR(__xludf.DUMMYFUNCTION("""COMPUTED_VALUE"""),170500.0)</f>
        <v>170500</v>
      </c>
      <c r="F2260" s="1">
        <f>IFERROR(__xludf.DUMMYFUNCTION("""COMPUTED_VALUE"""),841066.0)</f>
        <v>841066</v>
      </c>
    </row>
    <row r="2261">
      <c r="A2261" s="2">
        <f>IFERROR(__xludf.DUMMYFUNCTION("""COMPUTED_VALUE"""),43938.64583333333)</f>
        <v>43938.64583</v>
      </c>
      <c r="B2261" s="1">
        <f>IFERROR(__xludf.DUMMYFUNCTION("""COMPUTED_VALUE"""),175500.0)</f>
        <v>175500</v>
      </c>
      <c r="C2261" s="1">
        <f>IFERROR(__xludf.DUMMYFUNCTION("""COMPUTED_VALUE"""),180000.0)</f>
        <v>180000</v>
      </c>
      <c r="D2261" s="1">
        <f>IFERROR(__xludf.DUMMYFUNCTION("""COMPUTED_VALUE"""),173500.0)</f>
        <v>173500</v>
      </c>
      <c r="E2261" s="1">
        <f>IFERROR(__xludf.DUMMYFUNCTION("""COMPUTED_VALUE"""),179000.0)</f>
        <v>179000</v>
      </c>
      <c r="F2261" s="1">
        <f>IFERROR(__xludf.DUMMYFUNCTION("""COMPUTED_VALUE"""),900031.0)</f>
        <v>900031</v>
      </c>
    </row>
    <row r="2262">
      <c r="A2262" s="2">
        <f>IFERROR(__xludf.DUMMYFUNCTION("""COMPUTED_VALUE"""),43941.64583333333)</f>
        <v>43941.64583</v>
      </c>
      <c r="B2262" s="1">
        <f>IFERROR(__xludf.DUMMYFUNCTION("""COMPUTED_VALUE"""),181000.0)</f>
        <v>181000</v>
      </c>
      <c r="C2262" s="1">
        <f>IFERROR(__xludf.DUMMYFUNCTION("""COMPUTED_VALUE"""),182000.0)</f>
        <v>182000</v>
      </c>
      <c r="D2262" s="1">
        <f>IFERROR(__xludf.DUMMYFUNCTION("""COMPUTED_VALUE"""),179000.0)</f>
        <v>179000</v>
      </c>
      <c r="E2262" s="1">
        <f>IFERROR(__xludf.DUMMYFUNCTION("""COMPUTED_VALUE"""),180000.0)</f>
        <v>180000</v>
      </c>
      <c r="F2262" s="1">
        <f>IFERROR(__xludf.DUMMYFUNCTION("""COMPUTED_VALUE"""),663723.0)</f>
        <v>663723</v>
      </c>
    </row>
    <row r="2263">
      <c r="A2263" s="2">
        <f>IFERROR(__xludf.DUMMYFUNCTION("""COMPUTED_VALUE"""),43942.64583333333)</f>
        <v>43942.64583</v>
      </c>
      <c r="B2263" s="1">
        <f>IFERROR(__xludf.DUMMYFUNCTION("""COMPUTED_VALUE"""),180500.0)</f>
        <v>180500</v>
      </c>
      <c r="C2263" s="1">
        <f>IFERROR(__xludf.DUMMYFUNCTION("""COMPUTED_VALUE"""),181500.0)</f>
        <v>181500</v>
      </c>
      <c r="D2263" s="1">
        <f>IFERROR(__xludf.DUMMYFUNCTION("""COMPUTED_VALUE"""),173500.0)</f>
        <v>173500</v>
      </c>
      <c r="E2263" s="1">
        <f>IFERROR(__xludf.DUMMYFUNCTION("""COMPUTED_VALUE"""),178500.0)</f>
        <v>178500</v>
      </c>
      <c r="F2263" s="1">
        <f>IFERROR(__xludf.DUMMYFUNCTION("""COMPUTED_VALUE"""),759150.0)</f>
        <v>759150</v>
      </c>
    </row>
    <row r="2264">
      <c r="A2264" s="2">
        <f>IFERROR(__xludf.DUMMYFUNCTION("""COMPUTED_VALUE"""),43943.64583333333)</f>
        <v>43943.64583</v>
      </c>
      <c r="B2264" s="1">
        <f>IFERROR(__xludf.DUMMYFUNCTION("""COMPUTED_VALUE"""),175000.0)</f>
        <v>175000</v>
      </c>
      <c r="C2264" s="1">
        <f>IFERROR(__xludf.DUMMYFUNCTION("""COMPUTED_VALUE"""),182500.0)</f>
        <v>182500</v>
      </c>
      <c r="D2264" s="1">
        <f>IFERROR(__xludf.DUMMYFUNCTION("""COMPUTED_VALUE"""),173000.0)</f>
        <v>173000</v>
      </c>
      <c r="E2264" s="1">
        <f>IFERROR(__xludf.DUMMYFUNCTION("""COMPUTED_VALUE"""),182000.0)</f>
        <v>182000</v>
      </c>
      <c r="F2264" s="1">
        <f>IFERROR(__xludf.DUMMYFUNCTION("""COMPUTED_VALUE"""),611589.0)</f>
        <v>611589</v>
      </c>
    </row>
    <row r="2265">
      <c r="A2265" s="2">
        <f>IFERROR(__xludf.DUMMYFUNCTION("""COMPUTED_VALUE"""),43944.64583333333)</f>
        <v>43944.64583</v>
      </c>
      <c r="B2265" s="1">
        <f>IFERROR(__xludf.DUMMYFUNCTION("""COMPUTED_VALUE"""),190000.0)</f>
        <v>190000</v>
      </c>
      <c r="C2265" s="1">
        <f>IFERROR(__xludf.DUMMYFUNCTION("""COMPUTED_VALUE"""),196000.0)</f>
        <v>196000</v>
      </c>
      <c r="D2265" s="1">
        <f>IFERROR(__xludf.DUMMYFUNCTION("""COMPUTED_VALUE"""),186500.0)</f>
        <v>186500</v>
      </c>
      <c r="E2265" s="1">
        <f>IFERROR(__xludf.DUMMYFUNCTION("""COMPUTED_VALUE"""),190000.0)</f>
        <v>190000</v>
      </c>
      <c r="F2265" s="1">
        <f>IFERROR(__xludf.DUMMYFUNCTION("""COMPUTED_VALUE"""),1521478.0)</f>
        <v>1521478</v>
      </c>
    </row>
    <row r="2266">
      <c r="A2266" s="2">
        <f>IFERROR(__xludf.DUMMYFUNCTION("""COMPUTED_VALUE"""),43945.64583333333)</f>
        <v>43945.64583</v>
      </c>
      <c r="B2266" s="1">
        <f>IFERROR(__xludf.DUMMYFUNCTION("""COMPUTED_VALUE"""),189000.0)</f>
        <v>189000</v>
      </c>
      <c r="C2266" s="1">
        <f>IFERROR(__xludf.DUMMYFUNCTION("""COMPUTED_VALUE"""),197500.0)</f>
        <v>197500</v>
      </c>
      <c r="D2266" s="1">
        <f>IFERROR(__xludf.DUMMYFUNCTION("""COMPUTED_VALUE"""),189000.0)</f>
        <v>189000</v>
      </c>
      <c r="E2266" s="1">
        <f>IFERROR(__xludf.DUMMYFUNCTION("""COMPUTED_VALUE"""),192500.0)</f>
        <v>192500</v>
      </c>
      <c r="F2266" s="1">
        <f>IFERROR(__xludf.DUMMYFUNCTION("""COMPUTED_VALUE"""),928695.0)</f>
        <v>928695</v>
      </c>
    </row>
    <row r="2267">
      <c r="A2267" s="2">
        <f>IFERROR(__xludf.DUMMYFUNCTION("""COMPUTED_VALUE"""),43948.64583333333)</f>
        <v>43948.64583</v>
      </c>
      <c r="B2267" s="1">
        <f>IFERROR(__xludf.DUMMYFUNCTION("""COMPUTED_VALUE"""),193000.0)</f>
        <v>193000</v>
      </c>
      <c r="C2267" s="1">
        <f>IFERROR(__xludf.DUMMYFUNCTION("""COMPUTED_VALUE"""),200000.0)</f>
        <v>200000</v>
      </c>
      <c r="D2267" s="1">
        <f>IFERROR(__xludf.DUMMYFUNCTION("""COMPUTED_VALUE"""),192500.0)</f>
        <v>192500</v>
      </c>
      <c r="E2267" s="1">
        <f>IFERROR(__xludf.DUMMYFUNCTION("""COMPUTED_VALUE"""),197500.0)</f>
        <v>197500</v>
      </c>
      <c r="F2267" s="1">
        <f>IFERROR(__xludf.DUMMYFUNCTION("""COMPUTED_VALUE"""),927347.0)</f>
        <v>927347</v>
      </c>
    </row>
    <row r="2268">
      <c r="A2268" s="2">
        <f>IFERROR(__xludf.DUMMYFUNCTION("""COMPUTED_VALUE"""),43949.64583333333)</f>
        <v>43949.64583</v>
      </c>
      <c r="B2268" s="1">
        <f>IFERROR(__xludf.DUMMYFUNCTION("""COMPUTED_VALUE"""),197500.0)</f>
        <v>197500</v>
      </c>
      <c r="C2268" s="1">
        <f>IFERROR(__xludf.DUMMYFUNCTION("""COMPUTED_VALUE"""),198000.0)</f>
        <v>198000</v>
      </c>
      <c r="D2268" s="1">
        <f>IFERROR(__xludf.DUMMYFUNCTION("""COMPUTED_VALUE"""),194500.0)</f>
        <v>194500</v>
      </c>
      <c r="E2268" s="1">
        <f>IFERROR(__xludf.DUMMYFUNCTION("""COMPUTED_VALUE"""),198000.0)</f>
        <v>198000</v>
      </c>
      <c r="F2268" s="1">
        <f>IFERROR(__xludf.DUMMYFUNCTION("""COMPUTED_VALUE"""),433549.0)</f>
        <v>433549</v>
      </c>
    </row>
    <row r="2269">
      <c r="A2269" s="2">
        <f>IFERROR(__xludf.DUMMYFUNCTION("""COMPUTED_VALUE"""),43950.64583333333)</f>
        <v>43950.64583</v>
      </c>
      <c r="B2269" s="1">
        <f>IFERROR(__xludf.DUMMYFUNCTION("""COMPUTED_VALUE"""),199500.0)</f>
        <v>199500</v>
      </c>
      <c r="C2269" s="1">
        <f>IFERROR(__xludf.DUMMYFUNCTION("""COMPUTED_VALUE"""),200000.0)</f>
        <v>200000</v>
      </c>
      <c r="D2269" s="1">
        <f>IFERROR(__xludf.DUMMYFUNCTION("""COMPUTED_VALUE"""),196500.0)</f>
        <v>196500</v>
      </c>
      <c r="E2269" s="1">
        <f>IFERROR(__xludf.DUMMYFUNCTION("""COMPUTED_VALUE"""),197500.0)</f>
        <v>197500</v>
      </c>
      <c r="F2269" s="1">
        <f>IFERROR(__xludf.DUMMYFUNCTION("""COMPUTED_VALUE"""),676743.0)</f>
        <v>676743</v>
      </c>
    </row>
    <row r="2270">
      <c r="A2270" s="2">
        <f>IFERROR(__xludf.DUMMYFUNCTION("""COMPUTED_VALUE"""),43955.64583333333)</f>
        <v>43955.64583</v>
      </c>
      <c r="B2270" s="1">
        <f>IFERROR(__xludf.DUMMYFUNCTION("""COMPUTED_VALUE"""),198500.0)</f>
        <v>198500</v>
      </c>
      <c r="C2270" s="1">
        <f>IFERROR(__xludf.DUMMYFUNCTION("""COMPUTED_VALUE"""),203000.0)</f>
        <v>203000</v>
      </c>
      <c r="D2270" s="1">
        <f>IFERROR(__xludf.DUMMYFUNCTION("""COMPUTED_VALUE"""),193500.0)</f>
        <v>193500</v>
      </c>
      <c r="E2270" s="1">
        <f>IFERROR(__xludf.DUMMYFUNCTION("""COMPUTED_VALUE"""),199000.0)</f>
        <v>199000</v>
      </c>
      <c r="F2270" s="1">
        <f>IFERROR(__xludf.DUMMYFUNCTION("""COMPUTED_VALUE"""),1104027.0)</f>
        <v>1104027</v>
      </c>
    </row>
    <row r="2271">
      <c r="A2271" s="2">
        <f>IFERROR(__xludf.DUMMYFUNCTION("""COMPUTED_VALUE"""),43957.64583333333)</f>
        <v>43957.64583</v>
      </c>
      <c r="B2271" s="1">
        <f>IFERROR(__xludf.DUMMYFUNCTION("""COMPUTED_VALUE"""),201500.0)</f>
        <v>201500</v>
      </c>
      <c r="C2271" s="1">
        <f>IFERROR(__xludf.DUMMYFUNCTION("""COMPUTED_VALUE"""),212500.0)</f>
        <v>212500</v>
      </c>
      <c r="D2271" s="1">
        <f>IFERROR(__xludf.DUMMYFUNCTION("""COMPUTED_VALUE"""),200500.0)</f>
        <v>200500</v>
      </c>
      <c r="E2271" s="1">
        <f>IFERROR(__xludf.DUMMYFUNCTION("""COMPUTED_VALUE"""),212000.0)</f>
        <v>212000</v>
      </c>
      <c r="F2271" s="1">
        <f>IFERROR(__xludf.DUMMYFUNCTION("""COMPUTED_VALUE"""),992225.0)</f>
        <v>992225</v>
      </c>
    </row>
    <row r="2272">
      <c r="A2272" s="2">
        <f>IFERROR(__xludf.DUMMYFUNCTION("""COMPUTED_VALUE"""),43958.64583333333)</f>
        <v>43958.64583</v>
      </c>
      <c r="B2272" s="1">
        <f>IFERROR(__xludf.DUMMYFUNCTION("""COMPUTED_VALUE"""),211500.0)</f>
        <v>211500</v>
      </c>
      <c r="C2272" s="1">
        <f>IFERROR(__xludf.DUMMYFUNCTION("""COMPUTED_VALUE"""),220000.0)</f>
        <v>220000</v>
      </c>
      <c r="D2272" s="1">
        <f>IFERROR(__xludf.DUMMYFUNCTION("""COMPUTED_VALUE"""),210500.0)</f>
        <v>210500</v>
      </c>
      <c r="E2272" s="1">
        <f>IFERROR(__xludf.DUMMYFUNCTION("""COMPUTED_VALUE"""),215500.0)</f>
        <v>215500</v>
      </c>
      <c r="F2272" s="1">
        <f>IFERROR(__xludf.DUMMYFUNCTION("""COMPUTED_VALUE"""),984024.0)</f>
        <v>984024</v>
      </c>
    </row>
    <row r="2273">
      <c r="A2273" s="2">
        <f>IFERROR(__xludf.DUMMYFUNCTION("""COMPUTED_VALUE"""),43959.64583333333)</f>
        <v>43959.64583</v>
      </c>
      <c r="B2273" s="1">
        <f>IFERROR(__xludf.DUMMYFUNCTION("""COMPUTED_VALUE"""),216000.0)</f>
        <v>216000</v>
      </c>
      <c r="C2273" s="1">
        <f>IFERROR(__xludf.DUMMYFUNCTION("""COMPUTED_VALUE"""),218500.0)</f>
        <v>218500</v>
      </c>
      <c r="D2273" s="1">
        <f>IFERROR(__xludf.DUMMYFUNCTION("""COMPUTED_VALUE"""),212000.0)</f>
        <v>212000</v>
      </c>
      <c r="E2273" s="1">
        <f>IFERROR(__xludf.DUMMYFUNCTION("""COMPUTED_VALUE"""),214000.0)</f>
        <v>214000</v>
      </c>
      <c r="F2273" s="1">
        <f>IFERROR(__xludf.DUMMYFUNCTION("""COMPUTED_VALUE"""),732394.0)</f>
        <v>732394</v>
      </c>
    </row>
    <row r="2274">
      <c r="A2274" s="2">
        <f>IFERROR(__xludf.DUMMYFUNCTION("""COMPUTED_VALUE"""),43962.64583333333)</f>
        <v>43962.64583</v>
      </c>
      <c r="B2274" s="1">
        <f>IFERROR(__xludf.DUMMYFUNCTION("""COMPUTED_VALUE"""),214500.0)</f>
        <v>214500</v>
      </c>
      <c r="C2274" s="1">
        <f>IFERROR(__xludf.DUMMYFUNCTION("""COMPUTED_VALUE"""),221000.0)</f>
        <v>221000</v>
      </c>
      <c r="D2274" s="1">
        <f>IFERROR(__xludf.DUMMYFUNCTION("""COMPUTED_VALUE"""),214000.0)</f>
        <v>214000</v>
      </c>
      <c r="E2274" s="1">
        <f>IFERROR(__xludf.DUMMYFUNCTION("""COMPUTED_VALUE"""),214500.0)</f>
        <v>214500</v>
      </c>
      <c r="F2274" s="1">
        <f>IFERROR(__xludf.DUMMYFUNCTION("""COMPUTED_VALUE"""),599328.0)</f>
        <v>599328</v>
      </c>
    </row>
    <row r="2275">
      <c r="A2275" s="2">
        <f>IFERROR(__xludf.DUMMYFUNCTION("""COMPUTED_VALUE"""),43963.64583333333)</f>
        <v>43963.64583</v>
      </c>
      <c r="B2275" s="1">
        <f>IFERROR(__xludf.DUMMYFUNCTION("""COMPUTED_VALUE"""),218000.0)</f>
        <v>218000</v>
      </c>
      <c r="C2275" s="1">
        <f>IFERROR(__xludf.DUMMYFUNCTION("""COMPUTED_VALUE"""),226500.0)</f>
        <v>226500</v>
      </c>
      <c r="D2275" s="1">
        <f>IFERROR(__xludf.DUMMYFUNCTION("""COMPUTED_VALUE"""),215000.0)</f>
        <v>215000</v>
      </c>
      <c r="E2275" s="1">
        <f>IFERROR(__xludf.DUMMYFUNCTION("""COMPUTED_VALUE"""),219500.0)</f>
        <v>219500</v>
      </c>
      <c r="F2275" s="1">
        <f>IFERROR(__xludf.DUMMYFUNCTION("""COMPUTED_VALUE"""),1056584.0)</f>
        <v>1056584</v>
      </c>
    </row>
    <row r="2276">
      <c r="A2276" s="2">
        <f>IFERROR(__xludf.DUMMYFUNCTION("""COMPUTED_VALUE"""),43964.64583333333)</f>
        <v>43964.64583</v>
      </c>
      <c r="B2276" s="1">
        <f>IFERROR(__xludf.DUMMYFUNCTION("""COMPUTED_VALUE"""),217500.0)</f>
        <v>217500</v>
      </c>
      <c r="C2276" s="1">
        <f>IFERROR(__xludf.DUMMYFUNCTION("""COMPUTED_VALUE"""),222500.0)</f>
        <v>222500</v>
      </c>
      <c r="D2276" s="1">
        <f>IFERROR(__xludf.DUMMYFUNCTION("""COMPUTED_VALUE"""),213500.0)</f>
        <v>213500</v>
      </c>
      <c r="E2276" s="1">
        <f>IFERROR(__xludf.DUMMYFUNCTION("""COMPUTED_VALUE"""),218500.0)</f>
        <v>218500</v>
      </c>
      <c r="F2276" s="1">
        <f>IFERROR(__xludf.DUMMYFUNCTION("""COMPUTED_VALUE"""),1014692.0)</f>
        <v>1014692</v>
      </c>
    </row>
    <row r="2277">
      <c r="A2277" s="2">
        <f>IFERROR(__xludf.DUMMYFUNCTION("""COMPUTED_VALUE"""),43965.64583333333)</f>
        <v>43965.64583</v>
      </c>
      <c r="B2277" s="1">
        <f>IFERROR(__xludf.DUMMYFUNCTION("""COMPUTED_VALUE"""),214500.0)</f>
        <v>214500</v>
      </c>
      <c r="C2277" s="1">
        <f>IFERROR(__xludf.DUMMYFUNCTION("""COMPUTED_VALUE"""),222000.0)</f>
        <v>222000</v>
      </c>
      <c r="D2277" s="1">
        <f>IFERROR(__xludf.DUMMYFUNCTION("""COMPUTED_VALUE"""),214500.0)</f>
        <v>214500</v>
      </c>
      <c r="E2277" s="1">
        <f>IFERROR(__xludf.DUMMYFUNCTION("""COMPUTED_VALUE"""),219000.0)</f>
        <v>219000</v>
      </c>
      <c r="F2277" s="1">
        <f>IFERROR(__xludf.DUMMYFUNCTION("""COMPUTED_VALUE"""),866427.0)</f>
        <v>866427</v>
      </c>
    </row>
    <row r="2278">
      <c r="A2278" s="2">
        <f>IFERROR(__xludf.DUMMYFUNCTION("""COMPUTED_VALUE"""),43966.64583333333)</f>
        <v>43966.64583</v>
      </c>
      <c r="B2278" s="1">
        <f>IFERROR(__xludf.DUMMYFUNCTION("""COMPUTED_VALUE"""),219000.0)</f>
        <v>219000</v>
      </c>
      <c r="C2278" s="1">
        <f>IFERROR(__xludf.DUMMYFUNCTION("""COMPUTED_VALUE"""),219500.0)</f>
        <v>219500</v>
      </c>
      <c r="D2278" s="1">
        <f>IFERROR(__xludf.DUMMYFUNCTION("""COMPUTED_VALUE"""),209500.0)</f>
        <v>209500</v>
      </c>
      <c r="E2278" s="1">
        <f>IFERROR(__xludf.DUMMYFUNCTION("""COMPUTED_VALUE"""),213000.0)</f>
        <v>213000</v>
      </c>
      <c r="F2278" s="1">
        <f>IFERROR(__xludf.DUMMYFUNCTION("""COMPUTED_VALUE"""),1050469.0)</f>
        <v>1050469</v>
      </c>
    </row>
    <row r="2279">
      <c r="A2279" s="2">
        <f>IFERROR(__xludf.DUMMYFUNCTION("""COMPUTED_VALUE"""),43969.64583333333)</f>
        <v>43969.64583</v>
      </c>
      <c r="B2279" s="1">
        <f>IFERROR(__xludf.DUMMYFUNCTION("""COMPUTED_VALUE"""),215000.0)</f>
        <v>215000</v>
      </c>
      <c r="C2279" s="1">
        <f>IFERROR(__xludf.DUMMYFUNCTION("""COMPUTED_VALUE"""),218000.0)</f>
        <v>218000</v>
      </c>
      <c r="D2279" s="1">
        <f>IFERROR(__xludf.DUMMYFUNCTION("""COMPUTED_VALUE"""),211500.0)</f>
        <v>211500</v>
      </c>
      <c r="E2279" s="1">
        <f>IFERROR(__xludf.DUMMYFUNCTION("""COMPUTED_VALUE"""),215000.0)</f>
        <v>215000</v>
      </c>
      <c r="F2279" s="1">
        <f>IFERROR(__xludf.DUMMYFUNCTION("""COMPUTED_VALUE"""),638906.0)</f>
        <v>638906</v>
      </c>
    </row>
    <row r="2280">
      <c r="A2280" s="2">
        <f>IFERROR(__xludf.DUMMYFUNCTION("""COMPUTED_VALUE"""),43970.64583333333)</f>
        <v>43970.64583</v>
      </c>
      <c r="B2280" s="1">
        <f>IFERROR(__xludf.DUMMYFUNCTION("""COMPUTED_VALUE"""),215000.0)</f>
        <v>215000</v>
      </c>
      <c r="C2280" s="1">
        <f>IFERROR(__xludf.DUMMYFUNCTION("""COMPUTED_VALUE"""),216500.0)</f>
        <v>216500</v>
      </c>
      <c r="D2280" s="1">
        <f>IFERROR(__xludf.DUMMYFUNCTION("""COMPUTED_VALUE"""),210500.0)</f>
        <v>210500</v>
      </c>
      <c r="E2280" s="1">
        <f>IFERROR(__xludf.DUMMYFUNCTION("""COMPUTED_VALUE"""),213500.0)</f>
        <v>213500</v>
      </c>
      <c r="F2280" s="1">
        <f>IFERROR(__xludf.DUMMYFUNCTION("""COMPUTED_VALUE"""),917603.0)</f>
        <v>917603</v>
      </c>
    </row>
    <row r="2281">
      <c r="A2281" s="2">
        <f>IFERROR(__xludf.DUMMYFUNCTION("""COMPUTED_VALUE"""),43971.64583333333)</f>
        <v>43971.64583</v>
      </c>
      <c r="B2281" s="1">
        <f>IFERROR(__xludf.DUMMYFUNCTION("""COMPUTED_VALUE"""),215500.0)</f>
        <v>215500</v>
      </c>
      <c r="C2281" s="1">
        <f>IFERROR(__xludf.DUMMYFUNCTION("""COMPUTED_VALUE"""),225500.0)</f>
        <v>225500</v>
      </c>
      <c r="D2281" s="1">
        <f>IFERROR(__xludf.DUMMYFUNCTION("""COMPUTED_VALUE"""),215000.0)</f>
        <v>215000</v>
      </c>
      <c r="E2281" s="1">
        <f>IFERROR(__xludf.DUMMYFUNCTION("""COMPUTED_VALUE"""),222000.0)</f>
        <v>222000</v>
      </c>
      <c r="F2281" s="1">
        <f>IFERROR(__xludf.DUMMYFUNCTION("""COMPUTED_VALUE"""),977544.0)</f>
        <v>977544</v>
      </c>
    </row>
    <row r="2282">
      <c r="A2282" s="2">
        <f>IFERROR(__xludf.DUMMYFUNCTION("""COMPUTED_VALUE"""),43972.64583333333)</f>
        <v>43972.64583</v>
      </c>
      <c r="B2282" s="1">
        <f>IFERROR(__xludf.DUMMYFUNCTION("""COMPUTED_VALUE"""),227500.0)</f>
        <v>227500</v>
      </c>
      <c r="C2282" s="1">
        <f>IFERROR(__xludf.DUMMYFUNCTION("""COMPUTED_VALUE"""),233500.0)</f>
        <v>233500</v>
      </c>
      <c r="D2282" s="1">
        <f>IFERROR(__xludf.DUMMYFUNCTION("""COMPUTED_VALUE"""),222500.0)</f>
        <v>222500</v>
      </c>
      <c r="E2282" s="1">
        <f>IFERROR(__xludf.DUMMYFUNCTION("""COMPUTED_VALUE"""),225000.0)</f>
        <v>225000</v>
      </c>
      <c r="F2282" s="1">
        <f>IFERROR(__xludf.DUMMYFUNCTION("""COMPUTED_VALUE"""),1004395.0)</f>
        <v>1004395</v>
      </c>
    </row>
    <row r="2283">
      <c r="A2283" s="2">
        <f>IFERROR(__xludf.DUMMYFUNCTION("""COMPUTED_VALUE"""),43973.64583333333)</f>
        <v>43973.64583</v>
      </c>
      <c r="B2283" s="1">
        <f>IFERROR(__xludf.DUMMYFUNCTION("""COMPUTED_VALUE"""),227000.0)</f>
        <v>227000</v>
      </c>
      <c r="C2283" s="1">
        <f>IFERROR(__xludf.DUMMYFUNCTION("""COMPUTED_VALUE"""),232500.0)</f>
        <v>232500</v>
      </c>
      <c r="D2283" s="1">
        <f>IFERROR(__xludf.DUMMYFUNCTION("""COMPUTED_VALUE"""),222500.0)</f>
        <v>222500</v>
      </c>
      <c r="E2283" s="1">
        <f>IFERROR(__xludf.DUMMYFUNCTION("""COMPUTED_VALUE"""),230500.0)</f>
        <v>230500</v>
      </c>
      <c r="F2283" s="1">
        <f>IFERROR(__xludf.DUMMYFUNCTION("""COMPUTED_VALUE"""),1108281.0)</f>
        <v>1108281</v>
      </c>
    </row>
    <row r="2284">
      <c r="A2284" s="2">
        <f>IFERROR(__xludf.DUMMYFUNCTION("""COMPUTED_VALUE"""),43976.64583333333)</f>
        <v>43976.64583</v>
      </c>
      <c r="B2284" s="1">
        <f>IFERROR(__xludf.DUMMYFUNCTION("""COMPUTED_VALUE"""),234500.0)</f>
        <v>234500</v>
      </c>
      <c r="C2284" s="1">
        <f>IFERROR(__xludf.DUMMYFUNCTION("""COMPUTED_VALUE"""),241000.0)</f>
        <v>241000</v>
      </c>
      <c r="D2284" s="1">
        <f>IFERROR(__xludf.DUMMYFUNCTION("""COMPUTED_VALUE"""),234000.0)</f>
        <v>234000</v>
      </c>
      <c r="E2284" s="1">
        <f>IFERROR(__xludf.DUMMYFUNCTION("""COMPUTED_VALUE"""),241000.0)</f>
        <v>241000</v>
      </c>
      <c r="F2284" s="1">
        <f>IFERROR(__xludf.DUMMYFUNCTION("""COMPUTED_VALUE"""),1015069.0)</f>
        <v>1015069</v>
      </c>
    </row>
    <row r="2285">
      <c r="A2285" s="2">
        <f>IFERROR(__xludf.DUMMYFUNCTION("""COMPUTED_VALUE"""),43977.64583333333)</f>
        <v>43977.64583</v>
      </c>
      <c r="B2285" s="1">
        <f>IFERROR(__xludf.DUMMYFUNCTION("""COMPUTED_VALUE"""),244000.0)</f>
        <v>244000</v>
      </c>
      <c r="C2285" s="1">
        <f>IFERROR(__xludf.DUMMYFUNCTION("""COMPUTED_VALUE"""),246000.0)</f>
        <v>246000</v>
      </c>
      <c r="D2285" s="1">
        <f>IFERROR(__xludf.DUMMYFUNCTION("""COMPUTED_VALUE"""),230000.0)</f>
        <v>230000</v>
      </c>
      <c r="E2285" s="1">
        <f>IFERROR(__xludf.DUMMYFUNCTION("""COMPUTED_VALUE"""),239000.0)</f>
        <v>239000</v>
      </c>
      <c r="F2285" s="1">
        <f>IFERROR(__xludf.DUMMYFUNCTION("""COMPUTED_VALUE"""),1568016.0)</f>
        <v>1568016</v>
      </c>
    </row>
    <row r="2286">
      <c r="A2286" s="2">
        <f>IFERROR(__xludf.DUMMYFUNCTION("""COMPUTED_VALUE"""),43978.64583333333)</f>
        <v>43978.64583</v>
      </c>
      <c r="B2286" s="1">
        <f>IFERROR(__xludf.DUMMYFUNCTION("""COMPUTED_VALUE"""),231000.0)</f>
        <v>231000</v>
      </c>
      <c r="C2286" s="1">
        <f>IFERROR(__xludf.DUMMYFUNCTION("""COMPUTED_VALUE"""),234500.0)</f>
        <v>234500</v>
      </c>
      <c r="D2286" s="1">
        <f>IFERROR(__xludf.DUMMYFUNCTION("""COMPUTED_VALUE"""),226500.0)</f>
        <v>226500</v>
      </c>
      <c r="E2286" s="1">
        <f>IFERROR(__xludf.DUMMYFUNCTION("""COMPUTED_VALUE"""),228500.0)</f>
        <v>228500</v>
      </c>
      <c r="F2286" s="1">
        <f>IFERROR(__xludf.DUMMYFUNCTION("""COMPUTED_VALUE"""),1351505.0)</f>
        <v>1351505</v>
      </c>
    </row>
    <row r="2287">
      <c r="A2287" s="2">
        <f>IFERROR(__xludf.DUMMYFUNCTION("""COMPUTED_VALUE"""),43979.64583333333)</f>
        <v>43979.64583</v>
      </c>
      <c r="B2287" s="1">
        <f>IFERROR(__xludf.DUMMYFUNCTION("""COMPUTED_VALUE"""),226000.0)</f>
        <v>226000</v>
      </c>
      <c r="C2287" s="1">
        <f>IFERROR(__xludf.DUMMYFUNCTION("""COMPUTED_VALUE"""),241000.0)</f>
        <v>241000</v>
      </c>
      <c r="D2287" s="1">
        <f>IFERROR(__xludf.DUMMYFUNCTION("""COMPUTED_VALUE"""),222000.0)</f>
        <v>222000</v>
      </c>
      <c r="E2287" s="1">
        <f>IFERROR(__xludf.DUMMYFUNCTION("""COMPUTED_VALUE"""),240500.0)</f>
        <v>240500</v>
      </c>
      <c r="F2287" s="1">
        <f>IFERROR(__xludf.DUMMYFUNCTION("""COMPUTED_VALUE"""),1625154.0)</f>
        <v>1625154</v>
      </c>
    </row>
    <row r="2288">
      <c r="A2288" s="2">
        <f>IFERROR(__xludf.DUMMYFUNCTION("""COMPUTED_VALUE"""),43980.64583333333)</f>
        <v>43980.64583</v>
      </c>
      <c r="B2288" s="1">
        <f>IFERROR(__xludf.DUMMYFUNCTION("""COMPUTED_VALUE"""),240000.0)</f>
        <v>240000</v>
      </c>
      <c r="C2288" s="1">
        <f>IFERROR(__xludf.DUMMYFUNCTION("""COMPUTED_VALUE"""),243000.0)</f>
        <v>243000</v>
      </c>
      <c r="D2288" s="1">
        <f>IFERROR(__xludf.DUMMYFUNCTION("""COMPUTED_VALUE"""),226000.0)</f>
        <v>226000</v>
      </c>
      <c r="E2288" s="1">
        <f>IFERROR(__xludf.DUMMYFUNCTION("""COMPUTED_VALUE"""),226000.0)</f>
        <v>226000</v>
      </c>
      <c r="F2288" s="1">
        <f>IFERROR(__xludf.DUMMYFUNCTION("""COMPUTED_VALUE"""),3114298.0)</f>
        <v>3114298</v>
      </c>
    </row>
    <row r="2289">
      <c r="A2289" s="2">
        <f>IFERROR(__xludf.DUMMYFUNCTION("""COMPUTED_VALUE"""),43983.64583333333)</f>
        <v>43983.64583</v>
      </c>
      <c r="B2289" s="1">
        <f>IFERROR(__xludf.DUMMYFUNCTION("""COMPUTED_VALUE"""),233500.0)</f>
        <v>233500</v>
      </c>
      <c r="C2289" s="1">
        <f>IFERROR(__xludf.DUMMYFUNCTION("""COMPUTED_VALUE"""),237000.0)</f>
        <v>237000</v>
      </c>
      <c r="D2289" s="1">
        <f>IFERROR(__xludf.DUMMYFUNCTION("""COMPUTED_VALUE"""),230000.0)</f>
        <v>230000</v>
      </c>
      <c r="E2289" s="1">
        <f>IFERROR(__xludf.DUMMYFUNCTION("""COMPUTED_VALUE"""),237000.0)</f>
        <v>237000</v>
      </c>
      <c r="F2289" s="1">
        <f>IFERROR(__xludf.DUMMYFUNCTION("""COMPUTED_VALUE"""),1140644.0)</f>
        <v>1140644</v>
      </c>
    </row>
    <row r="2290">
      <c r="A2290" s="2">
        <f>IFERROR(__xludf.DUMMYFUNCTION("""COMPUTED_VALUE"""),43984.64583333333)</f>
        <v>43984.64583</v>
      </c>
      <c r="B2290" s="1">
        <f>IFERROR(__xludf.DUMMYFUNCTION("""COMPUTED_VALUE"""),235000.0)</f>
        <v>235000</v>
      </c>
      <c r="C2290" s="1">
        <f>IFERROR(__xludf.DUMMYFUNCTION("""COMPUTED_VALUE"""),236000.0)</f>
        <v>236000</v>
      </c>
      <c r="D2290" s="1">
        <f>IFERROR(__xludf.DUMMYFUNCTION("""COMPUTED_VALUE"""),232000.0)</f>
        <v>232000</v>
      </c>
      <c r="E2290" s="1">
        <f>IFERROR(__xludf.DUMMYFUNCTION("""COMPUTED_VALUE"""),234000.0)</f>
        <v>234000</v>
      </c>
      <c r="F2290" s="1">
        <f>IFERROR(__xludf.DUMMYFUNCTION("""COMPUTED_VALUE"""),689584.0)</f>
        <v>689584</v>
      </c>
    </row>
    <row r="2291">
      <c r="A2291" s="2">
        <f>IFERROR(__xludf.DUMMYFUNCTION("""COMPUTED_VALUE"""),43985.64583333333)</f>
        <v>43985.64583</v>
      </c>
      <c r="B2291" s="1">
        <f>IFERROR(__xludf.DUMMYFUNCTION("""COMPUTED_VALUE"""),235000.0)</f>
        <v>235000</v>
      </c>
      <c r="C2291" s="1">
        <f>IFERROR(__xludf.DUMMYFUNCTION("""COMPUTED_VALUE"""),235500.0)</f>
        <v>235500</v>
      </c>
      <c r="D2291" s="1">
        <f>IFERROR(__xludf.DUMMYFUNCTION("""COMPUTED_VALUE"""),225000.0)</f>
        <v>225000</v>
      </c>
      <c r="E2291" s="1">
        <f>IFERROR(__xludf.DUMMYFUNCTION("""COMPUTED_VALUE"""),225500.0)</f>
        <v>225500</v>
      </c>
      <c r="F2291" s="1">
        <f>IFERROR(__xludf.DUMMYFUNCTION("""COMPUTED_VALUE"""),1476614.0)</f>
        <v>1476614</v>
      </c>
    </row>
    <row r="2292">
      <c r="A2292" s="2">
        <f>IFERROR(__xludf.DUMMYFUNCTION("""COMPUTED_VALUE"""),43986.64583333333)</f>
        <v>43986.64583</v>
      </c>
      <c r="B2292" s="1">
        <f>IFERROR(__xludf.DUMMYFUNCTION("""COMPUTED_VALUE"""),228000.0)</f>
        <v>228000</v>
      </c>
      <c r="C2292" s="1">
        <f>IFERROR(__xludf.DUMMYFUNCTION("""COMPUTED_VALUE"""),235000.0)</f>
        <v>235000</v>
      </c>
      <c r="D2292" s="1">
        <f>IFERROR(__xludf.DUMMYFUNCTION("""COMPUTED_VALUE"""),227000.0)</f>
        <v>227000</v>
      </c>
      <c r="E2292" s="1">
        <f>IFERROR(__xludf.DUMMYFUNCTION("""COMPUTED_VALUE"""),232500.0)</f>
        <v>232500</v>
      </c>
      <c r="F2292" s="1">
        <f>IFERROR(__xludf.DUMMYFUNCTION("""COMPUTED_VALUE"""),1052789.0)</f>
        <v>1052789</v>
      </c>
    </row>
    <row r="2293">
      <c r="A2293" s="2">
        <f>IFERROR(__xludf.DUMMYFUNCTION("""COMPUTED_VALUE"""),43987.64583333333)</f>
        <v>43987.64583</v>
      </c>
      <c r="B2293" s="1">
        <f>IFERROR(__xludf.DUMMYFUNCTION("""COMPUTED_VALUE"""),229000.0)</f>
        <v>229000</v>
      </c>
      <c r="C2293" s="1">
        <f>IFERROR(__xludf.DUMMYFUNCTION("""COMPUTED_VALUE"""),231000.0)</f>
        <v>231000</v>
      </c>
      <c r="D2293" s="1">
        <f>IFERROR(__xludf.DUMMYFUNCTION("""COMPUTED_VALUE"""),225000.0)</f>
        <v>225000</v>
      </c>
      <c r="E2293" s="1">
        <f>IFERROR(__xludf.DUMMYFUNCTION("""COMPUTED_VALUE"""),231000.0)</f>
        <v>231000</v>
      </c>
      <c r="F2293" s="1">
        <f>IFERROR(__xludf.DUMMYFUNCTION("""COMPUTED_VALUE"""),1061922.0)</f>
        <v>1061922</v>
      </c>
    </row>
    <row r="2294">
      <c r="A2294" s="2">
        <f>IFERROR(__xludf.DUMMYFUNCTION("""COMPUTED_VALUE"""),43990.64583333333)</f>
        <v>43990.64583</v>
      </c>
      <c r="B2294" s="1">
        <f>IFERROR(__xludf.DUMMYFUNCTION("""COMPUTED_VALUE"""),234500.0)</f>
        <v>234500</v>
      </c>
      <c r="C2294" s="1">
        <f>IFERROR(__xludf.DUMMYFUNCTION("""COMPUTED_VALUE"""),242000.0)</f>
        <v>242000</v>
      </c>
      <c r="D2294" s="1">
        <f>IFERROR(__xludf.DUMMYFUNCTION("""COMPUTED_VALUE"""),231000.0)</f>
        <v>231000</v>
      </c>
      <c r="E2294" s="1">
        <f>IFERROR(__xludf.DUMMYFUNCTION("""COMPUTED_VALUE"""),240500.0)</f>
        <v>240500</v>
      </c>
      <c r="F2294" s="1">
        <f>IFERROR(__xludf.DUMMYFUNCTION("""COMPUTED_VALUE"""),1624752.0)</f>
        <v>1624752</v>
      </c>
    </row>
    <row r="2295">
      <c r="A2295" s="2">
        <f>IFERROR(__xludf.DUMMYFUNCTION("""COMPUTED_VALUE"""),43991.64583333333)</f>
        <v>43991.64583</v>
      </c>
      <c r="B2295" s="1">
        <f>IFERROR(__xludf.DUMMYFUNCTION("""COMPUTED_VALUE"""),240000.0)</f>
        <v>240000</v>
      </c>
      <c r="C2295" s="1">
        <f>IFERROR(__xludf.DUMMYFUNCTION("""COMPUTED_VALUE"""),243000.0)</f>
        <v>243000</v>
      </c>
      <c r="D2295" s="1">
        <f>IFERROR(__xludf.DUMMYFUNCTION("""COMPUTED_VALUE"""),235500.0)</f>
        <v>235500</v>
      </c>
      <c r="E2295" s="1">
        <f>IFERROR(__xludf.DUMMYFUNCTION("""COMPUTED_VALUE"""),237500.0)</f>
        <v>237500</v>
      </c>
      <c r="F2295" s="1">
        <f>IFERROR(__xludf.DUMMYFUNCTION("""COMPUTED_VALUE"""),934440.0)</f>
        <v>934440</v>
      </c>
    </row>
    <row r="2296">
      <c r="A2296" s="2">
        <f>IFERROR(__xludf.DUMMYFUNCTION("""COMPUTED_VALUE"""),43992.64583333333)</f>
        <v>43992.64583</v>
      </c>
      <c r="B2296" s="1">
        <f>IFERROR(__xludf.DUMMYFUNCTION("""COMPUTED_VALUE"""),241000.0)</f>
        <v>241000</v>
      </c>
      <c r="C2296" s="1">
        <f>IFERROR(__xludf.DUMMYFUNCTION("""COMPUTED_VALUE"""),247500.0)</f>
        <v>247500</v>
      </c>
      <c r="D2296" s="1">
        <f>IFERROR(__xludf.DUMMYFUNCTION("""COMPUTED_VALUE"""),240000.0)</f>
        <v>240000</v>
      </c>
      <c r="E2296" s="1">
        <f>IFERROR(__xludf.DUMMYFUNCTION("""COMPUTED_VALUE"""),244000.0)</f>
        <v>244000</v>
      </c>
      <c r="F2296" s="1">
        <f>IFERROR(__xludf.DUMMYFUNCTION("""COMPUTED_VALUE"""),1431071.0)</f>
        <v>1431071</v>
      </c>
    </row>
    <row r="2297">
      <c r="A2297" s="2">
        <f>IFERROR(__xludf.DUMMYFUNCTION("""COMPUTED_VALUE"""),43993.64583333333)</f>
        <v>43993.64583</v>
      </c>
      <c r="B2297" s="1">
        <f>IFERROR(__xludf.DUMMYFUNCTION("""COMPUTED_VALUE"""),244000.0)</f>
        <v>244000</v>
      </c>
      <c r="C2297" s="1">
        <f>IFERROR(__xludf.DUMMYFUNCTION("""COMPUTED_VALUE"""),249000.0)</f>
        <v>249000</v>
      </c>
      <c r="D2297" s="1">
        <f>IFERROR(__xludf.DUMMYFUNCTION("""COMPUTED_VALUE"""),239000.0)</f>
        <v>239000</v>
      </c>
      <c r="E2297" s="1">
        <f>IFERROR(__xludf.DUMMYFUNCTION("""COMPUTED_VALUE"""),240500.0)</f>
        <v>240500</v>
      </c>
      <c r="F2297" s="1">
        <f>IFERROR(__xludf.DUMMYFUNCTION("""COMPUTED_VALUE"""),1423978.0)</f>
        <v>1423978</v>
      </c>
    </row>
    <row r="2298">
      <c r="A2298" s="2">
        <f>IFERROR(__xludf.DUMMYFUNCTION("""COMPUTED_VALUE"""),43994.64583333333)</f>
        <v>43994.64583</v>
      </c>
      <c r="B2298" s="1">
        <f>IFERROR(__xludf.DUMMYFUNCTION("""COMPUTED_VALUE"""),229000.0)</f>
        <v>229000</v>
      </c>
      <c r="C2298" s="1">
        <f>IFERROR(__xludf.DUMMYFUNCTION("""COMPUTED_VALUE"""),242500.0)</f>
        <v>242500</v>
      </c>
      <c r="D2298" s="1">
        <f>IFERROR(__xludf.DUMMYFUNCTION("""COMPUTED_VALUE"""),228500.0)</f>
        <v>228500</v>
      </c>
      <c r="E2298" s="1">
        <f>IFERROR(__xludf.DUMMYFUNCTION("""COMPUTED_VALUE"""),242000.0)</f>
        <v>242000</v>
      </c>
      <c r="F2298" s="1">
        <f>IFERROR(__xludf.DUMMYFUNCTION("""COMPUTED_VALUE"""),1318334.0)</f>
        <v>1318334</v>
      </c>
    </row>
    <row r="2299">
      <c r="A2299" s="2">
        <f>IFERROR(__xludf.DUMMYFUNCTION("""COMPUTED_VALUE"""),43997.64583333333)</f>
        <v>43997.64583</v>
      </c>
      <c r="B2299" s="1">
        <f>IFERROR(__xludf.DUMMYFUNCTION("""COMPUTED_VALUE"""),240000.0)</f>
        <v>240000</v>
      </c>
      <c r="C2299" s="1">
        <f>IFERROR(__xludf.DUMMYFUNCTION("""COMPUTED_VALUE"""),244500.0)</f>
        <v>244500</v>
      </c>
      <c r="D2299" s="1">
        <f>IFERROR(__xludf.DUMMYFUNCTION("""COMPUTED_VALUE"""),230500.0)</f>
        <v>230500</v>
      </c>
      <c r="E2299" s="1">
        <f>IFERROR(__xludf.DUMMYFUNCTION("""COMPUTED_VALUE"""),231500.0)</f>
        <v>231500</v>
      </c>
      <c r="F2299" s="1">
        <f>IFERROR(__xludf.DUMMYFUNCTION("""COMPUTED_VALUE"""),1311773.0)</f>
        <v>1311773</v>
      </c>
    </row>
    <row r="2300">
      <c r="A2300" s="2">
        <f>IFERROR(__xludf.DUMMYFUNCTION("""COMPUTED_VALUE"""),43998.64583333333)</f>
        <v>43998.64583</v>
      </c>
      <c r="B2300" s="1">
        <f>IFERROR(__xludf.DUMMYFUNCTION("""COMPUTED_VALUE"""),239000.0)</f>
        <v>239000</v>
      </c>
      <c r="C2300" s="1">
        <f>IFERROR(__xludf.DUMMYFUNCTION("""COMPUTED_VALUE"""),243500.0)</f>
        <v>243500</v>
      </c>
      <c r="D2300" s="1">
        <f>IFERROR(__xludf.DUMMYFUNCTION("""COMPUTED_VALUE"""),236000.0)</f>
        <v>236000</v>
      </c>
      <c r="E2300" s="1">
        <f>IFERROR(__xludf.DUMMYFUNCTION("""COMPUTED_VALUE"""),243500.0)</f>
        <v>243500</v>
      </c>
      <c r="F2300" s="1">
        <f>IFERROR(__xludf.DUMMYFUNCTION("""COMPUTED_VALUE"""),1155474.0)</f>
        <v>1155474</v>
      </c>
    </row>
    <row r="2301">
      <c r="A2301" s="2">
        <f>IFERROR(__xludf.DUMMYFUNCTION("""COMPUTED_VALUE"""),43999.64583333333)</f>
        <v>43999.64583</v>
      </c>
      <c r="B2301" s="1">
        <f>IFERROR(__xludf.DUMMYFUNCTION("""COMPUTED_VALUE"""),244000.0)</f>
        <v>244000</v>
      </c>
      <c r="C2301" s="1">
        <f>IFERROR(__xludf.DUMMYFUNCTION("""COMPUTED_VALUE"""),252000.0)</f>
        <v>252000</v>
      </c>
      <c r="D2301" s="1">
        <f>IFERROR(__xludf.DUMMYFUNCTION("""COMPUTED_VALUE"""),243500.0)</f>
        <v>243500</v>
      </c>
      <c r="E2301" s="1">
        <f>IFERROR(__xludf.DUMMYFUNCTION("""COMPUTED_VALUE"""),251000.0)</f>
        <v>251000</v>
      </c>
      <c r="F2301" s="1">
        <f>IFERROR(__xludf.DUMMYFUNCTION("""COMPUTED_VALUE"""),1357900.0)</f>
        <v>1357900</v>
      </c>
    </row>
    <row r="2302">
      <c r="A2302" s="2">
        <f>IFERROR(__xludf.DUMMYFUNCTION("""COMPUTED_VALUE"""),44000.64583333333)</f>
        <v>44000.64583</v>
      </c>
      <c r="B2302" s="1">
        <f>IFERROR(__xludf.DUMMYFUNCTION("""COMPUTED_VALUE"""),251500.0)</f>
        <v>251500</v>
      </c>
      <c r="C2302" s="1">
        <f>IFERROR(__xludf.DUMMYFUNCTION("""COMPUTED_VALUE"""),254000.0)</f>
        <v>254000</v>
      </c>
      <c r="D2302" s="1">
        <f>IFERROR(__xludf.DUMMYFUNCTION("""COMPUTED_VALUE"""),247000.0)</f>
        <v>247000</v>
      </c>
      <c r="E2302" s="1">
        <f>IFERROR(__xludf.DUMMYFUNCTION("""COMPUTED_VALUE"""),247500.0)</f>
        <v>247500</v>
      </c>
      <c r="F2302" s="1">
        <f>IFERROR(__xludf.DUMMYFUNCTION("""COMPUTED_VALUE"""),744330.0)</f>
        <v>744330</v>
      </c>
    </row>
    <row r="2303">
      <c r="A2303" s="2">
        <f>IFERROR(__xludf.DUMMYFUNCTION("""COMPUTED_VALUE"""),44001.64583333333)</f>
        <v>44001.64583</v>
      </c>
      <c r="B2303" s="1">
        <f>IFERROR(__xludf.DUMMYFUNCTION("""COMPUTED_VALUE"""),250000.0)</f>
        <v>250000</v>
      </c>
      <c r="C2303" s="1">
        <f>IFERROR(__xludf.DUMMYFUNCTION("""COMPUTED_VALUE"""),250000.0)</f>
        <v>250000</v>
      </c>
      <c r="D2303" s="1">
        <f>IFERROR(__xludf.DUMMYFUNCTION("""COMPUTED_VALUE"""),244000.0)</f>
        <v>244000</v>
      </c>
      <c r="E2303" s="1">
        <f>IFERROR(__xludf.DUMMYFUNCTION("""COMPUTED_VALUE"""),249500.0)</f>
        <v>249500</v>
      </c>
      <c r="F2303" s="1">
        <f>IFERROR(__xludf.DUMMYFUNCTION("""COMPUTED_VALUE"""),919945.0)</f>
        <v>919945</v>
      </c>
    </row>
    <row r="2304">
      <c r="A2304" s="2">
        <f>IFERROR(__xludf.DUMMYFUNCTION("""COMPUTED_VALUE"""),44004.64583333333)</f>
        <v>44004.64583</v>
      </c>
      <c r="B2304" s="1">
        <f>IFERROR(__xludf.DUMMYFUNCTION("""COMPUTED_VALUE"""),249500.0)</f>
        <v>249500</v>
      </c>
      <c r="C2304" s="1">
        <f>IFERROR(__xludf.DUMMYFUNCTION("""COMPUTED_VALUE"""),271500.0)</f>
        <v>271500</v>
      </c>
      <c r="D2304" s="1">
        <f>IFERROR(__xludf.DUMMYFUNCTION("""COMPUTED_VALUE"""),247500.0)</f>
        <v>247500</v>
      </c>
      <c r="E2304" s="1">
        <f>IFERROR(__xludf.DUMMYFUNCTION("""COMPUTED_VALUE"""),270000.0)</f>
        <v>270000</v>
      </c>
      <c r="F2304" s="1">
        <f>IFERROR(__xludf.DUMMYFUNCTION("""COMPUTED_VALUE"""),1841479.0)</f>
        <v>1841479</v>
      </c>
    </row>
    <row r="2305">
      <c r="A2305" s="2">
        <f>IFERROR(__xludf.DUMMYFUNCTION("""COMPUTED_VALUE"""),44005.64583333333)</f>
        <v>44005.64583</v>
      </c>
      <c r="B2305" s="1">
        <f>IFERROR(__xludf.DUMMYFUNCTION("""COMPUTED_VALUE"""),272000.0)</f>
        <v>272000</v>
      </c>
      <c r="C2305" s="1">
        <f>IFERROR(__xludf.DUMMYFUNCTION("""COMPUTED_VALUE"""),289000.0)</f>
        <v>289000</v>
      </c>
      <c r="D2305" s="1">
        <f>IFERROR(__xludf.DUMMYFUNCTION("""COMPUTED_VALUE"""),270500.0)</f>
        <v>270500</v>
      </c>
      <c r="E2305" s="1">
        <f>IFERROR(__xludf.DUMMYFUNCTION("""COMPUTED_VALUE"""),276000.0)</f>
        <v>276000</v>
      </c>
      <c r="F2305" s="1">
        <f>IFERROR(__xludf.DUMMYFUNCTION("""COMPUTED_VALUE"""),2104075.0)</f>
        <v>2104075</v>
      </c>
    </row>
    <row r="2306">
      <c r="A2306" s="2">
        <f>IFERROR(__xludf.DUMMYFUNCTION("""COMPUTED_VALUE"""),44006.64583333333)</f>
        <v>44006.64583</v>
      </c>
      <c r="B2306" s="1">
        <f>IFERROR(__xludf.DUMMYFUNCTION("""COMPUTED_VALUE"""),273500.0)</f>
        <v>273500</v>
      </c>
      <c r="C2306" s="1">
        <f>IFERROR(__xludf.DUMMYFUNCTION("""COMPUTED_VALUE"""),279500.0)</f>
        <v>279500</v>
      </c>
      <c r="D2306" s="1">
        <f>IFERROR(__xludf.DUMMYFUNCTION("""COMPUTED_VALUE"""),270500.0)</f>
        <v>270500</v>
      </c>
      <c r="E2306" s="1">
        <f>IFERROR(__xludf.DUMMYFUNCTION("""COMPUTED_VALUE"""),279000.0)</f>
        <v>279000</v>
      </c>
      <c r="F2306" s="1">
        <f>IFERROR(__xludf.DUMMYFUNCTION("""COMPUTED_VALUE"""),995065.0)</f>
        <v>995065</v>
      </c>
    </row>
    <row r="2307">
      <c r="A2307" s="2">
        <f>IFERROR(__xludf.DUMMYFUNCTION("""COMPUTED_VALUE"""),44007.64583333333)</f>
        <v>44007.64583</v>
      </c>
      <c r="B2307" s="1">
        <f>IFERROR(__xludf.DUMMYFUNCTION("""COMPUTED_VALUE"""),273500.0)</f>
        <v>273500</v>
      </c>
      <c r="C2307" s="1">
        <f>IFERROR(__xludf.DUMMYFUNCTION("""COMPUTED_VALUE"""),276500.0)</f>
        <v>276500</v>
      </c>
      <c r="D2307" s="1">
        <f>IFERROR(__xludf.DUMMYFUNCTION("""COMPUTED_VALUE"""),269500.0)</f>
        <v>269500</v>
      </c>
      <c r="E2307" s="1">
        <f>IFERROR(__xludf.DUMMYFUNCTION("""COMPUTED_VALUE"""),269500.0)</f>
        <v>269500</v>
      </c>
      <c r="F2307" s="1">
        <f>IFERROR(__xludf.DUMMYFUNCTION("""COMPUTED_VALUE"""),1196267.0)</f>
        <v>1196267</v>
      </c>
    </row>
    <row r="2308">
      <c r="A2308" s="2">
        <f>IFERROR(__xludf.DUMMYFUNCTION("""COMPUTED_VALUE"""),44008.64583333333)</f>
        <v>44008.64583</v>
      </c>
      <c r="B2308" s="1">
        <f>IFERROR(__xludf.DUMMYFUNCTION("""COMPUTED_VALUE"""),274500.0)</f>
        <v>274500</v>
      </c>
      <c r="C2308" s="1">
        <f>IFERROR(__xludf.DUMMYFUNCTION("""COMPUTED_VALUE"""),275000.0)</f>
        <v>275000</v>
      </c>
      <c r="D2308" s="1">
        <f>IFERROR(__xludf.DUMMYFUNCTION("""COMPUTED_VALUE"""),263000.0)</f>
        <v>263000</v>
      </c>
      <c r="E2308" s="1">
        <f>IFERROR(__xludf.DUMMYFUNCTION("""COMPUTED_VALUE"""),269000.0)</f>
        <v>269000</v>
      </c>
      <c r="F2308" s="1">
        <f>IFERROR(__xludf.DUMMYFUNCTION("""COMPUTED_VALUE"""),937593.0)</f>
        <v>937593</v>
      </c>
    </row>
    <row r="2309">
      <c r="A2309" s="2">
        <f>IFERROR(__xludf.DUMMYFUNCTION("""COMPUTED_VALUE"""),44011.64583333333)</f>
        <v>44011.64583</v>
      </c>
      <c r="B2309" s="1">
        <f>IFERROR(__xludf.DUMMYFUNCTION("""COMPUTED_VALUE"""),265000.0)</f>
        <v>265000</v>
      </c>
      <c r="C2309" s="1">
        <f>IFERROR(__xludf.DUMMYFUNCTION("""COMPUTED_VALUE"""),270500.0)</f>
        <v>270500</v>
      </c>
      <c r="D2309" s="1">
        <f>IFERROR(__xludf.DUMMYFUNCTION("""COMPUTED_VALUE"""),261000.0)</f>
        <v>261000</v>
      </c>
      <c r="E2309" s="1">
        <f>IFERROR(__xludf.DUMMYFUNCTION("""COMPUTED_VALUE"""),264000.0)</f>
        <v>264000</v>
      </c>
      <c r="F2309" s="1">
        <f>IFERROR(__xludf.DUMMYFUNCTION("""COMPUTED_VALUE"""),814814.0)</f>
        <v>814814</v>
      </c>
    </row>
    <row r="2310">
      <c r="A2310" s="2">
        <f>IFERROR(__xludf.DUMMYFUNCTION("""COMPUTED_VALUE"""),44012.64583333333)</f>
        <v>44012.64583</v>
      </c>
      <c r="B2310" s="1">
        <f>IFERROR(__xludf.DUMMYFUNCTION("""COMPUTED_VALUE"""),268000.0)</f>
        <v>268000</v>
      </c>
      <c r="C2310" s="1">
        <f>IFERROR(__xludf.DUMMYFUNCTION("""COMPUTED_VALUE"""),270500.0)</f>
        <v>270500</v>
      </c>
      <c r="D2310" s="1">
        <f>IFERROR(__xludf.DUMMYFUNCTION("""COMPUTED_VALUE"""),263000.0)</f>
        <v>263000</v>
      </c>
      <c r="E2310" s="1">
        <f>IFERROR(__xludf.DUMMYFUNCTION("""COMPUTED_VALUE"""),267000.0)</f>
        <v>267000</v>
      </c>
      <c r="F2310" s="1">
        <f>IFERROR(__xludf.DUMMYFUNCTION("""COMPUTED_VALUE"""),862860.0)</f>
        <v>862860</v>
      </c>
    </row>
    <row r="2311">
      <c r="A2311" s="2">
        <f>IFERROR(__xludf.DUMMYFUNCTION("""COMPUTED_VALUE"""),44013.64583333333)</f>
        <v>44013.64583</v>
      </c>
      <c r="B2311" s="1">
        <f>IFERROR(__xludf.DUMMYFUNCTION("""COMPUTED_VALUE"""),270000.0)</f>
        <v>270000</v>
      </c>
      <c r="C2311" s="1">
        <f>IFERROR(__xludf.DUMMYFUNCTION("""COMPUTED_VALUE"""),275000.0)</f>
        <v>275000</v>
      </c>
      <c r="D2311" s="1">
        <f>IFERROR(__xludf.DUMMYFUNCTION("""COMPUTED_VALUE"""),266000.0)</f>
        <v>266000</v>
      </c>
      <c r="E2311" s="1">
        <f>IFERROR(__xludf.DUMMYFUNCTION("""COMPUTED_VALUE"""),269000.0)</f>
        <v>269000</v>
      </c>
      <c r="F2311" s="1">
        <f>IFERROR(__xludf.DUMMYFUNCTION("""COMPUTED_VALUE"""),655711.0)</f>
        <v>655711</v>
      </c>
    </row>
    <row r="2312">
      <c r="A2312" s="2">
        <f>IFERROR(__xludf.DUMMYFUNCTION("""COMPUTED_VALUE"""),44014.64583333333)</f>
        <v>44014.64583</v>
      </c>
      <c r="B2312" s="1">
        <f>IFERROR(__xludf.DUMMYFUNCTION("""COMPUTED_VALUE"""),274000.0)</f>
        <v>274000</v>
      </c>
      <c r="C2312" s="1">
        <f>IFERROR(__xludf.DUMMYFUNCTION("""COMPUTED_VALUE"""),277000.0)</f>
        <v>277000</v>
      </c>
      <c r="D2312" s="1">
        <f>IFERROR(__xludf.DUMMYFUNCTION("""COMPUTED_VALUE"""),271000.0)</f>
        <v>271000</v>
      </c>
      <c r="E2312" s="1">
        <f>IFERROR(__xludf.DUMMYFUNCTION("""COMPUTED_VALUE"""),277000.0)</f>
        <v>277000</v>
      </c>
      <c r="F2312" s="1">
        <f>IFERROR(__xludf.DUMMYFUNCTION("""COMPUTED_VALUE"""),1015829.0)</f>
        <v>1015829</v>
      </c>
    </row>
    <row r="2313">
      <c r="A2313" s="2">
        <f>IFERROR(__xludf.DUMMYFUNCTION("""COMPUTED_VALUE"""),44015.64583333333)</f>
        <v>44015.64583</v>
      </c>
      <c r="B2313" s="1">
        <f>IFERROR(__xludf.DUMMYFUNCTION("""COMPUTED_VALUE"""),276500.0)</f>
        <v>276500</v>
      </c>
      <c r="C2313" s="1">
        <f>IFERROR(__xludf.DUMMYFUNCTION("""COMPUTED_VALUE"""),280500.0)</f>
        <v>280500</v>
      </c>
      <c r="D2313" s="1">
        <f>IFERROR(__xludf.DUMMYFUNCTION("""COMPUTED_VALUE"""),274500.0)</f>
        <v>274500</v>
      </c>
      <c r="E2313" s="1">
        <f>IFERROR(__xludf.DUMMYFUNCTION("""COMPUTED_VALUE"""),277500.0)</f>
        <v>277500</v>
      </c>
      <c r="F2313" s="1">
        <f>IFERROR(__xludf.DUMMYFUNCTION("""COMPUTED_VALUE"""),971940.0)</f>
        <v>971940</v>
      </c>
    </row>
    <row r="2314">
      <c r="A2314" s="2">
        <f>IFERROR(__xludf.DUMMYFUNCTION("""COMPUTED_VALUE"""),44018.64583333333)</f>
        <v>44018.64583</v>
      </c>
      <c r="B2314" s="1">
        <f>IFERROR(__xludf.DUMMYFUNCTION("""COMPUTED_VALUE"""),278000.0)</f>
        <v>278000</v>
      </c>
      <c r="C2314" s="1">
        <f>IFERROR(__xludf.DUMMYFUNCTION("""COMPUTED_VALUE"""),287500.0)</f>
        <v>287500</v>
      </c>
      <c r="D2314" s="1">
        <f>IFERROR(__xludf.DUMMYFUNCTION("""COMPUTED_VALUE"""),278000.0)</f>
        <v>278000</v>
      </c>
      <c r="E2314" s="1">
        <f>IFERROR(__xludf.DUMMYFUNCTION("""COMPUTED_VALUE"""),281500.0)</f>
        <v>281500</v>
      </c>
      <c r="F2314" s="1">
        <f>IFERROR(__xludf.DUMMYFUNCTION("""COMPUTED_VALUE"""),1211636.0)</f>
        <v>1211636</v>
      </c>
    </row>
    <row r="2315">
      <c r="A2315" s="2">
        <f>IFERROR(__xludf.DUMMYFUNCTION("""COMPUTED_VALUE"""),44019.64583333333)</f>
        <v>44019.64583</v>
      </c>
      <c r="B2315" s="1">
        <f>IFERROR(__xludf.DUMMYFUNCTION("""COMPUTED_VALUE"""),285000.0)</f>
        <v>285000</v>
      </c>
      <c r="C2315" s="1">
        <f>IFERROR(__xludf.DUMMYFUNCTION("""COMPUTED_VALUE"""),289500.0)</f>
        <v>289500</v>
      </c>
      <c r="D2315" s="1">
        <f>IFERROR(__xludf.DUMMYFUNCTION("""COMPUTED_VALUE"""),279000.0)</f>
        <v>279000</v>
      </c>
      <c r="E2315" s="1">
        <f>IFERROR(__xludf.DUMMYFUNCTION("""COMPUTED_VALUE"""),279500.0)</f>
        <v>279500</v>
      </c>
      <c r="F2315" s="1">
        <f>IFERROR(__xludf.DUMMYFUNCTION("""COMPUTED_VALUE"""),1365047.0)</f>
        <v>1365047</v>
      </c>
    </row>
    <row r="2316">
      <c r="A2316" s="2">
        <f>IFERROR(__xludf.DUMMYFUNCTION("""COMPUTED_VALUE"""),44020.64583333333)</f>
        <v>44020.64583</v>
      </c>
      <c r="B2316" s="1">
        <f>IFERROR(__xludf.DUMMYFUNCTION("""COMPUTED_VALUE"""),280000.0)</f>
        <v>280000</v>
      </c>
      <c r="C2316" s="1">
        <f>IFERROR(__xludf.DUMMYFUNCTION("""COMPUTED_VALUE"""),284500.0)</f>
        <v>284500</v>
      </c>
      <c r="D2316" s="1">
        <f>IFERROR(__xludf.DUMMYFUNCTION("""COMPUTED_VALUE"""),274000.0)</f>
        <v>274000</v>
      </c>
      <c r="E2316" s="1">
        <f>IFERROR(__xludf.DUMMYFUNCTION("""COMPUTED_VALUE"""),282500.0)</f>
        <v>282500</v>
      </c>
      <c r="F2316" s="1">
        <f>IFERROR(__xludf.DUMMYFUNCTION("""COMPUTED_VALUE"""),1353345.0)</f>
        <v>1353345</v>
      </c>
    </row>
    <row r="2317">
      <c r="A2317" s="2">
        <f>IFERROR(__xludf.DUMMYFUNCTION("""COMPUTED_VALUE"""),44021.64583333333)</f>
        <v>44021.64583</v>
      </c>
      <c r="B2317" s="1">
        <f>IFERROR(__xludf.DUMMYFUNCTION("""COMPUTED_VALUE"""),286500.0)</f>
        <v>286500</v>
      </c>
      <c r="C2317" s="1">
        <f>IFERROR(__xludf.DUMMYFUNCTION("""COMPUTED_VALUE"""),296500.0)</f>
        <v>296500</v>
      </c>
      <c r="D2317" s="1">
        <f>IFERROR(__xludf.DUMMYFUNCTION("""COMPUTED_VALUE"""),284500.0)</f>
        <v>284500</v>
      </c>
      <c r="E2317" s="1">
        <f>IFERROR(__xludf.DUMMYFUNCTION("""COMPUTED_VALUE"""),287500.0)</f>
        <v>287500</v>
      </c>
      <c r="F2317" s="1">
        <f>IFERROR(__xludf.DUMMYFUNCTION("""COMPUTED_VALUE"""),2006662.0)</f>
        <v>2006662</v>
      </c>
    </row>
    <row r="2318">
      <c r="A2318" s="2">
        <f>IFERROR(__xludf.DUMMYFUNCTION("""COMPUTED_VALUE"""),44022.64583333333)</f>
        <v>44022.64583</v>
      </c>
      <c r="B2318" s="1">
        <f>IFERROR(__xludf.DUMMYFUNCTION("""COMPUTED_VALUE"""),291500.0)</f>
        <v>291500</v>
      </c>
      <c r="C2318" s="1">
        <f>IFERROR(__xludf.DUMMYFUNCTION("""COMPUTED_VALUE"""),308500.0)</f>
        <v>308500</v>
      </c>
      <c r="D2318" s="1">
        <f>IFERROR(__xludf.DUMMYFUNCTION("""COMPUTED_VALUE"""),290000.0)</f>
        <v>290000</v>
      </c>
      <c r="E2318" s="1">
        <f>IFERROR(__xludf.DUMMYFUNCTION("""COMPUTED_VALUE"""),299000.0)</f>
        <v>299000</v>
      </c>
      <c r="F2318" s="1">
        <f>IFERROR(__xludf.DUMMYFUNCTION("""COMPUTED_VALUE"""),2120904.0)</f>
        <v>2120904</v>
      </c>
    </row>
    <row r="2319">
      <c r="A2319" s="2">
        <f>IFERROR(__xludf.DUMMYFUNCTION("""COMPUTED_VALUE"""),44025.64583333333)</f>
        <v>44025.64583</v>
      </c>
      <c r="B2319" s="1">
        <f>IFERROR(__xludf.DUMMYFUNCTION("""COMPUTED_VALUE"""),303500.0)</f>
        <v>303500</v>
      </c>
      <c r="C2319" s="1">
        <f>IFERROR(__xludf.DUMMYFUNCTION("""COMPUTED_VALUE"""),303500.0)</f>
        <v>303500</v>
      </c>
      <c r="D2319" s="1">
        <f>IFERROR(__xludf.DUMMYFUNCTION("""COMPUTED_VALUE"""),288000.0)</f>
        <v>288000</v>
      </c>
      <c r="E2319" s="1">
        <f>IFERROR(__xludf.DUMMYFUNCTION("""COMPUTED_VALUE"""),297000.0)</f>
        <v>297000</v>
      </c>
      <c r="F2319" s="1">
        <f>IFERROR(__xludf.DUMMYFUNCTION("""COMPUTED_VALUE"""),1254800.0)</f>
        <v>1254800</v>
      </c>
    </row>
    <row r="2320">
      <c r="A2320" s="2">
        <f>IFERROR(__xludf.DUMMYFUNCTION("""COMPUTED_VALUE"""),44026.64583333333)</f>
        <v>44026.64583</v>
      </c>
      <c r="B2320" s="1">
        <f>IFERROR(__xludf.DUMMYFUNCTION("""COMPUTED_VALUE"""),290000.0)</f>
        <v>290000</v>
      </c>
      <c r="C2320" s="1">
        <f>IFERROR(__xludf.DUMMYFUNCTION("""COMPUTED_VALUE"""),291000.0)</f>
        <v>291000</v>
      </c>
      <c r="D2320" s="1">
        <f>IFERROR(__xludf.DUMMYFUNCTION("""COMPUTED_VALUE"""),285000.0)</f>
        <v>285000</v>
      </c>
      <c r="E2320" s="1">
        <f>IFERROR(__xludf.DUMMYFUNCTION("""COMPUTED_VALUE"""),287000.0)</f>
        <v>287000</v>
      </c>
      <c r="F2320" s="1">
        <f>IFERROR(__xludf.DUMMYFUNCTION("""COMPUTED_VALUE"""),1360849.0)</f>
        <v>1360849</v>
      </c>
    </row>
    <row r="2321">
      <c r="A2321" s="2">
        <f>IFERROR(__xludf.DUMMYFUNCTION("""COMPUTED_VALUE"""),44027.64583333333)</f>
        <v>44027.64583</v>
      </c>
      <c r="B2321" s="1">
        <f>IFERROR(__xludf.DUMMYFUNCTION("""COMPUTED_VALUE"""),290500.0)</f>
        <v>290500</v>
      </c>
      <c r="C2321" s="1">
        <f>IFERROR(__xludf.DUMMYFUNCTION("""COMPUTED_VALUE"""),293000.0)</f>
        <v>293000</v>
      </c>
      <c r="D2321" s="1">
        <f>IFERROR(__xludf.DUMMYFUNCTION("""COMPUTED_VALUE"""),280500.0)</f>
        <v>280500</v>
      </c>
      <c r="E2321" s="1">
        <f>IFERROR(__xludf.DUMMYFUNCTION("""COMPUTED_VALUE"""),286500.0)</f>
        <v>286500</v>
      </c>
      <c r="F2321" s="1">
        <f>IFERROR(__xludf.DUMMYFUNCTION("""COMPUTED_VALUE"""),1276196.0)</f>
        <v>1276196</v>
      </c>
    </row>
    <row r="2322">
      <c r="A2322" s="2">
        <f>IFERROR(__xludf.DUMMYFUNCTION("""COMPUTED_VALUE"""),44028.64583333333)</f>
        <v>44028.64583</v>
      </c>
      <c r="B2322" s="1">
        <f>IFERROR(__xludf.DUMMYFUNCTION("""COMPUTED_VALUE"""),283000.0)</f>
        <v>283000</v>
      </c>
      <c r="C2322" s="1">
        <f>IFERROR(__xludf.DUMMYFUNCTION("""COMPUTED_VALUE"""),285000.0)</f>
        <v>285000</v>
      </c>
      <c r="D2322" s="1">
        <f>IFERROR(__xludf.DUMMYFUNCTION("""COMPUTED_VALUE"""),272000.0)</f>
        <v>272000</v>
      </c>
      <c r="E2322" s="1">
        <f>IFERROR(__xludf.DUMMYFUNCTION("""COMPUTED_VALUE"""),273000.0)</f>
        <v>273000</v>
      </c>
      <c r="F2322" s="1">
        <f>IFERROR(__xludf.DUMMYFUNCTION("""COMPUTED_VALUE"""),1338814.0)</f>
        <v>1338814</v>
      </c>
    </row>
    <row r="2323">
      <c r="A2323" s="2">
        <f>IFERROR(__xludf.DUMMYFUNCTION("""COMPUTED_VALUE"""),44029.64583333333)</f>
        <v>44029.64583</v>
      </c>
      <c r="B2323" s="1">
        <f>IFERROR(__xludf.DUMMYFUNCTION("""COMPUTED_VALUE"""),270000.0)</f>
        <v>270000</v>
      </c>
      <c r="C2323" s="1">
        <f>IFERROR(__xludf.DUMMYFUNCTION("""COMPUTED_VALUE"""),279500.0)</f>
        <v>279500</v>
      </c>
      <c r="D2323" s="1">
        <f>IFERROR(__xludf.DUMMYFUNCTION("""COMPUTED_VALUE"""),266000.0)</f>
        <v>266000</v>
      </c>
      <c r="E2323" s="1">
        <f>IFERROR(__xludf.DUMMYFUNCTION("""COMPUTED_VALUE"""),276000.0)</f>
        <v>276000</v>
      </c>
      <c r="F2323" s="1">
        <f>IFERROR(__xludf.DUMMYFUNCTION("""COMPUTED_VALUE"""),926932.0)</f>
        <v>926932</v>
      </c>
    </row>
    <row r="2324">
      <c r="A2324" s="2">
        <f>IFERROR(__xludf.DUMMYFUNCTION("""COMPUTED_VALUE"""),44032.64583333333)</f>
        <v>44032.64583</v>
      </c>
      <c r="B2324" s="1">
        <f>IFERROR(__xludf.DUMMYFUNCTION("""COMPUTED_VALUE"""),276500.0)</f>
        <v>276500</v>
      </c>
      <c r="C2324" s="1">
        <f>IFERROR(__xludf.DUMMYFUNCTION("""COMPUTED_VALUE"""),278000.0)</f>
        <v>278000</v>
      </c>
      <c r="D2324" s="1">
        <f>IFERROR(__xludf.DUMMYFUNCTION("""COMPUTED_VALUE"""),260500.0)</f>
        <v>260500</v>
      </c>
      <c r="E2324" s="1">
        <f>IFERROR(__xludf.DUMMYFUNCTION("""COMPUTED_VALUE"""),263000.0)</f>
        <v>263000</v>
      </c>
      <c r="F2324" s="1">
        <f>IFERROR(__xludf.DUMMYFUNCTION("""COMPUTED_VALUE"""),1556415.0)</f>
        <v>1556415</v>
      </c>
    </row>
    <row r="2325">
      <c r="A2325" s="2">
        <f>IFERROR(__xludf.DUMMYFUNCTION("""COMPUTED_VALUE"""),44033.64583333333)</f>
        <v>44033.64583</v>
      </c>
      <c r="B2325" s="1">
        <f>IFERROR(__xludf.DUMMYFUNCTION("""COMPUTED_VALUE"""),273000.0)</f>
        <v>273000</v>
      </c>
      <c r="C2325" s="1">
        <f>IFERROR(__xludf.DUMMYFUNCTION("""COMPUTED_VALUE"""),273500.0)</f>
        <v>273500</v>
      </c>
      <c r="D2325" s="1">
        <f>IFERROR(__xludf.DUMMYFUNCTION("""COMPUTED_VALUE"""),269000.0)</f>
        <v>269000</v>
      </c>
      <c r="E2325" s="1">
        <f>IFERROR(__xludf.DUMMYFUNCTION("""COMPUTED_VALUE"""),270000.0)</f>
        <v>270000</v>
      </c>
      <c r="F2325" s="1">
        <f>IFERROR(__xludf.DUMMYFUNCTION("""COMPUTED_VALUE"""),1179638.0)</f>
        <v>1179638</v>
      </c>
    </row>
    <row r="2326">
      <c r="A2326" s="2">
        <f>IFERROR(__xludf.DUMMYFUNCTION("""COMPUTED_VALUE"""),44034.64583333333)</f>
        <v>44034.64583</v>
      </c>
      <c r="B2326" s="1">
        <f>IFERROR(__xludf.DUMMYFUNCTION("""COMPUTED_VALUE"""),264000.0)</f>
        <v>264000</v>
      </c>
      <c r="C2326" s="1">
        <f>IFERROR(__xludf.DUMMYFUNCTION("""COMPUTED_VALUE"""),272500.0)</f>
        <v>272500</v>
      </c>
      <c r="D2326" s="1">
        <f>IFERROR(__xludf.DUMMYFUNCTION("""COMPUTED_VALUE"""),261500.0)</f>
        <v>261500</v>
      </c>
      <c r="E2326" s="1">
        <f>IFERROR(__xludf.DUMMYFUNCTION("""COMPUTED_VALUE"""),270000.0)</f>
        <v>270000</v>
      </c>
      <c r="F2326" s="1">
        <f>IFERROR(__xludf.DUMMYFUNCTION("""COMPUTED_VALUE"""),905784.0)</f>
        <v>905784</v>
      </c>
    </row>
    <row r="2327">
      <c r="A2327" s="2">
        <f>IFERROR(__xludf.DUMMYFUNCTION("""COMPUTED_VALUE"""),44035.64583333333)</f>
        <v>44035.64583</v>
      </c>
      <c r="B2327" s="1">
        <f>IFERROR(__xludf.DUMMYFUNCTION("""COMPUTED_VALUE"""),272000.0)</f>
        <v>272000</v>
      </c>
      <c r="C2327" s="1">
        <f>IFERROR(__xludf.DUMMYFUNCTION("""COMPUTED_VALUE"""),284000.0)</f>
        <v>284000</v>
      </c>
      <c r="D2327" s="1">
        <f>IFERROR(__xludf.DUMMYFUNCTION("""COMPUTED_VALUE"""),271000.0)</f>
        <v>271000</v>
      </c>
      <c r="E2327" s="1">
        <f>IFERROR(__xludf.DUMMYFUNCTION("""COMPUTED_VALUE"""),284000.0)</f>
        <v>284000</v>
      </c>
      <c r="F2327" s="1">
        <f>IFERROR(__xludf.DUMMYFUNCTION("""COMPUTED_VALUE"""),1396607.0)</f>
        <v>1396607</v>
      </c>
    </row>
    <row r="2328">
      <c r="A2328" s="2">
        <f>IFERROR(__xludf.DUMMYFUNCTION("""COMPUTED_VALUE"""),44036.64583333333)</f>
        <v>44036.64583</v>
      </c>
      <c r="B2328" s="1">
        <f>IFERROR(__xludf.DUMMYFUNCTION("""COMPUTED_VALUE"""),281000.0)</f>
        <v>281000</v>
      </c>
      <c r="C2328" s="1">
        <f>IFERROR(__xludf.DUMMYFUNCTION("""COMPUTED_VALUE"""),290500.0)</f>
        <v>290500</v>
      </c>
      <c r="D2328" s="1">
        <f>IFERROR(__xludf.DUMMYFUNCTION("""COMPUTED_VALUE"""),278500.0)</f>
        <v>278500</v>
      </c>
      <c r="E2328" s="1">
        <f>IFERROR(__xludf.DUMMYFUNCTION("""COMPUTED_VALUE"""),281000.0)</f>
        <v>281000</v>
      </c>
      <c r="F2328" s="1">
        <f>IFERROR(__xludf.DUMMYFUNCTION("""COMPUTED_VALUE"""),1233584.0)</f>
        <v>1233584</v>
      </c>
    </row>
    <row r="2329">
      <c r="A2329" s="2">
        <f>IFERROR(__xludf.DUMMYFUNCTION("""COMPUTED_VALUE"""),44039.64583333333)</f>
        <v>44039.64583</v>
      </c>
      <c r="B2329" s="1">
        <f>IFERROR(__xludf.DUMMYFUNCTION("""COMPUTED_VALUE"""),281000.0)</f>
        <v>281000</v>
      </c>
      <c r="C2329" s="1">
        <f>IFERROR(__xludf.DUMMYFUNCTION("""COMPUTED_VALUE"""),287500.0)</f>
        <v>287500</v>
      </c>
      <c r="D2329" s="1">
        <f>IFERROR(__xludf.DUMMYFUNCTION("""COMPUTED_VALUE"""),276500.0)</f>
        <v>276500</v>
      </c>
      <c r="E2329" s="1">
        <f>IFERROR(__xludf.DUMMYFUNCTION("""COMPUTED_VALUE"""),284500.0)</f>
        <v>284500</v>
      </c>
      <c r="F2329" s="1">
        <f>IFERROR(__xludf.DUMMYFUNCTION("""COMPUTED_VALUE"""),691075.0)</f>
        <v>691075</v>
      </c>
    </row>
    <row r="2330">
      <c r="A2330" s="2">
        <f>IFERROR(__xludf.DUMMYFUNCTION("""COMPUTED_VALUE"""),44040.64583333333)</f>
        <v>44040.64583</v>
      </c>
      <c r="B2330" s="1">
        <f>IFERROR(__xludf.DUMMYFUNCTION("""COMPUTED_VALUE"""),289500.0)</f>
        <v>289500</v>
      </c>
      <c r="C2330" s="1">
        <f>IFERROR(__xludf.DUMMYFUNCTION("""COMPUTED_VALUE"""),292000.0)</f>
        <v>292000</v>
      </c>
      <c r="D2330" s="1">
        <f>IFERROR(__xludf.DUMMYFUNCTION("""COMPUTED_VALUE"""),284000.0)</f>
        <v>284000</v>
      </c>
      <c r="E2330" s="1">
        <f>IFERROR(__xludf.DUMMYFUNCTION("""COMPUTED_VALUE"""),288000.0)</f>
        <v>288000</v>
      </c>
      <c r="F2330" s="1">
        <f>IFERROR(__xludf.DUMMYFUNCTION("""COMPUTED_VALUE"""),978238.0)</f>
        <v>978238</v>
      </c>
    </row>
    <row r="2331">
      <c r="A2331" s="2">
        <f>IFERROR(__xludf.DUMMYFUNCTION("""COMPUTED_VALUE"""),44041.64583333333)</f>
        <v>44041.64583</v>
      </c>
      <c r="B2331" s="1">
        <f>IFERROR(__xludf.DUMMYFUNCTION("""COMPUTED_VALUE"""),286000.0)</f>
        <v>286000</v>
      </c>
      <c r="C2331" s="1">
        <f>IFERROR(__xludf.DUMMYFUNCTION("""COMPUTED_VALUE"""),292000.0)</f>
        <v>292000</v>
      </c>
      <c r="D2331" s="1">
        <f>IFERROR(__xludf.DUMMYFUNCTION("""COMPUTED_VALUE"""),283000.0)</f>
        <v>283000</v>
      </c>
      <c r="E2331" s="1">
        <f>IFERROR(__xludf.DUMMYFUNCTION("""COMPUTED_VALUE"""),292000.0)</f>
        <v>292000</v>
      </c>
      <c r="F2331" s="1">
        <f>IFERROR(__xludf.DUMMYFUNCTION("""COMPUTED_VALUE"""),964066.0)</f>
        <v>964066</v>
      </c>
    </row>
    <row r="2332">
      <c r="A2332" s="2">
        <f>IFERROR(__xludf.DUMMYFUNCTION("""COMPUTED_VALUE"""),44042.64583333333)</f>
        <v>44042.64583</v>
      </c>
      <c r="B2332" s="1">
        <f>IFERROR(__xludf.DUMMYFUNCTION("""COMPUTED_VALUE"""),296000.0)</f>
        <v>296000</v>
      </c>
      <c r="C2332" s="1">
        <f>IFERROR(__xludf.DUMMYFUNCTION("""COMPUTED_VALUE"""),297500.0)</f>
        <v>297500</v>
      </c>
      <c r="D2332" s="1">
        <f>IFERROR(__xludf.DUMMYFUNCTION("""COMPUTED_VALUE"""),291000.0)</f>
        <v>291000</v>
      </c>
      <c r="E2332" s="1">
        <f>IFERROR(__xludf.DUMMYFUNCTION("""COMPUTED_VALUE"""),294000.0)</f>
        <v>294000</v>
      </c>
      <c r="F2332" s="1">
        <f>IFERROR(__xludf.DUMMYFUNCTION("""COMPUTED_VALUE"""),1150474.0)</f>
        <v>1150474</v>
      </c>
    </row>
    <row r="2333">
      <c r="A2333" s="2">
        <f>IFERROR(__xludf.DUMMYFUNCTION("""COMPUTED_VALUE"""),44043.64583333333)</f>
        <v>44043.64583</v>
      </c>
      <c r="B2333" s="1">
        <f>IFERROR(__xludf.DUMMYFUNCTION("""COMPUTED_VALUE"""),299000.0)</f>
        <v>299000</v>
      </c>
      <c r="C2333" s="1">
        <f>IFERROR(__xludf.DUMMYFUNCTION("""COMPUTED_VALUE"""),303000.0)</f>
        <v>303000</v>
      </c>
      <c r="D2333" s="1">
        <f>IFERROR(__xludf.DUMMYFUNCTION("""COMPUTED_VALUE"""),296500.0)</f>
        <v>296500</v>
      </c>
      <c r="E2333" s="1">
        <f>IFERROR(__xludf.DUMMYFUNCTION("""COMPUTED_VALUE"""),301000.0)</f>
        <v>301000</v>
      </c>
      <c r="F2333" s="1">
        <f>IFERROR(__xludf.DUMMYFUNCTION("""COMPUTED_VALUE"""),1567503.0)</f>
        <v>1567503</v>
      </c>
    </row>
    <row r="2334">
      <c r="A2334" s="2">
        <f>IFERROR(__xludf.DUMMYFUNCTION("""COMPUTED_VALUE"""),44046.64583333333)</f>
        <v>44046.64583</v>
      </c>
      <c r="B2334" s="1">
        <f>IFERROR(__xludf.DUMMYFUNCTION("""COMPUTED_VALUE"""),301500.0)</f>
        <v>301500</v>
      </c>
      <c r="C2334" s="1">
        <f>IFERROR(__xludf.DUMMYFUNCTION("""COMPUTED_VALUE"""),314500.0)</f>
        <v>314500</v>
      </c>
      <c r="D2334" s="1">
        <f>IFERROR(__xludf.DUMMYFUNCTION("""COMPUTED_VALUE"""),299000.0)</f>
        <v>299000</v>
      </c>
      <c r="E2334" s="1">
        <f>IFERROR(__xludf.DUMMYFUNCTION("""COMPUTED_VALUE"""),314500.0)</f>
        <v>314500</v>
      </c>
      <c r="F2334" s="1">
        <f>IFERROR(__xludf.DUMMYFUNCTION("""COMPUTED_VALUE"""),1341104.0)</f>
        <v>1341104</v>
      </c>
    </row>
    <row r="2335">
      <c r="A2335" s="2">
        <f>IFERROR(__xludf.DUMMYFUNCTION("""COMPUTED_VALUE"""),44047.64583333333)</f>
        <v>44047.64583</v>
      </c>
      <c r="B2335" s="1">
        <f>IFERROR(__xludf.DUMMYFUNCTION("""COMPUTED_VALUE"""),317500.0)</f>
        <v>317500</v>
      </c>
      <c r="C2335" s="1">
        <f>IFERROR(__xludf.DUMMYFUNCTION("""COMPUTED_VALUE"""),322000.0)</f>
        <v>322000</v>
      </c>
      <c r="D2335" s="1">
        <f>IFERROR(__xludf.DUMMYFUNCTION("""COMPUTED_VALUE"""),307500.0)</f>
        <v>307500</v>
      </c>
      <c r="E2335" s="1">
        <f>IFERROR(__xludf.DUMMYFUNCTION("""COMPUTED_VALUE"""),311000.0)</f>
        <v>311000</v>
      </c>
      <c r="F2335" s="1">
        <f>IFERROR(__xludf.DUMMYFUNCTION("""COMPUTED_VALUE"""),1330818.0)</f>
        <v>1330818</v>
      </c>
    </row>
    <row r="2336">
      <c r="A2336" s="2">
        <f>IFERROR(__xludf.DUMMYFUNCTION("""COMPUTED_VALUE"""),44048.64583333333)</f>
        <v>44048.64583</v>
      </c>
      <c r="B2336" s="1">
        <f>IFERROR(__xludf.DUMMYFUNCTION("""COMPUTED_VALUE"""),312000.0)</f>
        <v>312000</v>
      </c>
      <c r="C2336" s="1">
        <f>IFERROR(__xludf.DUMMYFUNCTION("""COMPUTED_VALUE"""),314500.0)</f>
        <v>314500</v>
      </c>
      <c r="D2336" s="1">
        <f>IFERROR(__xludf.DUMMYFUNCTION("""COMPUTED_VALUE"""),306500.0)</f>
        <v>306500</v>
      </c>
      <c r="E2336" s="1">
        <f>IFERROR(__xludf.DUMMYFUNCTION("""COMPUTED_VALUE"""),313500.0)</f>
        <v>313500</v>
      </c>
      <c r="F2336" s="1">
        <f>IFERROR(__xludf.DUMMYFUNCTION("""COMPUTED_VALUE"""),809939.0)</f>
        <v>809939</v>
      </c>
    </row>
    <row r="2337">
      <c r="A2337" s="2">
        <f>IFERROR(__xludf.DUMMYFUNCTION("""COMPUTED_VALUE"""),44049.64583333333)</f>
        <v>44049.64583</v>
      </c>
      <c r="B2337" s="1">
        <f>IFERROR(__xludf.DUMMYFUNCTION("""COMPUTED_VALUE"""),313000.0)</f>
        <v>313000</v>
      </c>
      <c r="C2337" s="1">
        <f>IFERROR(__xludf.DUMMYFUNCTION("""COMPUTED_VALUE"""),322000.0)</f>
        <v>322000</v>
      </c>
      <c r="D2337" s="1">
        <f>IFERROR(__xludf.DUMMYFUNCTION("""COMPUTED_VALUE"""),310500.0)</f>
        <v>310500</v>
      </c>
      <c r="E2337" s="1">
        <f>IFERROR(__xludf.DUMMYFUNCTION("""COMPUTED_VALUE"""),322000.0)</f>
        <v>322000</v>
      </c>
      <c r="F2337" s="1">
        <f>IFERROR(__xludf.DUMMYFUNCTION("""COMPUTED_VALUE"""),1032045.0)</f>
        <v>1032045</v>
      </c>
    </row>
    <row r="2338">
      <c r="A2338" s="2">
        <f>IFERROR(__xludf.DUMMYFUNCTION("""COMPUTED_VALUE"""),44050.64583333333)</f>
        <v>44050.64583</v>
      </c>
      <c r="B2338" s="1">
        <f>IFERROR(__xludf.DUMMYFUNCTION("""COMPUTED_VALUE"""),324500.0)</f>
        <v>324500</v>
      </c>
      <c r="C2338" s="1">
        <f>IFERROR(__xludf.DUMMYFUNCTION("""COMPUTED_VALUE"""),325500.0)</f>
        <v>325500</v>
      </c>
      <c r="D2338" s="1">
        <f>IFERROR(__xludf.DUMMYFUNCTION("""COMPUTED_VALUE"""),312000.0)</f>
        <v>312000</v>
      </c>
      <c r="E2338" s="1">
        <f>IFERROR(__xludf.DUMMYFUNCTION("""COMPUTED_VALUE"""),314000.0)</f>
        <v>314000</v>
      </c>
      <c r="F2338" s="1">
        <f>IFERROR(__xludf.DUMMYFUNCTION("""COMPUTED_VALUE"""),1063254.0)</f>
        <v>1063254</v>
      </c>
    </row>
    <row r="2339">
      <c r="A2339" s="2">
        <f>IFERROR(__xludf.DUMMYFUNCTION("""COMPUTED_VALUE"""),44053.64583333333)</f>
        <v>44053.64583</v>
      </c>
      <c r="B2339" s="1">
        <f>IFERROR(__xludf.DUMMYFUNCTION("""COMPUTED_VALUE"""),308500.0)</f>
        <v>308500</v>
      </c>
      <c r="C2339" s="1">
        <f>IFERROR(__xludf.DUMMYFUNCTION("""COMPUTED_VALUE"""),314500.0)</f>
        <v>314500</v>
      </c>
      <c r="D2339" s="1">
        <f>IFERROR(__xludf.DUMMYFUNCTION("""COMPUTED_VALUE"""),303500.0)</f>
        <v>303500</v>
      </c>
      <c r="E2339" s="1">
        <f>IFERROR(__xludf.DUMMYFUNCTION("""COMPUTED_VALUE"""),313500.0)</f>
        <v>313500</v>
      </c>
      <c r="F2339" s="1">
        <f>IFERROR(__xludf.DUMMYFUNCTION("""COMPUTED_VALUE"""),968592.0)</f>
        <v>968592</v>
      </c>
    </row>
    <row r="2340">
      <c r="A2340" s="2">
        <f>IFERROR(__xludf.DUMMYFUNCTION("""COMPUTED_VALUE"""),44054.64583333333)</f>
        <v>44054.64583</v>
      </c>
      <c r="B2340" s="1">
        <f>IFERROR(__xludf.DUMMYFUNCTION("""COMPUTED_VALUE"""),311000.0)</f>
        <v>311000</v>
      </c>
      <c r="C2340" s="1">
        <f>IFERROR(__xludf.DUMMYFUNCTION("""COMPUTED_VALUE"""),314500.0)</f>
        <v>314500</v>
      </c>
      <c r="D2340" s="1">
        <f>IFERROR(__xludf.DUMMYFUNCTION("""COMPUTED_VALUE"""),307500.0)</f>
        <v>307500</v>
      </c>
      <c r="E2340" s="1">
        <f>IFERROR(__xludf.DUMMYFUNCTION("""COMPUTED_VALUE"""),311500.0)</f>
        <v>311500</v>
      </c>
      <c r="F2340" s="1">
        <f>IFERROR(__xludf.DUMMYFUNCTION("""COMPUTED_VALUE"""),665863.0)</f>
        <v>665863</v>
      </c>
    </row>
    <row r="2341">
      <c r="A2341" s="2">
        <f>IFERROR(__xludf.DUMMYFUNCTION("""COMPUTED_VALUE"""),44055.64583333333)</f>
        <v>44055.64583</v>
      </c>
      <c r="B2341" s="1">
        <f>IFERROR(__xludf.DUMMYFUNCTION("""COMPUTED_VALUE"""),308000.0)</f>
        <v>308000</v>
      </c>
      <c r="C2341" s="1">
        <f>IFERROR(__xludf.DUMMYFUNCTION("""COMPUTED_VALUE"""),311000.0)</f>
        <v>311000</v>
      </c>
      <c r="D2341" s="1">
        <f>IFERROR(__xludf.DUMMYFUNCTION("""COMPUTED_VALUE"""),303500.0)</f>
        <v>303500</v>
      </c>
      <c r="E2341" s="1">
        <f>IFERROR(__xludf.DUMMYFUNCTION("""COMPUTED_VALUE"""),305000.0)</f>
        <v>305000</v>
      </c>
      <c r="F2341" s="1">
        <f>IFERROR(__xludf.DUMMYFUNCTION("""COMPUTED_VALUE"""),856711.0)</f>
        <v>856711</v>
      </c>
    </row>
    <row r="2342">
      <c r="A2342" s="2">
        <f>IFERROR(__xludf.DUMMYFUNCTION("""COMPUTED_VALUE"""),44056.64583333333)</f>
        <v>44056.64583</v>
      </c>
      <c r="B2342" s="1">
        <f>IFERROR(__xludf.DUMMYFUNCTION("""COMPUTED_VALUE"""),310000.0)</f>
        <v>310000</v>
      </c>
      <c r="C2342" s="1">
        <f>IFERROR(__xludf.DUMMYFUNCTION("""COMPUTED_VALUE"""),311500.0)</f>
        <v>311500</v>
      </c>
      <c r="D2342" s="1">
        <f>IFERROR(__xludf.DUMMYFUNCTION("""COMPUTED_VALUE"""),304000.0)</f>
        <v>304000</v>
      </c>
      <c r="E2342" s="1">
        <f>IFERROR(__xludf.DUMMYFUNCTION("""COMPUTED_VALUE"""),307000.0)</f>
        <v>307000</v>
      </c>
      <c r="F2342" s="1">
        <f>IFERROR(__xludf.DUMMYFUNCTION("""COMPUTED_VALUE"""),1406370.0)</f>
        <v>1406370</v>
      </c>
    </row>
    <row r="2343">
      <c r="A2343" s="2">
        <f>IFERROR(__xludf.DUMMYFUNCTION("""COMPUTED_VALUE"""),44057.64583333333)</f>
        <v>44057.64583</v>
      </c>
      <c r="B2343" s="1">
        <f>IFERROR(__xludf.DUMMYFUNCTION("""COMPUTED_VALUE"""),305000.0)</f>
        <v>305000</v>
      </c>
      <c r="C2343" s="1">
        <f>IFERROR(__xludf.DUMMYFUNCTION("""COMPUTED_VALUE"""),308500.0)</f>
        <v>308500</v>
      </c>
      <c r="D2343" s="1">
        <f>IFERROR(__xludf.DUMMYFUNCTION("""COMPUTED_VALUE"""),303000.0)</f>
        <v>303000</v>
      </c>
      <c r="E2343" s="1">
        <f>IFERROR(__xludf.DUMMYFUNCTION("""COMPUTED_VALUE"""),305000.0)</f>
        <v>305000</v>
      </c>
      <c r="F2343" s="1">
        <f>IFERROR(__xludf.DUMMYFUNCTION("""COMPUTED_VALUE"""),608156.0)</f>
        <v>608156</v>
      </c>
    </row>
    <row r="2344">
      <c r="A2344" s="2">
        <f>IFERROR(__xludf.DUMMYFUNCTION("""COMPUTED_VALUE"""),44061.64583333333)</f>
        <v>44061.64583</v>
      </c>
      <c r="B2344" s="1">
        <f>IFERROR(__xludf.DUMMYFUNCTION("""COMPUTED_VALUE"""),307500.0)</f>
        <v>307500</v>
      </c>
      <c r="C2344" s="1">
        <f>IFERROR(__xludf.DUMMYFUNCTION("""COMPUTED_VALUE"""),317500.0)</f>
        <v>317500</v>
      </c>
      <c r="D2344" s="1">
        <f>IFERROR(__xludf.DUMMYFUNCTION("""COMPUTED_VALUE"""),305000.0)</f>
        <v>305000</v>
      </c>
      <c r="E2344" s="1">
        <f>IFERROR(__xludf.DUMMYFUNCTION("""COMPUTED_VALUE"""),307500.0)</f>
        <v>307500</v>
      </c>
      <c r="F2344" s="1">
        <f>IFERROR(__xludf.DUMMYFUNCTION("""COMPUTED_VALUE"""),1494966.0)</f>
        <v>1494966</v>
      </c>
    </row>
    <row r="2345">
      <c r="A2345" s="2">
        <f>IFERROR(__xludf.DUMMYFUNCTION("""COMPUTED_VALUE"""),44062.64583333333)</f>
        <v>44062.64583</v>
      </c>
      <c r="B2345" s="1">
        <f>IFERROR(__xludf.DUMMYFUNCTION("""COMPUTED_VALUE"""),311500.0)</f>
        <v>311500</v>
      </c>
      <c r="C2345" s="1">
        <f>IFERROR(__xludf.DUMMYFUNCTION("""COMPUTED_VALUE"""),316000.0)</f>
        <v>316000</v>
      </c>
      <c r="D2345" s="1">
        <f>IFERROR(__xludf.DUMMYFUNCTION("""COMPUTED_VALUE"""),305500.0)</f>
        <v>305500</v>
      </c>
      <c r="E2345" s="1">
        <f>IFERROR(__xludf.DUMMYFUNCTION("""COMPUTED_VALUE"""),315000.0)</f>
        <v>315000</v>
      </c>
      <c r="F2345" s="1">
        <f>IFERROR(__xludf.DUMMYFUNCTION("""COMPUTED_VALUE"""),941038.0)</f>
        <v>941038</v>
      </c>
    </row>
    <row r="2346">
      <c r="A2346" s="2">
        <f>IFERROR(__xludf.DUMMYFUNCTION("""COMPUTED_VALUE"""),44063.64583333333)</f>
        <v>44063.64583</v>
      </c>
      <c r="B2346" s="1">
        <f>IFERROR(__xludf.DUMMYFUNCTION("""COMPUTED_VALUE"""),315000.0)</f>
        <v>315000</v>
      </c>
      <c r="C2346" s="1">
        <f>IFERROR(__xludf.DUMMYFUNCTION("""COMPUTED_VALUE"""),319000.0)</f>
        <v>319000</v>
      </c>
      <c r="D2346" s="1">
        <f>IFERROR(__xludf.DUMMYFUNCTION("""COMPUTED_VALUE"""),302500.0)</f>
        <v>302500</v>
      </c>
      <c r="E2346" s="1">
        <f>IFERROR(__xludf.DUMMYFUNCTION("""COMPUTED_VALUE"""),305500.0)</f>
        <v>305500</v>
      </c>
      <c r="F2346" s="1">
        <f>IFERROR(__xludf.DUMMYFUNCTION("""COMPUTED_VALUE"""),1186809.0)</f>
        <v>1186809</v>
      </c>
    </row>
    <row r="2347">
      <c r="A2347" s="2">
        <f>IFERROR(__xludf.DUMMYFUNCTION("""COMPUTED_VALUE"""),44064.64583333333)</f>
        <v>44064.64583</v>
      </c>
      <c r="B2347" s="1">
        <f>IFERROR(__xludf.DUMMYFUNCTION("""COMPUTED_VALUE"""),311500.0)</f>
        <v>311500</v>
      </c>
      <c r="C2347" s="1">
        <f>IFERROR(__xludf.DUMMYFUNCTION("""COMPUTED_VALUE"""),314500.0)</f>
        <v>314500</v>
      </c>
      <c r="D2347" s="1">
        <f>IFERROR(__xludf.DUMMYFUNCTION("""COMPUTED_VALUE"""),308000.0)</f>
        <v>308000</v>
      </c>
      <c r="E2347" s="1">
        <f>IFERROR(__xludf.DUMMYFUNCTION("""COMPUTED_VALUE"""),312500.0)</f>
        <v>312500</v>
      </c>
      <c r="F2347" s="1">
        <f>IFERROR(__xludf.DUMMYFUNCTION("""COMPUTED_VALUE"""),781961.0)</f>
        <v>781961</v>
      </c>
    </row>
    <row r="2348">
      <c r="A2348" s="2">
        <f>IFERROR(__xludf.DUMMYFUNCTION("""COMPUTED_VALUE"""),44067.64583333333)</f>
        <v>44067.64583</v>
      </c>
      <c r="B2348" s="1">
        <f>IFERROR(__xludf.DUMMYFUNCTION("""COMPUTED_VALUE"""),313000.0)</f>
        <v>313000</v>
      </c>
      <c r="C2348" s="1">
        <f>IFERROR(__xludf.DUMMYFUNCTION("""COMPUTED_VALUE"""),320000.0)</f>
        <v>320000</v>
      </c>
      <c r="D2348" s="1">
        <f>IFERROR(__xludf.DUMMYFUNCTION("""COMPUTED_VALUE"""),310000.0)</f>
        <v>310000</v>
      </c>
      <c r="E2348" s="1">
        <f>IFERROR(__xludf.DUMMYFUNCTION("""COMPUTED_VALUE"""),320000.0)</f>
        <v>320000</v>
      </c>
      <c r="F2348" s="1">
        <f>IFERROR(__xludf.DUMMYFUNCTION("""COMPUTED_VALUE"""),783392.0)</f>
        <v>783392</v>
      </c>
    </row>
    <row r="2349">
      <c r="A2349" s="2">
        <f>IFERROR(__xludf.DUMMYFUNCTION("""COMPUTED_VALUE"""),44068.64583333333)</f>
        <v>44068.64583</v>
      </c>
      <c r="B2349" s="1">
        <f>IFERROR(__xludf.DUMMYFUNCTION("""COMPUTED_VALUE"""),323000.0)</f>
        <v>323000</v>
      </c>
      <c r="C2349" s="1">
        <f>IFERROR(__xludf.DUMMYFUNCTION("""COMPUTED_VALUE"""),325000.0)</f>
        <v>325000</v>
      </c>
      <c r="D2349" s="1">
        <f>IFERROR(__xludf.DUMMYFUNCTION("""COMPUTED_VALUE"""),317000.0)</f>
        <v>317000</v>
      </c>
      <c r="E2349" s="1">
        <f>IFERROR(__xludf.DUMMYFUNCTION("""COMPUTED_VALUE"""),325000.0)</f>
        <v>325000</v>
      </c>
      <c r="F2349" s="1">
        <f>IFERROR(__xludf.DUMMYFUNCTION("""COMPUTED_VALUE"""),897649.0)</f>
        <v>897649</v>
      </c>
    </row>
    <row r="2350">
      <c r="A2350" s="2">
        <f>IFERROR(__xludf.DUMMYFUNCTION("""COMPUTED_VALUE"""),44069.64583333333)</f>
        <v>44069.64583</v>
      </c>
      <c r="B2350" s="1">
        <f>IFERROR(__xludf.DUMMYFUNCTION("""COMPUTED_VALUE"""),321500.0)</f>
        <v>321500</v>
      </c>
      <c r="C2350" s="1">
        <f>IFERROR(__xludf.DUMMYFUNCTION("""COMPUTED_VALUE"""),338500.0)</f>
        <v>338500</v>
      </c>
      <c r="D2350" s="1">
        <f>IFERROR(__xludf.DUMMYFUNCTION("""COMPUTED_VALUE"""),321000.0)</f>
        <v>321000</v>
      </c>
      <c r="E2350" s="1">
        <f>IFERROR(__xludf.DUMMYFUNCTION("""COMPUTED_VALUE"""),334000.0)</f>
        <v>334000</v>
      </c>
      <c r="F2350" s="1">
        <f>IFERROR(__xludf.DUMMYFUNCTION("""COMPUTED_VALUE"""),1155853.0)</f>
        <v>1155853</v>
      </c>
    </row>
    <row r="2351">
      <c r="A2351" s="2">
        <f>IFERROR(__xludf.DUMMYFUNCTION("""COMPUTED_VALUE"""),44070.64583333333)</f>
        <v>44070.64583</v>
      </c>
      <c r="B2351" s="1">
        <f>IFERROR(__xludf.DUMMYFUNCTION("""COMPUTED_VALUE"""),337000.0)</f>
        <v>337000</v>
      </c>
      <c r="C2351" s="1">
        <f>IFERROR(__xludf.DUMMYFUNCTION("""COMPUTED_VALUE"""),347000.0)</f>
        <v>347000</v>
      </c>
      <c r="D2351" s="1">
        <f>IFERROR(__xludf.DUMMYFUNCTION("""COMPUTED_VALUE"""),336500.0)</f>
        <v>336500</v>
      </c>
      <c r="E2351" s="1">
        <f>IFERROR(__xludf.DUMMYFUNCTION("""COMPUTED_VALUE"""),337000.0)</f>
        <v>337000</v>
      </c>
      <c r="F2351" s="1">
        <f>IFERROR(__xludf.DUMMYFUNCTION("""COMPUTED_VALUE"""),1232239.0)</f>
        <v>1232239</v>
      </c>
    </row>
    <row r="2352">
      <c r="A2352" s="2">
        <f>IFERROR(__xludf.DUMMYFUNCTION("""COMPUTED_VALUE"""),44071.64583333333)</f>
        <v>44071.64583</v>
      </c>
      <c r="B2352" s="1">
        <f>IFERROR(__xludf.DUMMYFUNCTION("""COMPUTED_VALUE"""),337000.0)</f>
        <v>337000</v>
      </c>
      <c r="C2352" s="1">
        <f>IFERROR(__xludf.DUMMYFUNCTION("""COMPUTED_VALUE"""),338500.0)</f>
        <v>338500</v>
      </c>
      <c r="D2352" s="1">
        <f>IFERROR(__xludf.DUMMYFUNCTION("""COMPUTED_VALUE"""),329500.0)</f>
        <v>329500</v>
      </c>
      <c r="E2352" s="1">
        <f>IFERROR(__xludf.DUMMYFUNCTION("""COMPUTED_VALUE"""),333000.0)</f>
        <v>333000</v>
      </c>
      <c r="F2352" s="1">
        <f>IFERROR(__xludf.DUMMYFUNCTION("""COMPUTED_VALUE"""),969408.0)</f>
        <v>969408</v>
      </c>
    </row>
    <row r="2353">
      <c r="A2353" s="2">
        <f>IFERROR(__xludf.DUMMYFUNCTION("""COMPUTED_VALUE"""),44074.64583333333)</f>
        <v>44074.64583</v>
      </c>
      <c r="B2353" s="1">
        <f>IFERROR(__xludf.DUMMYFUNCTION("""COMPUTED_VALUE"""),336500.0)</f>
        <v>336500</v>
      </c>
      <c r="C2353" s="1">
        <f>IFERROR(__xludf.DUMMYFUNCTION("""COMPUTED_VALUE"""),340000.0)</f>
        <v>340000</v>
      </c>
      <c r="D2353" s="1">
        <f>IFERROR(__xludf.DUMMYFUNCTION("""COMPUTED_VALUE"""),322000.0)</f>
        <v>322000</v>
      </c>
      <c r="E2353" s="1">
        <f>IFERROR(__xludf.DUMMYFUNCTION("""COMPUTED_VALUE"""),322500.0)</f>
        <v>322500</v>
      </c>
      <c r="F2353" s="1">
        <f>IFERROR(__xludf.DUMMYFUNCTION("""COMPUTED_VALUE"""),1528978.0)</f>
        <v>1528978</v>
      </c>
    </row>
    <row r="2354">
      <c r="A2354" s="2">
        <f>IFERROR(__xludf.DUMMYFUNCTION("""COMPUTED_VALUE"""),44075.64583333333)</f>
        <v>44075.64583</v>
      </c>
      <c r="B2354" s="1">
        <f>IFERROR(__xludf.DUMMYFUNCTION("""COMPUTED_VALUE"""),322500.0)</f>
        <v>322500</v>
      </c>
      <c r="C2354" s="1">
        <f>IFERROR(__xludf.DUMMYFUNCTION("""COMPUTED_VALUE"""),329500.0)</f>
        <v>329500</v>
      </c>
      <c r="D2354" s="1">
        <f>IFERROR(__xludf.DUMMYFUNCTION("""COMPUTED_VALUE"""),322000.0)</f>
        <v>322000</v>
      </c>
      <c r="E2354" s="1">
        <f>IFERROR(__xludf.DUMMYFUNCTION("""COMPUTED_VALUE"""),324500.0)</f>
        <v>324500</v>
      </c>
      <c r="F2354" s="1">
        <f>IFERROR(__xludf.DUMMYFUNCTION("""COMPUTED_VALUE"""),691864.0)</f>
        <v>691864</v>
      </c>
    </row>
    <row r="2355">
      <c r="A2355" s="2">
        <f>IFERROR(__xludf.DUMMYFUNCTION("""COMPUTED_VALUE"""),44076.64583333333)</f>
        <v>44076.64583</v>
      </c>
      <c r="B2355" s="1">
        <f>IFERROR(__xludf.DUMMYFUNCTION("""COMPUTED_VALUE"""),332500.0)</f>
        <v>332500</v>
      </c>
      <c r="C2355" s="1">
        <f>IFERROR(__xludf.DUMMYFUNCTION("""COMPUTED_VALUE"""),335500.0)</f>
        <v>335500</v>
      </c>
      <c r="D2355" s="1">
        <f>IFERROR(__xludf.DUMMYFUNCTION("""COMPUTED_VALUE"""),327000.0)</f>
        <v>327000</v>
      </c>
      <c r="E2355" s="1">
        <f>IFERROR(__xludf.DUMMYFUNCTION("""COMPUTED_VALUE"""),332500.0)</f>
        <v>332500</v>
      </c>
      <c r="F2355" s="1">
        <f>IFERROR(__xludf.DUMMYFUNCTION("""COMPUTED_VALUE"""),808064.0)</f>
        <v>808064</v>
      </c>
    </row>
    <row r="2356">
      <c r="A2356" s="2">
        <f>IFERROR(__xludf.DUMMYFUNCTION("""COMPUTED_VALUE"""),44077.64583333333)</f>
        <v>44077.64583</v>
      </c>
      <c r="B2356" s="1">
        <f>IFERROR(__xludf.DUMMYFUNCTION("""COMPUTED_VALUE"""),333500.0)</f>
        <v>333500</v>
      </c>
      <c r="C2356" s="1">
        <f>IFERROR(__xludf.DUMMYFUNCTION("""COMPUTED_VALUE"""),339500.0)</f>
        <v>339500</v>
      </c>
      <c r="D2356" s="1">
        <f>IFERROR(__xludf.DUMMYFUNCTION("""COMPUTED_VALUE"""),329500.0)</f>
        <v>329500</v>
      </c>
      <c r="E2356" s="1">
        <f>IFERROR(__xludf.DUMMYFUNCTION("""COMPUTED_VALUE"""),339000.0)</f>
        <v>339000</v>
      </c>
      <c r="F2356" s="1">
        <f>IFERROR(__xludf.DUMMYFUNCTION("""COMPUTED_VALUE"""),776547.0)</f>
        <v>776547</v>
      </c>
    </row>
    <row r="2357">
      <c r="A2357" s="2">
        <f>IFERROR(__xludf.DUMMYFUNCTION("""COMPUTED_VALUE"""),44078.64583333333)</f>
        <v>44078.64583</v>
      </c>
      <c r="B2357" s="1">
        <f>IFERROR(__xludf.DUMMYFUNCTION("""COMPUTED_VALUE"""),322500.0)</f>
        <v>322500</v>
      </c>
      <c r="C2357" s="1">
        <f>IFERROR(__xludf.DUMMYFUNCTION("""COMPUTED_VALUE"""),335000.0)</f>
        <v>335000</v>
      </c>
      <c r="D2357" s="1">
        <f>IFERROR(__xludf.DUMMYFUNCTION("""COMPUTED_VALUE"""),322000.0)</f>
        <v>322000</v>
      </c>
      <c r="E2357" s="1">
        <f>IFERROR(__xludf.DUMMYFUNCTION("""COMPUTED_VALUE"""),328500.0)</f>
        <v>328500</v>
      </c>
      <c r="F2357" s="1">
        <f>IFERROR(__xludf.DUMMYFUNCTION("""COMPUTED_VALUE"""),1174337.0)</f>
        <v>1174337</v>
      </c>
    </row>
    <row r="2358">
      <c r="A2358" s="2">
        <f>IFERROR(__xludf.DUMMYFUNCTION("""COMPUTED_VALUE"""),44081.64583333333)</f>
        <v>44081.64583</v>
      </c>
      <c r="B2358" s="1">
        <f>IFERROR(__xludf.DUMMYFUNCTION("""COMPUTED_VALUE"""),325500.0)</f>
        <v>325500</v>
      </c>
      <c r="C2358" s="1">
        <f>IFERROR(__xludf.DUMMYFUNCTION("""COMPUTED_VALUE"""),325500.0)</f>
        <v>325500</v>
      </c>
      <c r="D2358" s="1">
        <f>IFERROR(__xludf.DUMMYFUNCTION("""COMPUTED_VALUE"""),313500.0)</f>
        <v>313500</v>
      </c>
      <c r="E2358" s="1">
        <f>IFERROR(__xludf.DUMMYFUNCTION("""COMPUTED_VALUE"""),314500.0)</f>
        <v>314500</v>
      </c>
      <c r="F2358" s="1">
        <f>IFERROR(__xludf.DUMMYFUNCTION("""COMPUTED_VALUE"""),1308247.0)</f>
        <v>1308247</v>
      </c>
    </row>
    <row r="2359">
      <c r="A2359" s="2">
        <f>IFERROR(__xludf.DUMMYFUNCTION("""COMPUTED_VALUE"""),44082.64583333333)</f>
        <v>44082.64583</v>
      </c>
      <c r="B2359" s="1">
        <f>IFERROR(__xludf.DUMMYFUNCTION("""COMPUTED_VALUE"""),316000.0)</f>
        <v>316000</v>
      </c>
      <c r="C2359" s="1">
        <f>IFERROR(__xludf.DUMMYFUNCTION("""COMPUTED_VALUE"""),318000.0)</f>
        <v>318000</v>
      </c>
      <c r="D2359" s="1">
        <f>IFERROR(__xludf.DUMMYFUNCTION("""COMPUTED_VALUE"""),305500.0)</f>
        <v>305500</v>
      </c>
      <c r="E2359" s="1">
        <f>IFERROR(__xludf.DUMMYFUNCTION("""COMPUTED_VALUE"""),311000.0)</f>
        <v>311000</v>
      </c>
      <c r="F2359" s="1">
        <f>IFERROR(__xludf.DUMMYFUNCTION("""COMPUTED_VALUE"""),989171.0)</f>
        <v>989171</v>
      </c>
    </row>
    <row r="2360">
      <c r="A2360" s="2">
        <f>IFERROR(__xludf.DUMMYFUNCTION("""COMPUTED_VALUE"""),44083.64583333333)</f>
        <v>44083.64583</v>
      </c>
      <c r="B2360" s="1">
        <f>IFERROR(__xludf.DUMMYFUNCTION("""COMPUTED_VALUE"""),303000.0)</f>
        <v>303000</v>
      </c>
      <c r="C2360" s="1">
        <f>IFERROR(__xludf.DUMMYFUNCTION("""COMPUTED_VALUE"""),307000.0)</f>
        <v>307000</v>
      </c>
      <c r="D2360" s="1">
        <f>IFERROR(__xludf.DUMMYFUNCTION("""COMPUTED_VALUE"""),300000.0)</f>
        <v>300000</v>
      </c>
      <c r="E2360" s="1">
        <f>IFERROR(__xludf.DUMMYFUNCTION("""COMPUTED_VALUE"""),304500.0)</f>
        <v>304500</v>
      </c>
      <c r="F2360" s="1">
        <f>IFERROR(__xludf.DUMMYFUNCTION("""COMPUTED_VALUE"""),925825.0)</f>
        <v>925825</v>
      </c>
    </row>
    <row r="2361">
      <c r="A2361" s="2">
        <f>IFERROR(__xludf.DUMMYFUNCTION("""COMPUTED_VALUE"""),44084.64583333333)</f>
        <v>44084.64583</v>
      </c>
      <c r="B2361" s="1">
        <f>IFERROR(__xludf.DUMMYFUNCTION("""COMPUTED_VALUE"""),309000.0)</f>
        <v>309000</v>
      </c>
      <c r="C2361" s="1">
        <f>IFERROR(__xludf.DUMMYFUNCTION("""COMPUTED_VALUE"""),311000.0)</f>
        <v>311000</v>
      </c>
      <c r="D2361" s="1">
        <f>IFERROR(__xludf.DUMMYFUNCTION("""COMPUTED_VALUE"""),305000.0)</f>
        <v>305000</v>
      </c>
      <c r="E2361" s="1">
        <f>IFERROR(__xludf.DUMMYFUNCTION("""COMPUTED_VALUE"""),307500.0)</f>
        <v>307500</v>
      </c>
      <c r="F2361" s="1">
        <f>IFERROR(__xludf.DUMMYFUNCTION("""COMPUTED_VALUE"""),834946.0)</f>
        <v>834946</v>
      </c>
    </row>
    <row r="2362">
      <c r="A2362" s="2">
        <f>IFERROR(__xludf.DUMMYFUNCTION("""COMPUTED_VALUE"""),44085.64583333333)</f>
        <v>44085.64583</v>
      </c>
      <c r="B2362" s="1">
        <f>IFERROR(__xludf.DUMMYFUNCTION("""COMPUTED_VALUE"""),302500.0)</f>
        <v>302500</v>
      </c>
      <c r="C2362" s="1">
        <f>IFERROR(__xludf.DUMMYFUNCTION("""COMPUTED_VALUE"""),307000.0)</f>
        <v>307000</v>
      </c>
      <c r="D2362" s="1">
        <f>IFERROR(__xludf.DUMMYFUNCTION("""COMPUTED_VALUE"""),301000.0)</f>
        <v>301000</v>
      </c>
      <c r="E2362" s="1">
        <f>IFERROR(__xludf.DUMMYFUNCTION("""COMPUTED_VALUE"""),306000.0)</f>
        <v>306000</v>
      </c>
      <c r="F2362" s="1">
        <f>IFERROR(__xludf.DUMMYFUNCTION("""COMPUTED_VALUE"""),517023.0)</f>
        <v>517023</v>
      </c>
    </row>
    <row r="2363">
      <c r="A2363" s="2">
        <f>IFERROR(__xludf.DUMMYFUNCTION("""COMPUTED_VALUE"""),44088.64583333333)</f>
        <v>44088.64583</v>
      </c>
      <c r="B2363" s="1">
        <f>IFERROR(__xludf.DUMMYFUNCTION("""COMPUTED_VALUE"""),307500.0)</f>
        <v>307500</v>
      </c>
      <c r="C2363" s="1">
        <f>IFERROR(__xludf.DUMMYFUNCTION("""COMPUTED_VALUE"""),308000.0)</f>
        <v>308000</v>
      </c>
      <c r="D2363" s="1">
        <f>IFERROR(__xludf.DUMMYFUNCTION("""COMPUTED_VALUE"""),300000.0)</f>
        <v>300000</v>
      </c>
      <c r="E2363" s="1">
        <f>IFERROR(__xludf.DUMMYFUNCTION("""COMPUTED_VALUE"""),303000.0)</f>
        <v>303000</v>
      </c>
      <c r="F2363" s="1">
        <f>IFERROR(__xludf.DUMMYFUNCTION("""COMPUTED_VALUE"""),608816.0)</f>
        <v>608816</v>
      </c>
    </row>
    <row r="2364">
      <c r="A2364" s="2">
        <f>IFERROR(__xludf.DUMMYFUNCTION("""COMPUTED_VALUE"""),44089.64583333333)</f>
        <v>44089.64583</v>
      </c>
      <c r="B2364" s="1">
        <f>IFERROR(__xludf.DUMMYFUNCTION("""COMPUTED_VALUE"""),304000.0)</f>
        <v>304000</v>
      </c>
      <c r="C2364" s="1">
        <f>IFERROR(__xludf.DUMMYFUNCTION("""COMPUTED_VALUE"""),314000.0)</f>
        <v>314000</v>
      </c>
      <c r="D2364" s="1">
        <f>IFERROR(__xludf.DUMMYFUNCTION("""COMPUTED_VALUE"""),303000.0)</f>
        <v>303000</v>
      </c>
      <c r="E2364" s="1">
        <f>IFERROR(__xludf.DUMMYFUNCTION("""COMPUTED_VALUE"""),312000.0)</f>
        <v>312000</v>
      </c>
      <c r="F2364" s="1">
        <f>IFERROR(__xludf.DUMMYFUNCTION("""COMPUTED_VALUE"""),797985.0)</f>
        <v>797985</v>
      </c>
    </row>
    <row r="2365">
      <c r="A2365" s="2">
        <f>IFERROR(__xludf.DUMMYFUNCTION("""COMPUTED_VALUE"""),44090.64583333333)</f>
        <v>44090.64583</v>
      </c>
      <c r="B2365" s="1">
        <f>IFERROR(__xludf.DUMMYFUNCTION("""COMPUTED_VALUE"""),311500.0)</f>
        <v>311500</v>
      </c>
      <c r="C2365" s="1">
        <f>IFERROR(__xludf.DUMMYFUNCTION("""COMPUTED_VALUE"""),312000.0)</f>
        <v>312000</v>
      </c>
      <c r="D2365" s="1">
        <f>IFERROR(__xludf.DUMMYFUNCTION("""COMPUTED_VALUE"""),306000.0)</f>
        <v>306000</v>
      </c>
      <c r="E2365" s="1">
        <f>IFERROR(__xludf.DUMMYFUNCTION("""COMPUTED_VALUE"""),307000.0)</f>
        <v>307000</v>
      </c>
      <c r="F2365" s="1">
        <f>IFERROR(__xludf.DUMMYFUNCTION("""COMPUTED_VALUE"""),696219.0)</f>
        <v>696219</v>
      </c>
    </row>
    <row r="2366">
      <c r="A2366" s="2">
        <f>IFERROR(__xludf.DUMMYFUNCTION("""COMPUTED_VALUE"""),44091.64583333333)</f>
        <v>44091.64583</v>
      </c>
      <c r="B2366" s="1">
        <f>IFERROR(__xludf.DUMMYFUNCTION("""COMPUTED_VALUE"""),302500.0)</f>
        <v>302500</v>
      </c>
      <c r="C2366" s="1">
        <f>IFERROR(__xludf.DUMMYFUNCTION("""COMPUTED_VALUE"""),304000.0)</f>
        <v>304000</v>
      </c>
      <c r="D2366" s="1">
        <f>IFERROR(__xludf.DUMMYFUNCTION("""COMPUTED_VALUE"""),299000.0)</f>
        <v>299000</v>
      </c>
      <c r="E2366" s="1">
        <f>IFERROR(__xludf.DUMMYFUNCTION("""COMPUTED_VALUE"""),300500.0)</f>
        <v>300500</v>
      </c>
      <c r="F2366" s="1">
        <f>IFERROR(__xludf.DUMMYFUNCTION("""COMPUTED_VALUE"""),823516.0)</f>
        <v>823516</v>
      </c>
    </row>
    <row r="2367">
      <c r="A2367" s="2">
        <f>IFERROR(__xludf.DUMMYFUNCTION("""COMPUTED_VALUE"""),44092.64583333333)</f>
        <v>44092.64583</v>
      </c>
      <c r="B2367" s="1">
        <f>IFERROR(__xludf.DUMMYFUNCTION("""COMPUTED_VALUE"""),299500.0)</f>
        <v>299500</v>
      </c>
      <c r="C2367" s="1">
        <f>IFERROR(__xludf.DUMMYFUNCTION("""COMPUTED_VALUE"""),302000.0)</f>
        <v>302000</v>
      </c>
      <c r="D2367" s="1">
        <f>IFERROR(__xludf.DUMMYFUNCTION("""COMPUTED_VALUE"""),296000.0)</f>
        <v>296000</v>
      </c>
      <c r="E2367" s="1">
        <f>IFERROR(__xludf.DUMMYFUNCTION("""COMPUTED_VALUE"""),298000.0)</f>
        <v>298000</v>
      </c>
      <c r="F2367" s="1">
        <f>IFERROR(__xludf.DUMMYFUNCTION("""COMPUTED_VALUE"""),750488.0)</f>
        <v>750488</v>
      </c>
    </row>
    <row r="2368">
      <c r="A2368" s="2">
        <f>IFERROR(__xludf.DUMMYFUNCTION("""COMPUTED_VALUE"""),44095.64583333333)</f>
        <v>44095.64583</v>
      </c>
      <c r="B2368" s="1">
        <f>IFERROR(__xludf.DUMMYFUNCTION("""COMPUTED_VALUE"""),297000.0)</f>
        <v>297000</v>
      </c>
      <c r="C2368" s="1">
        <f>IFERROR(__xludf.DUMMYFUNCTION("""COMPUTED_VALUE"""),301500.0)</f>
        <v>301500</v>
      </c>
      <c r="D2368" s="1">
        <f>IFERROR(__xludf.DUMMYFUNCTION("""COMPUTED_VALUE"""),292000.0)</f>
        <v>292000</v>
      </c>
      <c r="E2368" s="1">
        <f>IFERROR(__xludf.DUMMYFUNCTION("""COMPUTED_VALUE"""),292000.0)</f>
        <v>292000</v>
      </c>
      <c r="F2368" s="1">
        <f>IFERROR(__xludf.DUMMYFUNCTION("""COMPUTED_VALUE"""),656024.0)</f>
        <v>656024</v>
      </c>
    </row>
    <row r="2369">
      <c r="A2369" s="2">
        <f>IFERROR(__xludf.DUMMYFUNCTION("""COMPUTED_VALUE"""),44096.64583333333)</f>
        <v>44096.64583</v>
      </c>
      <c r="B2369" s="1">
        <f>IFERROR(__xludf.DUMMYFUNCTION("""COMPUTED_VALUE"""),290500.0)</f>
        <v>290500</v>
      </c>
      <c r="C2369" s="1">
        <f>IFERROR(__xludf.DUMMYFUNCTION("""COMPUTED_VALUE"""),295000.0)</f>
        <v>295000</v>
      </c>
      <c r="D2369" s="1">
        <f>IFERROR(__xludf.DUMMYFUNCTION("""COMPUTED_VALUE"""),282000.0)</f>
        <v>282000</v>
      </c>
      <c r="E2369" s="1">
        <f>IFERROR(__xludf.DUMMYFUNCTION("""COMPUTED_VALUE"""),284500.0)</f>
        <v>284500</v>
      </c>
      <c r="F2369" s="1">
        <f>IFERROR(__xludf.DUMMYFUNCTION("""COMPUTED_VALUE"""),864846.0)</f>
        <v>864846</v>
      </c>
    </row>
    <row r="2370">
      <c r="A2370" s="2">
        <f>IFERROR(__xludf.DUMMYFUNCTION("""COMPUTED_VALUE"""),44097.64583333333)</f>
        <v>44097.64583</v>
      </c>
      <c r="B2370" s="1">
        <f>IFERROR(__xludf.DUMMYFUNCTION("""COMPUTED_VALUE"""),290000.0)</f>
        <v>290000</v>
      </c>
      <c r="C2370" s="1">
        <f>IFERROR(__xludf.DUMMYFUNCTION("""COMPUTED_VALUE"""),298000.0)</f>
        <v>298000</v>
      </c>
      <c r="D2370" s="1">
        <f>IFERROR(__xludf.DUMMYFUNCTION("""COMPUTED_VALUE"""),285500.0)</f>
        <v>285500</v>
      </c>
      <c r="E2370" s="1">
        <f>IFERROR(__xludf.DUMMYFUNCTION("""COMPUTED_VALUE"""),296500.0)</f>
        <v>296500</v>
      </c>
      <c r="F2370" s="1">
        <f>IFERROR(__xludf.DUMMYFUNCTION("""COMPUTED_VALUE"""),984136.0)</f>
        <v>984136</v>
      </c>
    </row>
    <row r="2371">
      <c r="A2371" s="2">
        <f>IFERROR(__xludf.DUMMYFUNCTION("""COMPUTED_VALUE"""),44098.64583333333)</f>
        <v>44098.64583</v>
      </c>
      <c r="B2371" s="1">
        <f>IFERROR(__xludf.DUMMYFUNCTION("""COMPUTED_VALUE"""),291500.0)</f>
        <v>291500</v>
      </c>
      <c r="C2371" s="1">
        <f>IFERROR(__xludf.DUMMYFUNCTION("""COMPUTED_VALUE"""),295500.0)</f>
        <v>295500</v>
      </c>
      <c r="D2371" s="1">
        <f>IFERROR(__xludf.DUMMYFUNCTION("""COMPUTED_VALUE"""),287000.0)</f>
        <v>287000</v>
      </c>
      <c r="E2371" s="1">
        <f>IFERROR(__xludf.DUMMYFUNCTION("""COMPUTED_VALUE"""),294000.0)</f>
        <v>294000</v>
      </c>
      <c r="F2371" s="1">
        <f>IFERROR(__xludf.DUMMYFUNCTION("""COMPUTED_VALUE"""),848971.0)</f>
        <v>848971</v>
      </c>
    </row>
    <row r="2372">
      <c r="A2372" s="2">
        <f>IFERROR(__xludf.DUMMYFUNCTION("""COMPUTED_VALUE"""),44099.64583333333)</f>
        <v>44099.64583</v>
      </c>
      <c r="B2372" s="1">
        <f>IFERROR(__xludf.DUMMYFUNCTION("""COMPUTED_VALUE"""),296000.0)</f>
        <v>296000</v>
      </c>
      <c r="C2372" s="1">
        <f>IFERROR(__xludf.DUMMYFUNCTION("""COMPUTED_VALUE"""),297500.0)</f>
        <v>297500</v>
      </c>
      <c r="D2372" s="1">
        <f>IFERROR(__xludf.DUMMYFUNCTION("""COMPUTED_VALUE"""),289500.0)</f>
        <v>289500</v>
      </c>
      <c r="E2372" s="1">
        <f>IFERROR(__xludf.DUMMYFUNCTION("""COMPUTED_VALUE"""),295000.0)</f>
        <v>295000</v>
      </c>
      <c r="F2372" s="1">
        <f>IFERROR(__xludf.DUMMYFUNCTION("""COMPUTED_VALUE"""),648182.0)</f>
        <v>648182</v>
      </c>
    </row>
    <row r="2373">
      <c r="A2373" s="2">
        <f>IFERROR(__xludf.DUMMYFUNCTION("""COMPUTED_VALUE"""),44102.64583333333)</f>
        <v>44102.64583</v>
      </c>
      <c r="B2373" s="1">
        <f>IFERROR(__xludf.DUMMYFUNCTION("""COMPUTED_VALUE"""),297000.0)</f>
        <v>297000</v>
      </c>
      <c r="C2373" s="1">
        <f>IFERROR(__xludf.DUMMYFUNCTION("""COMPUTED_VALUE"""),302000.0)</f>
        <v>302000</v>
      </c>
      <c r="D2373" s="1">
        <f>IFERROR(__xludf.DUMMYFUNCTION("""COMPUTED_VALUE"""),296000.0)</f>
        <v>296000</v>
      </c>
      <c r="E2373" s="1">
        <f>IFERROR(__xludf.DUMMYFUNCTION("""COMPUTED_VALUE"""),298500.0)</f>
        <v>298500</v>
      </c>
      <c r="F2373" s="1">
        <f>IFERROR(__xludf.DUMMYFUNCTION("""COMPUTED_VALUE"""),724465.0)</f>
        <v>724465</v>
      </c>
    </row>
    <row r="2374">
      <c r="A2374" s="2">
        <f>IFERROR(__xludf.DUMMYFUNCTION("""COMPUTED_VALUE"""),44103.64583333333)</f>
        <v>44103.64583</v>
      </c>
      <c r="B2374" s="1">
        <f>IFERROR(__xludf.DUMMYFUNCTION("""COMPUTED_VALUE"""),303000.0)</f>
        <v>303000</v>
      </c>
      <c r="C2374" s="1">
        <f>IFERROR(__xludf.DUMMYFUNCTION("""COMPUTED_VALUE"""),303000.0)</f>
        <v>303000</v>
      </c>
      <c r="D2374" s="1">
        <f>IFERROR(__xludf.DUMMYFUNCTION("""COMPUTED_VALUE"""),294000.0)</f>
        <v>294000</v>
      </c>
      <c r="E2374" s="1">
        <f>IFERROR(__xludf.DUMMYFUNCTION("""COMPUTED_VALUE"""),296500.0)</f>
        <v>296500</v>
      </c>
      <c r="F2374" s="1">
        <f>IFERROR(__xludf.DUMMYFUNCTION("""COMPUTED_VALUE"""),765489.0)</f>
        <v>765489</v>
      </c>
    </row>
    <row r="2375">
      <c r="A2375" s="2">
        <f>IFERROR(__xludf.DUMMYFUNCTION("""COMPUTED_VALUE"""),44109.64583333333)</f>
        <v>44109.64583</v>
      </c>
      <c r="B2375" s="1">
        <f>IFERROR(__xludf.DUMMYFUNCTION("""COMPUTED_VALUE"""),297500.0)</f>
        <v>297500</v>
      </c>
      <c r="C2375" s="1">
        <f>IFERROR(__xludf.DUMMYFUNCTION("""COMPUTED_VALUE"""),299000.0)</f>
        <v>299000</v>
      </c>
      <c r="D2375" s="1">
        <f>IFERROR(__xludf.DUMMYFUNCTION("""COMPUTED_VALUE"""),289500.0)</f>
        <v>289500</v>
      </c>
      <c r="E2375" s="1">
        <f>IFERROR(__xludf.DUMMYFUNCTION("""COMPUTED_VALUE"""),298500.0)</f>
        <v>298500</v>
      </c>
      <c r="F2375" s="1">
        <f>IFERROR(__xludf.DUMMYFUNCTION("""COMPUTED_VALUE"""),906516.0)</f>
        <v>906516</v>
      </c>
    </row>
    <row r="2376">
      <c r="A2376" s="2">
        <f>IFERROR(__xludf.DUMMYFUNCTION("""COMPUTED_VALUE"""),44110.64583333333)</f>
        <v>44110.64583</v>
      </c>
      <c r="B2376" s="1">
        <f>IFERROR(__xludf.DUMMYFUNCTION("""COMPUTED_VALUE"""),299500.0)</f>
        <v>299500</v>
      </c>
      <c r="C2376" s="1">
        <f>IFERROR(__xludf.DUMMYFUNCTION("""COMPUTED_VALUE"""),307500.0)</f>
        <v>307500</v>
      </c>
      <c r="D2376" s="1">
        <f>IFERROR(__xludf.DUMMYFUNCTION("""COMPUTED_VALUE"""),296500.0)</f>
        <v>296500</v>
      </c>
      <c r="E2376" s="1">
        <f>IFERROR(__xludf.DUMMYFUNCTION("""COMPUTED_VALUE"""),305000.0)</f>
        <v>305000</v>
      </c>
      <c r="F2376" s="1">
        <f>IFERROR(__xludf.DUMMYFUNCTION("""COMPUTED_VALUE"""),868540.0)</f>
        <v>868540</v>
      </c>
    </row>
    <row r="2377">
      <c r="A2377" s="2">
        <f>IFERROR(__xludf.DUMMYFUNCTION("""COMPUTED_VALUE"""),44111.64583333333)</f>
        <v>44111.64583</v>
      </c>
      <c r="B2377" s="1">
        <f>IFERROR(__xludf.DUMMYFUNCTION("""COMPUTED_VALUE"""),302000.0)</f>
        <v>302000</v>
      </c>
      <c r="C2377" s="1">
        <f>IFERROR(__xludf.DUMMYFUNCTION("""COMPUTED_VALUE"""),305000.0)</f>
        <v>305000</v>
      </c>
      <c r="D2377" s="1">
        <f>IFERROR(__xludf.DUMMYFUNCTION("""COMPUTED_VALUE"""),299500.0)</f>
        <v>299500</v>
      </c>
      <c r="E2377" s="1">
        <f>IFERROR(__xludf.DUMMYFUNCTION("""COMPUTED_VALUE"""),305000.0)</f>
        <v>305000</v>
      </c>
      <c r="F2377" s="1">
        <f>IFERROR(__xludf.DUMMYFUNCTION("""COMPUTED_VALUE"""),534644.0)</f>
        <v>534644</v>
      </c>
    </row>
    <row r="2378">
      <c r="A2378" s="2">
        <f>IFERROR(__xludf.DUMMYFUNCTION("""COMPUTED_VALUE"""),44112.64583333333)</f>
        <v>44112.64583</v>
      </c>
      <c r="B2378" s="1">
        <f>IFERROR(__xludf.DUMMYFUNCTION("""COMPUTED_VALUE"""),307500.0)</f>
        <v>307500</v>
      </c>
      <c r="C2378" s="1">
        <f>IFERROR(__xludf.DUMMYFUNCTION("""COMPUTED_VALUE"""),307500.0)</f>
        <v>307500</v>
      </c>
      <c r="D2378" s="1">
        <f>IFERROR(__xludf.DUMMYFUNCTION("""COMPUTED_VALUE"""),300000.0)</f>
        <v>300000</v>
      </c>
      <c r="E2378" s="1">
        <f>IFERROR(__xludf.DUMMYFUNCTION("""COMPUTED_VALUE"""),301000.0)</f>
        <v>301000</v>
      </c>
      <c r="F2378" s="1">
        <f>IFERROR(__xludf.DUMMYFUNCTION("""COMPUTED_VALUE"""),756735.0)</f>
        <v>756735</v>
      </c>
    </row>
    <row r="2379">
      <c r="A2379" s="2">
        <f>IFERROR(__xludf.DUMMYFUNCTION("""COMPUTED_VALUE"""),44116.64583333333)</f>
        <v>44116.64583</v>
      </c>
      <c r="B2379" s="1">
        <f>IFERROR(__xludf.DUMMYFUNCTION("""COMPUTED_VALUE"""),303000.0)</f>
        <v>303000</v>
      </c>
      <c r="C2379" s="1">
        <f>IFERROR(__xludf.DUMMYFUNCTION("""COMPUTED_VALUE"""),303000.0)</f>
        <v>303000</v>
      </c>
      <c r="D2379" s="1">
        <f>IFERROR(__xludf.DUMMYFUNCTION("""COMPUTED_VALUE"""),291500.0)</f>
        <v>291500</v>
      </c>
      <c r="E2379" s="1">
        <f>IFERROR(__xludf.DUMMYFUNCTION("""COMPUTED_VALUE"""),292000.0)</f>
        <v>292000</v>
      </c>
      <c r="F2379" s="1">
        <f>IFERROR(__xludf.DUMMYFUNCTION("""COMPUTED_VALUE"""),914860.0)</f>
        <v>914860</v>
      </c>
    </row>
    <row r="2380">
      <c r="A2380" s="2">
        <f>IFERROR(__xludf.DUMMYFUNCTION("""COMPUTED_VALUE"""),44117.64583333333)</f>
        <v>44117.64583</v>
      </c>
      <c r="B2380" s="1">
        <f>IFERROR(__xludf.DUMMYFUNCTION("""COMPUTED_VALUE"""),292000.0)</f>
        <v>292000</v>
      </c>
      <c r="C2380" s="1">
        <f>IFERROR(__xludf.DUMMYFUNCTION("""COMPUTED_VALUE"""),298000.0)</f>
        <v>298000</v>
      </c>
      <c r="D2380" s="1">
        <f>IFERROR(__xludf.DUMMYFUNCTION("""COMPUTED_VALUE"""),292000.0)</f>
        <v>292000</v>
      </c>
      <c r="E2380" s="1">
        <f>IFERROR(__xludf.DUMMYFUNCTION("""COMPUTED_VALUE"""),295000.0)</f>
        <v>295000</v>
      </c>
      <c r="F2380" s="1">
        <f>IFERROR(__xludf.DUMMYFUNCTION("""COMPUTED_VALUE"""),636487.0)</f>
        <v>636487</v>
      </c>
    </row>
    <row r="2381">
      <c r="A2381" s="2">
        <f>IFERROR(__xludf.DUMMYFUNCTION("""COMPUTED_VALUE"""),44118.64583333333)</f>
        <v>44118.64583</v>
      </c>
      <c r="B2381" s="1">
        <f>IFERROR(__xludf.DUMMYFUNCTION("""COMPUTED_VALUE"""),295000.0)</f>
        <v>295000</v>
      </c>
      <c r="C2381" s="1">
        <f>IFERROR(__xludf.DUMMYFUNCTION("""COMPUTED_VALUE"""),301000.0)</f>
        <v>301000</v>
      </c>
      <c r="D2381" s="1">
        <f>IFERROR(__xludf.DUMMYFUNCTION("""COMPUTED_VALUE"""),293000.0)</f>
        <v>293000</v>
      </c>
      <c r="E2381" s="1">
        <f>IFERROR(__xludf.DUMMYFUNCTION("""COMPUTED_VALUE"""),298500.0)</f>
        <v>298500</v>
      </c>
      <c r="F2381" s="1">
        <f>IFERROR(__xludf.DUMMYFUNCTION("""COMPUTED_VALUE"""),759464.0)</f>
        <v>759464</v>
      </c>
    </row>
    <row r="2382">
      <c r="A2382" s="2">
        <f>IFERROR(__xludf.DUMMYFUNCTION("""COMPUTED_VALUE"""),44119.64583333333)</f>
        <v>44119.64583</v>
      </c>
      <c r="B2382" s="1">
        <f>IFERROR(__xludf.DUMMYFUNCTION("""COMPUTED_VALUE"""),300500.0)</f>
        <v>300500</v>
      </c>
      <c r="C2382" s="1">
        <f>IFERROR(__xludf.DUMMYFUNCTION("""COMPUTED_VALUE"""),300500.0)</f>
        <v>300500</v>
      </c>
      <c r="D2382" s="1">
        <f>IFERROR(__xludf.DUMMYFUNCTION("""COMPUTED_VALUE"""),291000.0)</f>
        <v>291000</v>
      </c>
      <c r="E2382" s="1">
        <f>IFERROR(__xludf.DUMMYFUNCTION("""COMPUTED_VALUE"""),292500.0)</f>
        <v>292500</v>
      </c>
      <c r="F2382" s="1">
        <f>IFERROR(__xludf.DUMMYFUNCTION("""COMPUTED_VALUE"""),624097.0)</f>
        <v>624097</v>
      </c>
    </row>
    <row r="2383">
      <c r="A2383" s="2">
        <f>IFERROR(__xludf.DUMMYFUNCTION("""COMPUTED_VALUE"""),44120.64583333333)</f>
        <v>44120.64583</v>
      </c>
      <c r="B2383" s="1">
        <f>IFERROR(__xludf.DUMMYFUNCTION("""COMPUTED_VALUE"""),292500.0)</f>
        <v>292500</v>
      </c>
      <c r="C2383" s="1">
        <f>IFERROR(__xludf.DUMMYFUNCTION("""COMPUTED_VALUE"""),297500.0)</f>
        <v>297500</v>
      </c>
      <c r="D2383" s="1">
        <f>IFERROR(__xludf.DUMMYFUNCTION("""COMPUTED_VALUE"""),291500.0)</f>
        <v>291500</v>
      </c>
      <c r="E2383" s="1">
        <f>IFERROR(__xludf.DUMMYFUNCTION("""COMPUTED_VALUE"""),293500.0)</f>
        <v>293500</v>
      </c>
      <c r="F2383" s="1">
        <f>IFERROR(__xludf.DUMMYFUNCTION("""COMPUTED_VALUE"""),446832.0)</f>
        <v>446832</v>
      </c>
    </row>
    <row r="2384">
      <c r="A2384" s="2">
        <f>IFERROR(__xludf.DUMMYFUNCTION("""COMPUTED_VALUE"""),44123.64583333333)</f>
        <v>44123.64583</v>
      </c>
      <c r="B2384" s="1">
        <f>IFERROR(__xludf.DUMMYFUNCTION("""COMPUTED_VALUE"""),293500.0)</f>
        <v>293500</v>
      </c>
      <c r="C2384" s="1">
        <f>IFERROR(__xludf.DUMMYFUNCTION("""COMPUTED_VALUE"""),296500.0)</f>
        <v>296500</v>
      </c>
      <c r="D2384" s="1">
        <f>IFERROR(__xludf.DUMMYFUNCTION("""COMPUTED_VALUE"""),286000.0)</f>
        <v>286000</v>
      </c>
      <c r="E2384" s="1">
        <f>IFERROR(__xludf.DUMMYFUNCTION("""COMPUTED_VALUE"""),286000.0)</f>
        <v>286000</v>
      </c>
      <c r="F2384" s="1">
        <f>IFERROR(__xludf.DUMMYFUNCTION("""COMPUTED_VALUE"""),434420.0)</f>
        <v>434420</v>
      </c>
    </row>
    <row r="2385">
      <c r="A2385" s="2">
        <f>IFERROR(__xludf.DUMMYFUNCTION("""COMPUTED_VALUE"""),44124.64583333333)</f>
        <v>44124.64583</v>
      </c>
      <c r="B2385" s="1">
        <f>IFERROR(__xludf.DUMMYFUNCTION("""COMPUTED_VALUE"""),286500.0)</f>
        <v>286500</v>
      </c>
      <c r="C2385" s="1">
        <f>IFERROR(__xludf.DUMMYFUNCTION("""COMPUTED_VALUE"""),291000.0)</f>
        <v>291000</v>
      </c>
      <c r="D2385" s="1">
        <f>IFERROR(__xludf.DUMMYFUNCTION("""COMPUTED_VALUE"""),281000.0)</f>
        <v>281000</v>
      </c>
      <c r="E2385" s="1">
        <f>IFERROR(__xludf.DUMMYFUNCTION("""COMPUTED_VALUE"""),290000.0)</f>
        <v>290000</v>
      </c>
      <c r="F2385" s="1">
        <f>IFERROR(__xludf.DUMMYFUNCTION("""COMPUTED_VALUE"""),535870.0)</f>
        <v>535870</v>
      </c>
    </row>
    <row r="2386">
      <c r="A2386" s="2">
        <f>IFERROR(__xludf.DUMMYFUNCTION("""COMPUTED_VALUE"""),44125.64583333333)</f>
        <v>44125.64583</v>
      </c>
      <c r="B2386" s="1">
        <f>IFERROR(__xludf.DUMMYFUNCTION("""COMPUTED_VALUE"""),292500.0)</f>
        <v>292500</v>
      </c>
      <c r="C2386" s="1">
        <f>IFERROR(__xludf.DUMMYFUNCTION("""COMPUTED_VALUE"""),301000.0)</f>
        <v>301000</v>
      </c>
      <c r="D2386" s="1">
        <f>IFERROR(__xludf.DUMMYFUNCTION("""COMPUTED_VALUE"""),291000.0)</f>
        <v>291000</v>
      </c>
      <c r="E2386" s="1">
        <f>IFERROR(__xludf.DUMMYFUNCTION("""COMPUTED_VALUE"""),297500.0)</f>
        <v>297500</v>
      </c>
      <c r="F2386" s="1">
        <f>IFERROR(__xludf.DUMMYFUNCTION("""COMPUTED_VALUE"""),640501.0)</f>
        <v>640501</v>
      </c>
    </row>
    <row r="2387">
      <c r="A2387" s="2">
        <f>IFERROR(__xludf.DUMMYFUNCTION("""COMPUTED_VALUE"""),44126.64583333333)</f>
        <v>44126.64583</v>
      </c>
      <c r="B2387" s="1">
        <f>IFERROR(__xludf.DUMMYFUNCTION("""COMPUTED_VALUE"""),295000.0)</f>
        <v>295000</v>
      </c>
      <c r="C2387" s="1">
        <f>IFERROR(__xludf.DUMMYFUNCTION("""COMPUTED_VALUE"""),296000.0)</f>
        <v>296000</v>
      </c>
      <c r="D2387" s="1">
        <f>IFERROR(__xludf.DUMMYFUNCTION("""COMPUTED_VALUE"""),292000.0)</f>
        <v>292000</v>
      </c>
      <c r="E2387" s="1">
        <f>IFERROR(__xludf.DUMMYFUNCTION("""COMPUTED_VALUE"""),293000.0)</f>
        <v>293000</v>
      </c>
      <c r="F2387" s="1">
        <f>IFERROR(__xludf.DUMMYFUNCTION("""COMPUTED_VALUE"""),416425.0)</f>
        <v>416425</v>
      </c>
    </row>
    <row r="2388">
      <c r="A2388" s="2">
        <f>IFERROR(__xludf.DUMMYFUNCTION("""COMPUTED_VALUE"""),44127.64583333333)</f>
        <v>44127.64583</v>
      </c>
      <c r="B2388" s="1">
        <f>IFERROR(__xludf.DUMMYFUNCTION("""COMPUTED_VALUE"""),295500.0)</f>
        <v>295500</v>
      </c>
      <c r="C2388" s="1">
        <f>IFERROR(__xludf.DUMMYFUNCTION("""COMPUTED_VALUE"""),295500.0)</f>
        <v>295500</v>
      </c>
      <c r="D2388" s="1">
        <f>IFERROR(__xludf.DUMMYFUNCTION("""COMPUTED_VALUE"""),286000.0)</f>
        <v>286000</v>
      </c>
      <c r="E2388" s="1">
        <f>IFERROR(__xludf.DUMMYFUNCTION("""COMPUTED_VALUE"""),286500.0)</f>
        <v>286500</v>
      </c>
      <c r="F2388" s="1">
        <f>IFERROR(__xludf.DUMMYFUNCTION("""COMPUTED_VALUE"""),451654.0)</f>
        <v>451654</v>
      </c>
    </row>
    <row r="2389">
      <c r="A2389" s="2">
        <f>IFERROR(__xludf.DUMMYFUNCTION("""COMPUTED_VALUE"""),44130.64583333333)</f>
        <v>44130.64583</v>
      </c>
      <c r="B2389" s="1">
        <f>IFERROR(__xludf.DUMMYFUNCTION("""COMPUTED_VALUE"""),286500.0)</f>
        <v>286500</v>
      </c>
      <c r="C2389" s="1">
        <f>IFERROR(__xludf.DUMMYFUNCTION("""COMPUTED_VALUE"""),289000.0)</f>
        <v>289000</v>
      </c>
      <c r="D2389" s="1">
        <f>IFERROR(__xludf.DUMMYFUNCTION("""COMPUTED_VALUE"""),281500.0)</f>
        <v>281500</v>
      </c>
      <c r="E2389" s="1">
        <f>IFERROR(__xludf.DUMMYFUNCTION("""COMPUTED_VALUE"""),281500.0)</f>
        <v>281500</v>
      </c>
      <c r="F2389" s="1">
        <f>IFERROR(__xludf.DUMMYFUNCTION("""COMPUTED_VALUE"""),349163.0)</f>
        <v>349163</v>
      </c>
    </row>
    <row r="2390">
      <c r="A2390" s="2">
        <f>IFERROR(__xludf.DUMMYFUNCTION("""COMPUTED_VALUE"""),44131.64583333333)</f>
        <v>44131.64583</v>
      </c>
      <c r="B2390" s="1">
        <f>IFERROR(__xludf.DUMMYFUNCTION("""COMPUTED_VALUE"""),281500.0)</f>
        <v>281500</v>
      </c>
      <c r="C2390" s="1">
        <f>IFERROR(__xludf.DUMMYFUNCTION("""COMPUTED_VALUE"""),288500.0)</f>
        <v>288500</v>
      </c>
      <c r="D2390" s="1">
        <f>IFERROR(__xludf.DUMMYFUNCTION("""COMPUTED_VALUE"""),280500.0)</f>
        <v>280500</v>
      </c>
      <c r="E2390" s="1">
        <f>IFERROR(__xludf.DUMMYFUNCTION("""COMPUTED_VALUE"""),283500.0)</f>
        <v>283500</v>
      </c>
      <c r="F2390" s="1">
        <f>IFERROR(__xludf.DUMMYFUNCTION("""COMPUTED_VALUE"""),2071432.0)</f>
        <v>2071432</v>
      </c>
    </row>
    <row r="2391">
      <c r="A2391" s="2">
        <f>IFERROR(__xludf.DUMMYFUNCTION("""COMPUTED_VALUE"""),44132.64583333333)</f>
        <v>44132.64583</v>
      </c>
      <c r="B2391" s="1">
        <f>IFERROR(__xludf.DUMMYFUNCTION("""COMPUTED_VALUE"""),282000.0)</f>
        <v>282000</v>
      </c>
      <c r="C2391" s="1">
        <f>IFERROR(__xludf.DUMMYFUNCTION("""COMPUTED_VALUE"""),298500.0)</f>
        <v>298500</v>
      </c>
      <c r="D2391" s="1">
        <f>IFERROR(__xludf.DUMMYFUNCTION("""COMPUTED_VALUE"""),281500.0)</f>
        <v>281500</v>
      </c>
      <c r="E2391" s="1">
        <f>IFERROR(__xludf.DUMMYFUNCTION("""COMPUTED_VALUE"""),298500.0)</f>
        <v>298500</v>
      </c>
      <c r="F2391" s="1">
        <f>IFERROR(__xludf.DUMMYFUNCTION("""COMPUTED_VALUE"""),698195.0)</f>
        <v>698195</v>
      </c>
    </row>
    <row r="2392">
      <c r="A2392" s="2">
        <f>IFERROR(__xludf.DUMMYFUNCTION("""COMPUTED_VALUE"""),44133.64583333333)</f>
        <v>44133.64583</v>
      </c>
      <c r="B2392" s="1">
        <f>IFERROR(__xludf.DUMMYFUNCTION("""COMPUTED_VALUE"""),297000.0)</f>
        <v>297000</v>
      </c>
      <c r="C2392" s="1">
        <f>IFERROR(__xludf.DUMMYFUNCTION("""COMPUTED_VALUE"""),301000.0)</f>
        <v>301000</v>
      </c>
      <c r="D2392" s="1">
        <f>IFERROR(__xludf.DUMMYFUNCTION("""COMPUTED_VALUE"""),294500.0)</f>
        <v>294500</v>
      </c>
      <c r="E2392" s="1">
        <f>IFERROR(__xludf.DUMMYFUNCTION("""COMPUTED_VALUE"""),298500.0)</f>
        <v>298500</v>
      </c>
      <c r="F2392" s="1">
        <f>IFERROR(__xludf.DUMMYFUNCTION("""COMPUTED_VALUE"""),785050.0)</f>
        <v>785050</v>
      </c>
    </row>
    <row r="2393">
      <c r="A2393" s="2">
        <f>IFERROR(__xludf.DUMMYFUNCTION("""COMPUTED_VALUE"""),44134.64583333333)</f>
        <v>44134.64583</v>
      </c>
      <c r="B2393" s="1">
        <f>IFERROR(__xludf.DUMMYFUNCTION("""COMPUTED_VALUE"""),299000.0)</f>
        <v>299000</v>
      </c>
      <c r="C2393" s="1">
        <f>IFERROR(__xludf.DUMMYFUNCTION("""COMPUTED_VALUE"""),300000.0)</f>
        <v>300000</v>
      </c>
      <c r="D2393" s="1">
        <f>IFERROR(__xludf.DUMMYFUNCTION("""COMPUTED_VALUE"""),290000.0)</f>
        <v>290000</v>
      </c>
      <c r="E2393" s="1">
        <f>IFERROR(__xludf.DUMMYFUNCTION("""COMPUTED_VALUE"""),290000.0)</f>
        <v>290000</v>
      </c>
      <c r="F2393" s="1">
        <f>IFERROR(__xludf.DUMMYFUNCTION("""COMPUTED_VALUE"""),939833.0)</f>
        <v>939833</v>
      </c>
    </row>
    <row r="2394">
      <c r="A2394" s="2">
        <f>IFERROR(__xludf.DUMMYFUNCTION("""COMPUTED_VALUE"""),44137.64583333333)</f>
        <v>44137.64583</v>
      </c>
      <c r="B2394" s="1">
        <f>IFERROR(__xludf.DUMMYFUNCTION("""COMPUTED_VALUE"""),292000.0)</f>
        <v>292000</v>
      </c>
      <c r="C2394" s="1">
        <f>IFERROR(__xludf.DUMMYFUNCTION("""COMPUTED_VALUE"""),293000.0)</f>
        <v>293000</v>
      </c>
      <c r="D2394" s="1">
        <f>IFERROR(__xludf.DUMMYFUNCTION("""COMPUTED_VALUE"""),285500.0)</f>
        <v>285500</v>
      </c>
      <c r="E2394" s="1">
        <f>IFERROR(__xludf.DUMMYFUNCTION("""COMPUTED_VALUE"""),285500.0)</f>
        <v>285500</v>
      </c>
      <c r="F2394" s="1">
        <f>IFERROR(__xludf.DUMMYFUNCTION("""COMPUTED_VALUE"""),503831.0)</f>
        <v>503831</v>
      </c>
    </row>
    <row r="2395">
      <c r="A2395" s="2">
        <f>IFERROR(__xludf.DUMMYFUNCTION("""COMPUTED_VALUE"""),44138.64583333333)</f>
        <v>44138.64583</v>
      </c>
      <c r="B2395" s="1">
        <f>IFERROR(__xludf.DUMMYFUNCTION("""COMPUTED_VALUE"""),284000.0)</f>
        <v>284000</v>
      </c>
      <c r="C2395" s="1">
        <f>IFERROR(__xludf.DUMMYFUNCTION("""COMPUTED_VALUE"""),287000.0)</f>
        <v>287000</v>
      </c>
      <c r="D2395" s="1">
        <f>IFERROR(__xludf.DUMMYFUNCTION("""COMPUTED_VALUE"""),280000.0)</f>
        <v>280000</v>
      </c>
      <c r="E2395" s="1">
        <f>IFERROR(__xludf.DUMMYFUNCTION("""COMPUTED_VALUE"""),283000.0)</f>
        <v>283000</v>
      </c>
      <c r="F2395" s="1">
        <f>IFERROR(__xludf.DUMMYFUNCTION("""COMPUTED_VALUE"""),1066923.0)</f>
        <v>1066923</v>
      </c>
    </row>
    <row r="2396">
      <c r="A2396" s="2">
        <f>IFERROR(__xludf.DUMMYFUNCTION("""COMPUTED_VALUE"""),44139.64583333333)</f>
        <v>44139.64583</v>
      </c>
      <c r="B2396" s="1">
        <f>IFERROR(__xludf.DUMMYFUNCTION("""COMPUTED_VALUE"""),282500.0)</f>
        <v>282500</v>
      </c>
      <c r="C2396" s="1">
        <f>IFERROR(__xludf.DUMMYFUNCTION("""COMPUTED_VALUE"""),300500.0)</f>
        <v>300500</v>
      </c>
      <c r="D2396" s="1">
        <f>IFERROR(__xludf.DUMMYFUNCTION("""COMPUTED_VALUE"""),282000.0)</f>
        <v>282000</v>
      </c>
      <c r="E2396" s="1">
        <f>IFERROR(__xludf.DUMMYFUNCTION("""COMPUTED_VALUE"""),298500.0)</f>
        <v>298500</v>
      </c>
      <c r="F2396" s="1">
        <f>IFERROR(__xludf.DUMMYFUNCTION("""COMPUTED_VALUE"""),1623712.0)</f>
        <v>1623712</v>
      </c>
    </row>
    <row r="2397">
      <c r="A2397" s="2">
        <f>IFERROR(__xludf.DUMMYFUNCTION("""COMPUTED_VALUE"""),44140.64583333333)</f>
        <v>44140.64583</v>
      </c>
      <c r="B2397" s="1">
        <f>IFERROR(__xludf.DUMMYFUNCTION("""COMPUTED_VALUE"""),295000.0)</f>
        <v>295000</v>
      </c>
      <c r="C2397" s="1">
        <f>IFERROR(__xludf.DUMMYFUNCTION("""COMPUTED_VALUE"""),302000.0)</f>
        <v>302000</v>
      </c>
      <c r="D2397" s="1">
        <f>IFERROR(__xludf.DUMMYFUNCTION("""COMPUTED_VALUE"""),291500.0)</f>
        <v>291500</v>
      </c>
      <c r="E2397" s="1">
        <f>IFERROR(__xludf.DUMMYFUNCTION("""COMPUTED_VALUE"""),299000.0)</f>
        <v>299000</v>
      </c>
      <c r="F2397" s="1">
        <f>IFERROR(__xludf.DUMMYFUNCTION("""COMPUTED_VALUE"""),1082388.0)</f>
        <v>1082388</v>
      </c>
    </row>
    <row r="2398">
      <c r="A2398" s="2">
        <f>IFERROR(__xludf.DUMMYFUNCTION("""COMPUTED_VALUE"""),44141.64583333333)</f>
        <v>44141.64583</v>
      </c>
      <c r="B2398" s="1">
        <f>IFERROR(__xludf.DUMMYFUNCTION("""COMPUTED_VALUE"""),303000.0)</f>
        <v>303000</v>
      </c>
      <c r="C2398" s="1">
        <f>IFERROR(__xludf.DUMMYFUNCTION("""COMPUTED_VALUE"""),307000.0)</f>
        <v>307000</v>
      </c>
      <c r="D2398" s="1">
        <f>IFERROR(__xludf.DUMMYFUNCTION("""COMPUTED_VALUE"""),299000.0)</f>
        <v>299000</v>
      </c>
      <c r="E2398" s="1">
        <f>IFERROR(__xludf.DUMMYFUNCTION("""COMPUTED_VALUE"""),301000.0)</f>
        <v>301000</v>
      </c>
      <c r="F2398" s="1">
        <f>IFERROR(__xludf.DUMMYFUNCTION("""COMPUTED_VALUE"""),968971.0)</f>
        <v>968971</v>
      </c>
    </row>
    <row r="2399">
      <c r="A2399" s="2">
        <f>IFERROR(__xludf.DUMMYFUNCTION("""COMPUTED_VALUE"""),44144.64583333333)</f>
        <v>44144.64583</v>
      </c>
      <c r="B2399" s="1">
        <f>IFERROR(__xludf.DUMMYFUNCTION("""COMPUTED_VALUE"""),304000.0)</f>
        <v>304000</v>
      </c>
      <c r="C2399" s="1">
        <f>IFERROR(__xludf.DUMMYFUNCTION("""COMPUTED_VALUE"""),304500.0)</f>
        <v>304500</v>
      </c>
      <c r="D2399" s="1">
        <f>IFERROR(__xludf.DUMMYFUNCTION("""COMPUTED_VALUE"""),298000.0)</f>
        <v>298000</v>
      </c>
      <c r="E2399" s="1">
        <f>IFERROR(__xludf.DUMMYFUNCTION("""COMPUTED_VALUE"""),298000.0)</f>
        <v>298000</v>
      </c>
      <c r="F2399" s="1">
        <f>IFERROR(__xludf.DUMMYFUNCTION("""COMPUTED_VALUE"""),678531.0)</f>
        <v>678531</v>
      </c>
    </row>
    <row r="2400">
      <c r="A2400" s="2">
        <f>IFERROR(__xludf.DUMMYFUNCTION("""COMPUTED_VALUE"""),44145.64583333333)</f>
        <v>44145.64583</v>
      </c>
      <c r="B2400" s="1">
        <f>IFERROR(__xludf.DUMMYFUNCTION("""COMPUTED_VALUE"""),287000.0)</f>
        <v>287000</v>
      </c>
      <c r="C2400" s="1">
        <f>IFERROR(__xludf.DUMMYFUNCTION("""COMPUTED_VALUE"""),288000.0)</f>
        <v>288000</v>
      </c>
      <c r="D2400" s="1">
        <f>IFERROR(__xludf.DUMMYFUNCTION("""COMPUTED_VALUE"""),282000.0)</f>
        <v>282000</v>
      </c>
      <c r="E2400" s="1">
        <f>IFERROR(__xludf.DUMMYFUNCTION("""COMPUTED_VALUE"""),283000.0)</f>
        <v>283000</v>
      </c>
      <c r="F2400" s="1">
        <f>IFERROR(__xludf.DUMMYFUNCTION("""COMPUTED_VALUE"""),1728995.0)</f>
        <v>1728995</v>
      </c>
    </row>
    <row r="2401">
      <c r="A2401" s="2">
        <f>IFERROR(__xludf.DUMMYFUNCTION("""COMPUTED_VALUE"""),44146.64583333333)</f>
        <v>44146.64583</v>
      </c>
      <c r="B2401" s="1">
        <f>IFERROR(__xludf.DUMMYFUNCTION("""COMPUTED_VALUE"""),281000.0)</f>
        <v>281000</v>
      </c>
      <c r="C2401" s="1">
        <f>IFERROR(__xludf.DUMMYFUNCTION("""COMPUTED_VALUE"""),283000.0)</f>
        <v>283000</v>
      </c>
      <c r="D2401" s="1">
        <f>IFERROR(__xludf.DUMMYFUNCTION("""COMPUTED_VALUE"""),277500.0)</f>
        <v>277500</v>
      </c>
      <c r="E2401" s="1">
        <f>IFERROR(__xludf.DUMMYFUNCTION("""COMPUTED_VALUE"""),280000.0)</f>
        <v>280000</v>
      </c>
      <c r="F2401" s="1">
        <f>IFERROR(__xludf.DUMMYFUNCTION("""COMPUTED_VALUE"""),1183499.0)</f>
        <v>1183499</v>
      </c>
    </row>
    <row r="2402">
      <c r="A2402" s="2">
        <f>IFERROR(__xludf.DUMMYFUNCTION("""COMPUTED_VALUE"""),44147.64583333333)</f>
        <v>44147.64583</v>
      </c>
      <c r="B2402" s="1">
        <f>IFERROR(__xludf.DUMMYFUNCTION("""COMPUTED_VALUE"""),283000.0)</f>
        <v>283000</v>
      </c>
      <c r="C2402" s="1">
        <f>IFERROR(__xludf.DUMMYFUNCTION("""COMPUTED_VALUE"""),285500.0)</f>
        <v>285500</v>
      </c>
      <c r="D2402" s="1">
        <f>IFERROR(__xludf.DUMMYFUNCTION("""COMPUTED_VALUE"""),279000.0)</f>
        <v>279000</v>
      </c>
      <c r="E2402" s="1">
        <f>IFERROR(__xludf.DUMMYFUNCTION("""COMPUTED_VALUE"""),279000.0)</f>
        <v>279000</v>
      </c>
      <c r="F2402" s="1">
        <f>IFERROR(__xludf.DUMMYFUNCTION("""COMPUTED_VALUE"""),1016673.0)</f>
        <v>1016673</v>
      </c>
    </row>
    <row r="2403">
      <c r="A2403" s="2">
        <f>IFERROR(__xludf.DUMMYFUNCTION("""COMPUTED_VALUE"""),44148.64583333333)</f>
        <v>44148.64583</v>
      </c>
      <c r="B2403" s="1">
        <f>IFERROR(__xludf.DUMMYFUNCTION("""COMPUTED_VALUE"""),277500.0)</f>
        <v>277500</v>
      </c>
      <c r="C2403" s="1">
        <f>IFERROR(__xludf.DUMMYFUNCTION("""COMPUTED_VALUE"""),282000.0)</f>
        <v>282000</v>
      </c>
      <c r="D2403" s="1">
        <f>IFERROR(__xludf.DUMMYFUNCTION("""COMPUTED_VALUE"""),277500.0)</f>
        <v>277500</v>
      </c>
      <c r="E2403" s="1">
        <f>IFERROR(__xludf.DUMMYFUNCTION("""COMPUTED_VALUE"""),281000.0)</f>
        <v>281000</v>
      </c>
      <c r="F2403" s="1">
        <f>IFERROR(__xludf.DUMMYFUNCTION("""COMPUTED_VALUE"""),710865.0)</f>
        <v>710865</v>
      </c>
    </row>
    <row r="2404">
      <c r="A2404" s="2">
        <f>IFERROR(__xludf.DUMMYFUNCTION("""COMPUTED_VALUE"""),44151.64583333333)</f>
        <v>44151.64583</v>
      </c>
      <c r="B2404" s="1">
        <f>IFERROR(__xludf.DUMMYFUNCTION("""COMPUTED_VALUE"""),282500.0)</f>
        <v>282500</v>
      </c>
      <c r="C2404" s="1">
        <f>IFERROR(__xludf.DUMMYFUNCTION("""COMPUTED_VALUE"""),283000.0)</f>
        <v>283000</v>
      </c>
      <c r="D2404" s="1">
        <f>IFERROR(__xludf.DUMMYFUNCTION("""COMPUTED_VALUE"""),277500.0)</f>
        <v>277500</v>
      </c>
      <c r="E2404" s="1">
        <f>IFERROR(__xludf.DUMMYFUNCTION("""COMPUTED_VALUE"""),278000.0)</f>
        <v>278000</v>
      </c>
      <c r="F2404" s="1">
        <f>IFERROR(__xludf.DUMMYFUNCTION("""COMPUTED_VALUE"""),887878.0)</f>
        <v>887878</v>
      </c>
    </row>
    <row r="2405">
      <c r="A2405" s="2">
        <f>IFERROR(__xludf.DUMMYFUNCTION("""COMPUTED_VALUE"""),44152.64583333333)</f>
        <v>44152.64583</v>
      </c>
      <c r="B2405" s="1">
        <f>IFERROR(__xludf.DUMMYFUNCTION("""COMPUTED_VALUE"""),277500.0)</f>
        <v>277500</v>
      </c>
      <c r="C2405" s="1">
        <f>IFERROR(__xludf.DUMMYFUNCTION("""COMPUTED_VALUE"""),278000.0)</f>
        <v>278000</v>
      </c>
      <c r="D2405" s="1">
        <f>IFERROR(__xludf.DUMMYFUNCTION("""COMPUTED_VALUE"""),273500.0)</f>
        <v>273500</v>
      </c>
      <c r="E2405" s="1">
        <f>IFERROR(__xludf.DUMMYFUNCTION("""COMPUTED_VALUE"""),275000.0)</f>
        <v>275000</v>
      </c>
      <c r="F2405" s="1">
        <f>IFERROR(__xludf.DUMMYFUNCTION("""COMPUTED_VALUE"""),816320.0)</f>
        <v>816320</v>
      </c>
    </row>
    <row r="2406">
      <c r="A2406" s="2">
        <f>IFERROR(__xludf.DUMMYFUNCTION("""COMPUTED_VALUE"""),44153.64583333333)</f>
        <v>44153.64583</v>
      </c>
      <c r="B2406" s="1">
        <f>IFERROR(__xludf.DUMMYFUNCTION("""COMPUTED_VALUE"""),274500.0)</f>
        <v>274500</v>
      </c>
      <c r="C2406" s="1">
        <f>IFERROR(__xludf.DUMMYFUNCTION("""COMPUTED_VALUE"""),283500.0)</f>
        <v>283500</v>
      </c>
      <c r="D2406" s="1">
        <f>IFERROR(__xludf.DUMMYFUNCTION("""COMPUTED_VALUE"""),274000.0)</f>
        <v>274000</v>
      </c>
      <c r="E2406" s="1">
        <f>IFERROR(__xludf.DUMMYFUNCTION("""COMPUTED_VALUE"""),281000.0)</f>
        <v>281000</v>
      </c>
      <c r="F2406" s="1">
        <f>IFERROR(__xludf.DUMMYFUNCTION("""COMPUTED_VALUE"""),912899.0)</f>
        <v>912899</v>
      </c>
    </row>
    <row r="2407">
      <c r="A2407" s="2">
        <f>IFERROR(__xludf.DUMMYFUNCTION("""COMPUTED_VALUE"""),44154.64583333333)</f>
        <v>44154.64583</v>
      </c>
      <c r="B2407" s="1">
        <f>IFERROR(__xludf.DUMMYFUNCTION("""COMPUTED_VALUE"""),282500.0)</f>
        <v>282500</v>
      </c>
      <c r="C2407" s="1">
        <f>IFERROR(__xludf.DUMMYFUNCTION("""COMPUTED_VALUE"""),284000.0)</f>
        <v>284000</v>
      </c>
      <c r="D2407" s="1">
        <f>IFERROR(__xludf.DUMMYFUNCTION("""COMPUTED_VALUE"""),279500.0)</f>
        <v>279500</v>
      </c>
      <c r="E2407" s="1">
        <f>IFERROR(__xludf.DUMMYFUNCTION("""COMPUTED_VALUE"""),280500.0)</f>
        <v>280500</v>
      </c>
      <c r="F2407" s="1">
        <f>IFERROR(__xludf.DUMMYFUNCTION("""COMPUTED_VALUE"""),520114.0)</f>
        <v>520114</v>
      </c>
    </row>
    <row r="2408">
      <c r="A2408" s="2">
        <f>IFERROR(__xludf.DUMMYFUNCTION("""COMPUTED_VALUE"""),44155.64583333333)</f>
        <v>44155.64583</v>
      </c>
      <c r="B2408" s="1">
        <f>IFERROR(__xludf.DUMMYFUNCTION("""COMPUTED_VALUE"""),281500.0)</f>
        <v>281500</v>
      </c>
      <c r="C2408" s="1">
        <f>IFERROR(__xludf.DUMMYFUNCTION("""COMPUTED_VALUE"""),283500.0)</f>
        <v>283500</v>
      </c>
      <c r="D2408" s="1">
        <f>IFERROR(__xludf.DUMMYFUNCTION("""COMPUTED_VALUE"""),278500.0)</f>
        <v>278500</v>
      </c>
      <c r="E2408" s="1">
        <f>IFERROR(__xludf.DUMMYFUNCTION("""COMPUTED_VALUE"""),281000.0)</f>
        <v>281000</v>
      </c>
      <c r="F2408" s="1">
        <f>IFERROR(__xludf.DUMMYFUNCTION("""COMPUTED_VALUE"""),439077.0)</f>
        <v>439077</v>
      </c>
    </row>
    <row r="2409">
      <c r="A2409" s="2">
        <f>IFERROR(__xludf.DUMMYFUNCTION("""COMPUTED_VALUE"""),44158.64583333333)</f>
        <v>44158.64583</v>
      </c>
      <c r="B2409" s="1">
        <f>IFERROR(__xludf.DUMMYFUNCTION("""COMPUTED_VALUE"""),282000.0)</f>
        <v>282000</v>
      </c>
      <c r="C2409" s="1">
        <f>IFERROR(__xludf.DUMMYFUNCTION("""COMPUTED_VALUE"""),282500.0)</f>
        <v>282500</v>
      </c>
      <c r="D2409" s="1">
        <f>IFERROR(__xludf.DUMMYFUNCTION("""COMPUTED_VALUE"""),278500.0)</f>
        <v>278500</v>
      </c>
      <c r="E2409" s="1">
        <f>IFERROR(__xludf.DUMMYFUNCTION("""COMPUTED_VALUE"""),281500.0)</f>
        <v>281500</v>
      </c>
      <c r="F2409" s="1">
        <f>IFERROR(__xludf.DUMMYFUNCTION("""COMPUTED_VALUE"""),565213.0)</f>
        <v>565213</v>
      </c>
    </row>
    <row r="2410">
      <c r="A2410" s="2">
        <f>IFERROR(__xludf.DUMMYFUNCTION("""COMPUTED_VALUE"""),44159.64583333333)</f>
        <v>44159.64583</v>
      </c>
      <c r="B2410" s="1">
        <f>IFERROR(__xludf.DUMMYFUNCTION("""COMPUTED_VALUE"""),281500.0)</f>
        <v>281500</v>
      </c>
      <c r="C2410" s="1">
        <f>IFERROR(__xludf.DUMMYFUNCTION("""COMPUTED_VALUE"""),287000.0)</f>
        <v>287000</v>
      </c>
      <c r="D2410" s="1">
        <f>IFERROR(__xludf.DUMMYFUNCTION("""COMPUTED_VALUE"""),280000.0)</f>
        <v>280000</v>
      </c>
      <c r="E2410" s="1">
        <f>IFERROR(__xludf.DUMMYFUNCTION("""COMPUTED_VALUE"""),282500.0)</f>
        <v>282500</v>
      </c>
      <c r="F2410" s="1">
        <f>IFERROR(__xludf.DUMMYFUNCTION("""COMPUTED_VALUE"""),809745.0)</f>
        <v>809745</v>
      </c>
    </row>
    <row r="2411">
      <c r="A2411" s="2">
        <f>IFERROR(__xludf.DUMMYFUNCTION("""COMPUTED_VALUE"""),44160.64583333333)</f>
        <v>44160.64583</v>
      </c>
      <c r="B2411" s="1">
        <f>IFERROR(__xludf.DUMMYFUNCTION("""COMPUTED_VALUE"""),287000.0)</f>
        <v>287000</v>
      </c>
      <c r="C2411" s="1">
        <f>IFERROR(__xludf.DUMMYFUNCTION("""COMPUTED_VALUE"""),287000.0)</f>
        <v>287000</v>
      </c>
      <c r="D2411" s="1">
        <f>IFERROR(__xludf.DUMMYFUNCTION("""COMPUTED_VALUE"""),278500.0)</f>
        <v>278500</v>
      </c>
      <c r="E2411" s="1">
        <f>IFERROR(__xludf.DUMMYFUNCTION("""COMPUTED_VALUE"""),278500.0)</f>
        <v>278500</v>
      </c>
      <c r="F2411" s="1">
        <f>IFERROR(__xludf.DUMMYFUNCTION("""COMPUTED_VALUE"""),909937.0)</f>
        <v>909937</v>
      </c>
    </row>
    <row r="2412">
      <c r="A2412" s="2">
        <f>IFERROR(__xludf.DUMMYFUNCTION("""COMPUTED_VALUE"""),44161.64583333333)</f>
        <v>44161.64583</v>
      </c>
      <c r="B2412" s="1">
        <f>IFERROR(__xludf.DUMMYFUNCTION("""COMPUTED_VALUE"""),280000.0)</f>
        <v>280000</v>
      </c>
      <c r="C2412" s="1">
        <f>IFERROR(__xludf.DUMMYFUNCTION("""COMPUTED_VALUE"""),285500.0)</f>
        <v>285500</v>
      </c>
      <c r="D2412" s="1">
        <f>IFERROR(__xludf.DUMMYFUNCTION("""COMPUTED_VALUE"""),280000.0)</f>
        <v>280000</v>
      </c>
      <c r="E2412" s="1">
        <f>IFERROR(__xludf.DUMMYFUNCTION("""COMPUTED_VALUE"""),285500.0)</f>
        <v>285500</v>
      </c>
      <c r="F2412" s="1">
        <f>IFERROR(__xludf.DUMMYFUNCTION("""COMPUTED_VALUE"""),797094.0)</f>
        <v>797094</v>
      </c>
    </row>
    <row r="2413">
      <c r="A2413" s="2">
        <f>IFERROR(__xludf.DUMMYFUNCTION("""COMPUTED_VALUE"""),44162.64583333333)</f>
        <v>44162.64583</v>
      </c>
      <c r="B2413" s="1">
        <f>IFERROR(__xludf.DUMMYFUNCTION("""COMPUTED_VALUE"""),287000.0)</f>
        <v>287000</v>
      </c>
      <c r="C2413" s="1">
        <f>IFERROR(__xludf.DUMMYFUNCTION("""COMPUTED_VALUE"""),287500.0)</f>
        <v>287500</v>
      </c>
      <c r="D2413" s="1">
        <f>IFERROR(__xludf.DUMMYFUNCTION("""COMPUTED_VALUE"""),283000.0)</f>
        <v>283000</v>
      </c>
      <c r="E2413" s="1">
        <f>IFERROR(__xludf.DUMMYFUNCTION("""COMPUTED_VALUE"""),284500.0)</f>
        <v>284500</v>
      </c>
      <c r="F2413" s="1">
        <f>IFERROR(__xludf.DUMMYFUNCTION("""COMPUTED_VALUE"""),417510.0)</f>
        <v>417510</v>
      </c>
    </row>
    <row r="2414">
      <c r="A2414" s="2">
        <f>IFERROR(__xludf.DUMMYFUNCTION("""COMPUTED_VALUE"""),44165.64583333333)</f>
        <v>44165.64583</v>
      </c>
      <c r="B2414" s="1">
        <f>IFERROR(__xludf.DUMMYFUNCTION("""COMPUTED_VALUE"""),286000.0)</f>
        <v>286000</v>
      </c>
      <c r="C2414" s="1">
        <f>IFERROR(__xludf.DUMMYFUNCTION("""COMPUTED_VALUE"""),286500.0)</f>
        <v>286500</v>
      </c>
      <c r="D2414" s="1">
        <f>IFERROR(__xludf.DUMMYFUNCTION("""COMPUTED_VALUE"""),277500.0)</f>
        <v>277500</v>
      </c>
      <c r="E2414" s="1">
        <f>IFERROR(__xludf.DUMMYFUNCTION("""COMPUTED_VALUE"""),277500.0)</f>
        <v>277500</v>
      </c>
      <c r="F2414" s="1">
        <f>IFERROR(__xludf.DUMMYFUNCTION("""COMPUTED_VALUE"""),1176272.0)</f>
        <v>1176272</v>
      </c>
    </row>
    <row r="2415">
      <c r="A2415" s="2">
        <f>IFERROR(__xludf.DUMMYFUNCTION("""COMPUTED_VALUE"""),44166.64583333333)</f>
        <v>44166.64583</v>
      </c>
      <c r="B2415" s="1">
        <f>IFERROR(__xludf.DUMMYFUNCTION("""COMPUTED_VALUE"""),282000.0)</f>
        <v>282000</v>
      </c>
      <c r="C2415" s="1">
        <f>IFERROR(__xludf.DUMMYFUNCTION("""COMPUTED_VALUE"""),286000.0)</f>
        <v>286000</v>
      </c>
      <c r="D2415" s="1">
        <f>IFERROR(__xludf.DUMMYFUNCTION("""COMPUTED_VALUE"""),280000.0)</f>
        <v>280000</v>
      </c>
      <c r="E2415" s="1">
        <f>IFERROR(__xludf.DUMMYFUNCTION("""COMPUTED_VALUE"""),285500.0)</f>
        <v>285500</v>
      </c>
      <c r="F2415" s="1">
        <f>IFERROR(__xludf.DUMMYFUNCTION("""COMPUTED_VALUE"""),709278.0)</f>
        <v>709278</v>
      </c>
    </row>
    <row r="2416">
      <c r="A2416" s="2">
        <f>IFERROR(__xludf.DUMMYFUNCTION("""COMPUTED_VALUE"""),44167.64583333333)</f>
        <v>44167.64583</v>
      </c>
      <c r="B2416" s="1">
        <f>IFERROR(__xludf.DUMMYFUNCTION("""COMPUTED_VALUE"""),287000.0)</f>
        <v>287000</v>
      </c>
      <c r="C2416" s="1">
        <f>IFERROR(__xludf.DUMMYFUNCTION("""COMPUTED_VALUE"""),287000.0)</f>
        <v>287000</v>
      </c>
      <c r="D2416" s="1">
        <f>IFERROR(__xludf.DUMMYFUNCTION("""COMPUTED_VALUE"""),282000.0)</f>
        <v>282000</v>
      </c>
      <c r="E2416" s="1">
        <f>IFERROR(__xludf.DUMMYFUNCTION("""COMPUTED_VALUE"""),283500.0)</f>
        <v>283500</v>
      </c>
      <c r="F2416" s="1">
        <f>IFERROR(__xludf.DUMMYFUNCTION("""COMPUTED_VALUE"""),601596.0)</f>
        <v>601596</v>
      </c>
    </row>
    <row r="2417">
      <c r="A2417" s="2">
        <f>IFERROR(__xludf.DUMMYFUNCTION("""COMPUTED_VALUE"""),44168.64583333333)</f>
        <v>44168.64583</v>
      </c>
      <c r="B2417" s="1">
        <f>IFERROR(__xludf.DUMMYFUNCTION("""COMPUTED_VALUE"""),285000.0)</f>
        <v>285000</v>
      </c>
      <c r="C2417" s="1">
        <f>IFERROR(__xludf.DUMMYFUNCTION("""COMPUTED_VALUE"""),287000.0)</f>
        <v>287000</v>
      </c>
      <c r="D2417" s="1">
        <f>IFERROR(__xludf.DUMMYFUNCTION("""COMPUTED_VALUE"""),283500.0)</f>
        <v>283500</v>
      </c>
      <c r="E2417" s="1">
        <f>IFERROR(__xludf.DUMMYFUNCTION("""COMPUTED_VALUE"""),287000.0)</f>
        <v>287000</v>
      </c>
      <c r="F2417" s="1">
        <f>IFERROR(__xludf.DUMMYFUNCTION("""COMPUTED_VALUE"""),740985.0)</f>
        <v>740985</v>
      </c>
    </row>
    <row r="2418">
      <c r="A2418" s="2">
        <f>IFERROR(__xludf.DUMMYFUNCTION("""COMPUTED_VALUE"""),44169.64583333333)</f>
        <v>44169.64583</v>
      </c>
      <c r="B2418" s="1">
        <f>IFERROR(__xludf.DUMMYFUNCTION("""COMPUTED_VALUE"""),287500.0)</f>
        <v>287500</v>
      </c>
      <c r="C2418" s="1">
        <f>IFERROR(__xludf.DUMMYFUNCTION("""COMPUTED_VALUE"""),295500.0)</f>
        <v>295500</v>
      </c>
      <c r="D2418" s="1">
        <f>IFERROR(__xludf.DUMMYFUNCTION("""COMPUTED_VALUE"""),284500.0)</f>
        <v>284500</v>
      </c>
      <c r="E2418" s="1">
        <f>IFERROR(__xludf.DUMMYFUNCTION("""COMPUTED_VALUE"""),294000.0)</f>
        <v>294000</v>
      </c>
      <c r="F2418" s="1">
        <f>IFERROR(__xludf.DUMMYFUNCTION("""COMPUTED_VALUE"""),1174932.0)</f>
        <v>1174932</v>
      </c>
    </row>
    <row r="2419">
      <c r="A2419" s="2">
        <f>IFERROR(__xludf.DUMMYFUNCTION("""COMPUTED_VALUE"""),44172.64583333333)</f>
        <v>44172.64583</v>
      </c>
      <c r="B2419" s="1">
        <f>IFERROR(__xludf.DUMMYFUNCTION("""COMPUTED_VALUE"""),300000.0)</f>
        <v>300000</v>
      </c>
      <c r="C2419" s="1">
        <f>IFERROR(__xludf.DUMMYFUNCTION("""COMPUTED_VALUE"""),300500.0)</f>
        <v>300500</v>
      </c>
      <c r="D2419" s="1">
        <f>IFERROR(__xludf.DUMMYFUNCTION("""COMPUTED_VALUE"""),288000.0)</f>
        <v>288000</v>
      </c>
      <c r="E2419" s="1">
        <f>IFERROR(__xludf.DUMMYFUNCTION("""COMPUTED_VALUE"""),289500.0)</f>
        <v>289500</v>
      </c>
      <c r="F2419" s="1">
        <f>IFERROR(__xludf.DUMMYFUNCTION("""COMPUTED_VALUE"""),821860.0)</f>
        <v>821860</v>
      </c>
    </row>
    <row r="2420">
      <c r="A2420" s="2">
        <f>IFERROR(__xludf.DUMMYFUNCTION("""COMPUTED_VALUE"""),44173.64583333333)</f>
        <v>44173.64583</v>
      </c>
      <c r="B2420" s="1">
        <f>IFERROR(__xludf.DUMMYFUNCTION("""COMPUTED_VALUE"""),291500.0)</f>
        <v>291500</v>
      </c>
      <c r="C2420" s="1">
        <f>IFERROR(__xludf.DUMMYFUNCTION("""COMPUTED_VALUE"""),291500.0)</f>
        <v>291500</v>
      </c>
      <c r="D2420" s="1">
        <f>IFERROR(__xludf.DUMMYFUNCTION("""COMPUTED_VALUE"""),285000.0)</f>
        <v>285000</v>
      </c>
      <c r="E2420" s="1">
        <f>IFERROR(__xludf.DUMMYFUNCTION("""COMPUTED_VALUE"""),285000.0)</f>
        <v>285000</v>
      </c>
      <c r="F2420" s="1">
        <f>IFERROR(__xludf.DUMMYFUNCTION("""COMPUTED_VALUE"""),566981.0)</f>
        <v>566981</v>
      </c>
    </row>
    <row r="2421">
      <c r="A2421" s="2">
        <f>IFERROR(__xludf.DUMMYFUNCTION("""COMPUTED_VALUE"""),44174.64583333333)</f>
        <v>44174.64583</v>
      </c>
      <c r="B2421" s="1">
        <f>IFERROR(__xludf.DUMMYFUNCTION("""COMPUTED_VALUE"""),285500.0)</f>
        <v>285500</v>
      </c>
      <c r="C2421" s="1">
        <f>IFERROR(__xludf.DUMMYFUNCTION("""COMPUTED_VALUE"""),289000.0)</f>
        <v>289000</v>
      </c>
      <c r="D2421" s="1">
        <f>IFERROR(__xludf.DUMMYFUNCTION("""COMPUTED_VALUE"""),285000.0)</f>
        <v>285000</v>
      </c>
      <c r="E2421" s="1">
        <f>IFERROR(__xludf.DUMMYFUNCTION("""COMPUTED_VALUE"""),288000.0)</f>
        <v>288000</v>
      </c>
      <c r="F2421" s="1">
        <f>IFERROR(__xludf.DUMMYFUNCTION("""COMPUTED_VALUE"""),533304.0)</f>
        <v>533304</v>
      </c>
    </row>
    <row r="2422">
      <c r="A2422" s="2">
        <f>IFERROR(__xludf.DUMMYFUNCTION("""COMPUTED_VALUE"""),44175.64583333333)</f>
        <v>44175.64583</v>
      </c>
      <c r="B2422" s="1">
        <f>IFERROR(__xludf.DUMMYFUNCTION("""COMPUTED_VALUE"""),288000.0)</f>
        <v>288000</v>
      </c>
      <c r="C2422" s="1">
        <f>IFERROR(__xludf.DUMMYFUNCTION("""COMPUTED_VALUE"""),290000.0)</f>
        <v>290000</v>
      </c>
      <c r="D2422" s="1">
        <f>IFERROR(__xludf.DUMMYFUNCTION("""COMPUTED_VALUE"""),284500.0)</f>
        <v>284500</v>
      </c>
      <c r="E2422" s="1">
        <f>IFERROR(__xludf.DUMMYFUNCTION("""COMPUTED_VALUE"""),286000.0)</f>
        <v>286000</v>
      </c>
      <c r="F2422" s="1">
        <f>IFERROR(__xludf.DUMMYFUNCTION("""COMPUTED_VALUE"""),959427.0)</f>
        <v>959427</v>
      </c>
    </row>
    <row r="2423">
      <c r="A2423" s="2">
        <f>IFERROR(__xludf.DUMMYFUNCTION("""COMPUTED_VALUE"""),44176.64583333333)</f>
        <v>44176.64583</v>
      </c>
      <c r="B2423" s="1">
        <f>IFERROR(__xludf.DUMMYFUNCTION("""COMPUTED_VALUE"""),288000.0)</f>
        <v>288000</v>
      </c>
      <c r="C2423" s="1">
        <f>IFERROR(__xludf.DUMMYFUNCTION("""COMPUTED_VALUE"""),291500.0)</f>
        <v>291500</v>
      </c>
      <c r="D2423" s="1">
        <f>IFERROR(__xludf.DUMMYFUNCTION("""COMPUTED_VALUE"""),287500.0)</f>
        <v>287500</v>
      </c>
      <c r="E2423" s="1">
        <f>IFERROR(__xludf.DUMMYFUNCTION("""COMPUTED_VALUE"""),290000.0)</f>
        <v>290000</v>
      </c>
      <c r="F2423" s="1">
        <f>IFERROR(__xludf.DUMMYFUNCTION("""COMPUTED_VALUE"""),503588.0)</f>
        <v>503588</v>
      </c>
    </row>
    <row r="2424">
      <c r="A2424" s="2">
        <f>IFERROR(__xludf.DUMMYFUNCTION("""COMPUTED_VALUE"""),44179.64583333333)</f>
        <v>44179.64583</v>
      </c>
      <c r="B2424" s="1">
        <f>IFERROR(__xludf.DUMMYFUNCTION("""COMPUTED_VALUE"""),292500.0)</f>
        <v>292500</v>
      </c>
      <c r="C2424" s="1">
        <f>IFERROR(__xludf.DUMMYFUNCTION("""COMPUTED_VALUE"""),294000.0)</f>
        <v>294000</v>
      </c>
      <c r="D2424" s="1">
        <f>IFERROR(__xludf.DUMMYFUNCTION("""COMPUTED_VALUE"""),286000.0)</f>
        <v>286000</v>
      </c>
      <c r="E2424" s="1">
        <f>IFERROR(__xludf.DUMMYFUNCTION("""COMPUTED_VALUE"""),286000.0)</f>
        <v>286000</v>
      </c>
      <c r="F2424" s="1">
        <f>IFERROR(__xludf.DUMMYFUNCTION("""COMPUTED_VALUE"""),555272.0)</f>
        <v>555272</v>
      </c>
    </row>
    <row r="2425">
      <c r="A2425" s="2">
        <f>IFERROR(__xludf.DUMMYFUNCTION("""COMPUTED_VALUE"""),44180.64583333333)</f>
        <v>44180.64583</v>
      </c>
      <c r="B2425" s="1">
        <f>IFERROR(__xludf.DUMMYFUNCTION("""COMPUTED_VALUE"""),286500.0)</f>
        <v>286500</v>
      </c>
      <c r="C2425" s="1">
        <f>IFERROR(__xludf.DUMMYFUNCTION("""COMPUTED_VALUE"""),287500.0)</f>
        <v>287500</v>
      </c>
      <c r="D2425" s="1">
        <f>IFERROR(__xludf.DUMMYFUNCTION("""COMPUTED_VALUE"""),282500.0)</f>
        <v>282500</v>
      </c>
      <c r="E2425" s="1">
        <f>IFERROR(__xludf.DUMMYFUNCTION("""COMPUTED_VALUE"""),283000.0)</f>
        <v>283000</v>
      </c>
      <c r="F2425" s="1">
        <f>IFERROR(__xludf.DUMMYFUNCTION("""COMPUTED_VALUE"""),491995.0)</f>
        <v>491995</v>
      </c>
    </row>
    <row r="2426">
      <c r="A2426" s="2">
        <f>IFERROR(__xludf.DUMMYFUNCTION("""COMPUTED_VALUE"""),44181.64583333333)</f>
        <v>44181.64583</v>
      </c>
      <c r="B2426" s="1">
        <f>IFERROR(__xludf.DUMMYFUNCTION("""COMPUTED_VALUE"""),286500.0)</f>
        <v>286500</v>
      </c>
      <c r="C2426" s="1">
        <f>IFERROR(__xludf.DUMMYFUNCTION("""COMPUTED_VALUE"""),287000.0)</f>
        <v>287000</v>
      </c>
      <c r="D2426" s="1">
        <f>IFERROR(__xludf.DUMMYFUNCTION("""COMPUTED_VALUE"""),283000.0)</f>
        <v>283000</v>
      </c>
      <c r="E2426" s="1">
        <f>IFERROR(__xludf.DUMMYFUNCTION("""COMPUTED_VALUE"""),285500.0)</f>
        <v>285500</v>
      </c>
      <c r="F2426" s="1">
        <f>IFERROR(__xludf.DUMMYFUNCTION("""COMPUTED_VALUE"""),381896.0)</f>
        <v>381896</v>
      </c>
    </row>
    <row r="2427">
      <c r="A2427" s="2">
        <f>IFERROR(__xludf.DUMMYFUNCTION("""COMPUTED_VALUE"""),44182.64583333333)</f>
        <v>44182.64583</v>
      </c>
      <c r="B2427" s="1">
        <f>IFERROR(__xludf.DUMMYFUNCTION("""COMPUTED_VALUE"""),286000.0)</f>
        <v>286000</v>
      </c>
      <c r="C2427" s="1">
        <f>IFERROR(__xludf.DUMMYFUNCTION("""COMPUTED_VALUE"""),287000.0)</f>
        <v>287000</v>
      </c>
      <c r="D2427" s="1">
        <f>IFERROR(__xludf.DUMMYFUNCTION("""COMPUTED_VALUE"""),282000.0)</f>
        <v>282000</v>
      </c>
      <c r="E2427" s="1">
        <f>IFERROR(__xludf.DUMMYFUNCTION("""COMPUTED_VALUE"""),285000.0)</f>
        <v>285000</v>
      </c>
      <c r="F2427" s="1">
        <f>IFERROR(__xludf.DUMMYFUNCTION("""COMPUTED_VALUE"""),522344.0)</f>
        <v>522344</v>
      </c>
    </row>
    <row r="2428">
      <c r="A2428" s="2">
        <f>IFERROR(__xludf.DUMMYFUNCTION("""COMPUTED_VALUE"""),44183.64583333333)</f>
        <v>44183.64583</v>
      </c>
      <c r="B2428" s="1">
        <f>IFERROR(__xludf.DUMMYFUNCTION("""COMPUTED_VALUE"""),284000.0)</f>
        <v>284000</v>
      </c>
      <c r="C2428" s="1">
        <f>IFERROR(__xludf.DUMMYFUNCTION("""COMPUTED_VALUE"""),285500.0)</f>
        <v>285500</v>
      </c>
      <c r="D2428" s="1">
        <f>IFERROR(__xludf.DUMMYFUNCTION("""COMPUTED_VALUE"""),282000.0)</f>
        <v>282000</v>
      </c>
      <c r="E2428" s="1">
        <f>IFERROR(__xludf.DUMMYFUNCTION("""COMPUTED_VALUE"""),282500.0)</f>
        <v>282500</v>
      </c>
      <c r="F2428" s="1">
        <f>IFERROR(__xludf.DUMMYFUNCTION("""COMPUTED_VALUE"""),487305.0)</f>
        <v>487305</v>
      </c>
    </row>
    <row r="2429">
      <c r="A2429" s="2">
        <f>IFERROR(__xludf.DUMMYFUNCTION("""COMPUTED_VALUE"""),44186.64583333333)</f>
        <v>44186.64583</v>
      </c>
      <c r="B2429" s="1">
        <f>IFERROR(__xludf.DUMMYFUNCTION("""COMPUTED_VALUE"""),284000.0)</f>
        <v>284000</v>
      </c>
      <c r="C2429" s="1">
        <f>IFERROR(__xludf.DUMMYFUNCTION("""COMPUTED_VALUE"""),285500.0)</f>
        <v>285500</v>
      </c>
      <c r="D2429" s="1">
        <f>IFERROR(__xludf.DUMMYFUNCTION("""COMPUTED_VALUE"""),280000.0)</f>
        <v>280000</v>
      </c>
      <c r="E2429" s="1">
        <f>IFERROR(__xludf.DUMMYFUNCTION("""COMPUTED_VALUE"""),284000.0)</f>
        <v>284000</v>
      </c>
      <c r="F2429" s="1">
        <f>IFERROR(__xludf.DUMMYFUNCTION("""COMPUTED_VALUE"""),473545.0)</f>
        <v>473545</v>
      </c>
    </row>
    <row r="2430">
      <c r="A2430" s="2">
        <f>IFERROR(__xludf.DUMMYFUNCTION("""COMPUTED_VALUE"""),44187.64583333333)</f>
        <v>44187.64583</v>
      </c>
      <c r="B2430" s="1">
        <f>IFERROR(__xludf.DUMMYFUNCTION("""COMPUTED_VALUE"""),285000.0)</f>
        <v>285000</v>
      </c>
      <c r="C2430" s="1">
        <f>IFERROR(__xludf.DUMMYFUNCTION("""COMPUTED_VALUE"""),293500.0)</f>
        <v>293500</v>
      </c>
      <c r="D2430" s="1">
        <f>IFERROR(__xludf.DUMMYFUNCTION("""COMPUTED_VALUE"""),284000.0)</f>
        <v>284000</v>
      </c>
      <c r="E2430" s="1">
        <f>IFERROR(__xludf.DUMMYFUNCTION("""COMPUTED_VALUE"""),284000.0)</f>
        <v>284000</v>
      </c>
      <c r="F2430" s="1">
        <f>IFERROR(__xludf.DUMMYFUNCTION("""COMPUTED_VALUE"""),750095.0)</f>
        <v>750095</v>
      </c>
    </row>
    <row r="2431">
      <c r="A2431" s="2">
        <f>IFERROR(__xludf.DUMMYFUNCTION("""COMPUTED_VALUE"""),44188.64583333333)</f>
        <v>44188.64583</v>
      </c>
      <c r="B2431" s="1">
        <f>IFERROR(__xludf.DUMMYFUNCTION("""COMPUTED_VALUE"""),288500.0)</f>
        <v>288500</v>
      </c>
      <c r="C2431" s="1">
        <f>IFERROR(__xludf.DUMMYFUNCTION("""COMPUTED_VALUE"""),289000.0)</f>
        <v>289000</v>
      </c>
      <c r="D2431" s="1">
        <f>IFERROR(__xludf.DUMMYFUNCTION("""COMPUTED_VALUE"""),283000.0)</f>
        <v>283000</v>
      </c>
      <c r="E2431" s="1">
        <f>IFERROR(__xludf.DUMMYFUNCTION("""COMPUTED_VALUE"""),284000.0)</f>
        <v>284000</v>
      </c>
      <c r="F2431" s="1">
        <f>IFERROR(__xludf.DUMMYFUNCTION("""COMPUTED_VALUE"""),508019.0)</f>
        <v>508019</v>
      </c>
    </row>
    <row r="2432">
      <c r="A2432" s="2">
        <f>IFERROR(__xludf.DUMMYFUNCTION("""COMPUTED_VALUE"""),44189.64583333333)</f>
        <v>44189.64583</v>
      </c>
      <c r="B2432" s="1">
        <f>IFERROR(__xludf.DUMMYFUNCTION("""COMPUTED_VALUE"""),284500.0)</f>
        <v>284500</v>
      </c>
      <c r="C2432" s="1">
        <f>IFERROR(__xludf.DUMMYFUNCTION("""COMPUTED_VALUE"""),284500.0)</f>
        <v>284500</v>
      </c>
      <c r="D2432" s="1">
        <f>IFERROR(__xludf.DUMMYFUNCTION("""COMPUTED_VALUE"""),280000.0)</f>
        <v>280000</v>
      </c>
      <c r="E2432" s="1">
        <f>IFERROR(__xludf.DUMMYFUNCTION("""COMPUTED_VALUE"""),282000.0)</f>
        <v>282000</v>
      </c>
      <c r="F2432" s="1">
        <f>IFERROR(__xludf.DUMMYFUNCTION("""COMPUTED_VALUE"""),453095.0)</f>
        <v>453095</v>
      </c>
    </row>
    <row r="2433">
      <c r="A2433" s="2">
        <f>IFERROR(__xludf.DUMMYFUNCTION("""COMPUTED_VALUE"""),44193.64583333333)</f>
        <v>44193.64583</v>
      </c>
      <c r="B2433" s="1">
        <f>IFERROR(__xludf.DUMMYFUNCTION("""COMPUTED_VALUE"""),282000.0)</f>
        <v>282000</v>
      </c>
      <c r="C2433" s="1">
        <f>IFERROR(__xludf.DUMMYFUNCTION("""COMPUTED_VALUE"""),282500.0)</f>
        <v>282500</v>
      </c>
      <c r="D2433" s="1">
        <f>IFERROR(__xludf.DUMMYFUNCTION("""COMPUTED_VALUE"""),280000.0)</f>
        <v>280000</v>
      </c>
      <c r="E2433" s="1">
        <f>IFERROR(__xludf.DUMMYFUNCTION("""COMPUTED_VALUE"""),281000.0)</f>
        <v>281000</v>
      </c>
      <c r="F2433" s="1">
        <f>IFERROR(__xludf.DUMMYFUNCTION("""COMPUTED_VALUE"""),537848.0)</f>
        <v>537848</v>
      </c>
    </row>
    <row r="2434">
      <c r="A2434" s="2">
        <f>IFERROR(__xludf.DUMMYFUNCTION("""COMPUTED_VALUE"""),44194.64583333333)</f>
        <v>44194.64583</v>
      </c>
      <c r="B2434" s="1">
        <f>IFERROR(__xludf.DUMMYFUNCTION("""COMPUTED_VALUE"""),281500.0)</f>
        <v>281500</v>
      </c>
      <c r="C2434" s="1">
        <f>IFERROR(__xludf.DUMMYFUNCTION("""COMPUTED_VALUE"""),285000.0)</f>
        <v>285000</v>
      </c>
      <c r="D2434" s="1">
        <f>IFERROR(__xludf.DUMMYFUNCTION("""COMPUTED_VALUE"""),280500.0)</f>
        <v>280500</v>
      </c>
      <c r="E2434" s="1">
        <f>IFERROR(__xludf.DUMMYFUNCTION("""COMPUTED_VALUE"""),283000.0)</f>
        <v>283000</v>
      </c>
      <c r="F2434" s="1">
        <f>IFERROR(__xludf.DUMMYFUNCTION("""COMPUTED_VALUE"""),506090.0)</f>
        <v>506090</v>
      </c>
    </row>
    <row r="2435">
      <c r="A2435" s="2">
        <f>IFERROR(__xludf.DUMMYFUNCTION("""COMPUTED_VALUE"""),44195.64583333333)</f>
        <v>44195.64583</v>
      </c>
      <c r="B2435" s="1">
        <f>IFERROR(__xludf.DUMMYFUNCTION("""COMPUTED_VALUE"""),285000.0)</f>
        <v>285000</v>
      </c>
      <c r="C2435" s="1">
        <f>IFERROR(__xludf.DUMMYFUNCTION("""COMPUTED_VALUE"""),293000.0)</f>
        <v>293000</v>
      </c>
      <c r="D2435" s="1">
        <f>IFERROR(__xludf.DUMMYFUNCTION("""COMPUTED_VALUE"""),284000.0)</f>
        <v>284000</v>
      </c>
      <c r="E2435" s="1">
        <f>IFERROR(__xludf.DUMMYFUNCTION("""COMPUTED_VALUE"""),292500.0)</f>
        <v>292500</v>
      </c>
      <c r="F2435" s="1">
        <f>IFERROR(__xludf.DUMMYFUNCTION("""COMPUTED_VALUE"""),1190327.0)</f>
        <v>1190327</v>
      </c>
    </row>
    <row r="2436">
      <c r="A2436" s="2">
        <f>IFERROR(__xludf.DUMMYFUNCTION("""COMPUTED_VALUE"""),44200.64583333333)</f>
        <v>44200.64583</v>
      </c>
      <c r="B2436" s="1">
        <f>IFERROR(__xludf.DUMMYFUNCTION("""COMPUTED_VALUE"""),291500.0)</f>
        <v>291500</v>
      </c>
      <c r="C2436" s="1">
        <f>IFERROR(__xludf.DUMMYFUNCTION("""COMPUTED_VALUE"""),294000.0)</f>
        <v>294000</v>
      </c>
      <c r="D2436" s="1">
        <f>IFERROR(__xludf.DUMMYFUNCTION("""COMPUTED_VALUE"""),285500.0)</f>
        <v>285500</v>
      </c>
      <c r="E2436" s="1">
        <f>IFERROR(__xludf.DUMMYFUNCTION("""COMPUTED_VALUE"""),293000.0)</f>
        <v>293000</v>
      </c>
      <c r="F2436" s="1">
        <f>IFERROR(__xludf.DUMMYFUNCTION("""COMPUTED_VALUE"""),947178.0)</f>
        <v>947178</v>
      </c>
    </row>
    <row r="2437">
      <c r="A2437" s="2">
        <f>IFERROR(__xludf.DUMMYFUNCTION("""COMPUTED_VALUE"""),44201.64583333333)</f>
        <v>44201.64583</v>
      </c>
      <c r="B2437" s="1">
        <f>IFERROR(__xludf.DUMMYFUNCTION("""COMPUTED_VALUE"""),291500.0)</f>
        <v>291500</v>
      </c>
      <c r="C2437" s="1">
        <f>IFERROR(__xludf.DUMMYFUNCTION("""COMPUTED_VALUE"""),292500.0)</f>
        <v>292500</v>
      </c>
      <c r="D2437" s="1">
        <f>IFERROR(__xludf.DUMMYFUNCTION("""COMPUTED_VALUE"""),286500.0)</f>
        <v>286500</v>
      </c>
      <c r="E2437" s="1">
        <f>IFERROR(__xludf.DUMMYFUNCTION("""COMPUTED_VALUE"""),292500.0)</f>
        <v>292500</v>
      </c>
      <c r="F2437" s="1">
        <f>IFERROR(__xludf.DUMMYFUNCTION("""COMPUTED_VALUE"""),912657.0)</f>
        <v>912657</v>
      </c>
    </row>
    <row r="2438">
      <c r="A2438" s="2">
        <f>IFERROR(__xludf.DUMMYFUNCTION("""COMPUTED_VALUE"""),44202.64583333333)</f>
        <v>44202.64583</v>
      </c>
      <c r="B2438" s="1">
        <f>IFERROR(__xludf.DUMMYFUNCTION("""COMPUTED_VALUE"""),292500.0)</f>
        <v>292500</v>
      </c>
      <c r="C2438" s="1">
        <f>IFERROR(__xludf.DUMMYFUNCTION("""COMPUTED_VALUE"""),300500.0)</f>
        <v>300500</v>
      </c>
      <c r="D2438" s="1">
        <f>IFERROR(__xludf.DUMMYFUNCTION("""COMPUTED_VALUE"""),289500.0)</f>
        <v>289500</v>
      </c>
      <c r="E2438" s="1">
        <f>IFERROR(__xludf.DUMMYFUNCTION("""COMPUTED_VALUE"""),290000.0)</f>
        <v>290000</v>
      </c>
      <c r="F2438" s="1">
        <f>IFERROR(__xludf.DUMMYFUNCTION("""COMPUTED_VALUE"""),1375856.0)</f>
        <v>1375856</v>
      </c>
    </row>
    <row r="2439">
      <c r="A2439" s="2">
        <f>IFERROR(__xludf.DUMMYFUNCTION("""COMPUTED_VALUE"""),44203.64583333333)</f>
        <v>44203.64583</v>
      </c>
      <c r="B2439" s="1">
        <f>IFERROR(__xludf.DUMMYFUNCTION("""COMPUTED_VALUE"""),288500.0)</f>
        <v>288500</v>
      </c>
      <c r="C2439" s="1">
        <f>IFERROR(__xludf.DUMMYFUNCTION("""COMPUTED_VALUE"""),292000.0)</f>
        <v>292000</v>
      </c>
      <c r="D2439" s="1">
        <f>IFERROR(__xludf.DUMMYFUNCTION("""COMPUTED_VALUE"""),286500.0)</f>
        <v>286500</v>
      </c>
      <c r="E2439" s="1">
        <f>IFERROR(__xludf.DUMMYFUNCTION("""COMPUTED_VALUE"""),289500.0)</f>
        <v>289500</v>
      </c>
      <c r="F2439" s="1">
        <f>IFERROR(__xludf.DUMMYFUNCTION("""COMPUTED_VALUE"""),1155734.0)</f>
        <v>1155734</v>
      </c>
    </row>
    <row r="2440">
      <c r="A2440" s="2">
        <f>IFERROR(__xludf.DUMMYFUNCTION("""COMPUTED_VALUE"""),44204.64583333333)</f>
        <v>44204.64583</v>
      </c>
      <c r="B2440" s="1">
        <f>IFERROR(__xludf.DUMMYFUNCTION("""COMPUTED_VALUE"""),293500.0)</f>
        <v>293500</v>
      </c>
      <c r="C2440" s="1">
        <f>IFERROR(__xludf.DUMMYFUNCTION("""COMPUTED_VALUE"""),312000.0)</f>
        <v>312000</v>
      </c>
      <c r="D2440" s="1">
        <f>IFERROR(__xludf.DUMMYFUNCTION("""COMPUTED_VALUE"""),290000.0)</f>
        <v>290000</v>
      </c>
      <c r="E2440" s="1">
        <f>IFERROR(__xludf.DUMMYFUNCTION("""COMPUTED_VALUE"""),312000.0)</f>
        <v>312000</v>
      </c>
      <c r="F2440" s="1">
        <f>IFERROR(__xludf.DUMMYFUNCTION("""COMPUTED_VALUE"""),3175396.0)</f>
        <v>3175396</v>
      </c>
    </row>
    <row r="2441">
      <c r="A2441" s="2">
        <f>IFERROR(__xludf.DUMMYFUNCTION("""COMPUTED_VALUE"""),44207.64583333333)</f>
        <v>44207.64583</v>
      </c>
      <c r="B2441" s="1">
        <f>IFERROR(__xludf.DUMMYFUNCTION("""COMPUTED_VALUE"""),320000.0)</f>
        <v>320000</v>
      </c>
      <c r="C2441" s="1">
        <f>IFERROR(__xludf.DUMMYFUNCTION("""COMPUTED_VALUE"""),323500.0)</f>
        <v>323500</v>
      </c>
      <c r="D2441" s="1">
        <f>IFERROR(__xludf.DUMMYFUNCTION("""COMPUTED_VALUE"""),301000.0)</f>
        <v>301000</v>
      </c>
      <c r="E2441" s="1">
        <f>IFERROR(__xludf.DUMMYFUNCTION("""COMPUTED_VALUE"""),309000.0)</f>
        <v>309000</v>
      </c>
      <c r="F2441" s="1">
        <f>IFERROR(__xludf.DUMMYFUNCTION("""COMPUTED_VALUE"""),2765169.0)</f>
        <v>2765169</v>
      </c>
    </row>
    <row r="2442">
      <c r="A2442" s="2">
        <f>IFERROR(__xludf.DUMMYFUNCTION("""COMPUTED_VALUE"""),44208.64583333333)</f>
        <v>44208.64583</v>
      </c>
      <c r="B2442" s="1">
        <f>IFERROR(__xludf.DUMMYFUNCTION("""COMPUTED_VALUE"""),305000.0)</f>
        <v>305000</v>
      </c>
      <c r="C2442" s="1">
        <f>IFERROR(__xludf.DUMMYFUNCTION("""COMPUTED_VALUE"""),308500.0)</f>
        <v>308500</v>
      </c>
      <c r="D2442" s="1">
        <f>IFERROR(__xludf.DUMMYFUNCTION("""COMPUTED_VALUE"""),292500.0)</f>
        <v>292500</v>
      </c>
      <c r="E2442" s="1">
        <f>IFERROR(__xludf.DUMMYFUNCTION("""COMPUTED_VALUE"""),304000.0)</f>
        <v>304000</v>
      </c>
      <c r="F2442" s="1">
        <f>IFERROR(__xludf.DUMMYFUNCTION("""COMPUTED_VALUE"""),1573299.0)</f>
        <v>1573299</v>
      </c>
    </row>
    <row r="2443">
      <c r="A2443" s="2">
        <f>IFERROR(__xludf.DUMMYFUNCTION("""COMPUTED_VALUE"""),44209.64583333333)</f>
        <v>44209.64583</v>
      </c>
      <c r="B2443" s="1">
        <f>IFERROR(__xludf.DUMMYFUNCTION("""COMPUTED_VALUE"""),306000.0)</f>
        <v>306000</v>
      </c>
      <c r="C2443" s="1">
        <f>IFERROR(__xludf.DUMMYFUNCTION("""COMPUTED_VALUE"""),317500.0)</f>
        <v>317500</v>
      </c>
      <c r="D2443" s="1">
        <f>IFERROR(__xludf.DUMMYFUNCTION("""COMPUTED_VALUE"""),304000.0)</f>
        <v>304000</v>
      </c>
      <c r="E2443" s="1">
        <f>IFERROR(__xludf.DUMMYFUNCTION("""COMPUTED_VALUE"""),314000.0)</f>
        <v>314000</v>
      </c>
      <c r="F2443" s="1">
        <f>IFERROR(__xludf.DUMMYFUNCTION("""COMPUTED_VALUE"""),1894304.0)</f>
        <v>1894304</v>
      </c>
    </row>
    <row r="2444">
      <c r="A2444" s="2">
        <f>IFERROR(__xludf.DUMMYFUNCTION("""COMPUTED_VALUE"""),44210.64583333333)</f>
        <v>44210.64583</v>
      </c>
      <c r="B2444" s="1">
        <f>IFERROR(__xludf.DUMMYFUNCTION("""COMPUTED_VALUE"""),318500.0)</f>
        <v>318500</v>
      </c>
      <c r="C2444" s="1">
        <f>IFERROR(__xludf.DUMMYFUNCTION("""COMPUTED_VALUE"""),326000.0)</f>
        <v>326000</v>
      </c>
      <c r="D2444" s="1">
        <f>IFERROR(__xludf.DUMMYFUNCTION("""COMPUTED_VALUE"""),314000.0)</f>
        <v>314000</v>
      </c>
      <c r="E2444" s="1">
        <f>IFERROR(__xludf.DUMMYFUNCTION("""COMPUTED_VALUE"""),318000.0)</f>
        <v>318000</v>
      </c>
      <c r="F2444" s="1">
        <f>IFERROR(__xludf.DUMMYFUNCTION("""COMPUTED_VALUE"""),1548585.0)</f>
        <v>1548585</v>
      </c>
    </row>
    <row r="2445">
      <c r="A2445" s="2">
        <f>IFERROR(__xludf.DUMMYFUNCTION("""COMPUTED_VALUE"""),44211.64583333333)</f>
        <v>44211.64583</v>
      </c>
      <c r="B2445" s="1">
        <f>IFERROR(__xludf.DUMMYFUNCTION("""COMPUTED_VALUE"""),320500.0)</f>
        <v>320500</v>
      </c>
      <c r="C2445" s="1">
        <f>IFERROR(__xludf.DUMMYFUNCTION("""COMPUTED_VALUE"""),323000.0)</f>
        <v>323000</v>
      </c>
      <c r="D2445" s="1">
        <f>IFERROR(__xludf.DUMMYFUNCTION("""COMPUTED_VALUE"""),305500.0)</f>
        <v>305500</v>
      </c>
      <c r="E2445" s="1">
        <f>IFERROR(__xludf.DUMMYFUNCTION("""COMPUTED_VALUE"""),306000.0)</f>
        <v>306000</v>
      </c>
      <c r="F2445" s="1">
        <f>IFERROR(__xludf.DUMMYFUNCTION("""COMPUTED_VALUE"""),1106810.0)</f>
        <v>1106810</v>
      </c>
    </row>
    <row r="2446">
      <c r="A2446" s="2">
        <f>IFERROR(__xludf.DUMMYFUNCTION("""COMPUTED_VALUE"""),44214.64583333333)</f>
        <v>44214.64583</v>
      </c>
      <c r="B2446" s="1">
        <f>IFERROR(__xludf.DUMMYFUNCTION("""COMPUTED_VALUE"""),304500.0)</f>
        <v>304500</v>
      </c>
      <c r="C2446" s="1">
        <f>IFERROR(__xludf.DUMMYFUNCTION("""COMPUTED_VALUE"""),308500.0)</f>
        <v>308500</v>
      </c>
      <c r="D2446" s="1">
        <f>IFERROR(__xludf.DUMMYFUNCTION("""COMPUTED_VALUE"""),300000.0)</f>
        <v>300000</v>
      </c>
      <c r="E2446" s="1">
        <f>IFERROR(__xludf.DUMMYFUNCTION("""COMPUTED_VALUE"""),300500.0)</f>
        <v>300500</v>
      </c>
      <c r="F2446" s="1">
        <f>IFERROR(__xludf.DUMMYFUNCTION("""COMPUTED_VALUE"""),864969.0)</f>
        <v>864969</v>
      </c>
    </row>
    <row r="2447">
      <c r="A2447" s="2">
        <f>IFERROR(__xludf.DUMMYFUNCTION("""COMPUTED_VALUE"""),44215.64583333333)</f>
        <v>44215.64583</v>
      </c>
      <c r="B2447" s="1">
        <f>IFERROR(__xludf.DUMMYFUNCTION("""COMPUTED_VALUE"""),303500.0)</f>
        <v>303500</v>
      </c>
      <c r="C2447" s="1">
        <f>IFERROR(__xludf.DUMMYFUNCTION("""COMPUTED_VALUE"""),310500.0)</f>
        <v>310500</v>
      </c>
      <c r="D2447" s="1">
        <f>IFERROR(__xludf.DUMMYFUNCTION("""COMPUTED_VALUE"""),299500.0)</f>
        <v>299500</v>
      </c>
      <c r="E2447" s="1">
        <f>IFERROR(__xludf.DUMMYFUNCTION("""COMPUTED_VALUE"""),308000.0)</f>
        <v>308000</v>
      </c>
      <c r="F2447" s="1">
        <f>IFERROR(__xludf.DUMMYFUNCTION("""COMPUTED_VALUE"""),880238.0)</f>
        <v>880238</v>
      </c>
    </row>
    <row r="2448">
      <c r="A2448" s="2">
        <f>IFERROR(__xludf.DUMMYFUNCTION("""COMPUTED_VALUE"""),44216.64583333333)</f>
        <v>44216.64583</v>
      </c>
      <c r="B2448" s="1">
        <f>IFERROR(__xludf.DUMMYFUNCTION("""COMPUTED_VALUE"""),313500.0)</f>
        <v>313500</v>
      </c>
      <c r="C2448" s="1">
        <f>IFERROR(__xludf.DUMMYFUNCTION("""COMPUTED_VALUE"""),313500.0)</f>
        <v>313500</v>
      </c>
      <c r="D2448" s="1">
        <f>IFERROR(__xludf.DUMMYFUNCTION("""COMPUTED_VALUE"""),302000.0)</f>
        <v>302000</v>
      </c>
      <c r="E2448" s="1">
        <f>IFERROR(__xludf.DUMMYFUNCTION("""COMPUTED_VALUE"""),308000.0)</f>
        <v>308000</v>
      </c>
      <c r="F2448" s="1">
        <f>IFERROR(__xludf.DUMMYFUNCTION("""COMPUTED_VALUE"""),885472.0)</f>
        <v>885472</v>
      </c>
    </row>
    <row r="2449">
      <c r="A2449" s="2">
        <f>IFERROR(__xludf.DUMMYFUNCTION("""COMPUTED_VALUE"""),44217.64583333333)</f>
        <v>44217.64583</v>
      </c>
      <c r="B2449" s="1">
        <f>IFERROR(__xludf.DUMMYFUNCTION("""COMPUTED_VALUE"""),316500.0)</f>
        <v>316500</v>
      </c>
      <c r="C2449" s="1">
        <f>IFERROR(__xludf.DUMMYFUNCTION("""COMPUTED_VALUE"""),326000.0)</f>
        <v>326000</v>
      </c>
      <c r="D2449" s="1">
        <f>IFERROR(__xludf.DUMMYFUNCTION("""COMPUTED_VALUE"""),316000.0)</f>
        <v>316000</v>
      </c>
      <c r="E2449" s="1">
        <f>IFERROR(__xludf.DUMMYFUNCTION("""COMPUTED_VALUE"""),322500.0)</f>
        <v>322500</v>
      </c>
      <c r="F2449" s="1">
        <f>IFERROR(__xludf.DUMMYFUNCTION("""COMPUTED_VALUE"""),1941446.0)</f>
        <v>1941446</v>
      </c>
    </row>
    <row r="2450">
      <c r="A2450" s="2">
        <f>IFERROR(__xludf.DUMMYFUNCTION("""COMPUTED_VALUE"""),44218.64583333333)</f>
        <v>44218.64583</v>
      </c>
      <c r="B2450" s="1">
        <f>IFERROR(__xludf.DUMMYFUNCTION("""COMPUTED_VALUE"""),332000.0)</f>
        <v>332000</v>
      </c>
      <c r="C2450" s="1">
        <f>IFERROR(__xludf.DUMMYFUNCTION("""COMPUTED_VALUE"""),350000.0)</f>
        <v>350000</v>
      </c>
      <c r="D2450" s="1">
        <f>IFERROR(__xludf.DUMMYFUNCTION("""COMPUTED_VALUE"""),326000.0)</f>
        <v>326000</v>
      </c>
      <c r="E2450" s="1">
        <f>IFERROR(__xludf.DUMMYFUNCTION("""COMPUTED_VALUE"""),343500.0)</f>
        <v>343500</v>
      </c>
      <c r="F2450" s="1">
        <f>IFERROR(__xludf.DUMMYFUNCTION("""COMPUTED_VALUE"""),3303950.0)</f>
        <v>3303950</v>
      </c>
    </row>
    <row r="2451">
      <c r="A2451" s="2">
        <f>IFERROR(__xludf.DUMMYFUNCTION("""COMPUTED_VALUE"""),44221.64583333333)</f>
        <v>44221.64583</v>
      </c>
      <c r="B2451" s="1">
        <f>IFERROR(__xludf.DUMMYFUNCTION("""COMPUTED_VALUE"""),349000.0)</f>
        <v>349000</v>
      </c>
      <c r="C2451" s="1">
        <f>IFERROR(__xludf.DUMMYFUNCTION("""COMPUTED_VALUE"""),353000.0)</f>
        <v>353000</v>
      </c>
      <c r="D2451" s="1">
        <f>IFERROR(__xludf.DUMMYFUNCTION("""COMPUTED_VALUE"""),340000.0)</f>
        <v>340000</v>
      </c>
      <c r="E2451" s="1">
        <f>IFERROR(__xludf.DUMMYFUNCTION("""COMPUTED_VALUE"""),349000.0)</f>
        <v>349000</v>
      </c>
      <c r="F2451" s="1">
        <f>IFERROR(__xludf.DUMMYFUNCTION("""COMPUTED_VALUE"""),1593848.0)</f>
        <v>1593848</v>
      </c>
    </row>
    <row r="2452">
      <c r="A2452" s="2">
        <f>IFERROR(__xludf.DUMMYFUNCTION("""COMPUTED_VALUE"""),44222.64583333333)</f>
        <v>44222.64583</v>
      </c>
      <c r="B2452" s="1">
        <f>IFERROR(__xludf.DUMMYFUNCTION("""COMPUTED_VALUE"""),350500.0)</f>
        <v>350500</v>
      </c>
      <c r="C2452" s="1">
        <f>IFERROR(__xludf.DUMMYFUNCTION("""COMPUTED_VALUE"""),351000.0)</f>
        <v>351000</v>
      </c>
      <c r="D2452" s="1">
        <f>IFERROR(__xludf.DUMMYFUNCTION("""COMPUTED_VALUE"""),338000.0)</f>
        <v>338000</v>
      </c>
      <c r="E2452" s="1">
        <f>IFERROR(__xludf.DUMMYFUNCTION("""COMPUTED_VALUE"""),342000.0)</f>
        <v>342000</v>
      </c>
      <c r="F2452" s="1">
        <f>IFERROR(__xludf.DUMMYFUNCTION("""COMPUTED_VALUE"""),1247284.0)</f>
        <v>1247284</v>
      </c>
    </row>
    <row r="2453">
      <c r="A2453" s="2">
        <f>IFERROR(__xludf.DUMMYFUNCTION("""COMPUTED_VALUE"""),44223.64583333333)</f>
        <v>44223.64583</v>
      </c>
      <c r="B2453" s="1">
        <f>IFERROR(__xludf.DUMMYFUNCTION("""COMPUTED_VALUE"""),347000.0)</f>
        <v>347000</v>
      </c>
      <c r="C2453" s="1">
        <f>IFERROR(__xludf.DUMMYFUNCTION("""COMPUTED_VALUE"""),352000.0)</f>
        <v>352000</v>
      </c>
      <c r="D2453" s="1">
        <f>IFERROR(__xludf.DUMMYFUNCTION("""COMPUTED_VALUE"""),339500.0)</f>
        <v>339500</v>
      </c>
      <c r="E2453" s="1">
        <f>IFERROR(__xludf.DUMMYFUNCTION("""COMPUTED_VALUE"""),341500.0)</f>
        <v>341500</v>
      </c>
      <c r="F2453" s="1">
        <f>IFERROR(__xludf.DUMMYFUNCTION("""COMPUTED_VALUE"""),1149246.0)</f>
        <v>1149246</v>
      </c>
    </row>
    <row r="2454">
      <c r="A2454" s="2">
        <f>IFERROR(__xludf.DUMMYFUNCTION("""COMPUTED_VALUE"""),44224.64583333333)</f>
        <v>44224.64583</v>
      </c>
      <c r="B2454" s="1">
        <f>IFERROR(__xludf.DUMMYFUNCTION("""COMPUTED_VALUE"""),336000.0)</f>
        <v>336000</v>
      </c>
      <c r="C2454" s="1">
        <f>IFERROR(__xludf.DUMMYFUNCTION("""COMPUTED_VALUE"""),366000.0)</f>
        <v>366000</v>
      </c>
      <c r="D2454" s="1">
        <f>IFERROR(__xludf.DUMMYFUNCTION("""COMPUTED_VALUE"""),335000.0)</f>
        <v>335000</v>
      </c>
      <c r="E2454" s="1">
        <f>IFERROR(__xludf.DUMMYFUNCTION("""COMPUTED_VALUE"""),355000.0)</f>
        <v>355000</v>
      </c>
      <c r="F2454" s="1">
        <f>IFERROR(__xludf.DUMMYFUNCTION("""COMPUTED_VALUE"""),2285696.0)</f>
        <v>2285696</v>
      </c>
    </row>
    <row r="2455">
      <c r="A2455" s="2">
        <f>IFERROR(__xludf.DUMMYFUNCTION("""COMPUTED_VALUE"""),44225.64583333333)</f>
        <v>44225.64583</v>
      </c>
      <c r="B2455" s="1">
        <f>IFERROR(__xludf.DUMMYFUNCTION("""COMPUTED_VALUE"""),362000.0)</f>
        <v>362000</v>
      </c>
      <c r="C2455" s="1">
        <f>IFERROR(__xludf.DUMMYFUNCTION("""COMPUTED_VALUE"""),362000.0)</f>
        <v>362000</v>
      </c>
      <c r="D2455" s="1">
        <f>IFERROR(__xludf.DUMMYFUNCTION("""COMPUTED_VALUE"""),340500.0)</f>
        <v>340500</v>
      </c>
      <c r="E2455" s="1">
        <f>IFERROR(__xludf.DUMMYFUNCTION("""COMPUTED_VALUE"""),343000.0)</f>
        <v>343000</v>
      </c>
      <c r="F2455" s="1">
        <f>IFERROR(__xludf.DUMMYFUNCTION("""COMPUTED_VALUE"""),1607894.0)</f>
        <v>1607894</v>
      </c>
    </row>
    <row r="2456">
      <c r="A2456" s="2">
        <f>IFERROR(__xludf.DUMMYFUNCTION("""COMPUTED_VALUE"""),44228.64583333333)</f>
        <v>44228.64583</v>
      </c>
      <c r="B2456" s="1">
        <f>IFERROR(__xludf.DUMMYFUNCTION("""COMPUTED_VALUE"""),346500.0)</f>
        <v>346500</v>
      </c>
      <c r="C2456" s="1">
        <f>IFERROR(__xludf.DUMMYFUNCTION("""COMPUTED_VALUE"""),352500.0)</f>
        <v>352500</v>
      </c>
      <c r="D2456" s="1">
        <f>IFERROR(__xludf.DUMMYFUNCTION("""COMPUTED_VALUE"""),341500.0)</f>
        <v>341500</v>
      </c>
      <c r="E2456" s="1">
        <f>IFERROR(__xludf.DUMMYFUNCTION("""COMPUTED_VALUE"""),348000.0)</f>
        <v>348000</v>
      </c>
      <c r="F2456" s="1">
        <f>IFERROR(__xludf.DUMMYFUNCTION("""COMPUTED_VALUE"""),988630.0)</f>
        <v>988630</v>
      </c>
    </row>
    <row r="2457">
      <c r="A2457" s="2">
        <f>IFERROR(__xludf.DUMMYFUNCTION("""COMPUTED_VALUE"""),44229.64583333333)</f>
        <v>44229.64583</v>
      </c>
      <c r="B2457" s="1">
        <f>IFERROR(__xludf.DUMMYFUNCTION("""COMPUTED_VALUE"""),358000.0)</f>
        <v>358000</v>
      </c>
      <c r="C2457" s="1">
        <f>IFERROR(__xludf.DUMMYFUNCTION("""COMPUTED_VALUE"""),373000.0)</f>
        <v>373000</v>
      </c>
      <c r="D2457" s="1">
        <f>IFERROR(__xludf.DUMMYFUNCTION("""COMPUTED_VALUE"""),353000.0)</f>
        <v>353000</v>
      </c>
      <c r="E2457" s="1">
        <f>IFERROR(__xludf.DUMMYFUNCTION("""COMPUTED_VALUE"""),362500.0)</f>
        <v>362500</v>
      </c>
      <c r="F2457" s="1">
        <f>IFERROR(__xludf.DUMMYFUNCTION("""COMPUTED_VALUE"""),1951062.0)</f>
        <v>1951062</v>
      </c>
    </row>
    <row r="2458">
      <c r="A2458" s="2">
        <f>IFERROR(__xludf.DUMMYFUNCTION("""COMPUTED_VALUE"""),44230.64583333333)</f>
        <v>44230.64583</v>
      </c>
      <c r="B2458" s="1">
        <f>IFERROR(__xludf.DUMMYFUNCTION("""COMPUTED_VALUE"""),366500.0)</f>
        <v>366500</v>
      </c>
      <c r="C2458" s="1">
        <f>IFERROR(__xludf.DUMMYFUNCTION("""COMPUTED_VALUE"""),371000.0)</f>
        <v>371000</v>
      </c>
      <c r="D2458" s="1">
        <f>IFERROR(__xludf.DUMMYFUNCTION("""COMPUTED_VALUE"""),361000.0)</f>
        <v>361000</v>
      </c>
      <c r="E2458" s="1">
        <f>IFERROR(__xludf.DUMMYFUNCTION("""COMPUTED_VALUE"""),370500.0)</f>
        <v>370500</v>
      </c>
      <c r="F2458" s="1">
        <f>IFERROR(__xludf.DUMMYFUNCTION("""COMPUTED_VALUE"""),1197680.0)</f>
        <v>1197680</v>
      </c>
    </row>
    <row r="2459">
      <c r="A2459" s="2">
        <f>IFERROR(__xludf.DUMMYFUNCTION("""COMPUTED_VALUE"""),44231.64583333333)</f>
        <v>44231.64583</v>
      </c>
      <c r="B2459" s="1">
        <f>IFERROR(__xludf.DUMMYFUNCTION("""COMPUTED_VALUE"""),368000.0)</f>
        <v>368000</v>
      </c>
      <c r="C2459" s="1">
        <f>IFERROR(__xludf.DUMMYFUNCTION("""COMPUTED_VALUE"""),368500.0)</f>
        <v>368500</v>
      </c>
      <c r="D2459" s="1">
        <f>IFERROR(__xludf.DUMMYFUNCTION("""COMPUTED_VALUE"""),356000.0)</f>
        <v>356000</v>
      </c>
      <c r="E2459" s="1">
        <f>IFERROR(__xludf.DUMMYFUNCTION("""COMPUTED_VALUE"""),358000.0)</f>
        <v>358000</v>
      </c>
      <c r="F2459" s="1">
        <f>IFERROR(__xludf.DUMMYFUNCTION("""COMPUTED_VALUE"""),1160116.0)</f>
        <v>1160116</v>
      </c>
    </row>
    <row r="2460">
      <c r="A2460" s="2">
        <f>IFERROR(__xludf.DUMMYFUNCTION("""COMPUTED_VALUE"""),44232.64583333333)</f>
        <v>44232.64583</v>
      </c>
      <c r="B2460" s="1">
        <f>IFERROR(__xludf.DUMMYFUNCTION("""COMPUTED_VALUE"""),363500.0)</f>
        <v>363500</v>
      </c>
      <c r="C2460" s="1">
        <f>IFERROR(__xludf.DUMMYFUNCTION("""COMPUTED_VALUE"""),371500.0)</f>
        <v>371500</v>
      </c>
      <c r="D2460" s="1">
        <f>IFERROR(__xludf.DUMMYFUNCTION("""COMPUTED_VALUE"""),356500.0)</f>
        <v>356500</v>
      </c>
      <c r="E2460" s="1">
        <f>IFERROR(__xludf.DUMMYFUNCTION("""COMPUTED_VALUE"""),362500.0)</f>
        <v>362500</v>
      </c>
      <c r="F2460" s="1">
        <f>IFERROR(__xludf.DUMMYFUNCTION("""COMPUTED_VALUE"""),982325.0)</f>
        <v>982325</v>
      </c>
    </row>
    <row r="2461">
      <c r="A2461" s="2">
        <f>IFERROR(__xludf.DUMMYFUNCTION("""COMPUTED_VALUE"""),44235.64583333333)</f>
        <v>44235.64583</v>
      </c>
      <c r="B2461" s="1">
        <f>IFERROR(__xludf.DUMMYFUNCTION("""COMPUTED_VALUE"""),361500.0)</f>
        <v>361500</v>
      </c>
      <c r="C2461" s="1">
        <f>IFERROR(__xludf.DUMMYFUNCTION("""COMPUTED_VALUE"""),364500.0)</f>
        <v>364500</v>
      </c>
      <c r="D2461" s="1">
        <f>IFERROR(__xludf.DUMMYFUNCTION("""COMPUTED_VALUE"""),357000.0)</f>
        <v>357000</v>
      </c>
      <c r="E2461" s="1">
        <f>IFERROR(__xludf.DUMMYFUNCTION("""COMPUTED_VALUE"""),357500.0)</f>
        <v>357500</v>
      </c>
      <c r="F2461" s="1">
        <f>IFERROR(__xludf.DUMMYFUNCTION("""COMPUTED_VALUE"""),712484.0)</f>
        <v>712484</v>
      </c>
    </row>
    <row r="2462">
      <c r="A2462" s="2">
        <f>IFERROR(__xludf.DUMMYFUNCTION("""COMPUTED_VALUE"""),44236.64583333333)</f>
        <v>44236.64583</v>
      </c>
      <c r="B2462" s="1">
        <f>IFERROR(__xludf.DUMMYFUNCTION("""COMPUTED_VALUE"""),359500.0)</f>
        <v>359500</v>
      </c>
      <c r="C2462" s="1">
        <f>IFERROR(__xludf.DUMMYFUNCTION("""COMPUTED_VALUE"""),362000.0)</f>
        <v>362000</v>
      </c>
      <c r="D2462" s="1">
        <f>IFERROR(__xludf.DUMMYFUNCTION("""COMPUTED_VALUE"""),355000.0)</f>
        <v>355000</v>
      </c>
      <c r="E2462" s="1">
        <f>IFERROR(__xludf.DUMMYFUNCTION("""COMPUTED_VALUE"""),358500.0)</f>
        <v>358500</v>
      </c>
      <c r="F2462" s="1">
        <f>IFERROR(__xludf.DUMMYFUNCTION("""COMPUTED_VALUE"""),667655.0)</f>
        <v>667655</v>
      </c>
    </row>
    <row r="2463">
      <c r="A2463" s="2">
        <f>IFERROR(__xludf.DUMMYFUNCTION("""COMPUTED_VALUE"""),44237.64583333333)</f>
        <v>44237.64583</v>
      </c>
      <c r="B2463" s="1">
        <f>IFERROR(__xludf.DUMMYFUNCTION("""COMPUTED_VALUE"""),365000.0)</f>
        <v>365000</v>
      </c>
      <c r="C2463" s="1">
        <f>IFERROR(__xludf.DUMMYFUNCTION("""COMPUTED_VALUE"""),368500.0)</f>
        <v>368500</v>
      </c>
      <c r="D2463" s="1">
        <f>IFERROR(__xludf.DUMMYFUNCTION("""COMPUTED_VALUE"""),359000.0)</f>
        <v>359000</v>
      </c>
      <c r="E2463" s="1">
        <f>IFERROR(__xludf.DUMMYFUNCTION("""COMPUTED_VALUE"""),366500.0)</f>
        <v>366500</v>
      </c>
      <c r="F2463" s="1">
        <f>IFERROR(__xludf.DUMMYFUNCTION("""COMPUTED_VALUE"""),1147417.0)</f>
        <v>1147417</v>
      </c>
    </row>
    <row r="2464">
      <c r="A2464" s="2">
        <f>IFERROR(__xludf.DUMMYFUNCTION("""COMPUTED_VALUE"""),44242.64583333333)</f>
        <v>44242.64583</v>
      </c>
      <c r="B2464" s="1">
        <f>IFERROR(__xludf.DUMMYFUNCTION("""COMPUTED_VALUE"""),383500.0)</f>
        <v>383500</v>
      </c>
      <c r="C2464" s="1">
        <f>IFERROR(__xludf.DUMMYFUNCTION("""COMPUTED_VALUE"""),388000.0)</f>
        <v>388000</v>
      </c>
      <c r="D2464" s="1">
        <f>IFERROR(__xludf.DUMMYFUNCTION("""COMPUTED_VALUE"""),378000.0)</f>
        <v>378000</v>
      </c>
      <c r="E2464" s="1">
        <f>IFERROR(__xludf.DUMMYFUNCTION("""COMPUTED_VALUE"""),385500.0)</f>
        <v>385500</v>
      </c>
      <c r="F2464" s="1">
        <f>IFERROR(__xludf.DUMMYFUNCTION("""COMPUTED_VALUE"""),1172475.0)</f>
        <v>1172475</v>
      </c>
    </row>
    <row r="2465">
      <c r="A2465" s="2">
        <f>IFERROR(__xludf.DUMMYFUNCTION("""COMPUTED_VALUE"""),44243.64583333333)</f>
        <v>44243.64583</v>
      </c>
      <c r="B2465" s="1">
        <f>IFERROR(__xludf.DUMMYFUNCTION("""COMPUTED_VALUE"""),391500.0)</f>
        <v>391500</v>
      </c>
      <c r="C2465" s="1">
        <f>IFERROR(__xludf.DUMMYFUNCTION("""COMPUTED_VALUE"""),405000.0)</f>
        <v>405000</v>
      </c>
      <c r="D2465" s="1">
        <f>IFERROR(__xludf.DUMMYFUNCTION("""COMPUTED_VALUE"""),390000.0)</f>
        <v>390000</v>
      </c>
      <c r="E2465" s="1">
        <f>IFERROR(__xludf.DUMMYFUNCTION("""COMPUTED_VALUE"""),394000.0)</f>
        <v>394000</v>
      </c>
      <c r="F2465" s="1">
        <f>IFERROR(__xludf.DUMMYFUNCTION("""COMPUTED_VALUE"""),1567108.0)</f>
        <v>1567108</v>
      </c>
    </row>
    <row r="2466">
      <c r="A2466" s="2">
        <f>IFERROR(__xludf.DUMMYFUNCTION("""COMPUTED_VALUE"""),44244.64583333333)</f>
        <v>44244.64583</v>
      </c>
      <c r="B2466" s="1">
        <f>IFERROR(__xludf.DUMMYFUNCTION("""COMPUTED_VALUE"""),396500.0)</f>
        <v>396500</v>
      </c>
      <c r="C2466" s="1">
        <f>IFERROR(__xludf.DUMMYFUNCTION("""COMPUTED_VALUE"""),396500.0)</f>
        <v>396500</v>
      </c>
      <c r="D2466" s="1">
        <f>IFERROR(__xludf.DUMMYFUNCTION("""COMPUTED_VALUE"""),386000.0)</f>
        <v>386000</v>
      </c>
      <c r="E2466" s="1">
        <f>IFERROR(__xludf.DUMMYFUNCTION("""COMPUTED_VALUE"""),392000.0)</f>
        <v>392000</v>
      </c>
      <c r="F2466" s="1">
        <f>IFERROR(__xludf.DUMMYFUNCTION("""COMPUTED_VALUE"""),1161595.0)</f>
        <v>1161595</v>
      </c>
    </row>
    <row r="2467">
      <c r="A2467" s="2">
        <f>IFERROR(__xludf.DUMMYFUNCTION("""COMPUTED_VALUE"""),44245.64583333333)</f>
        <v>44245.64583</v>
      </c>
      <c r="B2467" s="1">
        <f>IFERROR(__xludf.DUMMYFUNCTION("""COMPUTED_VALUE"""),391500.0)</f>
        <v>391500</v>
      </c>
      <c r="C2467" s="1">
        <f>IFERROR(__xludf.DUMMYFUNCTION("""COMPUTED_VALUE"""),400000.0)</f>
        <v>400000</v>
      </c>
      <c r="D2467" s="1">
        <f>IFERROR(__xludf.DUMMYFUNCTION("""COMPUTED_VALUE"""),386500.0)</f>
        <v>386500</v>
      </c>
      <c r="E2467" s="1">
        <f>IFERROR(__xludf.DUMMYFUNCTION("""COMPUTED_VALUE"""),388000.0)</f>
        <v>388000</v>
      </c>
      <c r="F2467" s="1">
        <f>IFERROR(__xludf.DUMMYFUNCTION("""COMPUTED_VALUE"""),1020222.0)</f>
        <v>1020222</v>
      </c>
    </row>
    <row r="2468">
      <c r="A2468" s="2">
        <f>IFERROR(__xludf.DUMMYFUNCTION("""COMPUTED_VALUE"""),44246.64583333333)</f>
        <v>44246.64583</v>
      </c>
      <c r="B2468" s="1">
        <f>IFERROR(__xludf.DUMMYFUNCTION("""COMPUTED_VALUE"""),387000.0)</f>
        <v>387000</v>
      </c>
      <c r="C2468" s="1">
        <f>IFERROR(__xludf.DUMMYFUNCTION("""COMPUTED_VALUE"""),398500.0)</f>
        <v>398500</v>
      </c>
      <c r="D2468" s="1">
        <f>IFERROR(__xludf.DUMMYFUNCTION("""COMPUTED_VALUE"""),385500.0)</f>
        <v>385500</v>
      </c>
      <c r="E2468" s="1">
        <f>IFERROR(__xludf.DUMMYFUNCTION("""COMPUTED_VALUE"""),398000.0)</f>
        <v>398000</v>
      </c>
      <c r="F2468" s="1">
        <f>IFERROR(__xludf.DUMMYFUNCTION("""COMPUTED_VALUE"""),1047043.0)</f>
        <v>1047043</v>
      </c>
    </row>
    <row r="2469">
      <c r="A2469" s="2">
        <f>IFERROR(__xludf.DUMMYFUNCTION("""COMPUTED_VALUE"""),44249.64583333333)</f>
        <v>44249.64583</v>
      </c>
      <c r="B2469" s="1">
        <f>IFERROR(__xludf.DUMMYFUNCTION("""COMPUTED_VALUE"""),400000.0)</f>
        <v>400000</v>
      </c>
      <c r="C2469" s="1">
        <f>IFERROR(__xludf.DUMMYFUNCTION("""COMPUTED_VALUE"""),405500.0)</f>
        <v>405500</v>
      </c>
      <c r="D2469" s="1">
        <f>IFERROR(__xludf.DUMMYFUNCTION("""COMPUTED_VALUE"""),384500.0)</f>
        <v>384500</v>
      </c>
      <c r="E2469" s="1">
        <f>IFERROR(__xludf.DUMMYFUNCTION("""COMPUTED_VALUE"""),386500.0)</f>
        <v>386500</v>
      </c>
      <c r="F2469" s="1">
        <f>IFERROR(__xludf.DUMMYFUNCTION("""COMPUTED_VALUE"""),1289395.0)</f>
        <v>1289395</v>
      </c>
    </row>
    <row r="2470">
      <c r="A2470" s="2">
        <f>IFERROR(__xludf.DUMMYFUNCTION("""COMPUTED_VALUE"""),44250.64583333333)</f>
        <v>44250.64583</v>
      </c>
      <c r="B2470" s="1">
        <f>IFERROR(__xludf.DUMMYFUNCTION("""COMPUTED_VALUE"""),379000.0)</f>
        <v>379000</v>
      </c>
      <c r="C2470" s="1">
        <f>IFERROR(__xludf.DUMMYFUNCTION("""COMPUTED_VALUE"""),394500.0)</f>
        <v>394500</v>
      </c>
      <c r="D2470" s="1">
        <f>IFERROR(__xludf.DUMMYFUNCTION("""COMPUTED_VALUE"""),378500.0)</f>
        <v>378500</v>
      </c>
      <c r="E2470" s="1">
        <f>IFERROR(__xludf.DUMMYFUNCTION("""COMPUTED_VALUE"""),390500.0)</f>
        <v>390500</v>
      </c>
      <c r="F2470" s="1">
        <f>IFERROR(__xludf.DUMMYFUNCTION("""COMPUTED_VALUE"""),1017577.0)</f>
        <v>1017577</v>
      </c>
    </row>
    <row r="2471">
      <c r="A2471" s="2">
        <f>IFERROR(__xludf.DUMMYFUNCTION("""COMPUTED_VALUE"""),44251.64583333333)</f>
        <v>44251.64583</v>
      </c>
      <c r="B2471" s="1">
        <f>IFERROR(__xludf.DUMMYFUNCTION("""COMPUTED_VALUE"""),389500.0)</f>
        <v>389500</v>
      </c>
      <c r="C2471" s="1">
        <f>IFERROR(__xludf.DUMMYFUNCTION("""COMPUTED_VALUE"""),391500.0)</f>
        <v>391500</v>
      </c>
      <c r="D2471" s="1">
        <f>IFERROR(__xludf.DUMMYFUNCTION("""COMPUTED_VALUE"""),374000.0)</f>
        <v>374000</v>
      </c>
      <c r="E2471" s="1">
        <f>IFERROR(__xludf.DUMMYFUNCTION("""COMPUTED_VALUE"""),374000.0)</f>
        <v>374000</v>
      </c>
      <c r="F2471" s="1">
        <f>IFERROR(__xludf.DUMMYFUNCTION("""COMPUTED_VALUE"""),1078485.0)</f>
        <v>1078485</v>
      </c>
    </row>
    <row r="2472">
      <c r="A2472" s="2">
        <f>IFERROR(__xludf.DUMMYFUNCTION("""COMPUTED_VALUE"""),44252.64583333333)</f>
        <v>44252.64583</v>
      </c>
      <c r="B2472" s="1">
        <f>IFERROR(__xludf.DUMMYFUNCTION("""COMPUTED_VALUE"""),380500.0)</f>
        <v>380500</v>
      </c>
      <c r="C2472" s="1">
        <f>IFERROR(__xludf.DUMMYFUNCTION("""COMPUTED_VALUE"""),384500.0)</f>
        <v>384500</v>
      </c>
      <c r="D2472" s="1">
        <f>IFERROR(__xludf.DUMMYFUNCTION("""COMPUTED_VALUE"""),374500.0)</f>
        <v>374500</v>
      </c>
      <c r="E2472" s="1">
        <f>IFERROR(__xludf.DUMMYFUNCTION("""COMPUTED_VALUE"""),383000.0)</f>
        <v>383000</v>
      </c>
      <c r="F2472" s="1">
        <f>IFERROR(__xludf.DUMMYFUNCTION("""COMPUTED_VALUE"""),757476.0)</f>
        <v>757476</v>
      </c>
    </row>
    <row r="2473">
      <c r="A2473" s="2">
        <f>IFERROR(__xludf.DUMMYFUNCTION("""COMPUTED_VALUE"""),44253.64583333333)</f>
        <v>44253.64583</v>
      </c>
      <c r="B2473" s="1">
        <f>IFERROR(__xludf.DUMMYFUNCTION("""COMPUTED_VALUE"""),372000.0)</f>
        <v>372000</v>
      </c>
      <c r="C2473" s="1">
        <f>IFERROR(__xludf.DUMMYFUNCTION("""COMPUTED_VALUE"""),378500.0)</f>
        <v>378500</v>
      </c>
      <c r="D2473" s="1">
        <f>IFERROR(__xludf.DUMMYFUNCTION("""COMPUTED_VALUE"""),368500.0)</f>
        <v>368500</v>
      </c>
      <c r="E2473" s="1">
        <f>IFERROR(__xludf.DUMMYFUNCTION("""COMPUTED_VALUE"""),375000.0)</f>
        <v>375000</v>
      </c>
      <c r="F2473" s="1">
        <f>IFERROR(__xludf.DUMMYFUNCTION("""COMPUTED_VALUE"""),1170208.0)</f>
        <v>1170208</v>
      </c>
    </row>
    <row r="2474">
      <c r="A2474" s="2">
        <f>IFERROR(__xludf.DUMMYFUNCTION("""COMPUTED_VALUE"""),44257.64583333333)</f>
        <v>44257.64583</v>
      </c>
      <c r="B2474" s="1">
        <f>IFERROR(__xludf.DUMMYFUNCTION("""COMPUTED_VALUE"""),389000.0)</f>
        <v>389000</v>
      </c>
      <c r="C2474" s="1">
        <f>IFERROR(__xludf.DUMMYFUNCTION("""COMPUTED_VALUE"""),390000.0)</f>
        <v>390000</v>
      </c>
      <c r="D2474" s="1">
        <f>IFERROR(__xludf.DUMMYFUNCTION("""COMPUTED_VALUE"""),375500.0)</f>
        <v>375500</v>
      </c>
      <c r="E2474" s="1">
        <f>IFERROR(__xludf.DUMMYFUNCTION("""COMPUTED_VALUE"""),377500.0)</f>
        <v>377500</v>
      </c>
      <c r="F2474" s="1">
        <f>IFERROR(__xludf.DUMMYFUNCTION("""COMPUTED_VALUE"""),1240322.0)</f>
        <v>1240322</v>
      </c>
    </row>
    <row r="2475">
      <c r="A2475" s="2">
        <f>IFERROR(__xludf.DUMMYFUNCTION("""COMPUTED_VALUE"""),44258.64583333333)</f>
        <v>44258.64583</v>
      </c>
      <c r="B2475" s="1">
        <f>IFERROR(__xludf.DUMMYFUNCTION("""COMPUTED_VALUE"""),379000.0)</f>
        <v>379000</v>
      </c>
      <c r="C2475" s="1">
        <f>IFERROR(__xludf.DUMMYFUNCTION("""COMPUTED_VALUE"""),399500.0)</f>
        <v>399500</v>
      </c>
      <c r="D2475" s="1">
        <f>IFERROR(__xludf.DUMMYFUNCTION("""COMPUTED_VALUE"""),377500.0)</f>
        <v>377500</v>
      </c>
      <c r="E2475" s="1">
        <f>IFERROR(__xludf.DUMMYFUNCTION("""COMPUTED_VALUE"""),399500.0)</f>
        <v>399500</v>
      </c>
      <c r="F2475" s="1">
        <f>IFERROR(__xludf.DUMMYFUNCTION("""COMPUTED_VALUE"""),1287551.0)</f>
        <v>1287551</v>
      </c>
    </row>
    <row r="2476">
      <c r="A2476" s="2">
        <f>IFERROR(__xludf.DUMMYFUNCTION("""COMPUTED_VALUE"""),44259.64583333333)</f>
        <v>44259.64583</v>
      </c>
      <c r="B2476" s="1">
        <f>IFERROR(__xludf.DUMMYFUNCTION("""COMPUTED_VALUE"""),392000.0)</f>
        <v>392000</v>
      </c>
      <c r="C2476" s="1">
        <f>IFERROR(__xludf.DUMMYFUNCTION("""COMPUTED_VALUE"""),401000.0)</f>
        <v>401000</v>
      </c>
      <c r="D2476" s="1">
        <f>IFERROR(__xludf.DUMMYFUNCTION("""COMPUTED_VALUE"""),389000.0)</f>
        <v>389000</v>
      </c>
      <c r="E2476" s="1">
        <f>IFERROR(__xludf.DUMMYFUNCTION("""COMPUTED_VALUE"""),391500.0)</f>
        <v>391500</v>
      </c>
      <c r="F2476" s="1">
        <f>IFERROR(__xludf.DUMMYFUNCTION("""COMPUTED_VALUE"""),1585134.0)</f>
        <v>1585134</v>
      </c>
    </row>
    <row r="2477">
      <c r="A2477" s="2">
        <f>IFERROR(__xludf.DUMMYFUNCTION("""COMPUTED_VALUE"""),44260.64583333333)</f>
        <v>44260.64583</v>
      </c>
      <c r="B2477" s="1">
        <f>IFERROR(__xludf.DUMMYFUNCTION("""COMPUTED_VALUE"""),386000.0)</f>
        <v>386000</v>
      </c>
      <c r="C2477" s="1">
        <f>IFERROR(__xludf.DUMMYFUNCTION("""COMPUTED_VALUE"""),386500.0)</f>
        <v>386500</v>
      </c>
      <c r="D2477" s="1">
        <f>IFERROR(__xludf.DUMMYFUNCTION("""COMPUTED_VALUE"""),371000.0)</f>
        <v>371000</v>
      </c>
      <c r="E2477" s="1">
        <f>IFERROR(__xludf.DUMMYFUNCTION("""COMPUTED_VALUE"""),377500.0)</f>
        <v>377500</v>
      </c>
      <c r="F2477" s="1">
        <f>IFERROR(__xludf.DUMMYFUNCTION("""COMPUTED_VALUE"""),1594386.0)</f>
        <v>1594386</v>
      </c>
    </row>
    <row r="2478">
      <c r="A2478" s="2">
        <f>IFERROR(__xludf.DUMMYFUNCTION("""COMPUTED_VALUE"""),44263.64583333333)</f>
        <v>44263.64583</v>
      </c>
      <c r="B2478" s="1">
        <f>IFERROR(__xludf.DUMMYFUNCTION("""COMPUTED_VALUE"""),382000.0)</f>
        <v>382000</v>
      </c>
      <c r="C2478" s="1">
        <f>IFERROR(__xludf.DUMMYFUNCTION("""COMPUTED_VALUE"""),386000.0)</f>
        <v>386000</v>
      </c>
      <c r="D2478" s="1">
        <f>IFERROR(__xludf.DUMMYFUNCTION("""COMPUTED_VALUE"""),366500.0)</f>
        <v>366500</v>
      </c>
      <c r="E2478" s="1">
        <f>IFERROR(__xludf.DUMMYFUNCTION("""COMPUTED_VALUE"""),368500.0)</f>
        <v>368500</v>
      </c>
      <c r="F2478" s="1">
        <f>IFERROR(__xludf.DUMMYFUNCTION("""COMPUTED_VALUE"""),1031748.0)</f>
        <v>1031748</v>
      </c>
    </row>
    <row r="2479">
      <c r="A2479" s="2">
        <f>IFERROR(__xludf.DUMMYFUNCTION("""COMPUTED_VALUE"""),44264.64583333333)</f>
        <v>44264.64583</v>
      </c>
      <c r="B2479" s="1">
        <f>IFERROR(__xludf.DUMMYFUNCTION("""COMPUTED_VALUE"""),366500.0)</f>
        <v>366500</v>
      </c>
      <c r="C2479" s="1">
        <f>IFERROR(__xludf.DUMMYFUNCTION("""COMPUTED_VALUE"""),371500.0)</f>
        <v>371500</v>
      </c>
      <c r="D2479" s="1">
        <f>IFERROR(__xludf.DUMMYFUNCTION("""COMPUTED_VALUE"""),350000.0)</f>
        <v>350000</v>
      </c>
      <c r="E2479" s="1">
        <f>IFERROR(__xludf.DUMMYFUNCTION("""COMPUTED_VALUE"""),361500.0)</f>
        <v>361500</v>
      </c>
      <c r="F2479" s="1">
        <f>IFERROR(__xludf.DUMMYFUNCTION("""COMPUTED_VALUE"""),1313900.0)</f>
        <v>1313900</v>
      </c>
    </row>
    <row r="2480">
      <c r="A2480" s="2">
        <f>IFERROR(__xludf.DUMMYFUNCTION("""COMPUTED_VALUE"""),44265.64583333333)</f>
        <v>44265.64583</v>
      </c>
      <c r="B2480" s="1">
        <f>IFERROR(__xludf.DUMMYFUNCTION("""COMPUTED_VALUE"""),373000.0)</f>
        <v>373000</v>
      </c>
      <c r="C2480" s="1">
        <f>IFERROR(__xludf.DUMMYFUNCTION("""COMPUTED_VALUE"""),378000.0)</f>
        <v>378000</v>
      </c>
      <c r="D2480" s="1">
        <f>IFERROR(__xludf.DUMMYFUNCTION("""COMPUTED_VALUE"""),368000.0)</f>
        <v>368000</v>
      </c>
      <c r="E2480" s="1">
        <f>IFERROR(__xludf.DUMMYFUNCTION("""COMPUTED_VALUE"""),372000.0)</f>
        <v>372000</v>
      </c>
      <c r="F2480" s="1">
        <f>IFERROR(__xludf.DUMMYFUNCTION("""COMPUTED_VALUE"""),946917.0)</f>
        <v>946917</v>
      </c>
    </row>
    <row r="2481">
      <c r="A2481" s="2">
        <f>IFERROR(__xludf.DUMMYFUNCTION("""COMPUTED_VALUE"""),44266.64583333333)</f>
        <v>44266.64583</v>
      </c>
      <c r="B2481" s="1">
        <f>IFERROR(__xludf.DUMMYFUNCTION("""COMPUTED_VALUE"""),372500.0)</f>
        <v>372500</v>
      </c>
      <c r="C2481" s="1">
        <f>IFERROR(__xludf.DUMMYFUNCTION("""COMPUTED_VALUE"""),377500.0)</f>
        <v>377500</v>
      </c>
      <c r="D2481" s="1">
        <f>IFERROR(__xludf.DUMMYFUNCTION("""COMPUTED_VALUE"""),366000.0)</f>
        <v>366000</v>
      </c>
      <c r="E2481" s="1">
        <f>IFERROR(__xludf.DUMMYFUNCTION("""COMPUTED_VALUE"""),373500.0)</f>
        <v>373500</v>
      </c>
      <c r="F2481" s="1">
        <f>IFERROR(__xludf.DUMMYFUNCTION("""COMPUTED_VALUE"""),1024741.0)</f>
        <v>1024741</v>
      </c>
    </row>
    <row r="2482">
      <c r="A2482" s="2">
        <f>IFERROR(__xludf.DUMMYFUNCTION("""COMPUTED_VALUE"""),44267.64583333333)</f>
        <v>44267.64583</v>
      </c>
      <c r="B2482" s="1">
        <f>IFERROR(__xludf.DUMMYFUNCTION("""COMPUTED_VALUE"""),396000.0)</f>
        <v>396000</v>
      </c>
      <c r="C2482" s="1">
        <f>IFERROR(__xludf.DUMMYFUNCTION("""COMPUTED_VALUE"""),396000.0)</f>
        <v>396000</v>
      </c>
      <c r="D2482" s="1">
        <f>IFERROR(__xludf.DUMMYFUNCTION("""COMPUTED_VALUE"""),378500.0)</f>
        <v>378500</v>
      </c>
      <c r="E2482" s="1">
        <f>IFERROR(__xludf.DUMMYFUNCTION("""COMPUTED_VALUE"""),380500.0)</f>
        <v>380500</v>
      </c>
      <c r="F2482" s="1">
        <f>IFERROR(__xludf.DUMMYFUNCTION("""COMPUTED_VALUE"""),969276.0)</f>
        <v>969276</v>
      </c>
    </row>
    <row r="2483">
      <c r="A2483" s="2">
        <f>IFERROR(__xludf.DUMMYFUNCTION("""COMPUTED_VALUE"""),44270.64583333333)</f>
        <v>44270.64583</v>
      </c>
      <c r="B2483" s="1">
        <f>IFERROR(__xludf.DUMMYFUNCTION("""COMPUTED_VALUE"""),382000.0)</f>
        <v>382000</v>
      </c>
      <c r="C2483" s="1">
        <f>IFERROR(__xludf.DUMMYFUNCTION("""COMPUTED_VALUE"""),385500.0)</f>
        <v>385500</v>
      </c>
      <c r="D2483" s="1">
        <f>IFERROR(__xludf.DUMMYFUNCTION("""COMPUTED_VALUE"""),377500.0)</f>
        <v>377500</v>
      </c>
      <c r="E2483" s="1">
        <f>IFERROR(__xludf.DUMMYFUNCTION("""COMPUTED_VALUE"""),383000.0)</f>
        <v>383000</v>
      </c>
      <c r="F2483" s="1">
        <f>IFERROR(__xludf.DUMMYFUNCTION("""COMPUTED_VALUE"""),609496.0)</f>
        <v>609496</v>
      </c>
    </row>
    <row r="2484">
      <c r="A2484" s="2">
        <f>IFERROR(__xludf.DUMMYFUNCTION("""COMPUTED_VALUE"""),44271.64583333333)</f>
        <v>44271.64583</v>
      </c>
      <c r="B2484" s="1">
        <f>IFERROR(__xludf.DUMMYFUNCTION("""COMPUTED_VALUE"""),384500.0)</f>
        <v>384500</v>
      </c>
      <c r="C2484" s="1">
        <f>IFERROR(__xludf.DUMMYFUNCTION("""COMPUTED_VALUE"""),389500.0)</f>
        <v>389500</v>
      </c>
      <c r="D2484" s="1">
        <f>IFERROR(__xludf.DUMMYFUNCTION("""COMPUTED_VALUE"""),384000.0)</f>
        <v>384000</v>
      </c>
      <c r="E2484" s="1">
        <f>IFERROR(__xludf.DUMMYFUNCTION("""COMPUTED_VALUE"""),385500.0)</f>
        <v>385500</v>
      </c>
      <c r="F2484" s="1">
        <f>IFERROR(__xludf.DUMMYFUNCTION("""COMPUTED_VALUE"""),574082.0)</f>
        <v>574082</v>
      </c>
    </row>
    <row r="2485">
      <c r="A2485" s="2">
        <f>IFERROR(__xludf.DUMMYFUNCTION("""COMPUTED_VALUE"""),44272.64583333333)</f>
        <v>44272.64583</v>
      </c>
      <c r="B2485" s="1">
        <f>IFERROR(__xludf.DUMMYFUNCTION("""COMPUTED_VALUE"""),388000.0)</f>
        <v>388000</v>
      </c>
      <c r="C2485" s="1">
        <f>IFERROR(__xludf.DUMMYFUNCTION("""COMPUTED_VALUE"""),391500.0)</f>
        <v>391500</v>
      </c>
      <c r="D2485" s="1">
        <f>IFERROR(__xludf.DUMMYFUNCTION("""COMPUTED_VALUE"""),380500.0)</f>
        <v>380500</v>
      </c>
      <c r="E2485" s="1">
        <f>IFERROR(__xludf.DUMMYFUNCTION("""COMPUTED_VALUE"""),383500.0)</f>
        <v>383500</v>
      </c>
      <c r="F2485" s="1">
        <f>IFERROR(__xludf.DUMMYFUNCTION("""COMPUTED_VALUE"""),1200355.0)</f>
        <v>1200355</v>
      </c>
    </row>
    <row r="2486">
      <c r="A2486" s="2">
        <f>IFERROR(__xludf.DUMMYFUNCTION("""COMPUTED_VALUE"""),44273.64583333333)</f>
        <v>44273.64583</v>
      </c>
      <c r="B2486" s="1">
        <f>IFERROR(__xludf.DUMMYFUNCTION("""COMPUTED_VALUE"""),388500.0)</f>
        <v>388500</v>
      </c>
      <c r="C2486" s="1">
        <f>IFERROR(__xludf.DUMMYFUNCTION("""COMPUTED_VALUE"""),410000.0)</f>
        <v>410000</v>
      </c>
      <c r="D2486" s="1">
        <f>IFERROR(__xludf.DUMMYFUNCTION("""COMPUTED_VALUE"""),386500.0)</f>
        <v>386500</v>
      </c>
      <c r="E2486" s="1">
        <f>IFERROR(__xludf.DUMMYFUNCTION("""COMPUTED_VALUE"""),403500.0)</f>
        <v>403500</v>
      </c>
      <c r="F2486" s="1">
        <f>IFERROR(__xludf.DUMMYFUNCTION("""COMPUTED_VALUE"""),1818409.0)</f>
        <v>1818409</v>
      </c>
    </row>
    <row r="2487">
      <c r="A2487" s="2">
        <f>IFERROR(__xludf.DUMMYFUNCTION("""COMPUTED_VALUE"""),44274.64583333333)</f>
        <v>44274.64583</v>
      </c>
      <c r="B2487" s="1">
        <f>IFERROR(__xludf.DUMMYFUNCTION("""COMPUTED_VALUE"""),397000.0)</f>
        <v>397000</v>
      </c>
      <c r="C2487" s="1">
        <f>IFERROR(__xludf.DUMMYFUNCTION("""COMPUTED_VALUE"""),407500.0)</f>
        <v>407500</v>
      </c>
      <c r="D2487" s="1">
        <f>IFERROR(__xludf.DUMMYFUNCTION("""COMPUTED_VALUE"""),395000.0)</f>
        <v>395000</v>
      </c>
      <c r="E2487" s="1">
        <f>IFERROR(__xludf.DUMMYFUNCTION("""COMPUTED_VALUE"""),402000.0)</f>
        <v>402000</v>
      </c>
      <c r="F2487" s="1">
        <f>IFERROR(__xludf.DUMMYFUNCTION("""COMPUTED_VALUE"""),1258199.0)</f>
        <v>1258199</v>
      </c>
    </row>
    <row r="2488">
      <c r="A2488" s="2">
        <f>IFERROR(__xludf.DUMMYFUNCTION("""COMPUTED_VALUE"""),44277.64583333333)</f>
        <v>44277.64583</v>
      </c>
      <c r="B2488" s="1">
        <f>IFERROR(__xludf.DUMMYFUNCTION("""COMPUTED_VALUE"""),402500.0)</f>
        <v>402500</v>
      </c>
      <c r="C2488" s="1">
        <f>IFERROR(__xludf.DUMMYFUNCTION("""COMPUTED_VALUE"""),405500.0)</f>
        <v>405500</v>
      </c>
      <c r="D2488" s="1">
        <f>IFERROR(__xludf.DUMMYFUNCTION("""COMPUTED_VALUE"""),393000.0)</f>
        <v>393000</v>
      </c>
      <c r="E2488" s="1">
        <f>IFERROR(__xludf.DUMMYFUNCTION("""COMPUTED_VALUE"""),396500.0)</f>
        <v>396500</v>
      </c>
      <c r="F2488" s="1">
        <f>IFERROR(__xludf.DUMMYFUNCTION("""COMPUTED_VALUE"""),911358.0)</f>
        <v>911358</v>
      </c>
    </row>
    <row r="2489">
      <c r="A2489" s="2">
        <f>IFERROR(__xludf.DUMMYFUNCTION("""COMPUTED_VALUE"""),44278.64583333333)</f>
        <v>44278.64583</v>
      </c>
      <c r="B2489" s="1">
        <f>IFERROR(__xludf.DUMMYFUNCTION("""COMPUTED_VALUE"""),397000.0)</f>
        <v>397000</v>
      </c>
      <c r="C2489" s="1">
        <f>IFERROR(__xludf.DUMMYFUNCTION("""COMPUTED_VALUE"""),399000.0)</f>
        <v>399000</v>
      </c>
      <c r="D2489" s="1">
        <f>IFERROR(__xludf.DUMMYFUNCTION("""COMPUTED_VALUE"""),384000.0)</f>
        <v>384000</v>
      </c>
      <c r="E2489" s="1">
        <f>IFERROR(__xludf.DUMMYFUNCTION("""COMPUTED_VALUE"""),386000.0)</f>
        <v>386000</v>
      </c>
      <c r="F2489" s="1">
        <f>IFERROR(__xludf.DUMMYFUNCTION("""COMPUTED_VALUE"""),1167110.0)</f>
        <v>1167110</v>
      </c>
    </row>
    <row r="2490">
      <c r="A2490" s="2">
        <f>IFERROR(__xludf.DUMMYFUNCTION("""COMPUTED_VALUE"""),44279.64583333333)</f>
        <v>44279.64583</v>
      </c>
      <c r="B2490" s="1">
        <f>IFERROR(__xludf.DUMMYFUNCTION("""COMPUTED_VALUE"""),380000.0)</f>
        <v>380000</v>
      </c>
      <c r="C2490" s="1">
        <f>IFERROR(__xludf.DUMMYFUNCTION("""COMPUTED_VALUE"""),387000.0)</f>
        <v>387000</v>
      </c>
      <c r="D2490" s="1">
        <f>IFERROR(__xludf.DUMMYFUNCTION("""COMPUTED_VALUE"""),376000.0)</f>
        <v>376000</v>
      </c>
      <c r="E2490" s="1">
        <f>IFERROR(__xludf.DUMMYFUNCTION("""COMPUTED_VALUE"""),387000.0)</f>
        <v>387000</v>
      </c>
      <c r="F2490" s="1">
        <f>IFERROR(__xludf.DUMMYFUNCTION("""COMPUTED_VALUE"""),763754.0)</f>
        <v>763754</v>
      </c>
    </row>
    <row r="2491">
      <c r="A2491" s="2">
        <f>IFERROR(__xludf.DUMMYFUNCTION("""COMPUTED_VALUE"""),44280.64583333333)</f>
        <v>44280.64583</v>
      </c>
      <c r="B2491" s="1">
        <f>IFERROR(__xludf.DUMMYFUNCTION("""COMPUTED_VALUE"""),381500.0)</f>
        <v>381500</v>
      </c>
      <c r="C2491" s="1">
        <f>IFERROR(__xludf.DUMMYFUNCTION("""COMPUTED_VALUE"""),384000.0)</f>
        <v>384000</v>
      </c>
      <c r="D2491" s="1">
        <f>IFERROR(__xludf.DUMMYFUNCTION("""COMPUTED_VALUE"""),378000.0)</f>
        <v>378000</v>
      </c>
      <c r="E2491" s="1">
        <f>IFERROR(__xludf.DUMMYFUNCTION("""COMPUTED_VALUE"""),380000.0)</f>
        <v>380000</v>
      </c>
      <c r="F2491" s="1">
        <f>IFERROR(__xludf.DUMMYFUNCTION("""COMPUTED_VALUE"""),672585.0)</f>
        <v>672585</v>
      </c>
    </row>
    <row r="2492">
      <c r="A2492" s="2">
        <f>IFERROR(__xludf.DUMMYFUNCTION("""COMPUTED_VALUE"""),44281.64583333333)</f>
        <v>44281.64583</v>
      </c>
      <c r="B2492" s="1">
        <f>IFERROR(__xludf.DUMMYFUNCTION("""COMPUTED_VALUE"""),380000.0)</f>
        <v>380000</v>
      </c>
      <c r="C2492" s="1">
        <f>IFERROR(__xludf.DUMMYFUNCTION("""COMPUTED_VALUE"""),383000.0)</f>
        <v>383000</v>
      </c>
      <c r="D2492" s="1">
        <f>IFERROR(__xludf.DUMMYFUNCTION("""COMPUTED_VALUE"""),377000.0)</f>
        <v>377000</v>
      </c>
      <c r="E2492" s="1">
        <f>IFERROR(__xludf.DUMMYFUNCTION("""COMPUTED_VALUE"""),383000.0)</f>
        <v>383000</v>
      </c>
      <c r="F2492" s="1">
        <f>IFERROR(__xludf.DUMMYFUNCTION("""COMPUTED_VALUE"""),691786.0)</f>
        <v>691786</v>
      </c>
    </row>
    <row r="2493">
      <c r="A2493" s="2">
        <f>IFERROR(__xludf.DUMMYFUNCTION("""COMPUTED_VALUE"""),44284.64583333333)</f>
        <v>44284.64583</v>
      </c>
      <c r="B2493" s="1">
        <f>IFERROR(__xludf.DUMMYFUNCTION("""COMPUTED_VALUE"""),383500.0)</f>
        <v>383500</v>
      </c>
      <c r="C2493" s="1">
        <f>IFERROR(__xludf.DUMMYFUNCTION("""COMPUTED_VALUE"""),384000.0)</f>
        <v>384000</v>
      </c>
      <c r="D2493" s="1">
        <f>IFERROR(__xludf.DUMMYFUNCTION("""COMPUTED_VALUE"""),372000.0)</f>
        <v>372000</v>
      </c>
      <c r="E2493" s="1">
        <f>IFERROR(__xludf.DUMMYFUNCTION("""COMPUTED_VALUE"""),372000.0)</f>
        <v>372000</v>
      </c>
      <c r="F2493" s="1">
        <f>IFERROR(__xludf.DUMMYFUNCTION("""COMPUTED_VALUE"""),878014.0)</f>
        <v>878014</v>
      </c>
    </row>
    <row r="2494">
      <c r="A2494" s="2">
        <f>IFERROR(__xludf.DUMMYFUNCTION("""COMPUTED_VALUE"""),44285.64583333333)</f>
        <v>44285.64583</v>
      </c>
      <c r="B2494" s="1">
        <f>IFERROR(__xludf.DUMMYFUNCTION("""COMPUTED_VALUE"""),373500.0)</f>
        <v>373500</v>
      </c>
      <c r="C2494" s="1">
        <f>IFERROR(__xludf.DUMMYFUNCTION("""COMPUTED_VALUE"""),381000.0)</f>
        <v>381000</v>
      </c>
      <c r="D2494" s="1">
        <f>IFERROR(__xludf.DUMMYFUNCTION("""COMPUTED_VALUE"""),373500.0)</f>
        <v>373500</v>
      </c>
      <c r="E2494" s="1">
        <f>IFERROR(__xludf.DUMMYFUNCTION("""COMPUTED_VALUE"""),376500.0)</f>
        <v>376500</v>
      </c>
      <c r="F2494" s="1">
        <f>IFERROR(__xludf.DUMMYFUNCTION("""COMPUTED_VALUE"""),623997.0)</f>
        <v>623997</v>
      </c>
    </row>
    <row r="2495">
      <c r="A2495" s="2">
        <f>IFERROR(__xludf.DUMMYFUNCTION("""COMPUTED_VALUE"""),44286.64583333333)</f>
        <v>44286.64583</v>
      </c>
      <c r="B2495" s="1">
        <f>IFERROR(__xludf.DUMMYFUNCTION("""COMPUTED_VALUE"""),379500.0)</f>
        <v>379500</v>
      </c>
      <c r="C2495" s="1">
        <f>IFERROR(__xludf.DUMMYFUNCTION("""COMPUTED_VALUE"""),383000.0)</f>
        <v>383000</v>
      </c>
      <c r="D2495" s="1">
        <f>IFERROR(__xludf.DUMMYFUNCTION("""COMPUTED_VALUE"""),377000.0)</f>
        <v>377000</v>
      </c>
      <c r="E2495" s="1">
        <f>IFERROR(__xludf.DUMMYFUNCTION("""COMPUTED_VALUE"""),377000.0)</f>
        <v>377000</v>
      </c>
      <c r="F2495" s="1">
        <f>IFERROR(__xludf.DUMMYFUNCTION("""COMPUTED_VALUE"""),568103.0)</f>
        <v>568103</v>
      </c>
    </row>
    <row r="2496">
      <c r="A2496" s="2">
        <f>IFERROR(__xludf.DUMMYFUNCTION("""COMPUTED_VALUE"""),44287.64583333333)</f>
        <v>44287.64583</v>
      </c>
      <c r="B2496" s="1">
        <f>IFERROR(__xludf.DUMMYFUNCTION("""COMPUTED_VALUE"""),375500.0)</f>
        <v>375500</v>
      </c>
      <c r="C2496" s="1">
        <f>IFERROR(__xludf.DUMMYFUNCTION("""COMPUTED_VALUE"""),379000.0)</f>
        <v>379000</v>
      </c>
      <c r="D2496" s="1">
        <f>IFERROR(__xludf.DUMMYFUNCTION("""COMPUTED_VALUE"""),372000.0)</f>
        <v>372000</v>
      </c>
      <c r="E2496" s="1">
        <f>IFERROR(__xludf.DUMMYFUNCTION("""COMPUTED_VALUE"""),378500.0)</f>
        <v>378500</v>
      </c>
      <c r="F2496" s="1">
        <f>IFERROR(__xludf.DUMMYFUNCTION("""COMPUTED_VALUE"""),547402.0)</f>
        <v>547402</v>
      </c>
    </row>
    <row r="2497">
      <c r="A2497" s="2">
        <f>IFERROR(__xludf.DUMMYFUNCTION("""COMPUTED_VALUE"""),44288.64583333333)</f>
        <v>44288.64583</v>
      </c>
      <c r="B2497" s="1">
        <f>IFERROR(__xludf.DUMMYFUNCTION("""COMPUTED_VALUE"""),381500.0)</f>
        <v>381500</v>
      </c>
      <c r="C2497" s="1">
        <f>IFERROR(__xludf.DUMMYFUNCTION("""COMPUTED_VALUE"""),382500.0)</f>
        <v>382500</v>
      </c>
      <c r="D2497" s="1">
        <f>IFERROR(__xludf.DUMMYFUNCTION("""COMPUTED_VALUE"""),378000.0)</f>
        <v>378000</v>
      </c>
      <c r="E2497" s="1">
        <f>IFERROR(__xludf.DUMMYFUNCTION("""COMPUTED_VALUE"""),379500.0)</f>
        <v>379500</v>
      </c>
      <c r="F2497" s="1">
        <f>IFERROR(__xludf.DUMMYFUNCTION("""COMPUTED_VALUE"""),476668.0)</f>
        <v>476668</v>
      </c>
    </row>
    <row r="2498">
      <c r="A2498" s="2">
        <f>IFERROR(__xludf.DUMMYFUNCTION("""COMPUTED_VALUE"""),44291.64583333333)</f>
        <v>44291.64583</v>
      </c>
      <c r="B2498" s="1">
        <f>IFERROR(__xludf.DUMMYFUNCTION("""COMPUTED_VALUE"""),379500.0)</f>
        <v>379500</v>
      </c>
      <c r="C2498" s="1">
        <f>IFERROR(__xludf.DUMMYFUNCTION("""COMPUTED_VALUE"""),380000.0)</f>
        <v>380000</v>
      </c>
      <c r="D2498" s="1">
        <f>IFERROR(__xludf.DUMMYFUNCTION("""COMPUTED_VALUE"""),374500.0)</f>
        <v>374500</v>
      </c>
      <c r="E2498" s="1">
        <f>IFERROR(__xludf.DUMMYFUNCTION("""COMPUTED_VALUE"""),377000.0)</f>
        <v>377000</v>
      </c>
      <c r="F2498" s="1">
        <f>IFERROR(__xludf.DUMMYFUNCTION("""COMPUTED_VALUE"""),421508.0)</f>
        <v>421508</v>
      </c>
    </row>
    <row r="2499">
      <c r="A2499" s="2">
        <f>IFERROR(__xludf.DUMMYFUNCTION("""COMPUTED_VALUE"""),44292.64583333333)</f>
        <v>44292.64583</v>
      </c>
      <c r="B2499" s="1">
        <f>IFERROR(__xludf.DUMMYFUNCTION("""COMPUTED_VALUE"""),378500.0)</f>
        <v>378500</v>
      </c>
      <c r="C2499" s="1">
        <f>IFERROR(__xludf.DUMMYFUNCTION("""COMPUTED_VALUE"""),391000.0)</f>
        <v>391000</v>
      </c>
      <c r="D2499" s="1">
        <f>IFERROR(__xludf.DUMMYFUNCTION("""COMPUTED_VALUE"""),378000.0)</f>
        <v>378000</v>
      </c>
      <c r="E2499" s="1">
        <f>IFERROR(__xludf.DUMMYFUNCTION("""COMPUTED_VALUE"""),388500.0)</f>
        <v>388500</v>
      </c>
      <c r="F2499" s="1">
        <f>IFERROR(__xludf.DUMMYFUNCTION("""COMPUTED_VALUE"""),997518.0)</f>
        <v>997518</v>
      </c>
    </row>
    <row r="2500">
      <c r="A2500" s="2">
        <f>IFERROR(__xludf.DUMMYFUNCTION("""COMPUTED_VALUE"""),44293.64583333333)</f>
        <v>44293.64583</v>
      </c>
      <c r="B2500" s="1">
        <f>IFERROR(__xludf.DUMMYFUNCTION("""COMPUTED_VALUE"""),390500.0)</f>
        <v>390500</v>
      </c>
      <c r="C2500" s="1">
        <f>IFERROR(__xludf.DUMMYFUNCTION("""COMPUTED_VALUE"""),391000.0)</f>
        <v>391000</v>
      </c>
      <c r="D2500" s="1">
        <f>IFERROR(__xludf.DUMMYFUNCTION("""COMPUTED_VALUE"""),381500.0)</f>
        <v>381500</v>
      </c>
      <c r="E2500" s="1">
        <f>IFERROR(__xludf.DUMMYFUNCTION("""COMPUTED_VALUE"""),384500.0)</f>
        <v>384500</v>
      </c>
      <c r="F2500" s="1">
        <f>IFERROR(__xludf.DUMMYFUNCTION("""COMPUTED_VALUE"""),578490.0)</f>
        <v>578490</v>
      </c>
    </row>
    <row r="2501">
      <c r="A2501" s="2">
        <f>IFERROR(__xludf.DUMMYFUNCTION("""COMPUTED_VALUE"""),44294.64583333333)</f>
        <v>44294.64583</v>
      </c>
      <c r="B2501" s="1">
        <f>IFERROR(__xludf.DUMMYFUNCTION("""COMPUTED_VALUE"""),384500.0)</f>
        <v>384500</v>
      </c>
      <c r="C2501" s="1">
        <f>IFERROR(__xludf.DUMMYFUNCTION("""COMPUTED_VALUE"""),387000.0)</f>
        <v>387000</v>
      </c>
      <c r="D2501" s="1">
        <f>IFERROR(__xludf.DUMMYFUNCTION("""COMPUTED_VALUE"""),380000.0)</f>
        <v>380000</v>
      </c>
      <c r="E2501" s="1">
        <f>IFERROR(__xludf.DUMMYFUNCTION("""COMPUTED_VALUE"""),381500.0)</f>
        <v>381500</v>
      </c>
      <c r="F2501" s="1">
        <f>IFERROR(__xludf.DUMMYFUNCTION("""COMPUTED_VALUE"""),626575.0)</f>
        <v>626575</v>
      </c>
    </row>
    <row r="2502">
      <c r="A2502" s="2">
        <f>IFERROR(__xludf.DUMMYFUNCTION("""COMPUTED_VALUE"""),44295.64583333333)</f>
        <v>44295.64583</v>
      </c>
      <c r="B2502" s="1">
        <f>IFERROR(__xludf.DUMMYFUNCTION("""COMPUTED_VALUE"""),382000.0)</f>
        <v>382000</v>
      </c>
      <c r="C2502" s="1">
        <f>IFERROR(__xludf.DUMMYFUNCTION("""COMPUTED_VALUE"""),385000.0)</f>
        <v>385000</v>
      </c>
      <c r="D2502" s="1">
        <f>IFERROR(__xludf.DUMMYFUNCTION("""COMPUTED_VALUE"""),381500.0)</f>
        <v>381500</v>
      </c>
      <c r="E2502" s="1">
        <f>IFERROR(__xludf.DUMMYFUNCTION("""COMPUTED_VALUE"""),383500.0)</f>
        <v>383500</v>
      </c>
      <c r="F2502" s="1">
        <f>IFERROR(__xludf.DUMMYFUNCTION("""COMPUTED_VALUE"""),469100.0)</f>
        <v>469100</v>
      </c>
    </row>
    <row r="2503">
      <c r="A2503" s="2">
        <f>IFERROR(__xludf.DUMMYFUNCTION("""COMPUTED_VALUE"""),44298.64583333333)</f>
        <v>44298.64583</v>
      </c>
      <c r="B2503" s="1">
        <f>IFERROR(__xludf.DUMMYFUNCTION("""COMPUTED_VALUE"""),384500.0)</f>
        <v>384500</v>
      </c>
      <c r="C2503" s="1">
        <f>IFERROR(__xludf.DUMMYFUNCTION("""COMPUTED_VALUE"""),393000.0)</f>
        <v>393000</v>
      </c>
      <c r="D2503" s="1">
        <f>IFERROR(__xludf.DUMMYFUNCTION("""COMPUTED_VALUE"""),383000.0)</f>
        <v>383000</v>
      </c>
      <c r="E2503" s="1">
        <f>IFERROR(__xludf.DUMMYFUNCTION("""COMPUTED_VALUE"""),385500.0)</f>
        <v>385500</v>
      </c>
      <c r="F2503" s="1">
        <f>IFERROR(__xludf.DUMMYFUNCTION("""COMPUTED_VALUE"""),680329.0)</f>
        <v>680329</v>
      </c>
    </row>
    <row r="2504">
      <c r="A2504" s="2">
        <f>IFERROR(__xludf.DUMMYFUNCTION("""COMPUTED_VALUE"""),44299.64583333333)</f>
        <v>44299.64583</v>
      </c>
      <c r="B2504" s="1">
        <f>IFERROR(__xludf.DUMMYFUNCTION("""COMPUTED_VALUE"""),384000.0)</f>
        <v>384000</v>
      </c>
      <c r="C2504" s="1">
        <f>IFERROR(__xludf.DUMMYFUNCTION("""COMPUTED_VALUE"""),389000.0)</f>
        <v>389000</v>
      </c>
      <c r="D2504" s="1">
        <f>IFERROR(__xludf.DUMMYFUNCTION("""COMPUTED_VALUE"""),382000.0)</f>
        <v>382000</v>
      </c>
      <c r="E2504" s="1">
        <f>IFERROR(__xludf.DUMMYFUNCTION("""COMPUTED_VALUE"""),388500.0)</f>
        <v>388500</v>
      </c>
      <c r="F2504" s="1">
        <f>IFERROR(__xludf.DUMMYFUNCTION("""COMPUTED_VALUE"""),586643.0)</f>
        <v>586643</v>
      </c>
    </row>
    <row r="2505">
      <c r="A2505" s="2">
        <f>IFERROR(__xludf.DUMMYFUNCTION("""COMPUTED_VALUE"""),44300.64583333333)</f>
        <v>44300.64583</v>
      </c>
      <c r="B2505" s="1">
        <f>IFERROR(__xludf.DUMMYFUNCTION("""COMPUTED_VALUE"""),391500.0)</f>
        <v>391500</v>
      </c>
      <c r="C2505" s="1">
        <f>IFERROR(__xludf.DUMMYFUNCTION("""COMPUTED_VALUE"""),398000.0)</f>
        <v>398000</v>
      </c>
      <c r="D2505" s="1">
        <f>IFERROR(__xludf.DUMMYFUNCTION("""COMPUTED_VALUE"""),390000.0)</f>
        <v>390000</v>
      </c>
      <c r="E2505" s="1">
        <f>IFERROR(__xludf.DUMMYFUNCTION("""COMPUTED_VALUE"""),391500.0)</f>
        <v>391500</v>
      </c>
      <c r="F2505" s="1">
        <f>IFERROR(__xludf.DUMMYFUNCTION("""COMPUTED_VALUE"""),757969.0)</f>
        <v>757969</v>
      </c>
    </row>
    <row r="2506">
      <c r="A2506" s="2">
        <f>IFERROR(__xludf.DUMMYFUNCTION("""COMPUTED_VALUE"""),44301.64583333333)</f>
        <v>44301.64583</v>
      </c>
      <c r="B2506" s="1">
        <f>IFERROR(__xludf.DUMMYFUNCTION("""COMPUTED_VALUE"""),391500.0)</f>
        <v>391500</v>
      </c>
      <c r="C2506" s="1">
        <f>IFERROR(__xludf.DUMMYFUNCTION("""COMPUTED_VALUE"""),398500.0)</f>
        <v>398500</v>
      </c>
      <c r="D2506" s="1">
        <f>IFERROR(__xludf.DUMMYFUNCTION("""COMPUTED_VALUE"""),386500.0)</f>
        <v>386500</v>
      </c>
      <c r="E2506" s="1">
        <f>IFERROR(__xludf.DUMMYFUNCTION("""COMPUTED_VALUE"""),391000.0)</f>
        <v>391000</v>
      </c>
      <c r="F2506" s="1">
        <f>IFERROR(__xludf.DUMMYFUNCTION("""COMPUTED_VALUE"""),889538.0)</f>
        <v>889538</v>
      </c>
    </row>
    <row r="2507">
      <c r="A2507" s="2">
        <f>IFERROR(__xludf.DUMMYFUNCTION("""COMPUTED_VALUE"""),44302.64583333333)</f>
        <v>44302.64583</v>
      </c>
      <c r="B2507" s="1">
        <f>IFERROR(__xludf.DUMMYFUNCTION("""COMPUTED_VALUE"""),394500.0)</f>
        <v>394500</v>
      </c>
      <c r="C2507" s="1">
        <f>IFERROR(__xludf.DUMMYFUNCTION("""COMPUTED_VALUE"""),395000.0)</f>
        <v>395000</v>
      </c>
      <c r="D2507" s="1">
        <f>IFERROR(__xludf.DUMMYFUNCTION("""COMPUTED_VALUE"""),391000.0)</f>
        <v>391000</v>
      </c>
      <c r="E2507" s="1">
        <f>IFERROR(__xludf.DUMMYFUNCTION("""COMPUTED_VALUE"""),391500.0)</f>
        <v>391500</v>
      </c>
      <c r="F2507" s="1">
        <f>IFERROR(__xludf.DUMMYFUNCTION("""COMPUTED_VALUE"""),423962.0)</f>
        <v>423962</v>
      </c>
    </row>
    <row r="2508">
      <c r="A2508" s="2">
        <f>IFERROR(__xludf.DUMMYFUNCTION("""COMPUTED_VALUE"""),44305.64583333333)</f>
        <v>44305.64583</v>
      </c>
      <c r="B2508" s="1">
        <f>IFERROR(__xludf.DUMMYFUNCTION("""COMPUTED_VALUE"""),391500.0)</f>
        <v>391500</v>
      </c>
      <c r="C2508" s="1">
        <f>IFERROR(__xludf.DUMMYFUNCTION("""COMPUTED_VALUE"""),393500.0)</f>
        <v>393500</v>
      </c>
      <c r="D2508" s="1">
        <f>IFERROR(__xludf.DUMMYFUNCTION("""COMPUTED_VALUE"""),388500.0)</f>
        <v>388500</v>
      </c>
      <c r="E2508" s="1">
        <f>IFERROR(__xludf.DUMMYFUNCTION("""COMPUTED_VALUE"""),390000.0)</f>
        <v>390000</v>
      </c>
      <c r="F2508" s="1">
        <f>IFERROR(__xludf.DUMMYFUNCTION("""COMPUTED_VALUE"""),449064.0)</f>
        <v>449064</v>
      </c>
    </row>
    <row r="2509">
      <c r="A2509" s="2">
        <f>IFERROR(__xludf.DUMMYFUNCTION("""COMPUTED_VALUE"""),44306.64583333333)</f>
        <v>44306.64583</v>
      </c>
      <c r="B2509" s="1">
        <f>IFERROR(__xludf.DUMMYFUNCTION("""COMPUTED_VALUE"""),389000.0)</f>
        <v>389000</v>
      </c>
      <c r="C2509" s="1">
        <f>IFERROR(__xludf.DUMMYFUNCTION("""COMPUTED_VALUE"""),391500.0)</f>
        <v>391500</v>
      </c>
      <c r="D2509" s="1">
        <f>IFERROR(__xludf.DUMMYFUNCTION("""COMPUTED_VALUE"""),387500.0)</f>
        <v>387500</v>
      </c>
      <c r="E2509" s="1">
        <f>IFERROR(__xludf.DUMMYFUNCTION("""COMPUTED_VALUE"""),391000.0)</f>
        <v>391000</v>
      </c>
      <c r="F2509" s="1">
        <f>IFERROR(__xludf.DUMMYFUNCTION("""COMPUTED_VALUE"""),417892.0)</f>
        <v>417892</v>
      </c>
    </row>
    <row r="2510">
      <c r="A2510" s="2">
        <f>IFERROR(__xludf.DUMMYFUNCTION("""COMPUTED_VALUE"""),44307.64583333333)</f>
        <v>44307.64583</v>
      </c>
      <c r="B2510" s="1">
        <f>IFERROR(__xludf.DUMMYFUNCTION("""COMPUTED_VALUE"""),389000.0)</f>
        <v>389000</v>
      </c>
      <c r="C2510" s="1">
        <f>IFERROR(__xludf.DUMMYFUNCTION("""COMPUTED_VALUE"""),389000.0)</f>
        <v>389000</v>
      </c>
      <c r="D2510" s="1">
        <f>IFERROR(__xludf.DUMMYFUNCTION("""COMPUTED_VALUE"""),380500.0)</f>
        <v>380500</v>
      </c>
      <c r="E2510" s="1">
        <f>IFERROR(__xludf.DUMMYFUNCTION("""COMPUTED_VALUE"""),380500.0)</f>
        <v>380500</v>
      </c>
      <c r="F2510" s="1">
        <f>IFERROR(__xludf.DUMMYFUNCTION("""COMPUTED_VALUE"""),835828.0)</f>
        <v>835828</v>
      </c>
    </row>
    <row r="2511">
      <c r="A2511" s="2">
        <f>IFERROR(__xludf.DUMMYFUNCTION("""COMPUTED_VALUE"""),44308.64583333333)</f>
        <v>44308.64583</v>
      </c>
      <c r="B2511" s="1">
        <f>IFERROR(__xludf.DUMMYFUNCTION("""COMPUTED_VALUE"""),382000.0)</f>
        <v>382000</v>
      </c>
      <c r="C2511" s="1">
        <f>IFERROR(__xludf.DUMMYFUNCTION("""COMPUTED_VALUE"""),384500.0)</f>
        <v>384500</v>
      </c>
      <c r="D2511" s="1">
        <f>IFERROR(__xludf.DUMMYFUNCTION("""COMPUTED_VALUE"""),380000.0)</f>
        <v>380000</v>
      </c>
      <c r="E2511" s="1">
        <f>IFERROR(__xludf.DUMMYFUNCTION("""COMPUTED_VALUE"""),380500.0)</f>
        <v>380500</v>
      </c>
      <c r="F2511" s="1">
        <f>IFERROR(__xludf.DUMMYFUNCTION("""COMPUTED_VALUE"""),394350.0)</f>
        <v>394350</v>
      </c>
    </row>
    <row r="2512">
      <c r="A2512" s="2">
        <f>IFERROR(__xludf.DUMMYFUNCTION("""COMPUTED_VALUE"""),44309.64583333333)</f>
        <v>44309.64583</v>
      </c>
      <c r="B2512" s="1">
        <f>IFERROR(__xludf.DUMMYFUNCTION("""COMPUTED_VALUE"""),377500.0)</f>
        <v>377500</v>
      </c>
      <c r="C2512" s="1">
        <f>IFERROR(__xludf.DUMMYFUNCTION("""COMPUTED_VALUE"""),379500.0)</f>
        <v>379500</v>
      </c>
      <c r="D2512" s="1">
        <f>IFERROR(__xludf.DUMMYFUNCTION("""COMPUTED_VALUE"""),374000.0)</f>
        <v>374000</v>
      </c>
      <c r="E2512" s="1">
        <f>IFERROR(__xludf.DUMMYFUNCTION("""COMPUTED_VALUE"""),378000.0)</f>
        <v>378000</v>
      </c>
      <c r="F2512" s="1">
        <f>IFERROR(__xludf.DUMMYFUNCTION("""COMPUTED_VALUE"""),505140.0)</f>
        <v>505140</v>
      </c>
    </row>
    <row r="2513">
      <c r="A2513" s="2">
        <f>IFERROR(__xludf.DUMMYFUNCTION("""COMPUTED_VALUE"""),44312.64583333333)</f>
        <v>44312.64583</v>
      </c>
      <c r="B2513" s="1">
        <f>IFERROR(__xludf.DUMMYFUNCTION("""COMPUTED_VALUE"""),376500.0)</f>
        <v>376500</v>
      </c>
      <c r="C2513" s="1">
        <f>IFERROR(__xludf.DUMMYFUNCTION("""COMPUTED_VALUE"""),379000.0)</f>
        <v>379000</v>
      </c>
      <c r="D2513" s="1">
        <f>IFERROR(__xludf.DUMMYFUNCTION("""COMPUTED_VALUE"""),374500.0)</f>
        <v>374500</v>
      </c>
      <c r="E2513" s="1">
        <f>IFERROR(__xludf.DUMMYFUNCTION("""COMPUTED_VALUE"""),377500.0)</f>
        <v>377500</v>
      </c>
      <c r="F2513" s="1">
        <f>IFERROR(__xludf.DUMMYFUNCTION("""COMPUTED_VALUE"""),484369.0)</f>
        <v>484369</v>
      </c>
    </row>
    <row r="2514">
      <c r="A2514" s="2">
        <f>IFERROR(__xludf.DUMMYFUNCTION("""COMPUTED_VALUE"""),44313.64583333333)</f>
        <v>44313.64583</v>
      </c>
      <c r="B2514" s="1">
        <f>IFERROR(__xludf.DUMMYFUNCTION("""COMPUTED_VALUE"""),378000.0)</f>
        <v>378000</v>
      </c>
      <c r="C2514" s="1">
        <f>IFERROR(__xludf.DUMMYFUNCTION("""COMPUTED_VALUE"""),381500.0)</f>
        <v>381500</v>
      </c>
      <c r="D2514" s="1">
        <f>IFERROR(__xludf.DUMMYFUNCTION("""COMPUTED_VALUE"""),376000.0)</f>
        <v>376000</v>
      </c>
      <c r="E2514" s="1">
        <f>IFERROR(__xludf.DUMMYFUNCTION("""COMPUTED_VALUE"""),380000.0)</f>
        <v>380000</v>
      </c>
      <c r="F2514" s="1">
        <f>IFERROR(__xludf.DUMMYFUNCTION("""COMPUTED_VALUE"""),392509.0)</f>
        <v>392509</v>
      </c>
    </row>
    <row r="2515">
      <c r="A2515" s="2">
        <f>IFERROR(__xludf.DUMMYFUNCTION("""COMPUTED_VALUE"""),44314.64583333333)</f>
        <v>44314.64583</v>
      </c>
      <c r="B2515" s="1">
        <f>IFERROR(__xludf.DUMMYFUNCTION("""COMPUTED_VALUE"""),381500.0)</f>
        <v>381500</v>
      </c>
      <c r="C2515" s="1">
        <f>IFERROR(__xludf.DUMMYFUNCTION("""COMPUTED_VALUE"""),382000.0)</f>
        <v>382000</v>
      </c>
      <c r="D2515" s="1">
        <f>IFERROR(__xludf.DUMMYFUNCTION("""COMPUTED_VALUE"""),373000.0)</f>
        <v>373000</v>
      </c>
      <c r="E2515" s="1">
        <f>IFERROR(__xludf.DUMMYFUNCTION("""COMPUTED_VALUE"""),373500.0)</f>
        <v>373500</v>
      </c>
      <c r="F2515" s="1">
        <f>IFERROR(__xludf.DUMMYFUNCTION("""COMPUTED_VALUE"""),485971.0)</f>
        <v>485971</v>
      </c>
    </row>
    <row r="2516">
      <c r="A2516" s="2">
        <f>IFERROR(__xludf.DUMMYFUNCTION("""COMPUTED_VALUE"""),44315.64583333333)</f>
        <v>44315.64583</v>
      </c>
      <c r="B2516" s="1">
        <f>IFERROR(__xludf.DUMMYFUNCTION("""COMPUTED_VALUE"""),373500.0)</f>
        <v>373500</v>
      </c>
      <c r="C2516" s="1">
        <f>IFERROR(__xludf.DUMMYFUNCTION("""COMPUTED_VALUE"""),377500.0)</f>
        <v>377500</v>
      </c>
      <c r="D2516" s="1">
        <f>IFERROR(__xludf.DUMMYFUNCTION("""COMPUTED_VALUE"""),366000.0)</f>
        <v>366000</v>
      </c>
      <c r="E2516" s="1">
        <f>IFERROR(__xludf.DUMMYFUNCTION("""COMPUTED_VALUE"""),366500.0)</f>
        <v>366500</v>
      </c>
      <c r="F2516" s="1">
        <f>IFERROR(__xludf.DUMMYFUNCTION("""COMPUTED_VALUE"""),743106.0)</f>
        <v>743106</v>
      </c>
    </row>
    <row r="2517">
      <c r="A2517" s="2">
        <f>IFERROR(__xludf.DUMMYFUNCTION("""COMPUTED_VALUE"""),44316.64583333333)</f>
        <v>44316.64583</v>
      </c>
      <c r="B2517" s="1">
        <f>IFERROR(__xludf.DUMMYFUNCTION("""COMPUTED_VALUE"""),366000.0)</f>
        <v>366000</v>
      </c>
      <c r="C2517" s="1">
        <f>IFERROR(__xludf.DUMMYFUNCTION("""COMPUTED_VALUE"""),366000.0)</f>
        <v>366000</v>
      </c>
      <c r="D2517" s="1">
        <f>IFERROR(__xludf.DUMMYFUNCTION("""COMPUTED_VALUE"""),353500.0)</f>
        <v>353500</v>
      </c>
      <c r="E2517" s="1">
        <f>IFERROR(__xludf.DUMMYFUNCTION("""COMPUTED_VALUE"""),359500.0)</f>
        <v>359500</v>
      </c>
      <c r="F2517" s="1">
        <f>IFERROR(__xludf.DUMMYFUNCTION("""COMPUTED_VALUE"""),1028215.0)</f>
        <v>1028215</v>
      </c>
    </row>
    <row r="2518">
      <c r="A2518" s="2">
        <f>IFERROR(__xludf.DUMMYFUNCTION("""COMPUTED_VALUE"""),44319.64583333333)</f>
        <v>44319.64583</v>
      </c>
      <c r="B2518" s="1">
        <f>IFERROR(__xludf.DUMMYFUNCTION("""COMPUTED_VALUE"""),366000.0)</f>
        <v>366000</v>
      </c>
      <c r="C2518" s="1">
        <f>IFERROR(__xludf.DUMMYFUNCTION("""COMPUTED_VALUE"""),370500.0)</f>
        <v>370500</v>
      </c>
      <c r="D2518" s="1">
        <f>IFERROR(__xludf.DUMMYFUNCTION("""COMPUTED_VALUE"""),360500.0)</f>
        <v>360500</v>
      </c>
      <c r="E2518" s="1">
        <f>IFERROR(__xludf.DUMMYFUNCTION("""COMPUTED_VALUE"""),363000.0)</f>
        <v>363000</v>
      </c>
      <c r="F2518" s="1">
        <f>IFERROR(__xludf.DUMMYFUNCTION("""COMPUTED_VALUE"""),507361.0)</f>
        <v>507361</v>
      </c>
    </row>
    <row r="2519">
      <c r="A2519" s="2">
        <f>IFERROR(__xludf.DUMMYFUNCTION("""COMPUTED_VALUE"""),44320.64583333333)</f>
        <v>44320.64583</v>
      </c>
      <c r="B2519" s="1">
        <f>IFERROR(__xludf.DUMMYFUNCTION("""COMPUTED_VALUE"""),366000.0)</f>
        <v>366000</v>
      </c>
      <c r="C2519" s="1">
        <f>IFERROR(__xludf.DUMMYFUNCTION("""COMPUTED_VALUE"""),367000.0)</f>
        <v>367000</v>
      </c>
      <c r="D2519" s="1">
        <f>IFERROR(__xludf.DUMMYFUNCTION("""COMPUTED_VALUE"""),360500.0)</f>
        <v>360500</v>
      </c>
      <c r="E2519" s="1">
        <f>IFERROR(__xludf.DUMMYFUNCTION("""COMPUTED_VALUE"""),364500.0)</f>
        <v>364500</v>
      </c>
      <c r="F2519" s="1">
        <f>IFERROR(__xludf.DUMMYFUNCTION("""COMPUTED_VALUE"""),398383.0)</f>
        <v>398383</v>
      </c>
    </row>
    <row r="2520">
      <c r="A2520" s="2">
        <f>IFERROR(__xludf.DUMMYFUNCTION("""COMPUTED_VALUE"""),44322.64583333333)</f>
        <v>44322.64583</v>
      </c>
      <c r="B2520" s="1">
        <f>IFERROR(__xludf.DUMMYFUNCTION("""COMPUTED_VALUE"""),360500.0)</f>
        <v>360500</v>
      </c>
      <c r="C2520" s="1">
        <f>IFERROR(__xludf.DUMMYFUNCTION("""COMPUTED_VALUE"""),364500.0)</f>
        <v>364500</v>
      </c>
      <c r="D2520" s="1">
        <f>IFERROR(__xludf.DUMMYFUNCTION("""COMPUTED_VALUE"""),359500.0)</f>
        <v>359500</v>
      </c>
      <c r="E2520" s="1">
        <f>IFERROR(__xludf.DUMMYFUNCTION("""COMPUTED_VALUE"""),361500.0)</f>
        <v>361500</v>
      </c>
      <c r="F2520" s="1">
        <f>IFERROR(__xludf.DUMMYFUNCTION("""COMPUTED_VALUE"""),632873.0)</f>
        <v>632873</v>
      </c>
    </row>
    <row r="2521">
      <c r="A2521" s="2">
        <f>IFERROR(__xludf.DUMMYFUNCTION("""COMPUTED_VALUE"""),44323.64583333333)</f>
        <v>44323.64583</v>
      </c>
      <c r="B2521" s="1">
        <f>IFERROR(__xludf.DUMMYFUNCTION("""COMPUTED_VALUE"""),360500.0)</f>
        <v>360500</v>
      </c>
      <c r="C2521" s="1">
        <f>IFERROR(__xludf.DUMMYFUNCTION("""COMPUTED_VALUE"""),364000.0)</f>
        <v>364000</v>
      </c>
      <c r="D2521" s="1">
        <f>IFERROR(__xludf.DUMMYFUNCTION("""COMPUTED_VALUE"""),360000.0)</f>
        <v>360000</v>
      </c>
      <c r="E2521" s="1">
        <f>IFERROR(__xludf.DUMMYFUNCTION("""COMPUTED_VALUE"""),361000.0)</f>
        <v>361000</v>
      </c>
      <c r="F2521" s="1">
        <f>IFERROR(__xludf.DUMMYFUNCTION("""COMPUTED_VALUE"""),446152.0)</f>
        <v>446152</v>
      </c>
    </row>
    <row r="2522">
      <c r="A2522" s="2">
        <f>IFERROR(__xludf.DUMMYFUNCTION("""COMPUTED_VALUE"""),44326.64583333333)</f>
        <v>44326.64583</v>
      </c>
      <c r="B2522" s="1">
        <f>IFERROR(__xludf.DUMMYFUNCTION("""COMPUTED_VALUE"""),362500.0)</f>
        <v>362500</v>
      </c>
      <c r="C2522" s="1">
        <f>IFERROR(__xludf.DUMMYFUNCTION("""COMPUTED_VALUE"""),364000.0)</f>
        <v>364000</v>
      </c>
      <c r="D2522" s="1">
        <f>IFERROR(__xludf.DUMMYFUNCTION("""COMPUTED_VALUE"""),360000.0)</f>
        <v>360000</v>
      </c>
      <c r="E2522" s="1">
        <f>IFERROR(__xludf.DUMMYFUNCTION("""COMPUTED_VALUE"""),362000.0)</f>
        <v>362000</v>
      </c>
      <c r="F2522" s="1">
        <f>IFERROR(__xludf.DUMMYFUNCTION("""COMPUTED_VALUE"""),572111.0)</f>
        <v>572111</v>
      </c>
    </row>
    <row r="2523">
      <c r="A2523" s="2">
        <f>IFERROR(__xludf.DUMMYFUNCTION("""COMPUTED_VALUE"""),44327.64583333333)</f>
        <v>44327.64583</v>
      </c>
      <c r="B2523" s="1">
        <f>IFERROR(__xludf.DUMMYFUNCTION("""COMPUTED_VALUE"""),356500.0)</f>
        <v>356500</v>
      </c>
      <c r="C2523" s="1">
        <f>IFERROR(__xludf.DUMMYFUNCTION("""COMPUTED_VALUE"""),358000.0)</f>
        <v>358000</v>
      </c>
      <c r="D2523" s="1">
        <f>IFERROR(__xludf.DUMMYFUNCTION("""COMPUTED_VALUE"""),347500.0)</f>
        <v>347500</v>
      </c>
      <c r="E2523" s="1">
        <f>IFERROR(__xludf.DUMMYFUNCTION("""COMPUTED_VALUE"""),349000.0)</f>
        <v>349000</v>
      </c>
      <c r="F2523" s="1">
        <f>IFERROR(__xludf.DUMMYFUNCTION("""COMPUTED_VALUE"""),2373361.0)</f>
        <v>2373361</v>
      </c>
    </row>
    <row r="2524">
      <c r="A2524" s="2">
        <f>IFERROR(__xludf.DUMMYFUNCTION("""COMPUTED_VALUE"""),44328.64583333333)</f>
        <v>44328.64583</v>
      </c>
      <c r="B2524" s="1">
        <f>IFERROR(__xludf.DUMMYFUNCTION("""COMPUTED_VALUE"""),349500.0)</f>
        <v>349500</v>
      </c>
      <c r="C2524" s="1">
        <f>IFERROR(__xludf.DUMMYFUNCTION("""COMPUTED_VALUE"""),350500.0)</f>
        <v>350500</v>
      </c>
      <c r="D2524" s="1">
        <f>IFERROR(__xludf.DUMMYFUNCTION("""COMPUTED_VALUE"""),340500.0)</f>
        <v>340500</v>
      </c>
      <c r="E2524" s="1">
        <f>IFERROR(__xludf.DUMMYFUNCTION("""COMPUTED_VALUE"""),343000.0)</f>
        <v>343000</v>
      </c>
      <c r="F2524" s="1">
        <f>IFERROR(__xludf.DUMMYFUNCTION("""COMPUTED_VALUE"""),1120816.0)</f>
        <v>1120816</v>
      </c>
    </row>
    <row r="2525">
      <c r="A2525" s="2">
        <f>IFERROR(__xludf.DUMMYFUNCTION("""COMPUTED_VALUE"""),44329.64583333333)</f>
        <v>44329.64583</v>
      </c>
      <c r="B2525" s="1">
        <f>IFERROR(__xludf.DUMMYFUNCTION("""COMPUTED_VALUE"""),337500.0)</f>
        <v>337500</v>
      </c>
      <c r="C2525" s="1">
        <f>IFERROR(__xludf.DUMMYFUNCTION("""COMPUTED_VALUE"""),341500.0)</f>
        <v>341500</v>
      </c>
      <c r="D2525" s="1">
        <f>IFERROR(__xludf.DUMMYFUNCTION("""COMPUTED_VALUE"""),334500.0)</f>
        <v>334500</v>
      </c>
      <c r="E2525" s="1">
        <f>IFERROR(__xludf.DUMMYFUNCTION("""COMPUTED_VALUE"""),337500.0)</f>
        <v>337500</v>
      </c>
      <c r="F2525" s="1">
        <f>IFERROR(__xludf.DUMMYFUNCTION("""COMPUTED_VALUE"""),992326.0)</f>
        <v>992326</v>
      </c>
    </row>
    <row r="2526">
      <c r="A2526" s="2">
        <f>IFERROR(__xludf.DUMMYFUNCTION("""COMPUTED_VALUE"""),44330.64583333333)</f>
        <v>44330.64583</v>
      </c>
      <c r="B2526" s="1">
        <f>IFERROR(__xludf.DUMMYFUNCTION("""COMPUTED_VALUE"""),338000.0)</f>
        <v>338000</v>
      </c>
      <c r="C2526" s="1">
        <f>IFERROR(__xludf.DUMMYFUNCTION("""COMPUTED_VALUE"""),344500.0)</f>
        <v>344500</v>
      </c>
      <c r="D2526" s="1">
        <f>IFERROR(__xludf.DUMMYFUNCTION("""COMPUTED_VALUE"""),337500.0)</f>
        <v>337500</v>
      </c>
      <c r="E2526" s="1">
        <f>IFERROR(__xludf.DUMMYFUNCTION("""COMPUTED_VALUE"""),342500.0)</f>
        <v>342500</v>
      </c>
      <c r="F2526" s="1">
        <f>IFERROR(__xludf.DUMMYFUNCTION("""COMPUTED_VALUE"""),460390.0)</f>
        <v>460390</v>
      </c>
    </row>
    <row r="2527">
      <c r="A2527" s="2">
        <f>IFERROR(__xludf.DUMMYFUNCTION("""COMPUTED_VALUE"""),44333.64583333333)</f>
        <v>44333.64583</v>
      </c>
      <c r="B2527" s="1">
        <f>IFERROR(__xludf.DUMMYFUNCTION("""COMPUTED_VALUE"""),345500.0)</f>
        <v>345500</v>
      </c>
      <c r="C2527" s="1">
        <f>IFERROR(__xludf.DUMMYFUNCTION("""COMPUTED_VALUE"""),349000.0)</f>
        <v>349000</v>
      </c>
      <c r="D2527" s="1">
        <f>IFERROR(__xludf.DUMMYFUNCTION("""COMPUTED_VALUE"""),341000.0)</f>
        <v>341000</v>
      </c>
      <c r="E2527" s="1">
        <f>IFERROR(__xludf.DUMMYFUNCTION("""COMPUTED_VALUE"""),344000.0)</f>
        <v>344000</v>
      </c>
      <c r="F2527" s="1">
        <f>IFERROR(__xludf.DUMMYFUNCTION("""COMPUTED_VALUE"""),453316.0)</f>
        <v>453316</v>
      </c>
    </row>
    <row r="2528">
      <c r="A2528" s="2">
        <f>IFERROR(__xludf.DUMMYFUNCTION("""COMPUTED_VALUE"""),44334.64583333333)</f>
        <v>44334.64583</v>
      </c>
      <c r="B2528" s="1">
        <f>IFERROR(__xludf.DUMMYFUNCTION("""COMPUTED_VALUE"""),347000.0)</f>
        <v>347000</v>
      </c>
      <c r="C2528" s="1">
        <f>IFERROR(__xludf.DUMMYFUNCTION("""COMPUTED_VALUE"""),349500.0)</f>
        <v>349500</v>
      </c>
      <c r="D2528" s="1">
        <f>IFERROR(__xludf.DUMMYFUNCTION("""COMPUTED_VALUE"""),345000.0)</f>
        <v>345000</v>
      </c>
      <c r="E2528" s="1">
        <f>IFERROR(__xludf.DUMMYFUNCTION("""COMPUTED_VALUE"""),349500.0)</f>
        <v>349500</v>
      </c>
      <c r="F2528" s="1">
        <f>IFERROR(__xludf.DUMMYFUNCTION("""COMPUTED_VALUE"""),445015.0)</f>
        <v>445015</v>
      </c>
    </row>
    <row r="2529">
      <c r="A2529" s="2">
        <f>IFERROR(__xludf.DUMMYFUNCTION("""COMPUTED_VALUE"""),44336.64583333333)</f>
        <v>44336.64583</v>
      </c>
      <c r="B2529" s="1">
        <f>IFERROR(__xludf.DUMMYFUNCTION("""COMPUTED_VALUE"""),351500.0)</f>
        <v>351500</v>
      </c>
      <c r="C2529" s="1">
        <f>IFERROR(__xludf.DUMMYFUNCTION("""COMPUTED_VALUE"""),355000.0)</f>
        <v>355000</v>
      </c>
      <c r="D2529" s="1">
        <f>IFERROR(__xludf.DUMMYFUNCTION("""COMPUTED_VALUE"""),348500.0)</f>
        <v>348500</v>
      </c>
      <c r="E2529" s="1">
        <f>IFERROR(__xludf.DUMMYFUNCTION("""COMPUTED_VALUE"""),351000.0)</f>
        <v>351000</v>
      </c>
      <c r="F2529" s="1">
        <f>IFERROR(__xludf.DUMMYFUNCTION("""COMPUTED_VALUE"""),561151.0)</f>
        <v>561151</v>
      </c>
    </row>
    <row r="2530">
      <c r="A2530" s="2">
        <f>IFERROR(__xludf.DUMMYFUNCTION("""COMPUTED_VALUE"""),44337.64583333333)</f>
        <v>44337.64583</v>
      </c>
      <c r="B2530" s="1">
        <f>IFERROR(__xludf.DUMMYFUNCTION("""COMPUTED_VALUE"""),355000.0)</f>
        <v>355000</v>
      </c>
      <c r="C2530" s="1">
        <f>IFERROR(__xludf.DUMMYFUNCTION("""COMPUTED_VALUE"""),360000.0)</f>
        <v>360000</v>
      </c>
      <c r="D2530" s="1">
        <f>IFERROR(__xludf.DUMMYFUNCTION("""COMPUTED_VALUE"""),353500.0)</f>
        <v>353500</v>
      </c>
      <c r="E2530" s="1">
        <f>IFERROR(__xludf.DUMMYFUNCTION("""COMPUTED_VALUE"""),360000.0)</f>
        <v>360000</v>
      </c>
      <c r="F2530" s="1">
        <f>IFERROR(__xludf.DUMMYFUNCTION("""COMPUTED_VALUE"""),618431.0)</f>
        <v>618431</v>
      </c>
    </row>
    <row r="2531">
      <c r="A2531" s="2">
        <f>IFERROR(__xludf.DUMMYFUNCTION("""COMPUTED_VALUE"""),44340.64583333333)</f>
        <v>44340.64583</v>
      </c>
      <c r="B2531" s="1">
        <f>IFERROR(__xludf.DUMMYFUNCTION("""COMPUTED_VALUE"""),356500.0)</f>
        <v>356500</v>
      </c>
      <c r="C2531" s="1">
        <f>IFERROR(__xludf.DUMMYFUNCTION("""COMPUTED_VALUE"""),358500.0)</f>
        <v>358500</v>
      </c>
      <c r="D2531" s="1">
        <f>IFERROR(__xludf.DUMMYFUNCTION("""COMPUTED_VALUE"""),353000.0)</f>
        <v>353000</v>
      </c>
      <c r="E2531" s="1">
        <f>IFERROR(__xludf.DUMMYFUNCTION("""COMPUTED_VALUE"""),355500.0)</f>
        <v>355500</v>
      </c>
      <c r="F2531" s="1">
        <f>IFERROR(__xludf.DUMMYFUNCTION("""COMPUTED_VALUE"""),361765.0)</f>
        <v>361765</v>
      </c>
    </row>
    <row r="2532">
      <c r="A2532" s="2">
        <f>IFERROR(__xludf.DUMMYFUNCTION("""COMPUTED_VALUE"""),44341.64583333333)</f>
        <v>44341.64583</v>
      </c>
      <c r="B2532" s="1">
        <f>IFERROR(__xludf.DUMMYFUNCTION("""COMPUTED_VALUE"""),355500.0)</f>
        <v>355500</v>
      </c>
      <c r="C2532" s="1">
        <f>IFERROR(__xludf.DUMMYFUNCTION("""COMPUTED_VALUE"""),358000.0)</f>
        <v>358000</v>
      </c>
      <c r="D2532" s="1">
        <f>IFERROR(__xludf.DUMMYFUNCTION("""COMPUTED_VALUE"""),352500.0)</f>
        <v>352500</v>
      </c>
      <c r="E2532" s="1">
        <f>IFERROR(__xludf.DUMMYFUNCTION("""COMPUTED_VALUE"""),358000.0)</f>
        <v>358000</v>
      </c>
      <c r="F2532" s="1">
        <f>IFERROR(__xludf.DUMMYFUNCTION("""COMPUTED_VALUE"""),433413.0)</f>
        <v>433413</v>
      </c>
    </row>
    <row r="2533">
      <c r="A2533" s="2">
        <f>IFERROR(__xludf.DUMMYFUNCTION("""COMPUTED_VALUE"""),44342.64583333333)</f>
        <v>44342.64583</v>
      </c>
      <c r="B2533" s="1">
        <f>IFERROR(__xludf.DUMMYFUNCTION("""COMPUTED_VALUE"""),359500.0)</f>
        <v>359500</v>
      </c>
      <c r="C2533" s="1">
        <f>IFERROR(__xludf.DUMMYFUNCTION("""COMPUTED_VALUE"""),366500.0)</f>
        <v>366500</v>
      </c>
      <c r="D2533" s="1">
        <f>IFERROR(__xludf.DUMMYFUNCTION("""COMPUTED_VALUE"""),359500.0)</f>
        <v>359500</v>
      </c>
      <c r="E2533" s="1">
        <f>IFERROR(__xludf.DUMMYFUNCTION("""COMPUTED_VALUE"""),363000.0)</f>
        <v>363000</v>
      </c>
      <c r="F2533" s="1">
        <f>IFERROR(__xludf.DUMMYFUNCTION("""COMPUTED_VALUE"""),543316.0)</f>
        <v>543316</v>
      </c>
    </row>
    <row r="2534">
      <c r="A2534" s="2">
        <f>IFERROR(__xludf.DUMMYFUNCTION("""COMPUTED_VALUE"""),44343.64583333333)</f>
        <v>44343.64583</v>
      </c>
      <c r="B2534" s="1">
        <f>IFERROR(__xludf.DUMMYFUNCTION("""COMPUTED_VALUE"""),363000.0)</f>
        <v>363000</v>
      </c>
      <c r="C2534" s="1">
        <f>IFERROR(__xludf.DUMMYFUNCTION("""COMPUTED_VALUE"""),363500.0)</f>
        <v>363500</v>
      </c>
      <c r="D2534" s="1">
        <f>IFERROR(__xludf.DUMMYFUNCTION("""COMPUTED_VALUE"""),353500.0)</f>
        <v>353500</v>
      </c>
      <c r="E2534" s="1">
        <f>IFERROR(__xludf.DUMMYFUNCTION("""COMPUTED_VALUE"""),358000.0)</f>
        <v>358000</v>
      </c>
      <c r="F2534" s="1">
        <f>IFERROR(__xludf.DUMMYFUNCTION("""COMPUTED_VALUE"""),963669.0)</f>
        <v>963669</v>
      </c>
    </row>
    <row r="2535">
      <c r="A2535" s="2">
        <f>IFERROR(__xludf.DUMMYFUNCTION("""COMPUTED_VALUE"""),44344.64583333333)</f>
        <v>44344.64583</v>
      </c>
      <c r="B2535" s="1">
        <f>IFERROR(__xludf.DUMMYFUNCTION("""COMPUTED_VALUE"""),361500.0)</f>
        <v>361500</v>
      </c>
      <c r="C2535" s="1">
        <f>IFERROR(__xludf.DUMMYFUNCTION("""COMPUTED_VALUE"""),361500.0)</f>
        <v>361500</v>
      </c>
      <c r="D2535" s="1">
        <f>IFERROR(__xludf.DUMMYFUNCTION("""COMPUTED_VALUE"""),355500.0)</f>
        <v>355500</v>
      </c>
      <c r="E2535" s="1">
        <f>IFERROR(__xludf.DUMMYFUNCTION("""COMPUTED_VALUE"""),358000.0)</f>
        <v>358000</v>
      </c>
      <c r="F2535" s="1">
        <f>IFERROR(__xludf.DUMMYFUNCTION("""COMPUTED_VALUE"""),439112.0)</f>
        <v>439112</v>
      </c>
    </row>
    <row r="2536">
      <c r="A2536" s="2">
        <f>IFERROR(__xludf.DUMMYFUNCTION("""COMPUTED_VALUE"""),44347.64583333333)</f>
        <v>44347.64583</v>
      </c>
      <c r="B2536" s="1">
        <f>IFERROR(__xludf.DUMMYFUNCTION("""COMPUTED_VALUE"""),359500.0)</f>
        <v>359500</v>
      </c>
      <c r="C2536" s="1">
        <f>IFERROR(__xludf.DUMMYFUNCTION("""COMPUTED_VALUE"""),364000.0)</f>
        <v>364000</v>
      </c>
      <c r="D2536" s="1">
        <f>IFERROR(__xludf.DUMMYFUNCTION("""COMPUTED_VALUE"""),357000.0)</f>
        <v>357000</v>
      </c>
      <c r="E2536" s="1">
        <f>IFERROR(__xludf.DUMMYFUNCTION("""COMPUTED_VALUE"""),362500.0)</f>
        <v>362500</v>
      </c>
      <c r="F2536" s="1">
        <f>IFERROR(__xludf.DUMMYFUNCTION("""COMPUTED_VALUE"""),397118.0)</f>
        <v>397118</v>
      </c>
    </row>
    <row r="2537">
      <c r="A2537" s="2">
        <f>IFERROR(__xludf.DUMMYFUNCTION("""COMPUTED_VALUE"""),44348.64583333333)</f>
        <v>44348.64583</v>
      </c>
      <c r="B2537" s="1">
        <f>IFERROR(__xludf.DUMMYFUNCTION("""COMPUTED_VALUE"""),362500.0)</f>
        <v>362500</v>
      </c>
      <c r="C2537" s="1">
        <f>IFERROR(__xludf.DUMMYFUNCTION("""COMPUTED_VALUE"""),368500.0)</f>
        <v>368500</v>
      </c>
      <c r="D2537" s="1">
        <f>IFERROR(__xludf.DUMMYFUNCTION("""COMPUTED_VALUE"""),362500.0)</f>
        <v>362500</v>
      </c>
      <c r="E2537" s="1">
        <f>IFERROR(__xludf.DUMMYFUNCTION("""COMPUTED_VALUE"""),367000.0)</f>
        <v>367000</v>
      </c>
      <c r="F2537" s="1">
        <f>IFERROR(__xludf.DUMMYFUNCTION("""COMPUTED_VALUE"""),404110.0)</f>
        <v>404110</v>
      </c>
    </row>
    <row r="2538">
      <c r="A2538" s="2">
        <f>IFERROR(__xludf.DUMMYFUNCTION("""COMPUTED_VALUE"""),44349.64583333333)</f>
        <v>44349.64583</v>
      </c>
      <c r="B2538" s="1">
        <f>IFERROR(__xludf.DUMMYFUNCTION("""COMPUTED_VALUE"""),367000.0)</f>
        <v>367000</v>
      </c>
      <c r="C2538" s="1">
        <f>IFERROR(__xludf.DUMMYFUNCTION("""COMPUTED_VALUE"""),369000.0)</f>
        <v>369000</v>
      </c>
      <c r="D2538" s="1">
        <f>IFERROR(__xludf.DUMMYFUNCTION("""COMPUTED_VALUE"""),362000.0)</f>
        <v>362000</v>
      </c>
      <c r="E2538" s="1">
        <f>IFERROR(__xludf.DUMMYFUNCTION("""COMPUTED_VALUE"""),363000.0)</f>
        <v>363000</v>
      </c>
      <c r="F2538" s="1">
        <f>IFERROR(__xludf.DUMMYFUNCTION("""COMPUTED_VALUE"""),397044.0)</f>
        <v>397044</v>
      </c>
    </row>
    <row r="2539">
      <c r="A2539" s="2">
        <f>IFERROR(__xludf.DUMMYFUNCTION("""COMPUTED_VALUE"""),44350.64583333333)</f>
        <v>44350.64583</v>
      </c>
      <c r="B2539" s="1">
        <f>IFERROR(__xludf.DUMMYFUNCTION("""COMPUTED_VALUE"""),362500.0)</f>
        <v>362500</v>
      </c>
      <c r="C2539" s="1">
        <f>IFERROR(__xludf.DUMMYFUNCTION("""COMPUTED_VALUE"""),365000.0)</f>
        <v>365000</v>
      </c>
      <c r="D2539" s="1">
        <f>IFERROR(__xludf.DUMMYFUNCTION("""COMPUTED_VALUE"""),361000.0)</f>
        <v>361000</v>
      </c>
      <c r="E2539" s="1">
        <f>IFERROR(__xludf.DUMMYFUNCTION("""COMPUTED_VALUE"""),362000.0)</f>
        <v>362000</v>
      </c>
      <c r="F2539" s="1">
        <f>IFERROR(__xludf.DUMMYFUNCTION("""COMPUTED_VALUE"""),292257.0)</f>
        <v>292257</v>
      </c>
    </row>
    <row r="2540">
      <c r="A2540" s="2">
        <f>IFERROR(__xludf.DUMMYFUNCTION("""COMPUTED_VALUE"""),44351.64583333333)</f>
        <v>44351.64583</v>
      </c>
      <c r="B2540" s="1">
        <f>IFERROR(__xludf.DUMMYFUNCTION("""COMPUTED_VALUE"""),360500.0)</f>
        <v>360500</v>
      </c>
      <c r="C2540" s="1">
        <f>IFERROR(__xludf.DUMMYFUNCTION("""COMPUTED_VALUE"""),360500.0)</f>
        <v>360500</v>
      </c>
      <c r="D2540" s="1">
        <f>IFERROR(__xludf.DUMMYFUNCTION("""COMPUTED_VALUE"""),355000.0)</f>
        <v>355000</v>
      </c>
      <c r="E2540" s="1">
        <f>IFERROR(__xludf.DUMMYFUNCTION("""COMPUTED_VALUE"""),357000.0)</f>
        <v>357000</v>
      </c>
      <c r="F2540" s="1">
        <f>IFERROR(__xludf.DUMMYFUNCTION("""COMPUTED_VALUE"""),433146.0)</f>
        <v>433146</v>
      </c>
    </row>
    <row r="2541">
      <c r="A2541" s="2">
        <f>IFERROR(__xludf.DUMMYFUNCTION("""COMPUTED_VALUE"""),44354.64583333333)</f>
        <v>44354.64583</v>
      </c>
      <c r="B2541" s="1">
        <f>IFERROR(__xludf.DUMMYFUNCTION("""COMPUTED_VALUE"""),358500.0)</f>
        <v>358500</v>
      </c>
      <c r="C2541" s="1">
        <f>IFERROR(__xludf.DUMMYFUNCTION("""COMPUTED_VALUE"""),364000.0)</f>
        <v>364000</v>
      </c>
      <c r="D2541" s="1">
        <f>IFERROR(__xludf.DUMMYFUNCTION("""COMPUTED_VALUE"""),357000.0)</f>
        <v>357000</v>
      </c>
      <c r="E2541" s="1">
        <f>IFERROR(__xludf.DUMMYFUNCTION("""COMPUTED_VALUE"""),362500.0)</f>
        <v>362500</v>
      </c>
      <c r="F2541" s="1">
        <f>IFERROR(__xludf.DUMMYFUNCTION("""COMPUTED_VALUE"""),393697.0)</f>
        <v>393697</v>
      </c>
    </row>
    <row r="2542">
      <c r="A2542" s="2">
        <f>IFERROR(__xludf.DUMMYFUNCTION("""COMPUTED_VALUE"""),44355.64583333333)</f>
        <v>44355.64583</v>
      </c>
      <c r="B2542" s="1">
        <f>IFERROR(__xludf.DUMMYFUNCTION("""COMPUTED_VALUE"""),361500.0)</f>
        <v>361500</v>
      </c>
      <c r="C2542" s="1">
        <f>IFERROR(__xludf.DUMMYFUNCTION("""COMPUTED_VALUE"""),365500.0)</f>
        <v>365500</v>
      </c>
      <c r="D2542" s="1">
        <f>IFERROR(__xludf.DUMMYFUNCTION("""COMPUTED_VALUE"""),361500.0)</f>
        <v>361500</v>
      </c>
      <c r="E2542" s="1">
        <f>IFERROR(__xludf.DUMMYFUNCTION("""COMPUTED_VALUE"""),362500.0)</f>
        <v>362500</v>
      </c>
      <c r="F2542" s="1">
        <f>IFERROR(__xludf.DUMMYFUNCTION("""COMPUTED_VALUE"""),370929.0)</f>
        <v>370929</v>
      </c>
    </row>
    <row r="2543">
      <c r="A2543" s="2">
        <f>IFERROR(__xludf.DUMMYFUNCTION("""COMPUTED_VALUE"""),44356.64583333333)</f>
        <v>44356.64583</v>
      </c>
      <c r="B2543" s="1">
        <f>IFERROR(__xludf.DUMMYFUNCTION("""COMPUTED_VALUE"""),360500.0)</f>
        <v>360500</v>
      </c>
      <c r="C2543" s="1">
        <f>IFERROR(__xludf.DUMMYFUNCTION("""COMPUTED_VALUE"""),363500.0)</f>
        <v>363500</v>
      </c>
      <c r="D2543" s="1">
        <f>IFERROR(__xludf.DUMMYFUNCTION("""COMPUTED_VALUE"""),358500.0)</f>
        <v>358500</v>
      </c>
      <c r="E2543" s="1">
        <f>IFERROR(__xludf.DUMMYFUNCTION("""COMPUTED_VALUE"""),358500.0)</f>
        <v>358500</v>
      </c>
      <c r="F2543" s="1">
        <f>IFERROR(__xludf.DUMMYFUNCTION("""COMPUTED_VALUE"""),361808.0)</f>
        <v>361808</v>
      </c>
    </row>
    <row r="2544">
      <c r="A2544" s="2">
        <f>IFERROR(__xludf.DUMMYFUNCTION("""COMPUTED_VALUE"""),44357.64583333333)</f>
        <v>44357.64583</v>
      </c>
      <c r="B2544" s="1">
        <f>IFERROR(__xludf.DUMMYFUNCTION("""COMPUTED_VALUE"""),365000.0)</f>
        <v>365000</v>
      </c>
      <c r="C2544" s="1">
        <f>IFERROR(__xludf.DUMMYFUNCTION("""COMPUTED_VALUE"""),377000.0)</f>
        <v>377000</v>
      </c>
      <c r="D2544" s="1">
        <f>IFERROR(__xludf.DUMMYFUNCTION("""COMPUTED_VALUE"""),361500.0)</f>
        <v>361500</v>
      </c>
      <c r="E2544" s="1">
        <f>IFERROR(__xludf.DUMMYFUNCTION("""COMPUTED_VALUE"""),373500.0)</f>
        <v>373500</v>
      </c>
      <c r="F2544" s="1">
        <f>IFERROR(__xludf.DUMMYFUNCTION("""COMPUTED_VALUE"""),1502316.0)</f>
        <v>1502316</v>
      </c>
    </row>
    <row r="2545">
      <c r="A2545" s="2">
        <f>IFERROR(__xludf.DUMMYFUNCTION("""COMPUTED_VALUE"""),44358.64583333333)</f>
        <v>44358.64583</v>
      </c>
      <c r="B2545" s="1">
        <f>IFERROR(__xludf.DUMMYFUNCTION("""COMPUTED_VALUE"""),378000.0)</f>
        <v>378000</v>
      </c>
      <c r="C2545" s="1">
        <f>IFERROR(__xludf.DUMMYFUNCTION("""COMPUTED_VALUE"""),378500.0)</f>
        <v>378500</v>
      </c>
      <c r="D2545" s="1">
        <f>IFERROR(__xludf.DUMMYFUNCTION("""COMPUTED_VALUE"""),367500.0)</f>
        <v>367500</v>
      </c>
      <c r="E2545" s="1">
        <f>IFERROR(__xludf.DUMMYFUNCTION("""COMPUTED_VALUE"""),372500.0)</f>
        <v>372500</v>
      </c>
      <c r="F2545" s="1">
        <f>IFERROR(__xludf.DUMMYFUNCTION("""COMPUTED_VALUE"""),658403.0)</f>
        <v>658403</v>
      </c>
    </row>
    <row r="2546">
      <c r="A2546" s="2">
        <f>IFERROR(__xludf.DUMMYFUNCTION("""COMPUTED_VALUE"""),44361.64583333333)</f>
        <v>44361.64583</v>
      </c>
      <c r="B2546" s="1">
        <f>IFERROR(__xludf.DUMMYFUNCTION("""COMPUTED_VALUE"""),377500.0)</f>
        <v>377500</v>
      </c>
      <c r="C2546" s="1">
        <f>IFERROR(__xludf.DUMMYFUNCTION("""COMPUTED_VALUE"""),388000.0)</f>
        <v>388000</v>
      </c>
      <c r="D2546" s="1">
        <f>IFERROR(__xludf.DUMMYFUNCTION("""COMPUTED_VALUE"""),375500.0)</f>
        <v>375500</v>
      </c>
      <c r="E2546" s="1">
        <f>IFERROR(__xludf.DUMMYFUNCTION("""COMPUTED_VALUE"""),387000.0)</f>
        <v>387000</v>
      </c>
      <c r="F2546" s="1">
        <f>IFERROR(__xludf.DUMMYFUNCTION("""COMPUTED_VALUE"""),1208589.0)</f>
        <v>1208589</v>
      </c>
    </row>
    <row r="2547">
      <c r="A2547" s="2">
        <f>IFERROR(__xludf.DUMMYFUNCTION("""COMPUTED_VALUE"""),44362.64583333333)</f>
        <v>44362.64583</v>
      </c>
      <c r="B2547" s="1">
        <f>IFERROR(__xludf.DUMMYFUNCTION("""COMPUTED_VALUE"""),387000.0)</f>
        <v>387000</v>
      </c>
      <c r="C2547" s="1">
        <f>IFERROR(__xludf.DUMMYFUNCTION("""COMPUTED_VALUE"""),389000.0)</f>
        <v>389000</v>
      </c>
      <c r="D2547" s="1">
        <f>IFERROR(__xludf.DUMMYFUNCTION("""COMPUTED_VALUE"""),381500.0)</f>
        <v>381500</v>
      </c>
      <c r="E2547" s="1">
        <f>IFERROR(__xludf.DUMMYFUNCTION("""COMPUTED_VALUE"""),387000.0)</f>
        <v>387000</v>
      </c>
      <c r="F2547" s="1">
        <f>IFERROR(__xludf.DUMMYFUNCTION("""COMPUTED_VALUE"""),625594.0)</f>
        <v>625594</v>
      </c>
    </row>
    <row r="2548">
      <c r="A2548" s="2">
        <f>IFERROR(__xludf.DUMMYFUNCTION("""COMPUTED_VALUE"""),44363.64583333333)</f>
        <v>44363.64583</v>
      </c>
      <c r="B2548" s="1">
        <f>IFERROR(__xludf.DUMMYFUNCTION("""COMPUTED_VALUE"""),384500.0)</f>
        <v>384500</v>
      </c>
      <c r="C2548" s="1">
        <f>IFERROR(__xludf.DUMMYFUNCTION("""COMPUTED_VALUE"""),395000.0)</f>
        <v>395000</v>
      </c>
      <c r="D2548" s="1">
        <f>IFERROR(__xludf.DUMMYFUNCTION("""COMPUTED_VALUE"""),383000.0)</f>
        <v>383000</v>
      </c>
      <c r="E2548" s="1">
        <f>IFERROR(__xludf.DUMMYFUNCTION("""COMPUTED_VALUE"""),391000.0)</f>
        <v>391000</v>
      </c>
      <c r="F2548" s="1">
        <f>IFERROR(__xludf.DUMMYFUNCTION("""COMPUTED_VALUE"""),836281.0)</f>
        <v>836281</v>
      </c>
    </row>
    <row r="2549">
      <c r="A2549" s="2">
        <f>IFERROR(__xludf.DUMMYFUNCTION("""COMPUTED_VALUE"""),44364.64583333333)</f>
        <v>44364.64583</v>
      </c>
      <c r="B2549" s="1">
        <f>IFERROR(__xludf.DUMMYFUNCTION("""COMPUTED_VALUE"""),389500.0)</f>
        <v>389500</v>
      </c>
      <c r="C2549" s="1">
        <f>IFERROR(__xludf.DUMMYFUNCTION("""COMPUTED_VALUE"""),394500.0)</f>
        <v>394500</v>
      </c>
      <c r="D2549" s="1">
        <f>IFERROR(__xludf.DUMMYFUNCTION("""COMPUTED_VALUE"""),385000.0)</f>
        <v>385000</v>
      </c>
      <c r="E2549" s="1">
        <f>IFERROR(__xludf.DUMMYFUNCTION("""COMPUTED_VALUE"""),389500.0)</f>
        <v>389500</v>
      </c>
      <c r="F2549" s="1">
        <f>IFERROR(__xludf.DUMMYFUNCTION("""COMPUTED_VALUE"""),670522.0)</f>
        <v>670522</v>
      </c>
    </row>
    <row r="2550">
      <c r="A2550" s="2">
        <f>IFERROR(__xludf.DUMMYFUNCTION("""COMPUTED_VALUE"""),44365.64583333333)</f>
        <v>44365.64583</v>
      </c>
      <c r="B2550" s="1">
        <f>IFERROR(__xludf.DUMMYFUNCTION("""COMPUTED_VALUE"""),391500.0)</f>
        <v>391500</v>
      </c>
      <c r="C2550" s="1">
        <f>IFERROR(__xludf.DUMMYFUNCTION("""COMPUTED_VALUE"""),400500.0)</f>
        <v>400500</v>
      </c>
      <c r="D2550" s="1">
        <f>IFERROR(__xludf.DUMMYFUNCTION("""COMPUTED_VALUE"""),391000.0)</f>
        <v>391000</v>
      </c>
      <c r="E2550" s="1">
        <f>IFERROR(__xludf.DUMMYFUNCTION("""COMPUTED_VALUE"""),398000.0)</f>
        <v>398000</v>
      </c>
      <c r="F2550" s="1">
        <f>IFERROR(__xludf.DUMMYFUNCTION("""COMPUTED_VALUE"""),1268656.0)</f>
        <v>1268656</v>
      </c>
    </row>
    <row r="2551">
      <c r="A2551" s="2">
        <f>IFERROR(__xludf.DUMMYFUNCTION("""COMPUTED_VALUE"""),44368.64583333333)</f>
        <v>44368.64583</v>
      </c>
      <c r="B2551" s="1">
        <f>IFERROR(__xludf.DUMMYFUNCTION("""COMPUTED_VALUE"""),398000.0)</f>
        <v>398000</v>
      </c>
      <c r="C2551" s="1">
        <f>IFERROR(__xludf.DUMMYFUNCTION("""COMPUTED_VALUE"""),402000.0)</f>
        <v>402000</v>
      </c>
      <c r="D2551" s="1">
        <f>IFERROR(__xludf.DUMMYFUNCTION("""COMPUTED_VALUE"""),392000.0)</f>
        <v>392000</v>
      </c>
      <c r="E2551" s="1">
        <f>IFERROR(__xludf.DUMMYFUNCTION("""COMPUTED_VALUE"""),397000.0)</f>
        <v>397000</v>
      </c>
      <c r="F2551" s="1">
        <f>IFERROR(__xludf.DUMMYFUNCTION("""COMPUTED_VALUE"""),809114.0)</f>
        <v>809114</v>
      </c>
    </row>
    <row r="2552">
      <c r="A2552" s="2">
        <f>IFERROR(__xludf.DUMMYFUNCTION("""COMPUTED_VALUE"""),44369.64583333333)</f>
        <v>44369.64583</v>
      </c>
      <c r="B2552" s="1">
        <f>IFERROR(__xludf.DUMMYFUNCTION("""COMPUTED_VALUE"""),400000.0)</f>
        <v>400000</v>
      </c>
      <c r="C2552" s="1">
        <f>IFERROR(__xludf.DUMMYFUNCTION("""COMPUTED_VALUE"""),400500.0)</f>
        <v>400500</v>
      </c>
      <c r="D2552" s="1">
        <f>IFERROR(__xludf.DUMMYFUNCTION("""COMPUTED_VALUE"""),391000.0)</f>
        <v>391000</v>
      </c>
      <c r="E2552" s="1">
        <f>IFERROR(__xludf.DUMMYFUNCTION("""COMPUTED_VALUE"""),391000.0)</f>
        <v>391000</v>
      </c>
      <c r="F2552" s="1">
        <f>IFERROR(__xludf.DUMMYFUNCTION("""COMPUTED_VALUE"""),702840.0)</f>
        <v>702840</v>
      </c>
    </row>
    <row r="2553">
      <c r="A2553" s="2">
        <f>IFERROR(__xludf.DUMMYFUNCTION("""COMPUTED_VALUE"""),44370.64583333333)</f>
        <v>44370.64583</v>
      </c>
      <c r="B2553" s="1">
        <f>IFERROR(__xludf.DUMMYFUNCTION("""COMPUTED_VALUE"""),393000.0)</f>
        <v>393000</v>
      </c>
      <c r="C2553" s="1">
        <f>IFERROR(__xludf.DUMMYFUNCTION("""COMPUTED_VALUE"""),427000.0)</f>
        <v>427000</v>
      </c>
      <c r="D2553" s="1">
        <f>IFERROR(__xludf.DUMMYFUNCTION("""COMPUTED_VALUE"""),392500.0)</f>
        <v>392500</v>
      </c>
      <c r="E2553" s="1">
        <f>IFERROR(__xludf.DUMMYFUNCTION("""COMPUTED_VALUE"""),423500.0)</f>
        <v>423500</v>
      </c>
      <c r="F2553" s="1">
        <f>IFERROR(__xludf.DUMMYFUNCTION("""COMPUTED_VALUE"""),2721355.0)</f>
        <v>2721355</v>
      </c>
    </row>
    <row r="2554">
      <c r="A2554" s="2">
        <f>IFERROR(__xludf.DUMMYFUNCTION("""COMPUTED_VALUE"""),44371.64583333333)</f>
        <v>44371.64583</v>
      </c>
      <c r="B2554" s="1">
        <f>IFERROR(__xludf.DUMMYFUNCTION("""COMPUTED_VALUE"""),430000.0)</f>
        <v>430000</v>
      </c>
      <c r="C2554" s="1">
        <f>IFERROR(__xludf.DUMMYFUNCTION("""COMPUTED_VALUE"""),436000.0)</f>
        <v>436000</v>
      </c>
      <c r="D2554" s="1">
        <f>IFERROR(__xludf.DUMMYFUNCTION("""COMPUTED_VALUE"""),413000.0)</f>
        <v>413000</v>
      </c>
      <c r="E2554" s="1">
        <f>IFERROR(__xludf.DUMMYFUNCTION("""COMPUTED_VALUE"""),419500.0)</f>
        <v>419500</v>
      </c>
      <c r="F2554" s="1">
        <f>IFERROR(__xludf.DUMMYFUNCTION("""COMPUTED_VALUE"""),2143286.0)</f>
        <v>2143286</v>
      </c>
    </row>
    <row r="2555">
      <c r="A2555" s="2">
        <f>IFERROR(__xludf.DUMMYFUNCTION("""COMPUTED_VALUE"""),44372.64583333333)</f>
        <v>44372.64583</v>
      </c>
      <c r="B2555" s="1">
        <f>IFERROR(__xludf.DUMMYFUNCTION("""COMPUTED_VALUE"""),420000.0)</f>
        <v>420000</v>
      </c>
      <c r="C2555" s="1">
        <f>IFERROR(__xludf.DUMMYFUNCTION("""COMPUTED_VALUE"""),420000.0)</f>
        <v>420000</v>
      </c>
      <c r="D2555" s="1">
        <f>IFERROR(__xludf.DUMMYFUNCTION("""COMPUTED_VALUE"""),405000.0)</f>
        <v>405000</v>
      </c>
      <c r="E2555" s="1">
        <f>IFERROR(__xludf.DUMMYFUNCTION("""COMPUTED_VALUE"""),410000.0)</f>
        <v>410000</v>
      </c>
      <c r="F2555" s="1">
        <f>IFERROR(__xludf.DUMMYFUNCTION("""COMPUTED_VALUE"""),1382051.0)</f>
        <v>1382051</v>
      </c>
    </row>
    <row r="2556">
      <c r="A2556" s="2">
        <f>IFERROR(__xludf.DUMMYFUNCTION("""COMPUTED_VALUE"""),44375.64583333333)</f>
        <v>44375.64583</v>
      </c>
      <c r="B2556" s="1">
        <f>IFERROR(__xludf.DUMMYFUNCTION("""COMPUTED_VALUE"""),406000.0)</f>
        <v>406000</v>
      </c>
      <c r="C2556" s="1">
        <f>IFERROR(__xludf.DUMMYFUNCTION("""COMPUTED_VALUE"""),413000.0)</f>
        <v>413000</v>
      </c>
      <c r="D2556" s="1">
        <f>IFERROR(__xludf.DUMMYFUNCTION("""COMPUTED_VALUE"""),403000.0)</f>
        <v>403000</v>
      </c>
      <c r="E2556" s="1">
        <f>IFERROR(__xludf.DUMMYFUNCTION("""COMPUTED_VALUE"""),408000.0)</f>
        <v>408000</v>
      </c>
      <c r="F2556" s="1">
        <f>IFERROR(__xludf.DUMMYFUNCTION("""COMPUTED_VALUE"""),623480.0)</f>
        <v>623480</v>
      </c>
    </row>
    <row r="2557">
      <c r="A2557" s="2">
        <f>IFERROR(__xludf.DUMMYFUNCTION("""COMPUTED_VALUE"""),44376.64583333333)</f>
        <v>44376.64583</v>
      </c>
      <c r="B2557" s="1">
        <f>IFERROR(__xludf.DUMMYFUNCTION("""COMPUTED_VALUE"""),409500.0)</f>
        <v>409500</v>
      </c>
      <c r="C2557" s="1">
        <f>IFERROR(__xludf.DUMMYFUNCTION("""COMPUTED_VALUE"""),411500.0)</f>
        <v>411500</v>
      </c>
      <c r="D2557" s="1">
        <f>IFERROR(__xludf.DUMMYFUNCTION("""COMPUTED_VALUE"""),406000.0)</f>
        <v>406000</v>
      </c>
      <c r="E2557" s="1">
        <f>IFERROR(__xludf.DUMMYFUNCTION("""COMPUTED_VALUE"""),411500.0)</f>
        <v>411500</v>
      </c>
      <c r="F2557" s="1">
        <f>IFERROR(__xludf.DUMMYFUNCTION("""COMPUTED_VALUE"""),572319.0)</f>
        <v>572319</v>
      </c>
    </row>
    <row r="2558">
      <c r="A2558" s="2">
        <f>IFERROR(__xludf.DUMMYFUNCTION("""COMPUTED_VALUE"""),44377.64583333333)</f>
        <v>44377.64583</v>
      </c>
      <c r="B2558" s="1">
        <f>IFERROR(__xludf.DUMMYFUNCTION("""COMPUTED_VALUE"""),415000.0)</f>
        <v>415000</v>
      </c>
      <c r="C2558" s="1">
        <f>IFERROR(__xludf.DUMMYFUNCTION("""COMPUTED_VALUE"""),425000.0)</f>
        <v>425000</v>
      </c>
      <c r="D2558" s="1">
        <f>IFERROR(__xludf.DUMMYFUNCTION("""COMPUTED_VALUE"""),409000.0)</f>
        <v>409000</v>
      </c>
      <c r="E2558" s="1">
        <f>IFERROR(__xludf.DUMMYFUNCTION("""COMPUTED_VALUE"""),417500.0)</f>
        <v>417500</v>
      </c>
      <c r="F2558" s="1">
        <f>IFERROR(__xludf.DUMMYFUNCTION("""COMPUTED_VALUE"""),955297.0)</f>
        <v>955297</v>
      </c>
    </row>
    <row r="2559">
      <c r="A2559" s="2">
        <f>IFERROR(__xludf.DUMMYFUNCTION("""COMPUTED_VALUE"""),44378.64583333333)</f>
        <v>44378.64583</v>
      </c>
      <c r="B2559" s="1">
        <f>IFERROR(__xludf.DUMMYFUNCTION("""COMPUTED_VALUE"""),418000.0)</f>
        <v>418000</v>
      </c>
      <c r="C2559" s="1">
        <f>IFERROR(__xludf.DUMMYFUNCTION("""COMPUTED_VALUE"""),423500.0)</f>
        <v>423500</v>
      </c>
      <c r="D2559" s="1">
        <f>IFERROR(__xludf.DUMMYFUNCTION("""COMPUTED_VALUE"""),410500.0)</f>
        <v>410500</v>
      </c>
      <c r="E2559" s="1">
        <f>IFERROR(__xludf.DUMMYFUNCTION("""COMPUTED_VALUE"""),413000.0)</f>
        <v>413000</v>
      </c>
      <c r="F2559" s="1">
        <f>IFERROR(__xludf.DUMMYFUNCTION("""COMPUTED_VALUE"""),592869.0)</f>
        <v>592869</v>
      </c>
    </row>
    <row r="2560">
      <c r="A2560" s="2">
        <f>IFERROR(__xludf.DUMMYFUNCTION("""COMPUTED_VALUE"""),44379.64583333333)</f>
        <v>44379.64583</v>
      </c>
      <c r="B2560" s="1">
        <f>IFERROR(__xludf.DUMMYFUNCTION("""COMPUTED_VALUE"""),412500.0)</f>
        <v>412500</v>
      </c>
      <c r="C2560" s="1">
        <f>IFERROR(__xludf.DUMMYFUNCTION("""COMPUTED_VALUE"""),418500.0)</f>
        <v>418500</v>
      </c>
      <c r="D2560" s="1">
        <f>IFERROR(__xludf.DUMMYFUNCTION("""COMPUTED_VALUE"""),407000.0)</f>
        <v>407000</v>
      </c>
      <c r="E2560" s="1">
        <f>IFERROR(__xludf.DUMMYFUNCTION("""COMPUTED_VALUE"""),414000.0)</f>
        <v>414000</v>
      </c>
      <c r="F2560" s="1">
        <f>IFERROR(__xludf.DUMMYFUNCTION("""COMPUTED_VALUE"""),517934.0)</f>
        <v>517934</v>
      </c>
    </row>
    <row r="2561">
      <c r="A2561" s="2">
        <f>IFERROR(__xludf.DUMMYFUNCTION("""COMPUTED_VALUE"""),44382.64583333333)</f>
        <v>44382.64583</v>
      </c>
      <c r="B2561" s="1">
        <f>IFERROR(__xludf.DUMMYFUNCTION("""COMPUTED_VALUE"""),415500.0)</f>
        <v>415500</v>
      </c>
      <c r="C2561" s="1">
        <f>IFERROR(__xludf.DUMMYFUNCTION("""COMPUTED_VALUE"""),418000.0)</f>
        <v>418000</v>
      </c>
      <c r="D2561" s="1">
        <f>IFERROR(__xludf.DUMMYFUNCTION("""COMPUTED_VALUE"""),408500.0)</f>
        <v>408500</v>
      </c>
      <c r="E2561" s="1">
        <f>IFERROR(__xludf.DUMMYFUNCTION("""COMPUTED_VALUE"""),410000.0)</f>
        <v>410000</v>
      </c>
      <c r="F2561" s="1">
        <f>IFERROR(__xludf.DUMMYFUNCTION("""COMPUTED_VALUE"""),492899.0)</f>
        <v>492899</v>
      </c>
    </row>
    <row r="2562">
      <c r="A2562" s="2">
        <f>IFERROR(__xludf.DUMMYFUNCTION("""COMPUTED_VALUE"""),44383.64583333333)</f>
        <v>44383.64583</v>
      </c>
      <c r="B2562" s="1">
        <f>IFERROR(__xludf.DUMMYFUNCTION("""COMPUTED_VALUE"""),411500.0)</f>
        <v>411500</v>
      </c>
      <c r="C2562" s="1">
        <f>IFERROR(__xludf.DUMMYFUNCTION("""COMPUTED_VALUE"""),412500.0)</f>
        <v>412500</v>
      </c>
      <c r="D2562" s="1">
        <f>IFERROR(__xludf.DUMMYFUNCTION("""COMPUTED_VALUE"""),408000.0)</f>
        <v>408000</v>
      </c>
      <c r="E2562" s="1">
        <f>IFERROR(__xludf.DUMMYFUNCTION("""COMPUTED_VALUE"""),409500.0)</f>
        <v>409500</v>
      </c>
      <c r="F2562" s="1">
        <f>IFERROR(__xludf.DUMMYFUNCTION("""COMPUTED_VALUE"""),342771.0)</f>
        <v>342771</v>
      </c>
    </row>
    <row r="2563">
      <c r="A2563" s="2">
        <f>IFERROR(__xludf.DUMMYFUNCTION("""COMPUTED_VALUE"""),44384.64583333333)</f>
        <v>44384.64583</v>
      </c>
      <c r="B2563" s="1">
        <f>IFERROR(__xludf.DUMMYFUNCTION("""COMPUTED_VALUE"""),411000.0)</f>
        <v>411000</v>
      </c>
      <c r="C2563" s="1">
        <f>IFERROR(__xludf.DUMMYFUNCTION("""COMPUTED_VALUE"""),419000.0)</f>
        <v>419000</v>
      </c>
      <c r="D2563" s="1">
        <f>IFERROR(__xludf.DUMMYFUNCTION("""COMPUTED_VALUE"""),410500.0)</f>
        <v>410500</v>
      </c>
      <c r="E2563" s="1">
        <f>IFERROR(__xludf.DUMMYFUNCTION("""COMPUTED_VALUE"""),417500.0)</f>
        <v>417500</v>
      </c>
      <c r="F2563" s="1">
        <f>IFERROR(__xludf.DUMMYFUNCTION("""COMPUTED_VALUE"""),663260.0)</f>
        <v>663260</v>
      </c>
    </row>
    <row r="2564">
      <c r="A2564" s="2">
        <f>IFERROR(__xludf.DUMMYFUNCTION("""COMPUTED_VALUE"""),44385.64583333333)</f>
        <v>44385.64583</v>
      </c>
      <c r="B2564" s="1">
        <f>IFERROR(__xludf.DUMMYFUNCTION("""COMPUTED_VALUE"""),419000.0)</f>
        <v>419000</v>
      </c>
      <c r="C2564" s="1">
        <f>IFERROR(__xludf.DUMMYFUNCTION("""COMPUTED_VALUE"""),431500.0)</f>
        <v>431500</v>
      </c>
      <c r="D2564" s="1">
        <f>IFERROR(__xludf.DUMMYFUNCTION("""COMPUTED_VALUE"""),418500.0)</f>
        <v>418500</v>
      </c>
      <c r="E2564" s="1">
        <f>IFERROR(__xludf.DUMMYFUNCTION("""COMPUTED_VALUE"""),422000.0)</f>
        <v>422000</v>
      </c>
      <c r="F2564" s="1">
        <f>IFERROR(__xludf.DUMMYFUNCTION("""COMPUTED_VALUE"""),1142267.0)</f>
        <v>1142267</v>
      </c>
    </row>
    <row r="2565">
      <c r="A2565" s="2">
        <f>IFERROR(__xludf.DUMMYFUNCTION("""COMPUTED_VALUE"""),44386.64583333333)</f>
        <v>44386.64583</v>
      </c>
      <c r="B2565" s="1">
        <f>IFERROR(__xludf.DUMMYFUNCTION("""COMPUTED_VALUE"""),420000.0)</f>
        <v>420000</v>
      </c>
      <c r="C2565" s="1">
        <f>IFERROR(__xludf.DUMMYFUNCTION("""COMPUTED_VALUE"""),424000.0)</f>
        <v>424000</v>
      </c>
      <c r="D2565" s="1">
        <f>IFERROR(__xludf.DUMMYFUNCTION("""COMPUTED_VALUE"""),408000.0)</f>
        <v>408000</v>
      </c>
      <c r="E2565" s="1">
        <f>IFERROR(__xludf.DUMMYFUNCTION("""COMPUTED_VALUE"""),415500.0)</f>
        <v>415500</v>
      </c>
      <c r="F2565" s="1">
        <f>IFERROR(__xludf.DUMMYFUNCTION("""COMPUTED_VALUE"""),1090218.0)</f>
        <v>1090218</v>
      </c>
    </row>
    <row r="2566">
      <c r="A2566" s="2">
        <f>IFERROR(__xludf.DUMMYFUNCTION("""COMPUTED_VALUE"""),44389.64583333333)</f>
        <v>44389.64583</v>
      </c>
      <c r="B2566" s="1">
        <f>IFERROR(__xludf.DUMMYFUNCTION("""COMPUTED_VALUE"""),418500.0)</f>
        <v>418500</v>
      </c>
      <c r="C2566" s="1">
        <f>IFERROR(__xludf.DUMMYFUNCTION("""COMPUTED_VALUE"""),421500.0)</f>
        <v>421500</v>
      </c>
      <c r="D2566" s="1">
        <f>IFERROR(__xludf.DUMMYFUNCTION("""COMPUTED_VALUE"""),413000.0)</f>
        <v>413000</v>
      </c>
      <c r="E2566" s="1">
        <f>IFERROR(__xludf.DUMMYFUNCTION("""COMPUTED_VALUE"""),418500.0)</f>
        <v>418500</v>
      </c>
      <c r="F2566" s="1">
        <f>IFERROR(__xludf.DUMMYFUNCTION("""COMPUTED_VALUE"""),475697.0)</f>
        <v>475697</v>
      </c>
    </row>
    <row r="2567">
      <c r="A2567" s="2">
        <f>IFERROR(__xludf.DUMMYFUNCTION("""COMPUTED_VALUE"""),44390.64583333333)</f>
        <v>44390.64583</v>
      </c>
      <c r="B2567" s="1">
        <f>IFERROR(__xludf.DUMMYFUNCTION("""COMPUTED_VALUE"""),421000.0)</f>
        <v>421000</v>
      </c>
      <c r="C2567" s="1">
        <f>IFERROR(__xludf.DUMMYFUNCTION("""COMPUTED_VALUE"""),442000.0)</f>
        <v>442000</v>
      </c>
      <c r="D2567" s="1">
        <f>IFERROR(__xludf.DUMMYFUNCTION("""COMPUTED_VALUE"""),419000.0)</f>
        <v>419000</v>
      </c>
      <c r="E2567" s="1">
        <f>IFERROR(__xludf.DUMMYFUNCTION("""COMPUTED_VALUE"""),441000.0)</f>
        <v>441000</v>
      </c>
      <c r="F2567" s="1">
        <f>IFERROR(__xludf.DUMMYFUNCTION("""COMPUTED_VALUE"""),1498546.0)</f>
        <v>1498546</v>
      </c>
    </row>
    <row r="2568">
      <c r="A2568" s="2">
        <f>IFERROR(__xludf.DUMMYFUNCTION("""COMPUTED_VALUE"""),44391.64583333333)</f>
        <v>44391.64583</v>
      </c>
      <c r="B2568" s="1">
        <f>IFERROR(__xludf.DUMMYFUNCTION("""COMPUTED_VALUE"""),436000.0)</f>
        <v>436000</v>
      </c>
      <c r="C2568" s="1">
        <f>IFERROR(__xludf.DUMMYFUNCTION("""COMPUTED_VALUE"""),444500.0)</f>
        <v>444500</v>
      </c>
      <c r="D2568" s="1">
        <f>IFERROR(__xludf.DUMMYFUNCTION("""COMPUTED_VALUE"""),436000.0)</f>
        <v>436000</v>
      </c>
      <c r="E2568" s="1">
        <f>IFERROR(__xludf.DUMMYFUNCTION("""COMPUTED_VALUE"""),444000.0)</f>
        <v>444000</v>
      </c>
      <c r="F2568" s="1">
        <f>IFERROR(__xludf.DUMMYFUNCTION("""COMPUTED_VALUE"""),931990.0)</f>
        <v>931990</v>
      </c>
    </row>
    <row r="2569">
      <c r="A2569" s="2">
        <f>IFERROR(__xludf.DUMMYFUNCTION("""COMPUTED_VALUE"""),44392.64583333333)</f>
        <v>44392.64583</v>
      </c>
      <c r="B2569" s="1">
        <f>IFERROR(__xludf.DUMMYFUNCTION("""COMPUTED_VALUE"""),446500.0)</f>
        <v>446500</v>
      </c>
      <c r="C2569" s="1">
        <f>IFERROR(__xludf.DUMMYFUNCTION("""COMPUTED_VALUE"""),452500.0)</f>
        <v>452500</v>
      </c>
      <c r="D2569" s="1">
        <f>IFERROR(__xludf.DUMMYFUNCTION("""COMPUTED_VALUE"""),439500.0)</f>
        <v>439500</v>
      </c>
      <c r="E2569" s="1">
        <f>IFERROR(__xludf.DUMMYFUNCTION("""COMPUTED_VALUE"""),449000.0)</f>
        <v>449000</v>
      </c>
      <c r="F2569" s="1">
        <f>IFERROR(__xludf.DUMMYFUNCTION("""COMPUTED_VALUE"""),950460.0)</f>
        <v>950460</v>
      </c>
    </row>
    <row r="2570">
      <c r="A2570" s="2">
        <f>IFERROR(__xludf.DUMMYFUNCTION("""COMPUTED_VALUE"""),44393.64583333333)</f>
        <v>44393.64583</v>
      </c>
      <c r="B2570" s="1">
        <f>IFERROR(__xludf.DUMMYFUNCTION("""COMPUTED_VALUE"""),448000.0)</f>
        <v>448000</v>
      </c>
      <c r="C2570" s="1">
        <f>IFERROR(__xludf.DUMMYFUNCTION("""COMPUTED_VALUE"""),461000.0)</f>
        <v>461000</v>
      </c>
      <c r="D2570" s="1">
        <f>IFERROR(__xludf.DUMMYFUNCTION("""COMPUTED_VALUE"""),443000.0)</f>
        <v>443000</v>
      </c>
      <c r="E2570" s="1">
        <f>IFERROR(__xludf.DUMMYFUNCTION("""COMPUTED_VALUE"""),447000.0)</f>
        <v>447000</v>
      </c>
      <c r="F2570" s="1">
        <f>IFERROR(__xludf.DUMMYFUNCTION("""COMPUTED_VALUE"""),1246425.0)</f>
        <v>1246425</v>
      </c>
    </row>
    <row r="2571">
      <c r="A2571" s="2">
        <f>IFERROR(__xludf.DUMMYFUNCTION("""COMPUTED_VALUE"""),44396.64583333333)</f>
        <v>44396.64583</v>
      </c>
      <c r="B2571" s="1">
        <f>IFERROR(__xludf.DUMMYFUNCTION("""COMPUTED_VALUE"""),443000.0)</f>
        <v>443000</v>
      </c>
      <c r="C2571" s="1">
        <f>IFERROR(__xludf.DUMMYFUNCTION("""COMPUTED_VALUE"""),449500.0)</f>
        <v>449500</v>
      </c>
      <c r="D2571" s="1">
        <f>IFERROR(__xludf.DUMMYFUNCTION("""COMPUTED_VALUE"""),438500.0)</f>
        <v>438500</v>
      </c>
      <c r="E2571" s="1">
        <f>IFERROR(__xludf.DUMMYFUNCTION("""COMPUTED_VALUE"""),443000.0)</f>
        <v>443000</v>
      </c>
      <c r="F2571" s="1">
        <f>IFERROR(__xludf.DUMMYFUNCTION("""COMPUTED_VALUE"""),704307.0)</f>
        <v>704307</v>
      </c>
    </row>
    <row r="2572">
      <c r="A2572" s="2">
        <f>IFERROR(__xludf.DUMMYFUNCTION("""COMPUTED_VALUE"""),44397.64583333333)</f>
        <v>44397.64583</v>
      </c>
      <c r="B2572" s="1">
        <f>IFERROR(__xludf.DUMMYFUNCTION("""COMPUTED_VALUE"""),438500.0)</f>
        <v>438500</v>
      </c>
      <c r="C2572" s="1">
        <f>IFERROR(__xludf.DUMMYFUNCTION("""COMPUTED_VALUE"""),441500.0)</f>
        <v>441500</v>
      </c>
      <c r="D2572" s="1">
        <f>IFERROR(__xludf.DUMMYFUNCTION("""COMPUTED_VALUE"""),431000.0)</f>
        <v>431000</v>
      </c>
      <c r="E2572" s="1">
        <f>IFERROR(__xludf.DUMMYFUNCTION("""COMPUTED_VALUE"""),439000.0)</f>
        <v>439000</v>
      </c>
      <c r="F2572" s="1">
        <f>IFERROR(__xludf.DUMMYFUNCTION("""COMPUTED_VALUE"""),789090.0)</f>
        <v>789090</v>
      </c>
    </row>
    <row r="2573">
      <c r="A2573" s="2">
        <f>IFERROR(__xludf.DUMMYFUNCTION("""COMPUTED_VALUE"""),44398.64583333333)</f>
        <v>44398.64583</v>
      </c>
      <c r="B2573" s="1">
        <f>IFERROR(__xludf.DUMMYFUNCTION("""COMPUTED_VALUE"""),443000.0)</f>
        <v>443000</v>
      </c>
      <c r="C2573" s="1">
        <f>IFERROR(__xludf.DUMMYFUNCTION("""COMPUTED_VALUE"""),446000.0)</f>
        <v>446000</v>
      </c>
      <c r="D2573" s="1">
        <f>IFERROR(__xludf.DUMMYFUNCTION("""COMPUTED_VALUE"""),428000.0)</f>
        <v>428000</v>
      </c>
      <c r="E2573" s="1">
        <f>IFERROR(__xludf.DUMMYFUNCTION("""COMPUTED_VALUE"""),428000.0)</f>
        <v>428000</v>
      </c>
      <c r="F2573" s="1">
        <f>IFERROR(__xludf.DUMMYFUNCTION("""COMPUTED_VALUE"""),885519.0)</f>
        <v>885519</v>
      </c>
    </row>
    <row r="2574">
      <c r="A2574" s="2">
        <f>IFERROR(__xludf.DUMMYFUNCTION("""COMPUTED_VALUE"""),44399.64583333333)</f>
        <v>44399.64583</v>
      </c>
      <c r="B2574" s="1">
        <f>IFERROR(__xludf.DUMMYFUNCTION("""COMPUTED_VALUE"""),433000.0)</f>
        <v>433000</v>
      </c>
      <c r="C2574" s="1">
        <f>IFERROR(__xludf.DUMMYFUNCTION("""COMPUTED_VALUE"""),445000.0)</f>
        <v>445000</v>
      </c>
      <c r="D2574" s="1">
        <f>IFERROR(__xludf.DUMMYFUNCTION("""COMPUTED_VALUE"""),429000.0)</f>
        <v>429000</v>
      </c>
      <c r="E2574" s="1">
        <f>IFERROR(__xludf.DUMMYFUNCTION("""COMPUTED_VALUE"""),440000.0)</f>
        <v>440000</v>
      </c>
      <c r="F2574" s="1">
        <f>IFERROR(__xludf.DUMMYFUNCTION("""COMPUTED_VALUE"""),1035882.0)</f>
        <v>1035882</v>
      </c>
    </row>
    <row r="2575">
      <c r="A2575" s="2">
        <f>IFERROR(__xludf.DUMMYFUNCTION("""COMPUTED_VALUE"""),44400.64583333333)</f>
        <v>44400.64583</v>
      </c>
      <c r="B2575" s="1">
        <f>IFERROR(__xludf.DUMMYFUNCTION("""COMPUTED_VALUE"""),443500.0)</f>
        <v>443500</v>
      </c>
      <c r="C2575" s="1">
        <f>IFERROR(__xludf.DUMMYFUNCTION("""COMPUTED_VALUE"""),454500.0)</f>
        <v>454500</v>
      </c>
      <c r="D2575" s="1">
        <f>IFERROR(__xludf.DUMMYFUNCTION("""COMPUTED_VALUE"""),441000.0)</f>
        <v>441000</v>
      </c>
      <c r="E2575" s="1">
        <f>IFERROR(__xludf.DUMMYFUNCTION("""COMPUTED_VALUE"""),452000.0)</f>
        <v>452000</v>
      </c>
      <c r="F2575" s="1">
        <f>IFERROR(__xludf.DUMMYFUNCTION("""COMPUTED_VALUE"""),1094026.0)</f>
        <v>1094026</v>
      </c>
    </row>
    <row r="2576">
      <c r="A2576" s="2">
        <f>IFERROR(__xludf.DUMMYFUNCTION("""COMPUTED_VALUE"""),44403.64583333333)</f>
        <v>44403.64583</v>
      </c>
      <c r="B2576" s="1">
        <f>IFERROR(__xludf.DUMMYFUNCTION("""COMPUTED_VALUE"""),460000.0)</f>
        <v>460000</v>
      </c>
      <c r="C2576" s="1">
        <f>IFERROR(__xludf.DUMMYFUNCTION("""COMPUTED_VALUE"""),465000.0)</f>
        <v>465000</v>
      </c>
      <c r="D2576" s="1">
        <f>IFERROR(__xludf.DUMMYFUNCTION("""COMPUTED_VALUE"""),447500.0)</f>
        <v>447500</v>
      </c>
      <c r="E2576" s="1">
        <f>IFERROR(__xludf.DUMMYFUNCTION("""COMPUTED_VALUE"""),452000.0)</f>
        <v>452000</v>
      </c>
      <c r="F2576" s="1">
        <f>IFERROR(__xludf.DUMMYFUNCTION("""COMPUTED_VALUE"""),855277.0)</f>
        <v>855277</v>
      </c>
    </row>
    <row r="2577">
      <c r="A2577" s="2">
        <f>IFERROR(__xludf.DUMMYFUNCTION("""COMPUTED_VALUE"""),44404.64583333333)</f>
        <v>44404.64583</v>
      </c>
      <c r="B2577" s="1">
        <f>IFERROR(__xludf.DUMMYFUNCTION("""COMPUTED_VALUE"""),457500.0)</f>
        <v>457500</v>
      </c>
      <c r="C2577" s="1">
        <f>IFERROR(__xludf.DUMMYFUNCTION("""COMPUTED_VALUE"""),463000.0)</f>
        <v>463000</v>
      </c>
      <c r="D2577" s="1">
        <f>IFERROR(__xludf.DUMMYFUNCTION("""COMPUTED_VALUE"""),452000.0)</f>
        <v>452000</v>
      </c>
      <c r="E2577" s="1">
        <f>IFERROR(__xludf.DUMMYFUNCTION("""COMPUTED_VALUE"""),452000.0)</f>
        <v>452000</v>
      </c>
      <c r="F2577" s="1">
        <f>IFERROR(__xludf.DUMMYFUNCTION("""COMPUTED_VALUE"""),757638.0)</f>
        <v>757638</v>
      </c>
    </row>
    <row r="2578">
      <c r="A2578" s="2">
        <f>IFERROR(__xludf.DUMMYFUNCTION("""COMPUTED_VALUE"""),44405.64583333333)</f>
        <v>44405.64583</v>
      </c>
      <c r="B2578" s="1">
        <f>IFERROR(__xludf.DUMMYFUNCTION("""COMPUTED_VALUE"""),446000.0)</f>
        <v>446000</v>
      </c>
      <c r="C2578" s="1">
        <f>IFERROR(__xludf.DUMMYFUNCTION("""COMPUTED_VALUE"""),447000.0)</f>
        <v>447000</v>
      </c>
      <c r="D2578" s="1">
        <f>IFERROR(__xludf.DUMMYFUNCTION("""COMPUTED_VALUE"""),440000.0)</f>
        <v>440000</v>
      </c>
      <c r="E2578" s="1">
        <f>IFERROR(__xludf.DUMMYFUNCTION("""COMPUTED_VALUE"""),442000.0)</f>
        <v>442000</v>
      </c>
      <c r="F2578" s="1">
        <f>IFERROR(__xludf.DUMMYFUNCTION("""COMPUTED_VALUE"""),913055.0)</f>
        <v>913055</v>
      </c>
    </row>
    <row r="2579">
      <c r="A2579" s="2">
        <f>IFERROR(__xludf.DUMMYFUNCTION("""COMPUTED_VALUE"""),44406.64583333333)</f>
        <v>44406.64583</v>
      </c>
      <c r="B2579" s="1">
        <f>IFERROR(__xludf.DUMMYFUNCTION("""COMPUTED_VALUE"""),444000.0)</f>
        <v>444000</v>
      </c>
      <c r="C2579" s="1">
        <f>IFERROR(__xludf.DUMMYFUNCTION("""COMPUTED_VALUE"""),445000.0)</f>
        <v>445000</v>
      </c>
      <c r="D2579" s="1">
        <f>IFERROR(__xludf.DUMMYFUNCTION("""COMPUTED_VALUE"""),438500.0)</f>
        <v>438500</v>
      </c>
      <c r="E2579" s="1">
        <f>IFERROR(__xludf.DUMMYFUNCTION("""COMPUTED_VALUE"""),439500.0)</f>
        <v>439500</v>
      </c>
      <c r="F2579" s="1">
        <f>IFERROR(__xludf.DUMMYFUNCTION("""COMPUTED_VALUE"""),556532.0)</f>
        <v>556532</v>
      </c>
    </row>
    <row r="2580">
      <c r="A2580" s="2">
        <f>IFERROR(__xludf.DUMMYFUNCTION("""COMPUTED_VALUE"""),44407.64583333333)</f>
        <v>44407.64583</v>
      </c>
      <c r="B2580" s="1">
        <f>IFERROR(__xludf.DUMMYFUNCTION("""COMPUTED_VALUE"""),438000.0)</f>
        <v>438000</v>
      </c>
      <c r="C2580" s="1">
        <f>IFERROR(__xludf.DUMMYFUNCTION("""COMPUTED_VALUE"""),440500.0)</f>
        <v>440500</v>
      </c>
      <c r="D2580" s="1">
        <f>IFERROR(__xludf.DUMMYFUNCTION("""COMPUTED_VALUE"""),433000.0)</f>
        <v>433000</v>
      </c>
      <c r="E2580" s="1">
        <f>IFERROR(__xludf.DUMMYFUNCTION("""COMPUTED_VALUE"""),433500.0)</f>
        <v>433500</v>
      </c>
      <c r="F2580" s="1">
        <f>IFERROR(__xludf.DUMMYFUNCTION("""COMPUTED_VALUE"""),628812.0)</f>
        <v>628812</v>
      </c>
    </row>
    <row r="2581">
      <c r="A2581" s="2">
        <f>IFERROR(__xludf.DUMMYFUNCTION("""COMPUTED_VALUE"""),44410.64583333333)</f>
        <v>44410.64583</v>
      </c>
      <c r="B2581" s="1">
        <f>IFERROR(__xludf.DUMMYFUNCTION("""COMPUTED_VALUE"""),429000.0)</f>
        <v>429000</v>
      </c>
      <c r="C2581" s="1">
        <f>IFERROR(__xludf.DUMMYFUNCTION("""COMPUTED_VALUE"""),437000.0)</f>
        <v>437000</v>
      </c>
      <c r="D2581" s="1">
        <f>IFERROR(__xludf.DUMMYFUNCTION("""COMPUTED_VALUE"""),428500.0)</f>
        <v>428500</v>
      </c>
      <c r="E2581" s="1">
        <f>IFERROR(__xludf.DUMMYFUNCTION("""COMPUTED_VALUE"""),433500.0)</f>
        <v>433500</v>
      </c>
      <c r="F2581" s="1">
        <f>IFERROR(__xludf.DUMMYFUNCTION("""COMPUTED_VALUE"""),551937.0)</f>
        <v>551937</v>
      </c>
    </row>
    <row r="2582">
      <c r="A2582" s="2">
        <f>IFERROR(__xludf.DUMMYFUNCTION("""COMPUTED_VALUE"""),44411.64583333333)</f>
        <v>44411.64583</v>
      </c>
      <c r="B2582" s="1">
        <f>IFERROR(__xludf.DUMMYFUNCTION("""COMPUTED_VALUE"""),439000.0)</f>
        <v>439000</v>
      </c>
      <c r="C2582" s="1">
        <f>IFERROR(__xludf.DUMMYFUNCTION("""COMPUTED_VALUE"""),439000.0)</f>
        <v>439000</v>
      </c>
      <c r="D2582" s="1">
        <f>IFERROR(__xludf.DUMMYFUNCTION("""COMPUTED_VALUE"""),422000.0)</f>
        <v>422000</v>
      </c>
      <c r="E2582" s="1">
        <f>IFERROR(__xludf.DUMMYFUNCTION("""COMPUTED_VALUE"""),428000.0)</f>
        <v>428000</v>
      </c>
      <c r="F2582" s="1">
        <f>IFERROR(__xludf.DUMMYFUNCTION("""COMPUTED_VALUE"""),830841.0)</f>
        <v>830841</v>
      </c>
    </row>
    <row r="2583">
      <c r="A2583" s="2">
        <f>IFERROR(__xludf.DUMMYFUNCTION("""COMPUTED_VALUE"""),44412.64583333333)</f>
        <v>44412.64583</v>
      </c>
      <c r="B2583" s="1">
        <f>IFERROR(__xludf.DUMMYFUNCTION("""COMPUTED_VALUE"""),425000.0)</f>
        <v>425000</v>
      </c>
      <c r="C2583" s="1">
        <f>IFERROR(__xludf.DUMMYFUNCTION("""COMPUTED_VALUE"""),434500.0)</f>
        <v>434500</v>
      </c>
      <c r="D2583" s="1">
        <f>IFERROR(__xludf.DUMMYFUNCTION("""COMPUTED_VALUE"""),423000.0)</f>
        <v>423000</v>
      </c>
      <c r="E2583" s="1">
        <f>IFERROR(__xludf.DUMMYFUNCTION("""COMPUTED_VALUE"""),433000.0)</f>
        <v>433000</v>
      </c>
      <c r="F2583" s="1">
        <f>IFERROR(__xludf.DUMMYFUNCTION("""COMPUTED_VALUE"""),545873.0)</f>
        <v>545873</v>
      </c>
    </row>
    <row r="2584">
      <c r="A2584" s="2">
        <f>IFERROR(__xludf.DUMMYFUNCTION("""COMPUTED_VALUE"""),44413.64583333333)</f>
        <v>44413.64583</v>
      </c>
      <c r="B2584" s="1">
        <f>IFERROR(__xludf.DUMMYFUNCTION("""COMPUTED_VALUE"""),442000.0)</f>
        <v>442000</v>
      </c>
      <c r="C2584" s="1">
        <f>IFERROR(__xludf.DUMMYFUNCTION("""COMPUTED_VALUE"""),451500.0)</f>
        <v>451500</v>
      </c>
      <c r="D2584" s="1">
        <f>IFERROR(__xludf.DUMMYFUNCTION("""COMPUTED_VALUE"""),438500.0)</f>
        <v>438500</v>
      </c>
      <c r="E2584" s="1">
        <f>IFERROR(__xludf.DUMMYFUNCTION("""COMPUTED_VALUE"""),442500.0)</f>
        <v>442500</v>
      </c>
      <c r="F2584" s="1">
        <f>IFERROR(__xludf.DUMMYFUNCTION("""COMPUTED_VALUE"""),744924.0)</f>
        <v>744924</v>
      </c>
    </row>
    <row r="2585">
      <c r="A2585" s="2">
        <f>IFERROR(__xludf.DUMMYFUNCTION("""COMPUTED_VALUE"""),44414.64583333333)</f>
        <v>44414.64583</v>
      </c>
      <c r="B2585" s="1">
        <f>IFERROR(__xludf.DUMMYFUNCTION("""COMPUTED_VALUE"""),443000.0)</f>
        <v>443000</v>
      </c>
      <c r="C2585" s="1">
        <f>IFERROR(__xludf.DUMMYFUNCTION("""COMPUTED_VALUE"""),447500.0)</f>
        <v>447500</v>
      </c>
      <c r="D2585" s="1">
        <f>IFERROR(__xludf.DUMMYFUNCTION("""COMPUTED_VALUE"""),440500.0)</f>
        <v>440500</v>
      </c>
      <c r="E2585" s="1">
        <f>IFERROR(__xludf.DUMMYFUNCTION("""COMPUTED_VALUE"""),444500.0)</f>
        <v>444500</v>
      </c>
      <c r="F2585" s="1">
        <f>IFERROR(__xludf.DUMMYFUNCTION("""COMPUTED_VALUE"""),416829.0)</f>
        <v>416829</v>
      </c>
    </row>
    <row r="2586">
      <c r="A2586" s="2">
        <f>IFERROR(__xludf.DUMMYFUNCTION("""COMPUTED_VALUE"""),44417.64583333333)</f>
        <v>44417.64583</v>
      </c>
      <c r="B2586" s="1">
        <f>IFERROR(__xludf.DUMMYFUNCTION("""COMPUTED_VALUE"""),438000.0)</f>
        <v>438000</v>
      </c>
      <c r="C2586" s="1">
        <f>IFERROR(__xludf.DUMMYFUNCTION("""COMPUTED_VALUE"""),449000.0)</f>
        <v>449000</v>
      </c>
      <c r="D2586" s="1">
        <f>IFERROR(__xludf.DUMMYFUNCTION("""COMPUTED_VALUE"""),435000.0)</f>
        <v>435000</v>
      </c>
      <c r="E2586" s="1">
        <f>IFERROR(__xludf.DUMMYFUNCTION("""COMPUTED_VALUE"""),447500.0)</f>
        <v>447500</v>
      </c>
      <c r="F2586" s="1">
        <f>IFERROR(__xludf.DUMMYFUNCTION("""COMPUTED_VALUE"""),528032.0)</f>
        <v>528032</v>
      </c>
    </row>
    <row r="2587">
      <c r="A2587" s="2">
        <f>IFERROR(__xludf.DUMMYFUNCTION("""COMPUTED_VALUE"""),44418.64583333333)</f>
        <v>44418.64583</v>
      </c>
      <c r="B2587" s="1">
        <f>IFERROR(__xludf.DUMMYFUNCTION("""COMPUTED_VALUE"""),446000.0)</f>
        <v>446000</v>
      </c>
      <c r="C2587" s="1">
        <f>IFERROR(__xludf.DUMMYFUNCTION("""COMPUTED_VALUE"""),453500.0)</f>
        <v>453500</v>
      </c>
      <c r="D2587" s="1">
        <f>IFERROR(__xludf.DUMMYFUNCTION("""COMPUTED_VALUE"""),442500.0)</f>
        <v>442500</v>
      </c>
      <c r="E2587" s="1">
        <f>IFERROR(__xludf.DUMMYFUNCTION("""COMPUTED_VALUE"""),446500.0)</f>
        <v>446500</v>
      </c>
      <c r="F2587" s="1">
        <f>IFERROR(__xludf.DUMMYFUNCTION("""COMPUTED_VALUE"""),461940.0)</f>
        <v>461940</v>
      </c>
    </row>
    <row r="2588">
      <c r="A2588" s="2">
        <f>IFERROR(__xludf.DUMMYFUNCTION("""COMPUTED_VALUE"""),44419.64583333333)</f>
        <v>44419.64583</v>
      </c>
      <c r="B2588" s="1">
        <f>IFERROR(__xludf.DUMMYFUNCTION("""COMPUTED_VALUE"""),445000.0)</f>
        <v>445000</v>
      </c>
      <c r="C2588" s="1">
        <f>IFERROR(__xludf.DUMMYFUNCTION("""COMPUTED_VALUE"""),449000.0)</f>
        <v>449000</v>
      </c>
      <c r="D2588" s="1">
        <f>IFERROR(__xludf.DUMMYFUNCTION("""COMPUTED_VALUE"""),442000.0)</f>
        <v>442000</v>
      </c>
      <c r="E2588" s="1">
        <f>IFERROR(__xludf.DUMMYFUNCTION("""COMPUTED_VALUE"""),445000.0)</f>
        <v>445000</v>
      </c>
      <c r="F2588" s="1">
        <f>IFERROR(__xludf.DUMMYFUNCTION("""COMPUTED_VALUE"""),446275.0)</f>
        <v>446275</v>
      </c>
    </row>
    <row r="2589">
      <c r="A2589" s="2">
        <f>IFERROR(__xludf.DUMMYFUNCTION("""COMPUTED_VALUE"""),44420.64583333333)</f>
        <v>44420.64583</v>
      </c>
      <c r="B2589" s="1">
        <f>IFERROR(__xludf.DUMMYFUNCTION("""COMPUTED_VALUE"""),448000.0)</f>
        <v>448000</v>
      </c>
      <c r="C2589" s="1">
        <f>IFERROR(__xludf.DUMMYFUNCTION("""COMPUTED_VALUE"""),448500.0)</f>
        <v>448500</v>
      </c>
      <c r="D2589" s="1">
        <f>IFERROR(__xludf.DUMMYFUNCTION("""COMPUTED_VALUE"""),438000.0)</f>
        <v>438000</v>
      </c>
      <c r="E2589" s="1">
        <f>IFERROR(__xludf.DUMMYFUNCTION("""COMPUTED_VALUE"""),440500.0)</f>
        <v>440500</v>
      </c>
      <c r="F2589" s="1">
        <f>IFERROR(__xludf.DUMMYFUNCTION("""COMPUTED_VALUE"""),671083.0)</f>
        <v>671083</v>
      </c>
    </row>
    <row r="2590">
      <c r="A2590" s="2">
        <f>IFERROR(__xludf.DUMMYFUNCTION("""COMPUTED_VALUE"""),44421.64583333333)</f>
        <v>44421.64583</v>
      </c>
      <c r="B2590" s="1">
        <f>IFERROR(__xludf.DUMMYFUNCTION("""COMPUTED_VALUE"""),445000.0)</f>
        <v>445000</v>
      </c>
      <c r="C2590" s="1">
        <f>IFERROR(__xludf.DUMMYFUNCTION("""COMPUTED_VALUE"""),446000.0)</f>
        <v>446000</v>
      </c>
      <c r="D2590" s="1">
        <f>IFERROR(__xludf.DUMMYFUNCTION("""COMPUTED_VALUE"""),433000.0)</f>
        <v>433000</v>
      </c>
      <c r="E2590" s="1">
        <f>IFERROR(__xludf.DUMMYFUNCTION("""COMPUTED_VALUE"""),436500.0)</f>
        <v>436500</v>
      </c>
      <c r="F2590" s="1">
        <f>IFERROR(__xludf.DUMMYFUNCTION("""COMPUTED_VALUE"""),515855.0)</f>
        <v>515855</v>
      </c>
    </row>
    <row r="2591">
      <c r="A2591" s="2">
        <f>IFERROR(__xludf.DUMMYFUNCTION("""COMPUTED_VALUE"""),44425.64583333333)</f>
        <v>44425.64583</v>
      </c>
      <c r="B2591" s="1">
        <f>IFERROR(__xludf.DUMMYFUNCTION("""COMPUTED_VALUE"""),435500.0)</f>
        <v>435500</v>
      </c>
      <c r="C2591" s="1">
        <f>IFERROR(__xludf.DUMMYFUNCTION("""COMPUTED_VALUE"""),437500.0)</f>
        <v>437500</v>
      </c>
      <c r="D2591" s="1">
        <f>IFERROR(__xludf.DUMMYFUNCTION("""COMPUTED_VALUE"""),420000.0)</f>
        <v>420000</v>
      </c>
      <c r="E2591" s="1">
        <f>IFERROR(__xludf.DUMMYFUNCTION("""COMPUTED_VALUE"""),428500.0)</f>
        <v>428500</v>
      </c>
      <c r="F2591" s="1">
        <f>IFERROR(__xludf.DUMMYFUNCTION("""COMPUTED_VALUE"""),763564.0)</f>
        <v>763564</v>
      </c>
    </row>
    <row r="2592">
      <c r="A2592" s="2">
        <f>IFERROR(__xludf.DUMMYFUNCTION("""COMPUTED_VALUE"""),44426.64583333333)</f>
        <v>44426.64583</v>
      </c>
      <c r="B2592" s="1">
        <f>IFERROR(__xludf.DUMMYFUNCTION("""COMPUTED_VALUE"""),429500.0)</f>
        <v>429500</v>
      </c>
      <c r="C2592" s="1">
        <f>IFERROR(__xludf.DUMMYFUNCTION("""COMPUTED_VALUE"""),433500.0)</f>
        <v>433500</v>
      </c>
      <c r="D2592" s="1">
        <f>IFERROR(__xludf.DUMMYFUNCTION("""COMPUTED_VALUE"""),421500.0)</f>
        <v>421500</v>
      </c>
      <c r="E2592" s="1">
        <f>IFERROR(__xludf.DUMMYFUNCTION("""COMPUTED_VALUE"""),429000.0)</f>
        <v>429000</v>
      </c>
      <c r="F2592" s="1">
        <f>IFERROR(__xludf.DUMMYFUNCTION("""COMPUTED_VALUE"""),496576.0)</f>
        <v>496576</v>
      </c>
    </row>
    <row r="2593">
      <c r="A2593" s="2">
        <f>IFERROR(__xludf.DUMMYFUNCTION("""COMPUTED_VALUE"""),44427.64583333333)</f>
        <v>44427.64583</v>
      </c>
      <c r="B2593" s="1">
        <f>IFERROR(__xludf.DUMMYFUNCTION("""COMPUTED_VALUE"""),431000.0)</f>
        <v>431000</v>
      </c>
      <c r="C2593" s="1">
        <f>IFERROR(__xludf.DUMMYFUNCTION("""COMPUTED_VALUE"""),434000.0)</f>
        <v>434000</v>
      </c>
      <c r="D2593" s="1">
        <f>IFERROR(__xludf.DUMMYFUNCTION("""COMPUTED_VALUE"""),424500.0)</f>
        <v>424500</v>
      </c>
      <c r="E2593" s="1">
        <f>IFERROR(__xludf.DUMMYFUNCTION("""COMPUTED_VALUE"""),424500.0)</f>
        <v>424500</v>
      </c>
      <c r="F2593" s="1">
        <f>IFERROR(__xludf.DUMMYFUNCTION("""COMPUTED_VALUE"""),504352.0)</f>
        <v>504352</v>
      </c>
    </row>
    <row r="2594">
      <c r="A2594" s="2">
        <f>IFERROR(__xludf.DUMMYFUNCTION("""COMPUTED_VALUE"""),44428.64583333333)</f>
        <v>44428.64583</v>
      </c>
      <c r="B2594" s="1">
        <f>IFERROR(__xludf.DUMMYFUNCTION("""COMPUTED_VALUE"""),425000.0)</f>
        <v>425000</v>
      </c>
      <c r="C2594" s="1">
        <f>IFERROR(__xludf.DUMMYFUNCTION("""COMPUTED_VALUE"""),432000.0)</f>
        <v>432000</v>
      </c>
      <c r="D2594" s="1">
        <f>IFERROR(__xludf.DUMMYFUNCTION("""COMPUTED_VALUE"""),421000.0)</f>
        <v>421000</v>
      </c>
      <c r="E2594" s="1">
        <f>IFERROR(__xludf.DUMMYFUNCTION("""COMPUTED_VALUE"""),422500.0)</f>
        <v>422500</v>
      </c>
      <c r="F2594" s="1">
        <f>IFERROR(__xludf.DUMMYFUNCTION("""COMPUTED_VALUE"""),587940.0)</f>
        <v>587940</v>
      </c>
    </row>
    <row r="2595">
      <c r="A2595" s="2">
        <f>IFERROR(__xludf.DUMMYFUNCTION("""COMPUTED_VALUE"""),44431.64583333333)</f>
        <v>44431.64583</v>
      </c>
      <c r="B2595" s="1">
        <f>IFERROR(__xludf.DUMMYFUNCTION("""COMPUTED_VALUE"""),428000.0)</f>
        <v>428000</v>
      </c>
      <c r="C2595" s="1">
        <f>IFERROR(__xludf.DUMMYFUNCTION("""COMPUTED_VALUE"""),436000.0)</f>
        <v>436000</v>
      </c>
      <c r="D2595" s="1">
        <f>IFERROR(__xludf.DUMMYFUNCTION("""COMPUTED_VALUE"""),423500.0)</f>
        <v>423500</v>
      </c>
      <c r="E2595" s="1">
        <f>IFERROR(__xludf.DUMMYFUNCTION("""COMPUTED_VALUE"""),429500.0)</f>
        <v>429500</v>
      </c>
      <c r="F2595" s="1">
        <f>IFERROR(__xludf.DUMMYFUNCTION("""COMPUTED_VALUE"""),515679.0)</f>
        <v>515679</v>
      </c>
    </row>
    <row r="2596">
      <c r="A2596" s="2">
        <f>IFERROR(__xludf.DUMMYFUNCTION("""COMPUTED_VALUE"""),44432.64583333333)</f>
        <v>44432.64583</v>
      </c>
      <c r="B2596" s="1">
        <f>IFERROR(__xludf.DUMMYFUNCTION("""COMPUTED_VALUE"""),435000.0)</f>
        <v>435000</v>
      </c>
      <c r="C2596" s="1">
        <f>IFERROR(__xludf.DUMMYFUNCTION("""COMPUTED_VALUE"""),439000.0)</f>
        <v>439000</v>
      </c>
      <c r="D2596" s="1">
        <f>IFERROR(__xludf.DUMMYFUNCTION("""COMPUTED_VALUE"""),431500.0)</f>
        <v>431500</v>
      </c>
      <c r="E2596" s="1">
        <f>IFERROR(__xludf.DUMMYFUNCTION("""COMPUTED_VALUE"""),437500.0)</f>
        <v>437500</v>
      </c>
      <c r="F2596" s="1">
        <f>IFERROR(__xludf.DUMMYFUNCTION("""COMPUTED_VALUE"""),546884.0)</f>
        <v>546884</v>
      </c>
    </row>
    <row r="2597">
      <c r="A2597" s="2">
        <f>IFERROR(__xludf.DUMMYFUNCTION("""COMPUTED_VALUE"""),44433.64583333333)</f>
        <v>44433.64583</v>
      </c>
      <c r="B2597" s="1">
        <f>IFERROR(__xludf.DUMMYFUNCTION("""COMPUTED_VALUE"""),434000.0)</f>
        <v>434000</v>
      </c>
      <c r="C2597" s="1">
        <f>IFERROR(__xludf.DUMMYFUNCTION("""COMPUTED_VALUE"""),439000.0)</f>
        <v>439000</v>
      </c>
      <c r="D2597" s="1">
        <f>IFERROR(__xludf.DUMMYFUNCTION("""COMPUTED_VALUE"""),427000.0)</f>
        <v>427000</v>
      </c>
      <c r="E2597" s="1">
        <f>IFERROR(__xludf.DUMMYFUNCTION("""COMPUTED_VALUE"""),430500.0)</f>
        <v>430500</v>
      </c>
      <c r="F2597" s="1">
        <f>IFERROR(__xludf.DUMMYFUNCTION("""COMPUTED_VALUE"""),677224.0)</f>
        <v>677224</v>
      </c>
    </row>
    <row r="2598">
      <c r="A2598" s="2">
        <f>IFERROR(__xludf.DUMMYFUNCTION("""COMPUTED_VALUE"""),44434.64583333333)</f>
        <v>44434.64583</v>
      </c>
      <c r="B2598" s="1">
        <f>IFERROR(__xludf.DUMMYFUNCTION("""COMPUTED_VALUE"""),427500.0)</f>
        <v>427500</v>
      </c>
      <c r="C2598" s="1">
        <f>IFERROR(__xludf.DUMMYFUNCTION("""COMPUTED_VALUE"""),430500.0)</f>
        <v>430500</v>
      </c>
      <c r="D2598" s="1">
        <f>IFERROR(__xludf.DUMMYFUNCTION("""COMPUTED_VALUE"""),420000.0)</f>
        <v>420000</v>
      </c>
      <c r="E2598" s="1">
        <f>IFERROR(__xludf.DUMMYFUNCTION("""COMPUTED_VALUE"""),423500.0)</f>
        <v>423500</v>
      </c>
      <c r="F2598" s="1">
        <f>IFERROR(__xludf.DUMMYFUNCTION("""COMPUTED_VALUE"""),645901.0)</f>
        <v>645901</v>
      </c>
    </row>
    <row r="2599">
      <c r="A2599" s="2">
        <f>IFERROR(__xludf.DUMMYFUNCTION("""COMPUTED_VALUE"""),44435.64583333333)</f>
        <v>44435.64583</v>
      </c>
      <c r="B2599" s="1">
        <f>IFERROR(__xludf.DUMMYFUNCTION("""COMPUTED_VALUE"""),422000.0)</f>
        <v>422000</v>
      </c>
      <c r="C2599" s="1">
        <f>IFERROR(__xludf.DUMMYFUNCTION("""COMPUTED_VALUE"""),423500.0)</f>
        <v>423500</v>
      </c>
      <c r="D2599" s="1">
        <f>IFERROR(__xludf.DUMMYFUNCTION("""COMPUTED_VALUE"""),416500.0)</f>
        <v>416500</v>
      </c>
      <c r="E2599" s="1">
        <f>IFERROR(__xludf.DUMMYFUNCTION("""COMPUTED_VALUE"""),420000.0)</f>
        <v>420000</v>
      </c>
      <c r="F2599" s="1">
        <f>IFERROR(__xludf.DUMMYFUNCTION("""COMPUTED_VALUE"""),567004.0)</f>
        <v>567004</v>
      </c>
    </row>
    <row r="2600">
      <c r="A2600" s="2">
        <f>IFERROR(__xludf.DUMMYFUNCTION("""COMPUTED_VALUE"""),44438.64583333333)</f>
        <v>44438.64583</v>
      </c>
      <c r="B2600" s="1">
        <f>IFERROR(__xludf.DUMMYFUNCTION("""COMPUTED_VALUE"""),425500.0)</f>
        <v>425500</v>
      </c>
      <c r="C2600" s="1">
        <f>IFERROR(__xludf.DUMMYFUNCTION("""COMPUTED_VALUE"""),429000.0)</f>
        <v>429000</v>
      </c>
      <c r="D2600" s="1">
        <f>IFERROR(__xludf.DUMMYFUNCTION("""COMPUTED_VALUE"""),423000.0)</f>
        <v>423000</v>
      </c>
      <c r="E2600" s="1">
        <f>IFERROR(__xludf.DUMMYFUNCTION("""COMPUTED_VALUE"""),428000.0)</f>
        <v>428000</v>
      </c>
      <c r="F2600" s="1">
        <f>IFERROR(__xludf.DUMMYFUNCTION("""COMPUTED_VALUE"""),399336.0)</f>
        <v>399336</v>
      </c>
    </row>
    <row r="2601">
      <c r="A2601" s="2">
        <f>IFERROR(__xludf.DUMMYFUNCTION("""COMPUTED_VALUE"""),44439.64583333333)</f>
        <v>44439.64583</v>
      </c>
      <c r="B2601" s="1">
        <f>IFERROR(__xludf.DUMMYFUNCTION("""COMPUTED_VALUE"""),430000.0)</f>
        <v>430000</v>
      </c>
      <c r="C2601" s="1">
        <f>IFERROR(__xludf.DUMMYFUNCTION("""COMPUTED_VALUE"""),439500.0)</f>
        <v>439500</v>
      </c>
      <c r="D2601" s="1">
        <f>IFERROR(__xludf.DUMMYFUNCTION("""COMPUTED_VALUE"""),427000.0)</f>
        <v>427000</v>
      </c>
      <c r="E2601" s="1">
        <f>IFERROR(__xludf.DUMMYFUNCTION("""COMPUTED_VALUE"""),439000.0)</f>
        <v>439000</v>
      </c>
      <c r="F2601" s="1">
        <f>IFERROR(__xludf.DUMMYFUNCTION("""COMPUTED_VALUE"""),768823.0)</f>
        <v>768823</v>
      </c>
    </row>
    <row r="2602">
      <c r="A2602" s="2">
        <f>IFERROR(__xludf.DUMMYFUNCTION("""COMPUTED_VALUE"""),44440.64583333333)</f>
        <v>44440.64583</v>
      </c>
      <c r="B2602" s="1">
        <f>IFERROR(__xludf.DUMMYFUNCTION("""COMPUTED_VALUE"""),442000.0)</f>
        <v>442000</v>
      </c>
      <c r="C2602" s="1">
        <f>IFERROR(__xludf.DUMMYFUNCTION("""COMPUTED_VALUE"""),448500.0)</f>
        <v>448500</v>
      </c>
      <c r="D2602" s="1">
        <f>IFERROR(__xludf.DUMMYFUNCTION("""COMPUTED_VALUE"""),436500.0)</f>
        <v>436500</v>
      </c>
      <c r="E2602" s="1">
        <f>IFERROR(__xludf.DUMMYFUNCTION("""COMPUTED_VALUE"""),445000.0)</f>
        <v>445000</v>
      </c>
      <c r="F2602" s="1">
        <f>IFERROR(__xludf.DUMMYFUNCTION("""COMPUTED_VALUE"""),655075.0)</f>
        <v>655075</v>
      </c>
    </row>
    <row r="2603">
      <c r="A2603" s="2">
        <f>IFERROR(__xludf.DUMMYFUNCTION("""COMPUTED_VALUE"""),44441.64583333333)</f>
        <v>44441.64583</v>
      </c>
      <c r="B2603" s="1">
        <f>IFERROR(__xludf.DUMMYFUNCTION("""COMPUTED_VALUE"""),445500.0)</f>
        <v>445500</v>
      </c>
      <c r="C2603" s="1">
        <f>IFERROR(__xludf.DUMMYFUNCTION("""COMPUTED_VALUE"""),448500.0)</f>
        <v>448500</v>
      </c>
      <c r="D2603" s="1">
        <f>IFERROR(__xludf.DUMMYFUNCTION("""COMPUTED_VALUE"""),439500.0)</f>
        <v>439500</v>
      </c>
      <c r="E2603" s="1">
        <f>IFERROR(__xludf.DUMMYFUNCTION("""COMPUTED_VALUE"""),442500.0)</f>
        <v>442500</v>
      </c>
      <c r="F2603" s="1">
        <f>IFERROR(__xludf.DUMMYFUNCTION("""COMPUTED_VALUE"""),431529.0)</f>
        <v>431529</v>
      </c>
    </row>
    <row r="2604">
      <c r="A2604" s="2">
        <f>IFERROR(__xludf.DUMMYFUNCTION("""COMPUTED_VALUE"""),44442.64583333333)</f>
        <v>44442.64583</v>
      </c>
      <c r="B2604" s="1">
        <f>IFERROR(__xludf.DUMMYFUNCTION("""COMPUTED_VALUE"""),442500.0)</f>
        <v>442500</v>
      </c>
      <c r="C2604" s="1">
        <f>IFERROR(__xludf.DUMMYFUNCTION("""COMPUTED_VALUE"""),452500.0)</f>
        <v>452500</v>
      </c>
      <c r="D2604" s="1">
        <f>IFERROR(__xludf.DUMMYFUNCTION("""COMPUTED_VALUE"""),441000.0)</f>
        <v>441000</v>
      </c>
      <c r="E2604" s="1">
        <f>IFERROR(__xludf.DUMMYFUNCTION("""COMPUTED_VALUE"""),452500.0)</f>
        <v>452500</v>
      </c>
      <c r="F2604" s="1">
        <f>IFERROR(__xludf.DUMMYFUNCTION("""COMPUTED_VALUE"""),646199.0)</f>
        <v>646199</v>
      </c>
    </row>
    <row r="2605">
      <c r="A2605" s="2">
        <f>IFERROR(__xludf.DUMMYFUNCTION("""COMPUTED_VALUE"""),44445.64583333333)</f>
        <v>44445.64583</v>
      </c>
      <c r="B2605" s="1">
        <f>IFERROR(__xludf.DUMMYFUNCTION("""COMPUTED_VALUE"""),452500.0)</f>
        <v>452500</v>
      </c>
      <c r="C2605" s="1">
        <f>IFERROR(__xludf.DUMMYFUNCTION("""COMPUTED_VALUE"""),454500.0)</f>
        <v>454500</v>
      </c>
      <c r="D2605" s="1">
        <f>IFERROR(__xludf.DUMMYFUNCTION("""COMPUTED_VALUE"""),445500.0)</f>
        <v>445500</v>
      </c>
      <c r="E2605" s="1">
        <f>IFERROR(__xludf.DUMMYFUNCTION("""COMPUTED_VALUE"""),454000.0)</f>
        <v>454000</v>
      </c>
      <c r="F2605" s="1">
        <f>IFERROR(__xludf.DUMMYFUNCTION("""COMPUTED_VALUE"""),368743.0)</f>
        <v>368743</v>
      </c>
    </row>
    <row r="2606">
      <c r="A2606" s="2">
        <f>IFERROR(__xludf.DUMMYFUNCTION("""COMPUTED_VALUE"""),44446.64583333333)</f>
        <v>44446.64583</v>
      </c>
      <c r="B2606" s="1">
        <f>IFERROR(__xludf.DUMMYFUNCTION("""COMPUTED_VALUE"""),450500.0)</f>
        <v>450500</v>
      </c>
      <c r="C2606" s="1">
        <f>IFERROR(__xludf.DUMMYFUNCTION("""COMPUTED_VALUE"""),453000.0)</f>
        <v>453000</v>
      </c>
      <c r="D2606" s="1">
        <f>IFERROR(__xludf.DUMMYFUNCTION("""COMPUTED_VALUE"""),444000.0)</f>
        <v>444000</v>
      </c>
      <c r="E2606" s="1">
        <f>IFERROR(__xludf.DUMMYFUNCTION("""COMPUTED_VALUE"""),444500.0)</f>
        <v>444500</v>
      </c>
      <c r="F2606" s="1">
        <f>IFERROR(__xludf.DUMMYFUNCTION("""COMPUTED_VALUE"""),356293.0)</f>
        <v>356293</v>
      </c>
    </row>
    <row r="2607">
      <c r="A2607" s="2">
        <f>IFERROR(__xludf.DUMMYFUNCTION("""COMPUTED_VALUE"""),44447.64583333333)</f>
        <v>44447.64583</v>
      </c>
      <c r="B2607" s="1">
        <f>IFERROR(__xludf.DUMMYFUNCTION("""COMPUTED_VALUE"""),437500.0)</f>
        <v>437500</v>
      </c>
      <c r="C2607" s="1">
        <f>IFERROR(__xludf.DUMMYFUNCTION("""COMPUTED_VALUE"""),439000.0)</f>
        <v>439000</v>
      </c>
      <c r="D2607" s="1">
        <f>IFERROR(__xludf.DUMMYFUNCTION("""COMPUTED_VALUE"""),408000.0)</f>
        <v>408000</v>
      </c>
      <c r="E2607" s="1">
        <f>IFERROR(__xludf.DUMMYFUNCTION("""COMPUTED_VALUE"""),409500.0)</f>
        <v>409500</v>
      </c>
      <c r="F2607" s="1">
        <f>IFERROR(__xludf.DUMMYFUNCTION("""COMPUTED_VALUE"""),2470864.0)</f>
        <v>2470864</v>
      </c>
    </row>
    <row r="2608">
      <c r="A2608" s="2">
        <f>IFERROR(__xludf.DUMMYFUNCTION("""COMPUTED_VALUE"""),44448.64583333333)</f>
        <v>44448.64583</v>
      </c>
      <c r="B2608" s="1">
        <f>IFERROR(__xludf.DUMMYFUNCTION("""COMPUTED_VALUE"""),400500.0)</f>
        <v>400500</v>
      </c>
      <c r="C2608" s="1">
        <f>IFERROR(__xludf.DUMMYFUNCTION("""COMPUTED_VALUE"""),406000.0)</f>
        <v>406000</v>
      </c>
      <c r="D2608" s="1">
        <f>IFERROR(__xludf.DUMMYFUNCTION("""COMPUTED_VALUE"""),396000.0)</f>
        <v>396000</v>
      </c>
      <c r="E2608" s="1">
        <f>IFERROR(__xludf.DUMMYFUNCTION("""COMPUTED_VALUE"""),399000.0)</f>
        <v>399000</v>
      </c>
      <c r="F2608" s="1">
        <f>IFERROR(__xludf.DUMMYFUNCTION("""COMPUTED_VALUE"""),1972500.0)</f>
        <v>1972500</v>
      </c>
    </row>
    <row r="2609">
      <c r="A2609" s="2">
        <f>IFERROR(__xludf.DUMMYFUNCTION("""COMPUTED_VALUE"""),44449.64583333333)</f>
        <v>44449.64583</v>
      </c>
      <c r="B2609" s="1">
        <f>IFERROR(__xludf.DUMMYFUNCTION("""COMPUTED_VALUE"""),398000.0)</f>
        <v>398000</v>
      </c>
      <c r="C2609" s="1">
        <f>IFERROR(__xludf.DUMMYFUNCTION("""COMPUTED_VALUE"""),416500.0)</f>
        <v>416500</v>
      </c>
      <c r="D2609" s="1">
        <f>IFERROR(__xludf.DUMMYFUNCTION("""COMPUTED_VALUE"""),398000.0)</f>
        <v>398000</v>
      </c>
      <c r="E2609" s="1">
        <f>IFERROR(__xludf.DUMMYFUNCTION("""COMPUTED_VALUE"""),410000.0)</f>
        <v>410000</v>
      </c>
      <c r="F2609" s="1">
        <f>IFERROR(__xludf.DUMMYFUNCTION("""COMPUTED_VALUE"""),1326870.0)</f>
        <v>1326870</v>
      </c>
    </row>
    <row r="2610">
      <c r="A2610" s="2">
        <f>IFERROR(__xludf.DUMMYFUNCTION("""COMPUTED_VALUE"""),44452.64583333333)</f>
        <v>44452.64583</v>
      </c>
      <c r="B2610" s="1">
        <f>IFERROR(__xludf.DUMMYFUNCTION("""COMPUTED_VALUE"""),405000.0)</f>
        <v>405000</v>
      </c>
      <c r="C2610" s="1">
        <f>IFERROR(__xludf.DUMMYFUNCTION("""COMPUTED_VALUE"""),414000.0)</f>
        <v>414000</v>
      </c>
      <c r="D2610" s="1">
        <f>IFERROR(__xludf.DUMMYFUNCTION("""COMPUTED_VALUE"""),402500.0)</f>
        <v>402500</v>
      </c>
      <c r="E2610" s="1">
        <f>IFERROR(__xludf.DUMMYFUNCTION("""COMPUTED_VALUE"""),408000.0)</f>
        <v>408000</v>
      </c>
      <c r="F2610" s="1">
        <f>IFERROR(__xludf.DUMMYFUNCTION("""COMPUTED_VALUE"""),771749.0)</f>
        <v>771749</v>
      </c>
    </row>
    <row r="2611">
      <c r="A2611" s="2">
        <f>IFERROR(__xludf.DUMMYFUNCTION("""COMPUTED_VALUE"""),44453.64583333333)</f>
        <v>44453.64583</v>
      </c>
      <c r="B2611" s="1">
        <f>IFERROR(__xludf.DUMMYFUNCTION("""COMPUTED_VALUE"""),403500.0)</f>
        <v>403500</v>
      </c>
      <c r="C2611" s="1">
        <f>IFERROR(__xludf.DUMMYFUNCTION("""COMPUTED_VALUE"""),406500.0)</f>
        <v>406500</v>
      </c>
      <c r="D2611" s="1">
        <f>IFERROR(__xludf.DUMMYFUNCTION("""COMPUTED_VALUE"""),393500.0)</f>
        <v>393500</v>
      </c>
      <c r="E2611" s="1">
        <f>IFERROR(__xludf.DUMMYFUNCTION("""COMPUTED_VALUE"""),402500.0)</f>
        <v>402500</v>
      </c>
      <c r="F2611" s="1">
        <f>IFERROR(__xludf.DUMMYFUNCTION("""COMPUTED_VALUE"""),1636660.0)</f>
        <v>1636660</v>
      </c>
    </row>
    <row r="2612">
      <c r="A2612" s="2">
        <f>IFERROR(__xludf.DUMMYFUNCTION("""COMPUTED_VALUE"""),44454.64583333333)</f>
        <v>44454.64583</v>
      </c>
      <c r="B2612" s="1">
        <f>IFERROR(__xludf.DUMMYFUNCTION("""COMPUTED_VALUE"""),403000.0)</f>
        <v>403000</v>
      </c>
      <c r="C2612" s="1">
        <f>IFERROR(__xludf.DUMMYFUNCTION("""COMPUTED_VALUE"""),409500.0)</f>
        <v>409500</v>
      </c>
      <c r="D2612" s="1">
        <f>IFERROR(__xludf.DUMMYFUNCTION("""COMPUTED_VALUE"""),400000.0)</f>
        <v>400000</v>
      </c>
      <c r="E2612" s="1">
        <f>IFERROR(__xludf.DUMMYFUNCTION("""COMPUTED_VALUE"""),400500.0)</f>
        <v>400500</v>
      </c>
      <c r="F2612" s="1">
        <f>IFERROR(__xludf.DUMMYFUNCTION("""COMPUTED_VALUE"""),730616.0)</f>
        <v>730616</v>
      </c>
    </row>
    <row r="2613">
      <c r="A2613" s="2">
        <f>IFERROR(__xludf.DUMMYFUNCTION("""COMPUTED_VALUE"""),44455.64583333333)</f>
        <v>44455.64583</v>
      </c>
      <c r="B2613" s="1">
        <f>IFERROR(__xludf.DUMMYFUNCTION("""COMPUTED_VALUE"""),405000.0)</f>
        <v>405000</v>
      </c>
      <c r="C2613" s="1">
        <f>IFERROR(__xludf.DUMMYFUNCTION("""COMPUTED_VALUE"""),410000.0)</f>
        <v>410000</v>
      </c>
      <c r="D2613" s="1">
        <f>IFERROR(__xludf.DUMMYFUNCTION("""COMPUTED_VALUE"""),401000.0)</f>
        <v>401000</v>
      </c>
      <c r="E2613" s="1">
        <f>IFERROR(__xludf.DUMMYFUNCTION("""COMPUTED_VALUE"""),402000.0)</f>
        <v>402000</v>
      </c>
      <c r="F2613" s="1">
        <f>IFERROR(__xludf.DUMMYFUNCTION("""COMPUTED_VALUE"""),614987.0)</f>
        <v>614987</v>
      </c>
    </row>
    <row r="2614">
      <c r="A2614" s="2">
        <f>IFERROR(__xludf.DUMMYFUNCTION("""COMPUTED_VALUE"""),44456.64583333333)</f>
        <v>44456.64583</v>
      </c>
      <c r="B2614" s="1">
        <f>IFERROR(__xludf.DUMMYFUNCTION("""COMPUTED_VALUE"""),404500.0)</f>
        <v>404500</v>
      </c>
      <c r="C2614" s="1">
        <f>IFERROR(__xludf.DUMMYFUNCTION("""COMPUTED_VALUE"""),405000.0)</f>
        <v>405000</v>
      </c>
      <c r="D2614" s="1">
        <f>IFERROR(__xludf.DUMMYFUNCTION("""COMPUTED_VALUE"""),397500.0)</f>
        <v>397500</v>
      </c>
      <c r="E2614" s="1">
        <f>IFERROR(__xludf.DUMMYFUNCTION("""COMPUTED_VALUE"""),403000.0)</f>
        <v>403000</v>
      </c>
      <c r="F2614" s="1">
        <f>IFERROR(__xludf.DUMMYFUNCTION("""COMPUTED_VALUE"""),558566.0)</f>
        <v>558566</v>
      </c>
    </row>
    <row r="2615">
      <c r="A2615" s="2">
        <f>IFERROR(__xludf.DUMMYFUNCTION("""COMPUTED_VALUE"""),44462.64583333333)</f>
        <v>44462.64583</v>
      </c>
      <c r="B2615" s="1">
        <f>IFERROR(__xludf.DUMMYFUNCTION("""COMPUTED_VALUE"""),400500.0)</f>
        <v>400500</v>
      </c>
      <c r="C2615" s="1">
        <f>IFERROR(__xludf.DUMMYFUNCTION("""COMPUTED_VALUE"""),401500.0)</f>
        <v>401500</v>
      </c>
      <c r="D2615" s="1">
        <f>IFERROR(__xludf.DUMMYFUNCTION("""COMPUTED_VALUE"""),397500.0)</f>
        <v>397500</v>
      </c>
      <c r="E2615" s="1">
        <f>IFERROR(__xludf.DUMMYFUNCTION("""COMPUTED_VALUE"""),400000.0)</f>
        <v>400000</v>
      </c>
      <c r="F2615" s="1">
        <f>IFERROR(__xludf.DUMMYFUNCTION("""COMPUTED_VALUE"""),615295.0)</f>
        <v>615295</v>
      </c>
    </row>
    <row r="2616">
      <c r="A2616" s="2">
        <f>IFERROR(__xludf.DUMMYFUNCTION("""COMPUTED_VALUE"""),44463.64583333333)</f>
        <v>44463.64583</v>
      </c>
      <c r="B2616" s="1">
        <f>IFERROR(__xludf.DUMMYFUNCTION("""COMPUTED_VALUE"""),398500.0)</f>
        <v>398500</v>
      </c>
      <c r="C2616" s="1">
        <f>IFERROR(__xludf.DUMMYFUNCTION("""COMPUTED_VALUE"""),406000.0)</f>
        <v>406000</v>
      </c>
      <c r="D2616" s="1">
        <f>IFERROR(__xludf.DUMMYFUNCTION("""COMPUTED_VALUE"""),398000.0)</f>
        <v>398000</v>
      </c>
      <c r="E2616" s="1">
        <f>IFERROR(__xludf.DUMMYFUNCTION("""COMPUTED_VALUE"""),405500.0)</f>
        <v>405500</v>
      </c>
      <c r="F2616" s="1">
        <f>IFERROR(__xludf.DUMMYFUNCTION("""COMPUTED_VALUE"""),574341.0)</f>
        <v>574341</v>
      </c>
    </row>
    <row r="2617">
      <c r="A2617" s="2">
        <f>IFERROR(__xludf.DUMMYFUNCTION("""COMPUTED_VALUE"""),44466.64583333333)</f>
        <v>44466.64583</v>
      </c>
      <c r="B2617" s="1">
        <f>IFERROR(__xludf.DUMMYFUNCTION("""COMPUTED_VALUE"""),406000.0)</f>
        <v>406000</v>
      </c>
      <c r="C2617" s="1">
        <f>IFERROR(__xludf.DUMMYFUNCTION("""COMPUTED_VALUE"""),407500.0)</f>
        <v>407500</v>
      </c>
      <c r="D2617" s="1">
        <f>IFERROR(__xludf.DUMMYFUNCTION("""COMPUTED_VALUE"""),401000.0)</f>
        <v>401000</v>
      </c>
      <c r="E2617" s="1">
        <f>IFERROR(__xludf.DUMMYFUNCTION("""COMPUTED_VALUE"""),403000.0)</f>
        <v>403000</v>
      </c>
      <c r="F2617" s="1">
        <f>IFERROR(__xludf.DUMMYFUNCTION("""COMPUTED_VALUE"""),455667.0)</f>
        <v>455667</v>
      </c>
    </row>
    <row r="2618">
      <c r="A2618" s="2">
        <f>IFERROR(__xludf.DUMMYFUNCTION("""COMPUTED_VALUE"""),44467.64583333333)</f>
        <v>44467.64583</v>
      </c>
      <c r="B2618" s="1">
        <f>IFERROR(__xludf.DUMMYFUNCTION("""COMPUTED_VALUE"""),399500.0)</f>
        <v>399500</v>
      </c>
      <c r="C2618" s="1">
        <f>IFERROR(__xludf.DUMMYFUNCTION("""COMPUTED_VALUE"""),400000.0)</f>
        <v>400000</v>
      </c>
      <c r="D2618" s="1">
        <f>IFERROR(__xludf.DUMMYFUNCTION("""COMPUTED_VALUE"""),391000.0)</f>
        <v>391000</v>
      </c>
      <c r="E2618" s="1">
        <f>IFERROR(__xludf.DUMMYFUNCTION("""COMPUTED_VALUE"""),392500.0)</f>
        <v>392500</v>
      </c>
      <c r="F2618" s="1">
        <f>IFERROR(__xludf.DUMMYFUNCTION("""COMPUTED_VALUE"""),857556.0)</f>
        <v>857556</v>
      </c>
    </row>
    <row r="2619">
      <c r="A2619" s="2">
        <f>IFERROR(__xludf.DUMMYFUNCTION("""COMPUTED_VALUE"""),44468.64583333333)</f>
        <v>44468.64583</v>
      </c>
      <c r="B2619" s="1">
        <f>IFERROR(__xludf.DUMMYFUNCTION("""COMPUTED_VALUE"""),380500.0)</f>
        <v>380500</v>
      </c>
      <c r="C2619" s="1">
        <f>IFERROR(__xludf.DUMMYFUNCTION("""COMPUTED_VALUE"""),390000.0)</f>
        <v>390000</v>
      </c>
      <c r="D2619" s="1">
        <f>IFERROR(__xludf.DUMMYFUNCTION("""COMPUTED_VALUE"""),380000.0)</f>
        <v>380000</v>
      </c>
      <c r="E2619" s="1">
        <f>IFERROR(__xludf.DUMMYFUNCTION("""COMPUTED_VALUE"""),387000.0)</f>
        <v>387000</v>
      </c>
      <c r="F2619" s="1">
        <f>IFERROR(__xludf.DUMMYFUNCTION("""COMPUTED_VALUE"""),664216.0)</f>
        <v>664216</v>
      </c>
    </row>
    <row r="2620">
      <c r="A2620" s="2">
        <f>IFERROR(__xludf.DUMMYFUNCTION("""COMPUTED_VALUE"""),44469.64583333333)</f>
        <v>44469.64583</v>
      </c>
      <c r="B2620" s="1">
        <f>IFERROR(__xludf.DUMMYFUNCTION("""COMPUTED_VALUE"""),383000.0)</f>
        <v>383000</v>
      </c>
      <c r="C2620" s="1">
        <f>IFERROR(__xludf.DUMMYFUNCTION("""COMPUTED_VALUE"""),390000.0)</f>
        <v>390000</v>
      </c>
      <c r="D2620" s="1">
        <f>IFERROR(__xludf.DUMMYFUNCTION("""COMPUTED_VALUE"""),381000.0)</f>
        <v>381000</v>
      </c>
      <c r="E2620" s="1">
        <f>IFERROR(__xludf.DUMMYFUNCTION("""COMPUTED_VALUE"""),388000.0)</f>
        <v>388000</v>
      </c>
      <c r="F2620" s="1">
        <f>IFERROR(__xludf.DUMMYFUNCTION("""COMPUTED_VALUE"""),611128.0)</f>
        <v>611128</v>
      </c>
    </row>
    <row r="2621">
      <c r="A2621" s="2">
        <f>IFERROR(__xludf.DUMMYFUNCTION("""COMPUTED_VALUE"""),44470.64583333333)</f>
        <v>44470.64583</v>
      </c>
      <c r="B2621" s="1">
        <f>IFERROR(__xludf.DUMMYFUNCTION("""COMPUTED_VALUE"""),388500.0)</f>
        <v>388500</v>
      </c>
      <c r="C2621" s="1">
        <f>IFERROR(__xludf.DUMMYFUNCTION("""COMPUTED_VALUE"""),389500.0)</f>
        <v>389500</v>
      </c>
      <c r="D2621" s="1">
        <f>IFERROR(__xludf.DUMMYFUNCTION("""COMPUTED_VALUE"""),381500.0)</f>
        <v>381500</v>
      </c>
      <c r="E2621" s="1">
        <f>IFERROR(__xludf.DUMMYFUNCTION("""COMPUTED_VALUE"""),382000.0)</f>
        <v>382000</v>
      </c>
      <c r="F2621" s="1">
        <f>IFERROR(__xludf.DUMMYFUNCTION("""COMPUTED_VALUE"""),402239.0)</f>
        <v>402239</v>
      </c>
    </row>
    <row r="2622">
      <c r="A2622" s="2">
        <f>IFERROR(__xludf.DUMMYFUNCTION("""COMPUTED_VALUE"""),44474.64583333333)</f>
        <v>44474.64583</v>
      </c>
      <c r="B2622" s="1">
        <f>IFERROR(__xludf.DUMMYFUNCTION("""COMPUTED_VALUE"""),378500.0)</f>
        <v>378500</v>
      </c>
      <c r="C2622" s="1">
        <f>IFERROR(__xludf.DUMMYFUNCTION("""COMPUTED_VALUE"""),380000.0)</f>
        <v>380000</v>
      </c>
      <c r="D2622" s="1">
        <f>IFERROR(__xludf.DUMMYFUNCTION("""COMPUTED_VALUE"""),370000.0)</f>
        <v>370000</v>
      </c>
      <c r="E2622" s="1">
        <f>IFERROR(__xludf.DUMMYFUNCTION("""COMPUTED_VALUE"""),370500.0)</f>
        <v>370500</v>
      </c>
      <c r="F2622" s="1">
        <f>IFERROR(__xludf.DUMMYFUNCTION("""COMPUTED_VALUE"""),828794.0)</f>
        <v>828794</v>
      </c>
    </row>
    <row r="2623">
      <c r="A2623" s="2">
        <f>IFERROR(__xludf.DUMMYFUNCTION("""COMPUTED_VALUE"""),44475.64583333333)</f>
        <v>44475.64583</v>
      </c>
      <c r="B2623" s="1">
        <f>IFERROR(__xludf.DUMMYFUNCTION("""COMPUTED_VALUE"""),373000.0)</f>
        <v>373000</v>
      </c>
      <c r="C2623" s="1">
        <f>IFERROR(__xludf.DUMMYFUNCTION("""COMPUTED_VALUE"""),383500.0)</f>
        <v>383500</v>
      </c>
      <c r="D2623" s="1">
        <f>IFERROR(__xludf.DUMMYFUNCTION("""COMPUTED_VALUE"""),371500.0)</f>
        <v>371500</v>
      </c>
      <c r="E2623" s="1">
        <f>IFERROR(__xludf.DUMMYFUNCTION("""COMPUTED_VALUE"""),373000.0)</f>
        <v>373000</v>
      </c>
      <c r="F2623" s="1">
        <f>IFERROR(__xludf.DUMMYFUNCTION("""COMPUTED_VALUE"""),826716.0)</f>
        <v>826716</v>
      </c>
    </row>
    <row r="2624">
      <c r="A2624" s="2">
        <f>IFERROR(__xludf.DUMMYFUNCTION("""COMPUTED_VALUE"""),44476.64583333333)</f>
        <v>44476.64583</v>
      </c>
      <c r="B2624" s="1">
        <f>IFERROR(__xludf.DUMMYFUNCTION("""COMPUTED_VALUE"""),380500.0)</f>
        <v>380500</v>
      </c>
      <c r="C2624" s="1">
        <f>IFERROR(__xludf.DUMMYFUNCTION("""COMPUTED_VALUE"""),394000.0)</f>
        <v>394000</v>
      </c>
      <c r="D2624" s="1">
        <f>IFERROR(__xludf.DUMMYFUNCTION("""COMPUTED_VALUE"""),378000.0)</f>
        <v>378000</v>
      </c>
      <c r="E2624" s="1">
        <f>IFERROR(__xludf.DUMMYFUNCTION("""COMPUTED_VALUE"""),393500.0)</f>
        <v>393500</v>
      </c>
      <c r="F2624" s="1">
        <f>IFERROR(__xludf.DUMMYFUNCTION("""COMPUTED_VALUE"""),832068.0)</f>
        <v>832068</v>
      </c>
    </row>
    <row r="2625">
      <c r="A2625" s="2">
        <f>IFERROR(__xludf.DUMMYFUNCTION("""COMPUTED_VALUE"""),44477.64583333333)</f>
        <v>44477.64583</v>
      </c>
      <c r="B2625" s="1">
        <f>IFERROR(__xludf.DUMMYFUNCTION("""COMPUTED_VALUE"""),397500.0)</f>
        <v>397500</v>
      </c>
      <c r="C2625" s="1">
        <f>IFERROR(__xludf.DUMMYFUNCTION("""COMPUTED_VALUE"""),397500.0)</f>
        <v>397500</v>
      </c>
      <c r="D2625" s="1">
        <f>IFERROR(__xludf.DUMMYFUNCTION("""COMPUTED_VALUE"""),388000.0)</f>
        <v>388000</v>
      </c>
      <c r="E2625" s="1">
        <f>IFERROR(__xludf.DUMMYFUNCTION("""COMPUTED_VALUE"""),388500.0)</f>
        <v>388500</v>
      </c>
      <c r="F2625" s="1">
        <f>IFERROR(__xludf.DUMMYFUNCTION("""COMPUTED_VALUE"""),542514.0)</f>
        <v>542514</v>
      </c>
    </row>
    <row r="2626">
      <c r="A2626" s="2">
        <f>IFERROR(__xludf.DUMMYFUNCTION("""COMPUTED_VALUE"""),44481.64583333333)</f>
        <v>44481.64583</v>
      </c>
      <c r="B2626" s="1">
        <f>IFERROR(__xludf.DUMMYFUNCTION("""COMPUTED_VALUE"""),384500.0)</f>
        <v>384500</v>
      </c>
      <c r="C2626" s="1">
        <f>IFERROR(__xludf.DUMMYFUNCTION("""COMPUTED_VALUE"""),387000.0)</f>
        <v>387000</v>
      </c>
      <c r="D2626" s="1">
        <f>IFERROR(__xludf.DUMMYFUNCTION("""COMPUTED_VALUE"""),372000.0)</f>
        <v>372000</v>
      </c>
      <c r="E2626" s="1">
        <f>IFERROR(__xludf.DUMMYFUNCTION("""COMPUTED_VALUE"""),372000.0)</f>
        <v>372000</v>
      </c>
      <c r="F2626" s="1">
        <f>IFERROR(__xludf.DUMMYFUNCTION("""COMPUTED_VALUE"""),817135.0)</f>
        <v>817135</v>
      </c>
    </row>
    <row r="2627">
      <c r="A2627" s="2">
        <f>IFERROR(__xludf.DUMMYFUNCTION("""COMPUTED_VALUE"""),44482.64583333333)</f>
        <v>44482.64583</v>
      </c>
      <c r="B2627" s="1">
        <f>IFERROR(__xludf.DUMMYFUNCTION("""COMPUTED_VALUE"""),372500.0)</f>
        <v>372500</v>
      </c>
      <c r="C2627" s="1">
        <f>IFERROR(__xludf.DUMMYFUNCTION("""COMPUTED_VALUE"""),383000.0)</f>
        <v>383000</v>
      </c>
      <c r="D2627" s="1">
        <f>IFERROR(__xludf.DUMMYFUNCTION("""COMPUTED_VALUE"""),372000.0)</f>
        <v>372000</v>
      </c>
      <c r="E2627" s="1">
        <f>IFERROR(__xludf.DUMMYFUNCTION("""COMPUTED_VALUE"""),382000.0)</f>
        <v>382000</v>
      </c>
      <c r="F2627" s="1">
        <f>IFERROR(__xludf.DUMMYFUNCTION("""COMPUTED_VALUE"""),612239.0)</f>
        <v>612239</v>
      </c>
    </row>
    <row r="2628">
      <c r="A2628" s="2">
        <f>IFERROR(__xludf.DUMMYFUNCTION("""COMPUTED_VALUE"""),44483.64583333333)</f>
        <v>44483.64583</v>
      </c>
      <c r="B2628" s="1">
        <f>IFERROR(__xludf.DUMMYFUNCTION("""COMPUTED_VALUE"""),387500.0)</f>
        <v>387500</v>
      </c>
      <c r="C2628" s="1">
        <f>IFERROR(__xludf.DUMMYFUNCTION("""COMPUTED_VALUE"""),396000.0)</f>
        <v>396000</v>
      </c>
      <c r="D2628" s="1">
        <f>IFERROR(__xludf.DUMMYFUNCTION("""COMPUTED_VALUE"""),385500.0)</f>
        <v>385500</v>
      </c>
      <c r="E2628" s="1">
        <f>IFERROR(__xludf.DUMMYFUNCTION("""COMPUTED_VALUE"""),395000.0)</f>
        <v>395000</v>
      </c>
      <c r="F2628" s="1">
        <f>IFERROR(__xludf.DUMMYFUNCTION("""COMPUTED_VALUE"""),689827.0)</f>
        <v>689827</v>
      </c>
    </row>
    <row r="2629">
      <c r="A2629" s="2">
        <f>IFERROR(__xludf.DUMMYFUNCTION("""COMPUTED_VALUE"""),44484.64583333333)</f>
        <v>44484.64583</v>
      </c>
      <c r="B2629" s="1">
        <f>IFERROR(__xludf.DUMMYFUNCTION("""COMPUTED_VALUE"""),400000.0)</f>
        <v>400000</v>
      </c>
      <c r="C2629" s="1">
        <f>IFERROR(__xludf.DUMMYFUNCTION("""COMPUTED_VALUE"""),400000.0)</f>
        <v>400000</v>
      </c>
      <c r="D2629" s="1">
        <f>IFERROR(__xludf.DUMMYFUNCTION("""COMPUTED_VALUE"""),392000.0)</f>
        <v>392000</v>
      </c>
      <c r="E2629" s="1">
        <f>IFERROR(__xludf.DUMMYFUNCTION("""COMPUTED_VALUE"""),393500.0)</f>
        <v>393500</v>
      </c>
      <c r="F2629" s="1">
        <f>IFERROR(__xludf.DUMMYFUNCTION("""COMPUTED_VALUE"""),444506.0)</f>
        <v>444506</v>
      </c>
    </row>
    <row r="2630">
      <c r="A2630" s="2">
        <f>IFERROR(__xludf.DUMMYFUNCTION("""COMPUTED_VALUE"""),44487.64583333333)</f>
        <v>44487.64583</v>
      </c>
      <c r="B2630" s="1">
        <f>IFERROR(__xludf.DUMMYFUNCTION("""COMPUTED_VALUE"""),395000.0)</f>
        <v>395000</v>
      </c>
      <c r="C2630" s="1">
        <f>IFERROR(__xludf.DUMMYFUNCTION("""COMPUTED_VALUE"""),399500.0)</f>
        <v>399500</v>
      </c>
      <c r="D2630" s="1">
        <f>IFERROR(__xludf.DUMMYFUNCTION("""COMPUTED_VALUE"""),389000.0)</f>
        <v>389000</v>
      </c>
      <c r="E2630" s="1">
        <f>IFERROR(__xludf.DUMMYFUNCTION("""COMPUTED_VALUE"""),396500.0)</f>
        <v>396500</v>
      </c>
      <c r="F2630" s="1">
        <f>IFERROR(__xludf.DUMMYFUNCTION("""COMPUTED_VALUE"""),448726.0)</f>
        <v>448726</v>
      </c>
    </row>
    <row r="2631">
      <c r="A2631" s="2">
        <f>IFERROR(__xludf.DUMMYFUNCTION("""COMPUTED_VALUE"""),44488.64583333333)</f>
        <v>44488.64583</v>
      </c>
      <c r="B2631" s="1">
        <f>IFERROR(__xludf.DUMMYFUNCTION("""COMPUTED_VALUE"""),400000.0)</f>
        <v>400000</v>
      </c>
      <c r="C2631" s="1">
        <f>IFERROR(__xludf.DUMMYFUNCTION("""COMPUTED_VALUE"""),408000.0)</f>
        <v>408000</v>
      </c>
      <c r="D2631" s="1">
        <f>IFERROR(__xludf.DUMMYFUNCTION("""COMPUTED_VALUE"""),398500.0)</f>
        <v>398500</v>
      </c>
      <c r="E2631" s="1">
        <f>IFERROR(__xludf.DUMMYFUNCTION("""COMPUTED_VALUE"""),407500.0)</f>
        <v>407500</v>
      </c>
      <c r="F2631" s="1">
        <f>IFERROR(__xludf.DUMMYFUNCTION("""COMPUTED_VALUE"""),560257.0)</f>
        <v>560257</v>
      </c>
    </row>
    <row r="2632">
      <c r="A2632" s="2">
        <f>IFERROR(__xludf.DUMMYFUNCTION("""COMPUTED_VALUE"""),44489.64583333333)</f>
        <v>44489.64583</v>
      </c>
      <c r="B2632" s="1">
        <f>IFERROR(__xludf.DUMMYFUNCTION("""COMPUTED_VALUE"""),411500.0)</f>
        <v>411500</v>
      </c>
      <c r="C2632" s="1">
        <f>IFERROR(__xludf.DUMMYFUNCTION("""COMPUTED_VALUE"""),417000.0)</f>
        <v>417000</v>
      </c>
      <c r="D2632" s="1">
        <f>IFERROR(__xludf.DUMMYFUNCTION("""COMPUTED_VALUE"""),407000.0)</f>
        <v>407000</v>
      </c>
      <c r="E2632" s="1">
        <f>IFERROR(__xludf.DUMMYFUNCTION("""COMPUTED_VALUE"""),407500.0)</f>
        <v>407500</v>
      </c>
      <c r="F2632" s="1">
        <f>IFERROR(__xludf.DUMMYFUNCTION("""COMPUTED_VALUE"""),591636.0)</f>
        <v>591636</v>
      </c>
    </row>
    <row r="2633">
      <c r="A2633" s="2">
        <f>IFERROR(__xludf.DUMMYFUNCTION("""COMPUTED_VALUE"""),44490.64583333333)</f>
        <v>44490.64583</v>
      </c>
      <c r="B2633" s="1">
        <f>IFERROR(__xludf.DUMMYFUNCTION("""COMPUTED_VALUE"""),407500.0)</f>
        <v>407500</v>
      </c>
      <c r="C2633" s="1">
        <f>IFERROR(__xludf.DUMMYFUNCTION("""COMPUTED_VALUE"""),412000.0)</f>
        <v>412000</v>
      </c>
      <c r="D2633" s="1">
        <f>IFERROR(__xludf.DUMMYFUNCTION("""COMPUTED_VALUE"""),404000.0)</f>
        <v>404000</v>
      </c>
      <c r="E2633" s="1">
        <f>IFERROR(__xludf.DUMMYFUNCTION("""COMPUTED_VALUE"""),410500.0)</f>
        <v>410500</v>
      </c>
      <c r="F2633" s="1">
        <f>IFERROR(__xludf.DUMMYFUNCTION("""COMPUTED_VALUE"""),482389.0)</f>
        <v>482389</v>
      </c>
    </row>
    <row r="2634">
      <c r="A2634" s="2">
        <f>IFERROR(__xludf.DUMMYFUNCTION("""COMPUTED_VALUE"""),44491.64583333333)</f>
        <v>44491.64583</v>
      </c>
      <c r="B2634" s="1">
        <f>IFERROR(__xludf.DUMMYFUNCTION("""COMPUTED_VALUE"""),411500.0)</f>
        <v>411500</v>
      </c>
      <c r="C2634" s="1">
        <f>IFERROR(__xludf.DUMMYFUNCTION("""COMPUTED_VALUE"""),411500.0)</f>
        <v>411500</v>
      </c>
      <c r="D2634" s="1">
        <f>IFERROR(__xludf.DUMMYFUNCTION("""COMPUTED_VALUE"""),402500.0)</f>
        <v>402500</v>
      </c>
      <c r="E2634" s="1">
        <f>IFERROR(__xludf.DUMMYFUNCTION("""COMPUTED_VALUE"""),407500.0)</f>
        <v>407500</v>
      </c>
      <c r="F2634" s="1">
        <f>IFERROR(__xludf.DUMMYFUNCTION("""COMPUTED_VALUE"""),395564.0)</f>
        <v>395564</v>
      </c>
    </row>
    <row r="2635">
      <c r="A2635" s="2">
        <f>IFERROR(__xludf.DUMMYFUNCTION("""COMPUTED_VALUE"""),44494.64583333333)</f>
        <v>44494.64583</v>
      </c>
      <c r="B2635" s="1">
        <f>IFERROR(__xludf.DUMMYFUNCTION("""COMPUTED_VALUE"""),408500.0)</f>
        <v>408500</v>
      </c>
      <c r="C2635" s="1">
        <f>IFERROR(__xludf.DUMMYFUNCTION("""COMPUTED_VALUE"""),413000.0)</f>
        <v>413000</v>
      </c>
      <c r="D2635" s="1">
        <f>IFERROR(__xludf.DUMMYFUNCTION("""COMPUTED_VALUE"""),401500.0)</f>
        <v>401500</v>
      </c>
      <c r="E2635" s="1">
        <f>IFERROR(__xludf.DUMMYFUNCTION("""COMPUTED_VALUE"""),402500.0)</f>
        <v>402500</v>
      </c>
      <c r="F2635" s="1">
        <f>IFERROR(__xludf.DUMMYFUNCTION("""COMPUTED_VALUE"""),461889.0)</f>
        <v>461889</v>
      </c>
    </row>
    <row r="2636">
      <c r="A2636" s="2">
        <f>IFERROR(__xludf.DUMMYFUNCTION("""COMPUTED_VALUE"""),44495.64583333333)</f>
        <v>44495.64583</v>
      </c>
      <c r="B2636" s="1">
        <f>IFERROR(__xludf.DUMMYFUNCTION("""COMPUTED_VALUE"""),402500.0)</f>
        <v>402500</v>
      </c>
      <c r="C2636" s="1">
        <f>IFERROR(__xludf.DUMMYFUNCTION("""COMPUTED_VALUE"""),413500.0)</f>
        <v>413500</v>
      </c>
      <c r="D2636" s="1">
        <f>IFERROR(__xludf.DUMMYFUNCTION("""COMPUTED_VALUE"""),402500.0)</f>
        <v>402500</v>
      </c>
      <c r="E2636" s="1">
        <f>IFERROR(__xludf.DUMMYFUNCTION("""COMPUTED_VALUE"""),412500.0)</f>
        <v>412500</v>
      </c>
      <c r="F2636" s="1">
        <f>IFERROR(__xludf.DUMMYFUNCTION("""COMPUTED_VALUE"""),471083.0)</f>
        <v>471083</v>
      </c>
    </row>
    <row r="2637">
      <c r="A2637" s="2">
        <f>IFERROR(__xludf.DUMMYFUNCTION("""COMPUTED_VALUE"""),44496.64583333333)</f>
        <v>44496.64583</v>
      </c>
      <c r="B2637" s="1">
        <f>IFERROR(__xludf.DUMMYFUNCTION("""COMPUTED_VALUE"""),415000.0)</f>
        <v>415000</v>
      </c>
      <c r="C2637" s="1">
        <f>IFERROR(__xludf.DUMMYFUNCTION("""COMPUTED_VALUE"""),419000.0)</f>
        <v>419000</v>
      </c>
      <c r="D2637" s="1">
        <f>IFERROR(__xludf.DUMMYFUNCTION("""COMPUTED_VALUE"""),411500.0)</f>
        <v>411500</v>
      </c>
      <c r="E2637" s="1">
        <f>IFERROR(__xludf.DUMMYFUNCTION("""COMPUTED_VALUE"""),414500.0)</f>
        <v>414500</v>
      </c>
      <c r="F2637" s="1">
        <f>IFERROR(__xludf.DUMMYFUNCTION("""COMPUTED_VALUE"""),497113.0)</f>
        <v>497113</v>
      </c>
    </row>
    <row r="2638">
      <c r="A2638" s="2">
        <f>IFERROR(__xludf.DUMMYFUNCTION("""COMPUTED_VALUE"""),44497.64583333333)</f>
        <v>44497.64583</v>
      </c>
      <c r="B2638" s="1">
        <f>IFERROR(__xludf.DUMMYFUNCTION("""COMPUTED_VALUE"""),419000.0)</f>
        <v>419000</v>
      </c>
      <c r="C2638" s="1">
        <f>IFERROR(__xludf.DUMMYFUNCTION("""COMPUTED_VALUE"""),419500.0)</f>
        <v>419500</v>
      </c>
      <c r="D2638" s="1">
        <f>IFERROR(__xludf.DUMMYFUNCTION("""COMPUTED_VALUE"""),411500.0)</f>
        <v>411500</v>
      </c>
      <c r="E2638" s="1">
        <f>IFERROR(__xludf.DUMMYFUNCTION("""COMPUTED_VALUE"""),413000.0)</f>
        <v>413000</v>
      </c>
      <c r="F2638" s="1">
        <f>IFERROR(__xludf.DUMMYFUNCTION("""COMPUTED_VALUE"""),494766.0)</f>
        <v>494766</v>
      </c>
    </row>
    <row r="2639">
      <c r="A2639" s="2">
        <f>IFERROR(__xludf.DUMMYFUNCTION("""COMPUTED_VALUE"""),44498.64583333333)</f>
        <v>44498.64583</v>
      </c>
      <c r="B2639" s="1">
        <f>IFERROR(__xludf.DUMMYFUNCTION("""COMPUTED_VALUE"""),413000.0)</f>
        <v>413000</v>
      </c>
      <c r="C2639" s="1">
        <f>IFERROR(__xludf.DUMMYFUNCTION("""COMPUTED_VALUE"""),414500.0)</f>
        <v>414500</v>
      </c>
      <c r="D2639" s="1">
        <f>IFERROR(__xludf.DUMMYFUNCTION("""COMPUTED_VALUE"""),405500.0)</f>
        <v>405500</v>
      </c>
      <c r="E2639" s="1">
        <f>IFERROR(__xludf.DUMMYFUNCTION("""COMPUTED_VALUE"""),407000.0)</f>
        <v>407000</v>
      </c>
      <c r="F2639" s="1">
        <f>IFERROR(__xludf.DUMMYFUNCTION("""COMPUTED_VALUE"""),472080.0)</f>
        <v>472080</v>
      </c>
    </row>
    <row r="2640">
      <c r="A2640" s="2">
        <f>IFERROR(__xludf.DUMMYFUNCTION("""COMPUTED_VALUE"""),44501.64583333333)</f>
        <v>44501.64583</v>
      </c>
      <c r="B2640" s="1">
        <f>IFERROR(__xludf.DUMMYFUNCTION("""COMPUTED_VALUE"""),407000.0)</f>
        <v>407000</v>
      </c>
      <c r="C2640" s="1">
        <f>IFERROR(__xludf.DUMMYFUNCTION("""COMPUTED_VALUE"""),411500.0)</f>
        <v>411500</v>
      </c>
      <c r="D2640" s="1">
        <f>IFERROR(__xludf.DUMMYFUNCTION("""COMPUTED_VALUE"""),404000.0)</f>
        <v>404000</v>
      </c>
      <c r="E2640" s="1">
        <f>IFERROR(__xludf.DUMMYFUNCTION("""COMPUTED_VALUE"""),408500.0)</f>
        <v>408500</v>
      </c>
      <c r="F2640" s="1">
        <f>IFERROR(__xludf.DUMMYFUNCTION("""COMPUTED_VALUE"""),337049.0)</f>
        <v>337049</v>
      </c>
    </row>
    <row r="2641">
      <c r="A2641" s="2">
        <f>IFERROR(__xludf.DUMMYFUNCTION("""COMPUTED_VALUE"""),44502.64583333333)</f>
        <v>44502.64583</v>
      </c>
      <c r="B2641" s="1">
        <f>IFERROR(__xludf.DUMMYFUNCTION("""COMPUTED_VALUE"""),409500.0)</f>
        <v>409500</v>
      </c>
      <c r="C2641" s="1">
        <f>IFERROR(__xludf.DUMMYFUNCTION("""COMPUTED_VALUE"""),414500.0)</f>
        <v>414500</v>
      </c>
      <c r="D2641" s="1">
        <f>IFERROR(__xludf.DUMMYFUNCTION("""COMPUTED_VALUE"""),409000.0)</f>
        <v>409000</v>
      </c>
      <c r="E2641" s="1">
        <f>IFERROR(__xludf.DUMMYFUNCTION("""COMPUTED_VALUE"""),410000.0)</f>
        <v>410000</v>
      </c>
      <c r="F2641" s="1">
        <f>IFERROR(__xludf.DUMMYFUNCTION("""COMPUTED_VALUE"""),352579.0)</f>
        <v>352579</v>
      </c>
    </row>
    <row r="2642">
      <c r="A2642" s="2">
        <f>IFERROR(__xludf.DUMMYFUNCTION("""COMPUTED_VALUE"""),44503.64583333333)</f>
        <v>44503.64583</v>
      </c>
      <c r="B2642" s="1">
        <f>IFERROR(__xludf.DUMMYFUNCTION("""COMPUTED_VALUE"""),410000.0)</f>
        <v>410000</v>
      </c>
      <c r="C2642" s="1">
        <f>IFERROR(__xludf.DUMMYFUNCTION("""COMPUTED_VALUE"""),411000.0)</f>
        <v>411000</v>
      </c>
      <c r="D2642" s="1">
        <f>IFERROR(__xludf.DUMMYFUNCTION("""COMPUTED_VALUE"""),400000.0)</f>
        <v>400000</v>
      </c>
      <c r="E2642" s="1">
        <f>IFERROR(__xludf.DUMMYFUNCTION("""COMPUTED_VALUE"""),402500.0)</f>
        <v>402500</v>
      </c>
      <c r="F2642" s="1">
        <f>IFERROR(__xludf.DUMMYFUNCTION("""COMPUTED_VALUE"""),366530.0)</f>
        <v>366530</v>
      </c>
    </row>
    <row r="2643">
      <c r="A2643" s="2">
        <f>IFERROR(__xludf.DUMMYFUNCTION("""COMPUTED_VALUE"""),44504.64583333333)</f>
        <v>44504.64583</v>
      </c>
      <c r="B2643" s="1">
        <f>IFERROR(__xludf.DUMMYFUNCTION("""COMPUTED_VALUE"""),409500.0)</f>
        <v>409500</v>
      </c>
      <c r="C2643" s="1">
        <f>IFERROR(__xludf.DUMMYFUNCTION("""COMPUTED_VALUE"""),415500.0)</f>
        <v>415500</v>
      </c>
      <c r="D2643" s="1">
        <f>IFERROR(__xludf.DUMMYFUNCTION("""COMPUTED_VALUE"""),406500.0)</f>
        <v>406500</v>
      </c>
      <c r="E2643" s="1">
        <f>IFERROR(__xludf.DUMMYFUNCTION("""COMPUTED_VALUE"""),411500.0)</f>
        <v>411500</v>
      </c>
      <c r="F2643" s="1">
        <f>IFERROR(__xludf.DUMMYFUNCTION("""COMPUTED_VALUE"""),537599.0)</f>
        <v>537599</v>
      </c>
    </row>
    <row r="2644">
      <c r="A2644" s="2">
        <f>IFERROR(__xludf.DUMMYFUNCTION("""COMPUTED_VALUE"""),44505.64583333333)</f>
        <v>44505.64583</v>
      </c>
      <c r="B2644" s="1">
        <f>IFERROR(__xludf.DUMMYFUNCTION("""COMPUTED_VALUE"""),411500.0)</f>
        <v>411500</v>
      </c>
      <c r="C2644" s="1">
        <f>IFERROR(__xludf.DUMMYFUNCTION("""COMPUTED_VALUE"""),415000.0)</f>
        <v>415000</v>
      </c>
      <c r="D2644" s="1">
        <f>IFERROR(__xludf.DUMMYFUNCTION("""COMPUTED_VALUE"""),405000.0)</f>
        <v>405000</v>
      </c>
      <c r="E2644" s="1">
        <f>IFERROR(__xludf.DUMMYFUNCTION("""COMPUTED_VALUE"""),410500.0)</f>
        <v>410500</v>
      </c>
      <c r="F2644" s="1">
        <f>IFERROR(__xludf.DUMMYFUNCTION("""COMPUTED_VALUE"""),309468.0)</f>
        <v>309468</v>
      </c>
    </row>
    <row r="2645">
      <c r="A2645" s="2">
        <f>IFERROR(__xludf.DUMMYFUNCTION("""COMPUTED_VALUE"""),44508.64583333333)</f>
        <v>44508.64583</v>
      </c>
      <c r="B2645" s="1">
        <f>IFERROR(__xludf.DUMMYFUNCTION("""COMPUTED_VALUE"""),414500.0)</f>
        <v>414500</v>
      </c>
      <c r="C2645" s="1">
        <f>IFERROR(__xludf.DUMMYFUNCTION("""COMPUTED_VALUE"""),415500.0)</f>
        <v>415500</v>
      </c>
      <c r="D2645" s="1">
        <f>IFERROR(__xludf.DUMMYFUNCTION("""COMPUTED_VALUE"""),405500.0)</f>
        <v>405500</v>
      </c>
      <c r="E2645" s="1">
        <f>IFERROR(__xludf.DUMMYFUNCTION("""COMPUTED_VALUE"""),408000.0)</f>
        <v>408000</v>
      </c>
      <c r="F2645" s="1">
        <f>IFERROR(__xludf.DUMMYFUNCTION("""COMPUTED_VALUE"""),365376.0)</f>
        <v>365376</v>
      </c>
    </row>
    <row r="2646">
      <c r="A2646" s="2">
        <f>IFERROR(__xludf.DUMMYFUNCTION("""COMPUTED_VALUE"""),44509.64583333333)</f>
        <v>44509.64583</v>
      </c>
      <c r="B2646" s="1">
        <f>IFERROR(__xludf.DUMMYFUNCTION("""COMPUTED_VALUE"""),409500.0)</f>
        <v>409500</v>
      </c>
      <c r="C2646" s="1">
        <f>IFERROR(__xludf.DUMMYFUNCTION("""COMPUTED_VALUE"""),419000.0)</f>
        <v>419000</v>
      </c>
      <c r="D2646" s="1">
        <f>IFERROR(__xludf.DUMMYFUNCTION("""COMPUTED_VALUE"""),408500.0)</f>
        <v>408500</v>
      </c>
      <c r="E2646" s="1">
        <f>IFERROR(__xludf.DUMMYFUNCTION("""COMPUTED_VALUE"""),417500.0)</f>
        <v>417500</v>
      </c>
      <c r="F2646" s="1">
        <f>IFERROR(__xludf.DUMMYFUNCTION("""COMPUTED_VALUE"""),542759.0)</f>
        <v>542759</v>
      </c>
    </row>
    <row r="2647">
      <c r="A2647" s="2">
        <f>IFERROR(__xludf.DUMMYFUNCTION("""COMPUTED_VALUE"""),44510.64583333333)</f>
        <v>44510.64583</v>
      </c>
      <c r="B2647" s="1">
        <f>IFERROR(__xludf.DUMMYFUNCTION("""COMPUTED_VALUE"""),415500.0)</f>
        <v>415500</v>
      </c>
      <c r="C2647" s="1">
        <f>IFERROR(__xludf.DUMMYFUNCTION("""COMPUTED_VALUE"""),419000.0)</f>
        <v>419000</v>
      </c>
      <c r="D2647" s="1">
        <f>IFERROR(__xludf.DUMMYFUNCTION("""COMPUTED_VALUE"""),411000.0)</f>
        <v>411000</v>
      </c>
      <c r="E2647" s="1">
        <f>IFERROR(__xludf.DUMMYFUNCTION("""COMPUTED_VALUE"""),414500.0)</f>
        <v>414500</v>
      </c>
      <c r="F2647" s="1">
        <f>IFERROR(__xludf.DUMMYFUNCTION("""COMPUTED_VALUE"""),414599.0)</f>
        <v>414599</v>
      </c>
    </row>
    <row r="2648">
      <c r="A2648" s="2">
        <f>IFERROR(__xludf.DUMMYFUNCTION("""COMPUTED_VALUE"""),44511.64583333333)</f>
        <v>44511.64583</v>
      </c>
      <c r="B2648" s="1">
        <f>IFERROR(__xludf.DUMMYFUNCTION("""COMPUTED_VALUE"""),411000.0)</f>
        <v>411000</v>
      </c>
      <c r="C2648" s="1">
        <f>IFERROR(__xludf.DUMMYFUNCTION("""COMPUTED_VALUE"""),413000.0)</f>
        <v>413000</v>
      </c>
      <c r="D2648" s="1">
        <f>IFERROR(__xludf.DUMMYFUNCTION("""COMPUTED_VALUE"""),405000.0)</f>
        <v>405000</v>
      </c>
      <c r="E2648" s="1">
        <f>IFERROR(__xludf.DUMMYFUNCTION("""COMPUTED_VALUE"""),407000.0)</f>
        <v>407000</v>
      </c>
      <c r="F2648" s="1">
        <f>IFERROR(__xludf.DUMMYFUNCTION("""COMPUTED_VALUE"""),566739.0)</f>
        <v>566739</v>
      </c>
    </row>
    <row r="2649">
      <c r="A2649" s="2">
        <f>IFERROR(__xludf.DUMMYFUNCTION("""COMPUTED_VALUE"""),44512.64583333333)</f>
        <v>44512.64583</v>
      </c>
      <c r="B2649" s="1">
        <f>IFERROR(__xludf.DUMMYFUNCTION("""COMPUTED_VALUE"""),407500.0)</f>
        <v>407500</v>
      </c>
      <c r="C2649" s="1">
        <f>IFERROR(__xludf.DUMMYFUNCTION("""COMPUTED_VALUE"""),412500.0)</f>
        <v>412500</v>
      </c>
      <c r="D2649" s="1">
        <f>IFERROR(__xludf.DUMMYFUNCTION("""COMPUTED_VALUE"""),403500.0)</f>
        <v>403500</v>
      </c>
      <c r="E2649" s="1">
        <f>IFERROR(__xludf.DUMMYFUNCTION("""COMPUTED_VALUE"""),409000.0)</f>
        <v>409000</v>
      </c>
      <c r="F2649" s="1">
        <f>IFERROR(__xludf.DUMMYFUNCTION("""COMPUTED_VALUE"""),412100.0)</f>
        <v>412100</v>
      </c>
    </row>
    <row r="2650">
      <c r="A2650" s="2">
        <f>IFERROR(__xludf.DUMMYFUNCTION("""COMPUTED_VALUE"""),44515.64583333333)</f>
        <v>44515.64583</v>
      </c>
      <c r="B2650" s="1">
        <f>IFERROR(__xludf.DUMMYFUNCTION("""COMPUTED_VALUE"""),409000.0)</f>
        <v>409000</v>
      </c>
      <c r="C2650" s="1">
        <f>IFERROR(__xludf.DUMMYFUNCTION("""COMPUTED_VALUE"""),412500.0)</f>
        <v>412500</v>
      </c>
      <c r="D2650" s="1">
        <f>IFERROR(__xludf.DUMMYFUNCTION("""COMPUTED_VALUE"""),408000.0)</f>
        <v>408000</v>
      </c>
      <c r="E2650" s="1">
        <f>IFERROR(__xludf.DUMMYFUNCTION("""COMPUTED_VALUE"""),411000.0)</f>
        <v>411000</v>
      </c>
      <c r="F2650" s="1">
        <f>IFERROR(__xludf.DUMMYFUNCTION("""COMPUTED_VALUE"""),331770.0)</f>
        <v>331770</v>
      </c>
    </row>
    <row r="2651">
      <c r="A2651" s="2">
        <f>IFERROR(__xludf.DUMMYFUNCTION("""COMPUTED_VALUE"""),44516.64583333333)</f>
        <v>44516.64583</v>
      </c>
      <c r="B2651" s="1">
        <f>IFERROR(__xludf.DUMMYFUNCTION("""COMPUTED_VALUE"""),410000.0)</f>
        <v>410000</v>
      </c>
      <c r="C2651" s="1">
        <f>IFERROR(__xludf.DUMMYFUNCTION("""COMPUTED_VALUE"""),412500.0)</f>
        <v>412500</v>
      </c>
      <c r="D2651" s="1">
        <f>IFERROR(__xludf.DUMMYFUNCTION("""COMPUTED_VALUE"""),405000.0)</f>
        <v>405000</v>
      </c>
      <c r="E2651" s="1">
        <f>IFERROR(__xludf.DUMMYFUNCTION("""COMPUTED_VALUE"""),405500.0)</f>
        <v>405500</v>
      </c>
      <c r="F2651" s="1">
        <f>IFERROR(__xludf.DUMMYFUNCTION("""COMPUTED_VALUE"""),490783.0)</f>
        <v>490783</v>
      </c>
    </row>
    <row r="2652">
      <c r="A2652" s="2">
        <f>IFERROR(__xludf.DUMMYFUNCTION("""COMPUTED_VALUE"""),44517.64583333333)</f>
        <v>44517.64583</v>
      </c>
      <c r="B2652" s="1">
        <f>IFERROR(__xludf.DUMMYFUNCTION("""COMPUTED_VALUE"""),406000.0)</f>
        <v>406000</v>
      </c>
      <c r="C2652" s="1">
        <f>IFERROR(__xludf.DUMMYFUNCTION("""COMPUTED_VALUE"""),406500.0)</f>
        <v>406500</v>
      </c>
      <c r="D2652" s="1">
        <f>IFERROR(__xludf.DUMMYFUNCTION("""COMPUTED_VALUE"""),399000.0)</f>
        <v>399000</v>
      </c>
      <c r="E2652" s="1">
        <f>IFERROR(__xludf.DUMMYFUNCTION("""COMPUTED_VALUE"""),401000.0)</f>
        <v>401000</v>
      </c>
      <c r="F2652" s="1">
        <f>IFERROR(__xludf.DUMMYFUNCTION("""COMPUTED_VALUE"""),540444.0)</f>
        <v>540444</v>
      </c>
    </row>
    <row r="2653">
      <c r="A2653" s="2">
        <f>IFERROR(__xludf.DUMMYFUNCTION("""COMPUTED_VALUE"""),44518.64583333333)</f>
        <v>44518.64583</v>
      </c>
      <c r="B2653" s="1">
        <f>IFERROR(__xludf.DUMMYFUNCTION("""COMPUTED_VALUE"""),403500.0)</f>
        <v>403500</v>
      </c>
      <c r="C2653" s="1">
        <f>IFERROR(__xludf.DUMMYFUNCTION("""COMPUTED_VALUE"""),413000.0)</f>
        <v>413000</v>
      </c>
      <c r="D2653" s="1">
        <f>IFERROR(__xludf.DUMMYFUNCTION("""COMPUTED_VALUE"""),402000.0)</f>
        <v>402000</v>
      </c>
      <c r="E2653" s="1">
        <f>IFERROR(__xludf.DUMMYFUNCTION("""COMPUTED_VALUE"""),407000.0)</f>
        <v>407000</v>
      </c>
      <c r="F2653" s="1">
        <f>IFERROR(__xludf.DUMMYFUNCTION("""COMPUTED_VALUE"""),729079.0)</f>
        <v>729079</v>
      </c>
    </row>
    <row r="2654">
      <c r="A2654" s="2">
        <f>IFERROR(__xludf.DUMMYFUNCTION("""COMPUTED_VALUE"""),44519.64583333333)</f>
        <v>44519.64583</v>
      </c>
      <c r="B2654" s="1">
        <f>IFERROR(__xludf.DUMMYFUNCTION("""COMPUTED_VALUE"""),407000.0)</f>
        <v>407000</v>
      </c>
      <c r="C2654" s="1">
        <f>IFERROR(__xludf.DUMMYFUNCTION("""COMPUTED_VALUE"""),410000.0)</f>
        <v>410000</v>
      </c>
      <c r="D2654" s="1">
        <f>IFERROR(__xludf.DUMMYFUNCTION("""COMPUTED_VALUE"""),404000.0)</f>
        <v>404000</v>
      </c>
      <c r="E2654" s="1">
        <f>IFERROR(__xludf.DUMMYFUNCTION("""COMPUTED_VALUE"""),404000.0)</f>
        <v>404000</v>
      </c>
      <c r="F2654" s="1">
        <f>IFERROR(__xludf.DUMMYFUNCTION("""COMPUTED_VALUE"""),415847.0)</f>
        <v>415847</v>
      </c>
    </row>
    <row r="2655">
      <c r="A2655" s="2">
        <f>IFERROR(__xludf.DUMMYFUNCTION("""COMPUTED_VALUE"""),44522.64583333333)</f>
        <v>44522.64583</v>
      </c>
      <c r="B2655" s="1">
        <f>IFERROR(__xludf.DUMMYFUNCTION("""COMPUTED_VALUE"""),403000.0)</f>
        <v>403000</v>
      </c>
      <c r="C2655" s="1">
        <f>IFERROR(__xludf.DUMMYFUNCTION("""COMPUTED_VALUE"""),411500.0)</f>
        <v>411500</v>
      </c>
      <c r="D2655" s="1">
        <f>IFERROR(__xludf.DUMMYFUNCTION("""COMPUTED_VALUE"""),400500.0)</f>
        <v>400500</v>
      </c>
      <c r="E2655" s="1">
        <f>IFERROR(__xludf.DUMMYFUNCTION("""COMPUTED_VALUE"""),410000.0)</f>
        <v>410000</v>
      </c>
      <c r="F2655" s="1">
        <f>IFERROR(__xludf.DUMMYFUNCTION("""COMPUTED_VALUE"""),555854.0)</f>
        <v>555854</v>
      </c>
    </row>
    <row r="2656">
      <c r="A2656" s="2">
        <f>IFERROR(__xludf.DUMMYFUNCTION("""COMPUTED_VALUE"""),44523.64583333333)</f>
        <v>44523.64583</v>
      </c>
      <c r="B2656" s="1">
        <f>IFERROR(__xludf.DUMMYFUNCTION("""COMPUTED_VALUE"""),401000.0)</f>
        <v>401000</v>
      </c>
      <c r="C2656" s="1">
        <f>IFERROR(__xludf.DUMMYFUNCTION("""COMPUTED_VALUE"""),405000.0)</f>
        <v>405000</v>
      </c>
      <c r="D2656" s="1">
        <f>IFERROR(__xludf.DUMMYFUNCTION("""COMPUTED_VALUE"""),399500.0)</f>
        <v>399500</v>
      </c>
      <c r="E2656" s="1">
        <f>IFERROR(__xludf.DUMMYFUNCTION("""COMPUTED_VALUE"""),400000.0)</f>
        <v>400000</v>
      </c>
      <c r="F2656" s="1">
        <f>IFERROR(__xludf.DUMMYFUNCTION("""COMPUTED_VALUE"""),682033.0)</f>
        <v>682033</v>
      </c>
    </row>
    <row r="2657">
      <c r="A2657" s="2">
        <f>IFERROR(__xludf.DUMMYFUNCTION("""COMPUTED_VALUE"""),44524.64583333333)</f>
        <v>44524.64583</v>
      </c>
      <c r="B2657" s="1">
        <f>IFERROR(__xludf.DUMMYFUNCTION("""COMPUTED_VALUE"""),399000.0)</f>
        <v>399000</v>
      </c>
      <c r="C2657" s="1">
        <f>IFERROR(__xludf.DUMMYFUNCTION("""COMPUTED_VALUE"""),401000.0)</f>
        <v>401000</v>
      </c>
      <c r="D2657" s="1">
        <f>IFERROR(__xludf.DUMMYFUNCTION("""COMPUTED_VALUE"""),392000.0)</f>
        <v>392000</v>
      </c>
      <c r="E2657" s="1">
        <f>IFERROR(__xludf.DUMMYFUNCTION("""COMPUTED_VALUE"""),395000.0)</f>
        <v>395000</v>
      </c>
      <c r="F2657" s="1">
        <f>IFERROR(__xludf.DUMMYFUNCTION("""COMPUTED_VALUE"""),554151.0)</f>
        <v>554151</v>
      </c>
    </row>
    <row r="2658">
      <c r="A2658" s="2">
        <f>IFERROR(__xludf.DUMMYFUNCTION("""COMPUTED_VALUE"""),44525.64583333333)</f>
        <v>44525.64583</v>
      </c>
      <c r="B2658" s="1">
        <f>IFERROR(__xludf.DUMMYFUNCTION("""COMPUTED_VALUE"""),400000.0)</f>
        <v>400000</v>
      </c>
      <c r="C2658" s="1">
        <f>IFERROR(__xludf.DUMMYFUNCTION("""COMPUTED_VALUE"""),401000.0)</f>
        <v>401000</v>
      </c>
      <c r="D2658" s="1">
        <f>IFERROR(__xludf.DUMMYFUNCTION("""COMPUTED_VALUE"""),395500.0)</f>
        <v>395500</v>
      </c>
      <c r="E2658" s="1">
        <f>IFERROR(__xludf.DUMMYFUNCTION("""COMPUTED_VALUE"""),397000.0)</f>
        <v>397000</v>
      </c>
      <c r="F2658" s="1">
        <f>IFERROR(__xludf.DUMMYFUNCTION("""COMPUTED_VALUE"""),323058.0)</f>
        <v>323058</v>
      </c>
    </row>
    <row r="2659">
      <c r="A2659" s="2">
        <f>IFERROR(__xludf.DUMMYFUNCTION("""COMPUTED_VALUE"""),44526.64583333333)</f>
        <v>44526.64583</v>
      </c>
      <c r="B2659" s="1">
        <f>IFERROR(__xludf.DUMMYFUNCTION("""COMPUTED_VALUE"""),394000.0)</f>
        <v>394000</v>
      </c>
      <c r="C2659" s="1">
        <f>IFERROR(__xludf.DUMMYFUNCTION("""COMPUTED_VALUE"""),395500.0)</f>
        <v>395500</v>
      </c>
      <c r="D2659" s="1">
        <f>IFERROR(__xludf.DUMMYFUNCTION("""COMPUTED_VALUE"""),388000.0)</f>
        <v>388000</v>
      </c>
      <c r="E2659" s="1">
        <f>IFERROR(__xludf.DUMMYFUNCTION("""COMPUTED_VALUE"""),389500.0)</f>
        <v>389500</v>
      </c>
      <c r="F2659" s="1">
        <f>IFERROR(__xludf.DUMMYFUNCTION("""COMPUTED_VALUE"""),473540.0)</f>
        <v>473540</v>
      </c>
    </row>
    <row r="2660">
      <c r="A2660" s="2">
        <f>IFERROR(__xludf.DUMMYFUNCTION("""COMPUTED_VALUE"""),44529.64583333333)</f>
        <v>44529.64583</v>
      </c>
      <c r="B2660" s="1">
        <f>IFERROR(__xludf.DUMMYFUNCTION("""COMPUTED_VALUE"""),386500.0)</f>
        <v>386500</v>
      </c>
      <c r="C2660" s="1">
        <f>IFERROR(__xludf.DUMMYFUNCTION("""COMPUTED_VALUE"""),391500.0)</f>
        <v>391500</v>
      </c>
      <c r="D2660" s="1">
        <f>IFERROR(__xludf.DUMMYFUNCTION("""COMPUTED_VALUE"""),382500.0)</f>
        <v>382500</v>
      </c>
      <c r="E2660" s="1">
        <f>IFERROR(__xludf.DUMMYFUNCTION("""COMPUTED_VALUE"""),386500.0)</f>
        <v>386500</v>
      </c>
      <c r="F2660" s="1">
        <f>IFERROR(__xludf.DUMMYFUNCTION("""COMPUTED_VALUE"""),457264.0)</f>
        <v>457264</v>
      </c>
    </row>
    <row r="2661">
      <c r="A2661" s="2">
        <f>IFERROR(__xludf.DUMMYFUNCTION("""COMPUTED_VALUE"""),44530.64583333333)</f>
        <v>44530.64583</v>
      </c>
      <c r="B2661" s="1">
        <f>IFERROR(__xludf.DUMMYFUNCTION("""COMPUTED_VALUE"""),391000.0)</f>
        <v>391000</v>
      </c>
      <c r="C2661" s="1">
        <f>IFERROR(__xludf.DUMMYFUNCTION("""COMPUTED_VALUE"""),392500.0)</f>
        <v>392500</v>
      </c>
      <c r="D2661" s="1">
        <f>IFERROR(__xludf.DUMMYFUNCTION("""COMPUTED_VALUE"""),381000.0)</f>
        <v>381000</v>
      </c>
      <c r="E2661" s="1">
        <f>IFERROR(__xludf.DUMMYFUNCTION("""COMPUTED_VALUE"""),381000.0)</f>
        <v>381000</v>
      </c>
      <c r="F2661" s="1">
        <f>IFERROR(__xludf.DUMMYFUNCTION("""COMPUTED_VALUE"""),1103481.0)</f>
        <v>1103481</v>
      </c>
    </row>
    <row r="2662">
      <c r="A2662" s="2">
        <f>IFERROR(__xludf.DUMMYFUNCTION("""COMPUTED_VALUE"""),44531.64583333333)</f>
        <v>44531.64583</v>
      </c>
      <c r="B2662" s="1">
        <f>IFERROR(__xludf.DUMMYFUNCTION("""COMPUTED_VALUE"""),385000.0)</f>
        <v>385000</v>
      </c>
      <c r="C2662" s="1">
        <f>IFERROR(__xludf.DUMMYFUNCTION("""COMPUTED_VALUE"""),392500.0)</f>
        <v>392500</v>
      </c>
      <c r="D2662" s="1">
        <f>IFERROR(__xludf.DUMMYFUNCTION("""COMPUTED_VALUE"""),382000.0)</f>
        <v>382000</v>
      </c>
      <c r="E2662" s="1">
        <f>IFERROR(__xludf.DUMMYFUNCTION("""COMPUTED_VALUE"""),390000.0)</f>
        <v>390000</v>
      </c>
      <c r="F2662" s="1">
        <f>IFERROR(__xludf.DUMMYFUNCTION("""COMPUTED_VALUE"""),548840.0)</f>
        <v>548840</v>
      </c>
    </row>
    <row r="2663">
      <c r="A2663" s="2">
        <f>IFERROR(__xludf.DUMMYFUNCTION("""COMPUTED_VALUE"""),44532.64583333333)</f>
        <v>44532.64583</v>
      </c>
      <c r="B2663" s="1">
        <f>IFERROR(__xludf.DUMMYFUNCTION("""COMPUTED_VALUE"""),382500.0)</f>
        <v>382500</v>
      </c>
      <c r="C2663" s="1">
        <f>IFERROR(__xludf.DUMMYFUNCTION("""COMPUTED_VALUE"""),399000.0)</f>
        <v>399000</v>
      </c>
      <c r="D2663" s="1">
        <f>IFERROR(__xludf.DUMMYFUNCTION("""COMPUTED_VALUE"""),382000.0)</f>
        <v>382000</v>
      </c>
      <c r="E2663" s="1">
        <f>IFERROR(__xludf.DUMMYFUNCTION("""COMPUTED_VALUE"""),398500.0)</f>
        <v>398500</v>
      </c>
      <c r="F2663" s="1">
        <f>IFERROR(__xludf.DUMMYFUNCTION("""COMPUTED_VALUE"""),613006.0)</f>
        <v>613006</v>
      </c>
    </row>
    <row r="2664">
      <c r="A2664" s="2">
        <f>IFERROR(__xludf.DUMMYFUNCTION("""COMPUTED_VALUE"""),44533.64583333333)</f>
        <v>44533.64583</v>
      </c>
      <c r="B2664" s="1">
        <f>IFERROR(__xludf.DUMMYFUNCTION("""COMPUTED_VALUE"""),397500.0)</f>
        <v>397500</v>
      </c>
      <c r="C2664" s="1">
        <f>IFERROR(__xludf.DUMMYFUNCTION("""COMPUTED_VALUE"""),402000.0)</f>
        <v>402000</v>
      </c>
      <c r="D2664" s="1">
        <f>IFERROR(__xludf.DUMMYFUNCTION("""COMPUTED_VALUE"""),394500.0)</f>
        <v>394500</v>
      </c>
      <c r="E2664" s="1">
        <f>IFERROR(__xludf.DUMMYFUNCTION("""COMPUTED_VALUE"""),402000.0)</f>
        <v>402000</v>
      </c>
      <c r="F2664" s="1">
        <f>IFERROR(__xludf.DUMMYFUNCTION("""COMPUTED_VALUE"""),501099.0)</f>
        <v>501099</v>
      </c>
    </row>
    <row r="2665">
      <c r="A2665" s="2">
        <f>IFERROR(__xludf.DUMMYFUNCTION("""COMPUTED_VALUE"""),44536.64583333333)</f>
        <v>44536.64583</v>
      </c>
      <c r="B2665" s="1">
        <f>IFERROR(__xludf.DUMMYFUNCTION("""COMPUTED_VALUE"""),400500.0)</f>
        <v>400500</v>
      </c>
      <c r="C2665" s="1">
        <f>IFERROR(__xludf.DUMMYFUNCTION("""COMPUTED_VALUE"""),400500.0)</f>
        <v>400500</v>
      </c>
      <c r="D2665" s="1">
        <f>IFERROR(__xludf.DUMMYFUNCTION("""COMPUTED_VALUE"""),389500.0)</f>
        <v>389500</v>
      </c>
      <c r="E2665" s="1">
        <f>IFERROR(__xludf.DUMMYFUNCTION("""COMPUTED_VALUE"""),392000.0)</f>
        <v>392000</v>
      </c>
      <c r="F2665" s="1">
        <f>IFERROR(__xludf.DUMMYFUNCTION("""COMPUTED_VALUE"""),456773.0)</f>
        <v>456773</v>
      </c>
    </row>
    <row r="2666">
      <c r="A2666" s="2">
        <f>IFERROR(__xludf.DUMMYFUNCTION("""COMPUTED_VALUE"""),44537.64583333333)</f>
        <v>44537.64583</v>
      </c>
      <c r="B2666" s="1">
        <f>IFERROR(__xludf.DUMMYFUNCTION("""COMPUTED_VALUE"""),390500.0)</f>
        <v>390500</v>
      </c>
      <c r="C2666" s="1">
        <f>IFERROR(__xludf.DUMMYFUNCTION("""COMPUTED_VALUE"""),392500.0)</f>
        <v>392500</v>
      </c>
      <c r="D2666" s="1">
        <f>IFERROR(__xludf.DUMMYFUNCTION("""COMPUTED_VALUE"""),388500.0)</f>
        <v>388500</v>
      </c>
      <c r="E2666" s="1">
        <f>IFERROR(__xludf.DUMMYFUNCTION("""COMPUTED_VALUE"""),391000.0)</f>
        <v>391000</v>
      </c>
      <c r="F2666" s="1">
        <f>IFERROR(__xludf.DUMMYFUNCTION("""COMPUTED_VALUE"""),384366.0)</f>
        <v>384366</v>
      </c>
    </row>
    <row r="2667">
      <c r="A2667" s="2">
        <f>IFERROR(__xludf.DUMMYFUNCTION("""COMPUTED_VALUE"""),44538.64583333333)</f>
        <v>44538.64583</v>
      </c>
      <c r="B2667" s="1">
        <f>IFERROR(__xludf.DUMMYFUNCTION("""COMPUTED_VALUE"""),395000.0)</f>
        <v>395000</v>
      </c>
      <c r="C2667" s="1">
        <f>IFERROR(__xludf.DUMMYFUNCTION("""COMPUTED_VALUE"""),399500.0)</f>
        <v>399500</v>
      </c>
      <c r="D2667" s="1">
        <f>IFERROR(__xludf.DUMMYFUNCTION("""COMPUTED_VALUE"""),394000.0)</f>
        <v>394000</v>
      </c>
      <c r="E2667" s="1">
        <f>IFERROR(__xludf.DUMMYFUNCTION("""COMPUTED_VALUE"""),395000.0)</f>
        <v>395000</v>
      </c>
      <c r="F2667" s="1">
        <f>IFERROR(__xludf.DUMMYFUNCTION("""COMPUTED_VALUE"""),534080.0)</f>
        <v>534080</v>
      </c>
    </row>
    <row r="2668">
      <c r="A2668" s="2">
        <f>IFERROR(__xludf.DUMMYFUNCTION("""COMPUTED_VALUE"""),44539.64583333333)</f>
        <v>44539.64583</v>
      </c>
      <c r="B2668" s="1">
        <f>IFERROR(__xludf.DUMMYFUNCTION("""COMPUTED_VALUE"""),397000.0)</f>
        <v>397000</v>
      </c>
      <c r="C2668" s="1">
        <f>IFERROR(__xludf.DUMMYFUNCTION("""COMPUTED_VALUE"""),399500.0)</f>
        <v>399500</v>
      </c>
      <c r="D2668" s="1">
        <f>IFERROR(__xludf.DUMMYFUNCTION("""COMPUTED_VALUE"""),394000.0)</f>
        <v>394000</v>
      </c>
      <c r="E2668" s="1">
        <f>IFERROR(__xludf.DUMMYFUNCTION("""COMPUTED_VALUE"""),399500.0)</f>
        <v>399500</v>
      </c>
      <c r="F2668" s="1">
        <f>IFERROR(__xludf.DUMMYFUNCTION("""COMPUTED_VALUE"""),748143.0)</f>
        <v>748143</v>
      </c>
    </row>
    <row r="2669">
      <c r="A2669" s="2">
        <f>IFERROR(__xludf.DUMMYFUNCTION("""COMPUTED_VALUE"""),44540.64583333333)</f>
        <v>44540.64583</v>
      </c>
      <c r="B2669" s="1">
        <f>IFERROR(__xludf.DUMMYFUNCTION("""COMPUTED_VALUE"""),394000.0)</f>
        <v>394000</v>
      </c>
      <c r="C2669" s="1">
        <f>IFERROR(__xludf.DUMMYFUNCTION("""COMPUTED_VALUE"""),396500.0)</f>
        <v>396500</v>
      </c>
      <c r="D2669" s="1">
        <f>IFERROR(__xludf.DUMMYFUNCTION("""COMPUTED_VALUE"""),393500.0)</f>
        <v>393500</v>
      </c>
      <c r="E2669" s="1">
        <f>IFERROR(__xludf.DUMMYFUNCTION("""COMPUTED_VALUE"""),395000.0)</f>
        <v>395000</v>
      </c>
      <c r="F2669" s="1">
        <f>IFERROR(__xludf.DUMMYFUNCTION("""COMPUTED_VALUE"""),224452.0)</f>
        <v>224452</v>
      </c>
    </row>
    <row r="2670">
      <c r="A2670" s="2">
        <f>IFERROR(__xludf.DUMMYFUNCTION("""COMPUTED_VALUE"""),44543.64583333333)</f>
        <v>44543.64583</v>
      </c>
      <c r="B2670" s="1">
        <f>IFERROR(__xludf.DUMMYFUNCTION("""COMPUTED_VALUE"""),398000.0)</f>
        <v>398000</v>
      </c>
      <c r="C2670" s="1">
        <f>IFERROR(__xludf.DUMMYFUNCTION("""COMPUTED_VALUE"""),398000.0)</f>
        <v>398000</v>
      </c>
      <c r="D2670" s="1">
        <f>IFERROR(__xludf.DUMMYFUNCTION("""COMPUTED_VALUE"""),390000.0)</f>
        <v>390000</v>
      </c>
      <c r="E2670" s="1">
        <f>IFERROR(__xludf.DUMMYFUNCTION("""COMPUTED_VALUE"""),390500.0)</f>
        <v>390500</v>
      </c>
      <c r="F2670" s="1">
        <f>IFERROR(__xludf.DUMMYFUNCTION("""COMPUTED_VALUE"""),346330.0)</f>
        <v>346330</v>
      </c>
    </row>
    <row r="2671">
      <c r="A2671" s="2">
        <f>IFERROR(__xludf.DUMMYFUNCTION("""COMPUTED_VALUE"""),44544.64583333333)</f>
        <v>44544.64583</v>
      </c>
      <c r="B2671" s="1">
        <f>IFERROR(__xludf.DUMMYFUNCTION("""COMPUTED_VALUE"""),388500.0)</f>
        <v>388500</v>
      </c>
      <c r="C2671" s="1">
        <f>IFERROR(__xludf.DUMMYFUNCTION("""COMPUTED_VALUE"""),392500.0)</f>
        <v>392500</v>
      </c>
      <c r="D2671" s="1">
        <f>IFERROR(__xludf.DUMMYFUNCTION("""COMPUTED_VALUE"""),387000.0)</f>
        <v>387000</v>
      </c>
      <c r="E2671" s="1">
        <f>IFERROR(__xludf.DUMMYFUNCTION("""COMPUTED_VALUE"""),392000.0)</f>
        <v>392000</v>
      </c>
      <c r="F2671" s="1">
        <f>IFERROR(__xludf.DUMMYFUNCTION("""COMPUTED_VALUE"""),322068.0)</f>
        <v>322068</v>
      </c>
    </row>
    <row r="2672">
      <c r="A2672" s="2">
        <f>IFERROR(__xludf.DUMMYFUNCTION("""COMPUTED_VALUE"""),44545.64583333333)</f>
        <v>44545.64583</v>
      </c>
      <c r="B2672" s="1">
        <f>IFERROR(__xludf.DUMMYFUNCTION("""COMPUTED_VALUE"""),387000.0)</f>
        <v>387000</v>
      </c>
      <c r="C2672" s="1">
        <f>IFERROR(__xludf.DUMMYFUNCTION("""COMPUTED_VALUE"""),390000.0)</f>
        <v>390000</v>
      </c>
      <c r="D2672" s="1">
        <f>IFERROR(__xludf.DUMMYFUNCTION("""COMPUTED_VALUE"""),387000.0)</f>
        <v>387000</v>
      </c>
      <c r="E2672" s="1">
        <f>IFERROR(__xludf.DUMMYFUNCTION("""COMPUTED_VALUE"""),387500.0)</f>
        <v>387500</v>
      </c>
      <c r="F2672" s="1">
        <f>IFERROR(__xludf.DUMMYFUNCTION("""COMPUTED_VALUE"""),290339.0)</f>
        <v>290339</v>
      </c>
    </row>
    <row r="2673">
      <c r="A2673" s="2">
        <f>IFERROR(__xludf.DUMMYFUNCTION("""COMPUTED_VALUE"""),44546.64583333333)</f>
        <v>44546.64583</v>
      </c>
      <c r="B2673" s="1">
        <f>IFERROR(__xludf.DUMMYFUNCTION("""COMPUTED_VALUE"""),389500.0)</f>
        <v>389500</v>
      </c>
      <c r="C2673" s="1">
        <f>IFERROR(__xludf.DUMMYFUNCTION("""COMPUTED_VALUE"""),395500.0)</f>
        <v>395500</v>
      </c>
      <c r="D2673" s="1">
        <f>IFERROR(__xludf.DUMMYFUNCTION("""COMPUTED_VALUE"""),384500.0)</f>
        <v>384500</v>
      </c>
      <c r="E2673" s="1">
        <f>IFERROR(__xludf.DUMMYFUNCTION("""COMPUTED_VALUE"""),387500.0)</f>
        <v>387500</v>
      </c>
      <c r="F2673" s="1">
        <f>IFERROR(__xludf.DUMMYFUNCTION("""COMPUTED_VALUE"""),543865.0)</f>
        <v>543865</v>
      </c>
    </row>
    <row r="2674">
      <c r="A2674" s="2">
        <f>IFERROR(__xludf.DUMMYFUNCTION("""COMPUTED_VALUE"""),44547.64583333333)</f>
        <v>44547.64583</v>
      </c>
      <c r="B2674" s="1">
        <f>IFERROR(__xludf.DUMMYFUNCTION("""COMPUTED_VALUE"""),387000.0)</f>
        <v>387000</v>
      </c>
      <c r="C2674" s="1">
        <f>IFERROR(__xludf.DUMMYFUNCTION("""COMPUTED_VALUE"""),387500.0)</f>
        <v>387500</v>
      </c>
      <c r="D2674" s="1">
        <f>IFERROR(__xludf.DUMMYFUNCTION("""COMPUTED_VALUE"""),383500.0)</f>
        <v>383500</v>
      </c>
      <c r="E2674" s="1">
        <f>IFERROR(__xludf.DUMMYFUNCTION("""COMPUTED_VALUE"""),384500.0)</f>
        <v>384500</v>
      </c>
      <c r="F2674" s="1">
        <f>IFERROR(__xludf.DUMMYFUNCTION("""COMPUTED_VALUE"""),505284.0)</f>
        <v>505284</v>
      </c>
    </row>
    <row r="2675">
      <c r="A2675" s="2">
        <f>IFERROR(__xludf.DUMMYFUNCTION("""COMPUTED_VALUE"""),44550.64583333333)</f>
        <v>44550.64583</v>
      </c>
      <c r="B2675" s="1">
        <f>IFERROR(__xludf.DUMMYFUNCTION("""COMPUTED_VALUE"""),381500.0)</f>
        <v>381500</v>
      </c>
      <c r="C2675" s="1">
        <f>IFERROR(__xludf.DUMMYFUNCTION("""COMPUTED_VALUE"""),383000.0)</f>
        <v>383000</v>
      </c>
      <c r="D2675" s="1">
        <f>IFERROR(__xludf.DUMMYFUNCTION("""COMPUTED_VALUE"""),373000.0)</f>
        <v>373000</v>
      </c>
      <c r="E2675" s="1">
        <f>IFERROR(__xludf.DUMMYFUNCTION("""COMPUTED_VALUE"""),373000.0)</f>
        <v>373000</v>
      </c>
      <c r="F2675" s="1">
        <f>IFERROR(__xludf.DUMMYFUNCTION("""COMPUTED_VALUE"""),630690.0)</f>
        <v>630690</v>
      </c>
    </row>
    <row r="2676">
      <c r="A2676" s="2">
        <f>IFERROR(__xludf.DUMMYFUNCTION("""COMPUTED_VALUE"""),44551.64583333333)</f>
        <v>44551.64583</v>
      </c>
      <c r="B2676" s="1">
        <f>IFERROR(__xludf.DUMMYFUNCTION("""COMPUTED_VALUE"""),370000.0)</f>
        <v>370000</v>
      </c>
      <c r="C2676" s="1">
        <f>IFERROR(__xludf.DUMMYFUNCTION("""COMPUTED_VALUE"""),379000.0)</f>
        <v>379000</v>
      </c>
      <c r="D2676" s="1">
        <f>IFERROR(__xludf.DUMMYFUNCTION("""COMPUTED_VALUE"""),370000.0)</f>
        <v>370000</v>
      </c>
      <c r="E2676" s="1">
        <f>IFERROR(__xludf.DUMMYFUNCTION("""COMPUTED_VALUE"""),375000.0)</f>
        <v>375000</v>
      </c>
      <c r="F2676" s="1">
        <f>IFERROR(__xludf.DUMMYFUNCTION("""COMPUTED_VALUE"""),480367.0)</f>
        <v>480367</v>
      </c>
    </row>
    <row r="2677">
      <c r="A2677" s="2">
        <f>IFERROR(__xludf.DUMMYFUNCTION("""COMPUTED_VALUE"""),44552.64583333333)</f>
        <v>44552.64583</v>
      </c>
      <c r="B2677" s="1">
        <f>IFERROR(__xludf.DUMMYFUNCTION("""COMPUTED_VALUE"""),376000.0)</f>
        <v>376000</v>
      </c>
      <c r="C2677" s="1">
        <f>IFERROR(__xludf.DUMMYFUNCTION("""COMPUTED_VALUE"""),380000.0)</f>
        <v>380000</v>
      </c>
      <c r="D2677" s="1">
        <f>IFERROR(__xludf.DUMMYFUNCTION("""COMPUTED_VALUE"""),375500.0)</f>
        <v>375500</v>
      </c>
      <c r="E2677" s="1">
        <f>IFERROR(__xludf.DUMMYFUNCTION("""COMPUTED_VALUE"""),378500.0)</f>
        <v>378500</v>
      </c>
      <c r="F2677" s="1">
        <f>IFERROR(__xludf.DUMMYFUNCTION("""COMPUTED_VALUE"""),263513.0)</f>
        <v>263513</v>
      </c>
    </row>
    <row r="2678">
      <c r="A2678" s="2">
        <f>IFERROR(__xludf.DUMMYFUNCTION("""COMPUTED_VALUE"""),44553.64583333333)</f>
        <v>44553.64583</v>
      </c>
      <c r="B2678" s="1">
        <f>IFERROR(__xludf.DUMMYFUNCTION("""COMPUTED_VALUE"""),379500.0)</f>
        <v>379500</v>
      </c>
      <c r="C2678" s="1">
        <f>IFERROR(__xludf.DUMMYFUNCTION("""COMPUTED_VALUE"""),380500.0)</f>
        <v>380500</v>
      </c>
      <c r="D2678" s="1">
        <f>IFERROR(__xludf.DUMMYFUNCTION("""COMPUTED_VALUE"""),374500.0)</f>
        <v>374500</v>
      </c>
      <c r="E2678" s="1">
        <f>IFERROR(__xludf.DUMMYFUNCTION("""COMPUTED_VALUE"""),378000.0)</f>
        <v>378000</v>
      </c>
      <c r="F2678" s="1">
        <f>IFERROR(__xludf.DUMMYFUNCTION("""COMPUTED_VALUE"""),354342.0)</f>
        <v>354342</v>
      </c>
    </row>
    <row r="2679">
      <c r="A2679" s="2">
        <f>IFERROR(__xludf.DUMMYFUNCTION("""COMPUTED_VALUE"""),44554.64583333333)</f>
        <v>44554.64583</v>
      </c>
      <c r="B2679" s="1">
        <f>IFERROR(__xludf.DUMMYFUNCTION("""COMPUTED_VALUE"""),378000.0)</f>
        <v>378000</v>
      </c>
      <c r="C2679" s="1">
        <f>IFERROR(__xludf.DUMMYFUNCTION("""COMPUTED_VALUE"""),388000.0)</f>
        <v>388000</v>
      </c>
      <c r="D2679" s="1">
        <f>IFERROR(__xludf.DUMMYFUNCTION("""COMPUTED_VALUE"""),378000.0)</f>
        <v>378000</v>
      </c>
      <c r="E2679" s="1">
        <f>IFERROR(__xludf.DUMMYFUNCTION("""COMPUTED_VALUE"""),384000.0)</f>
        <v>384000</v>
      </c>
      <c r="F2679" s="1">
        <f>IFERROR(__xludf.DUMMYFUNCTION("""COMPUTED_VALUE"""),412695.0)</f>
        <v>412695</v>
      </c>
    </row>
    <row r="2680">
      <c r="A2680" s="2">
        <f>IFERROR(__xludf.DUMMYFUNCTION("""COMPUTED_VALUE"""),44557.64583333333)</f>
        <v>44557.64583</v>
      </c>
      <c r="B2680" s="1">
        <f>IFERROR(__xludf.DUMMYFUNCTION("""COMPUTED_VALUE"""),384500.0)</f>
        <v>384500</v>
      </c>
      <c r="C2680" s="1">
        <f>IFERROR(__xludf.DUMMYFUNCTION("""COMPUTED_VALUE"""),384500.0)</f>
        <v>384500</v>
      </c>
      <c r="D2680" s="1">
        <f>IFERROR(__xludf.DUMMYFUNCTION("""COMPUTED_VALUE"""),380000.0)</f>
        <v>380000</v>
      </c>
      <c r="E2680" s="1">
        <f>IFERROR(__xludf.DUMMYFUNCTION("""COMPUTED_VALUE"""),380500.0)</f>
        <v>380500</v>
      </c>
      <c r="F2680" s="1">
        <f>IFERROR(__xludf.DUMMYFUNCTION("""COMPUTED_VALUE"""),226757.0)</f>
        <v>226757</v>
      </c>
    </row>
    <row r="2681">
      <c r="A2681" s="2">
        <f>IFERROR(__xludf.DUMMYFUNCTION("""COMPUTED_VALUE"""),44558.64583333333)</f>
        <v>44558.64583</v>
      </c>
      <c r="B2681" s="1">
        <f>IFERROR(__xludf.DUMMYFUNCTION("""COMPUTED_VALUE"""),380000.0)</f>
        <v>380000</v>
      </c>
      <c r="C2681" s="1">
        <f>IFERROR(__xludf.DUMMYFUNCTION("""COMPUTED_VALUE"""),385500.0)</f>
        <v>385500</v>
      </c>
      <c r="D2681" s="1">
        <f>IFERROR(__xludf.DUMMYFUNCTION("""COMPUTED_VALUE"""),378000.0)</f>
        <v>378000</v>
      </c>
      <c r="E2681" s="1">
        <f>IFERROR(__xludf.DUMMYFUNCTION("""COMPUTED_VALUE"""),384500.0)</f>
        <v>384500</v>
      </c>
      <c r="F2681" s="1">
        <f>IFERROR(__xludf.DUMMYFUNCTION("""COMPUTED_VALUE"""),551228.0)</f>
        <v>551228</v>
      </c>
    </row>
    <row r="2682">
      <c r="A2682" s="2">
        <f>IFERROR(__xludf.DUMMYFUNCTION("""COMPUTED_VALUE"""),44559.64583333333)</f>
        <v>44559.64583</v>
      </c>
      <c r="B2682" s="1">
        <f>IFERROR(__xludf.DUMMYFUNCTION("""COMPUTED_VALUE"""),389000.0)</f>
        <v>389000</v>
      </c>
      <c r="C2682" s="1">
        <f>IFERROR(__xludf.DUMMYFUNCTION("""COMPUTED_VALUE"""),389000.0)</f>
        <v>389000</v>
      </c>
      <c r="D2682" s="1">
        <f>IFERROR(__xludf.DUMMYFUNCTION("""COMPUTED_VALUE"""),382000.0)</f>
        <v>382000</v>
      </c>
      <c r="E2682" s="1">
        <f>IFERROR(__xludf.DUMMYFUNCTION("""COMPUTED_VALUE"""),382000.0)</f>
        <v>382000</v>
      </c>
      <c r="F2682" s="1">
        <f>IFERROR(__xludf.DUMMYFUNCTION("""COMPUTED_VALUE"""),352409.0)</f>
        <v>352409</v>
      </c>
    </row>
    <row r="2683">
      <c r="A2683" s="2">
        <f>IFERROR(__xludf.DUMMYFUNCTION("""COMPUTED_VALUE"""),44560.64583333333)</f>
        <v>44560.64583</v>
      </c>
      <c r="B2683" s="1">
        <f>IFERROR(__xludf.DUMMYFUNCTION("""COMPUTED_VALUE"""),381000.0)</f>
        <v>381000</v>
      </c>
      <c r="C2683" s="1">
        <f>IFERROR(__xludf.DUMMYFUNCTION("""COMPUTED_VALUE"""),382000.0)</f>
        <v>382000</v>
      </c>
      <c r="D2683" s="1">
        <f>IFERROR(__xludf.DUMMYFUNCTION("""COMPUTED_VALUE"""),376000.0)</f>
        <v>376000</v>
      </c>
      <c r="E2683" s="1">
        <f>IFERROR(__xludf.DUMMYFUNCTION("""COMPUTED_VALUE"""),378500.0)</f>
        <v>378500</v>
      </c>
      <c r="F2683" s="1">
        <f>IFERROR(__xludf.DUMMYFUNCTION("""COMPUTED_VALUE"""),369314.0)</f>
        <v>369314</v>
      </c>
    </row>
    <row r="2684">
      <c r="A2684" s="2">
        <f>IFERROR(__xludf.DUMMYFUNCTION("""COMPUTED_VALUE"""),44564.64583333333)</f>
        <v>44564.64583</v>
      </c>
      <c r="B2684" s="1">
        <f>IFERROR(__xludf.DUMMYFUNCTION("""COMPUTED_VALUE"""),379000.0)</f>
        <v>379000</v>
      </c>
      <c r="C2684" s="1">
        <f>IFERROR(__xludf.DUMMYFUNCTION("""COMPUTED_VALUE"""),381000.0)</f>
        <v>381000</v>
      </c>
      <c r="D2684" s="1">
        <f>IFERROR(__xludf.DUMMYFUNCTION("""COMPUTED_VALUE"""),375500.0)</f>
        <v>375500</v>
      </c>
      <c r="E2684" s="1">
        <f>IFERROR(__xludf.DUMMYFUNCTION("""COMPUTED_VALUE"""),376000.0)</f>
        <v>376000</v>
      </c>
      <c r="F2684" s="1">
        <f>IFERROR(__xludf.DUMMYFUNCTION("""COMPUTED_VALUE"""),378920.0)</f>
        <v>378920</v>
      </c>
    </row>
    <row r="2685">
      <c r="A2685" s="2">
        <f>IFERROR(__xludf.DUMMYFUNCTION("""COMPUTED_VALUE"""),44565.64583333333)</f>
        <v>44565.64583</v>
      </c>
      <c r="B2685" s="1">
        <f>IFERROR(__xludf.DUMMYFUNCTION("""COMPUTED_VALUE"""),376000.0)</f>
        <v>376000</v>
      </c>
      <c r="C2685" s="1">
        <f>IFERROR(__xludf.DUMMYFUNCTION("""COMPUTED_VALUE"""),376000.0)</f>
        <v>376000</v>
      </c>
      <c r="D2685" s="1">
        <f>IFERROR(__xludf.DUMMYFUNCTION("""COMPUTED_VALUE"""),365000.0)</f>
        <v>365000</v>
      </c>
      <c r="E2685" s="1">
        <f>IFERROR(__xludf.DUMMYFUNCTION("""COMPUTED_VALUE"""),365500.0)</f>
        <v>365500</v>
      </c>
      <c r="F2685" s="1">
        <f>IFERROR(__xludf.DUMMYFUNCTION("""COMPUTED_VALUE"""),803676.0)</f>
        <v>803676</v>
      </c>
    </row>
    <row r="2686">
      <c r="A2686" s="2">
        <f>IFERROR(__xludf.DUMMYFUNCTION("""COMPUTED_VALUE"""),44566.64583333333)</f>
        <v>44566.64583</v>
      </c>
      <c r="B2686" s="1">
        <f>IFERROR(__xludf.DUMMYFUNCTION("""COMPUTED_VALUE"""),362000.0)</f>
        <v>362000</v>
      </c>
      <c r="C2686" s="1">
        <f>IFERROR(__xludf.DUMMYFUNCTION("""COMPUTED_VALUE"""),362000.0)</f>
        <v>362000</v>
      </c>
      <c r="D2686" s="1">
        <f>IFERROR(__xludf.DUMMYFUNCTION("""COMPUTED_VALUE"""),352000.0)</f>
        <v>352000</v>
      </c>
      <c r="E2686" s="1">
        <f>IFERROR(__xludf.DUMMYFUNCTION("""COMPUTED_VALUE"""),355000.0)</f>
        <v>355000</v>
      </c>
      <c r="F2686" s="1">
        <f>IFERROR(__xludf.DUMMYFUNCTION("""COMPUTED_VALUE"""),1151703.0)</f>
        <v>1151703</v>
      </c>
    </row>
    <row r="2687">
      <c r="A2687" s="2">
        <f>IFERROR(__xludf.DUMMYFUNCTION("""COMPUTED_VALUE"""),44567.64583333333)</f>
        <v>44567.64583</v>
      </c>
      <c r="B2687" s="1">
        <f>IFERROR(__xludf.DUMMYFUNCTION("""COMPUTED_VALUE"""),348500.0)</f>
        <v>348500</v>
      </c>
      <c r="C2687" s="1">
        <f>IFERROR(__xludf.DUMMYFUNCTION("""COMPUTED_VALUE"""),349500.0)</f>
        <v>349500</v>
      </c>
      <c r="D2687" s="1">
        <f>IFERROR(__xludf.DUMMYFUNCTION("""COMPUTED_VALUE"""),337500.0)</f>
        <v>337500</v>
      </c>
      <c r="E2687" s="1">
        <f>IFERROR(__xludf.DUMMYFUNCTION("""COMPUTED_VALUE"""),338500.0)</f>
        <v>338500</v>
      </c>
      <c r="F2687" s="1">
        <f>IFERROR(__xludf.DUMMYFUNCTION("""COMPUTED_VALUE"""),1280916.0)</f>
        <v>1280916</v>
      </c>
    </row>
    <row r="2688">
      <c r="A2688" s="2">
        <f>IFERROR(__xludf.DUMMYFUNCTION("""COMPUTED_VALUE"""),44568.64583333333)</f>
        <v>44568.64583</v>
      </c>
      <c r="B2688" s="1">
        <f>IFERROR(__xludf.DUMMYFUNCTION("""COMPUTED_VALUE"""),338000.0)</f>
        <v>338000</v>
      </c>
      <c r="C2688" s="1">
        <f>IFERROR(__xludf.DUMMYFUNCTION("""COMPUTED_VALUE"""),343500.0)</f>
        <v>343500</v>
      </c>
      <c r="D2688" s="1">
        <f>IFERROR(__xludf.DUMMYFUNCTION("""COMPUTED_VALUE"""),337000.0)</f>
        <v>337000</v>
      </c>
      <c r="E2688" s="1">
        <f>IFERROR(__xludf.DUMMYFUNCTION("""COMPUTED_VALUE"""),338000.0)</f>
        <v>338000</v>
      </c>
      <c r="F2688" s="1">
        <f>IFERROR(__xludf.DUMMYFUNCTION("""COMPUTED_VALUE"""),787839.0)</f>
        <v>787839</v>
      </c>
    </row>
    <row r="2689">
      <c r="A2689" s="2">
        <f>IFERROR(__xludf.DUMMYFUNCTION("""COMPUTED_VALUE"""),44571.64583333333)</f>
        <v>44571.64583</v>
      </c>
      <c r="B2689" s="1">
        <f>IFERROR(__xludf.DUMMYFUNCTION("""COMPUTED_VALUE"""),339000.0)</f>
        <v>339000</v>
      </c>
      <c r="C2689" s="1">
        <f>IFERROR(__xludf.DUMMYFUNCTION("""COMPUTED_VALUE"""),339500.0)</f>
        <v>339500</v>
      </c>
      <c r="D2689" s="1">
        <f>IFERROR(__xludf.DUMMYFUNCTION("""COMPUTED_VALUE"""),329000.0)</f>
        <v>329000</v>
      </c>
      <c r="E2689" s="1">
        <f>IFERROR(__xludf.DUMMYFUNCTION("""COMPUTED_VALUE"""),335000.0)</f>
        <v>335000</v>
      </c>
      <c r="F2689" s="1">
        <f>IFERROR(__xludf.DUMMYFUNCTION("""COMPUTED_VALUE"""),828611.0)</f>
        <v>828611</v>
      </c>
    </row>
    <row r="2690">
      <c r="A2690" s="2">
        <f>IFERROR(__xludf.DUMMYFUNCTION("""COMPUTED_VALUE"""),44572.64583333333)</f>
        <v>44572.64583</v>
      </c>
      <c r="B2690" s="1">
        <f>IFERROR(__xludf.DUMMYFUNCTION("""COMPUTED_VALUE"""),336000.0)</f>
        <v>336000</v>
      </c>
      <c r="C2690" s="1">
        <f>IFERROR(__xludf.DUMMYFUNCTION("""COMPUTED_VALUE"""),344500.0)</f>
        <v>344500</v>
      </c>
      <c r="D2690" s="1">
        <f>IFERROR(__xludf.DUMMYFUNCTION("""COMPUTED_VALUE"""),334500.0)</f>
        <v>334500</v>
      </c>
      <c r="E2690" s="1">
        <f>IFERROR(__xludf.DUMMYFUNCTION("""COMPUTED_VALUE"""),335000.0)</f>
        <v>335000</v>
      </c>
      <c r="F2690" s="1">
        <f>IFERROR(__xludf.DUMMYFUNCTION("""COMPUTED_VALUE"""),805084.0)</f>
        <v>805084</v>
      </c>
    </row>
    <row r="2691">
      <c r="A2691" s="2">
        <f>IFERROR(__xludf.DUMMYFUNCTION("""COMPUTED_VALUE"""),44573.64583333333)</f>
        <v>44573.64583</v>
      </c>
      <c r="B2691" s="1">
        <f>IFERROR(__xludf.DUMMYFUNCTION("""COMPUTED_VALUE"""),339500.0)</f>
        <v>339500</v>
      </c>
      <c r="C2691" s="1">
        <f>IFERROR(__xludf.DUMMYFUNCTION("""COMPUTED_VALUE"""),352500.0)</f>
        <v>352500</v>
      </c>
      <c r="D2691" s="1">
        <f>IFERROR(__xludf.DUMMYFUNCTION("""COMPUTED_VALUE"""),339500.0)</f>
        <v>339500</v>
      </c>
      <c r="E2691" s="1">
        <f>IFERROR(__xludf.DUMMYFUNCTION("""COMPUTED_VALUE"""),345500.0)</f>
        <v>345500</v>
      </c>
      <c r="F2691" s="1">
        <f>IFERROR(__xludf.DUMMYFUNCTION("""COMPUTED_VALUE"""),1047713.0)</f>
        <v>1047713</v>
      </c>
    </row>
    <row r="2692">
      <c r="A2692" s="2">
        <f>IFERROR(__xludf.DUMMYFUNCTION("""COMPUTED_VALUE"""),44574.64583333333)</f>
        <v>44574.64583</v>
      </c>
      <c r="B2692" s="1">
        <f>IFERROR(__xludf.DUMMYFUNCTION("""COMPUTED_VALUE"""),348000.0)</f>
        <v>348000</v>
      </c>
      <c r="C2692" s="1">
        <f>IFERROR(__xludf.DUMMYFUNCTION("""COMPUTED_VALUE"""),352000.0)</f>
        <v>352000</v>
      </c>
      <c r="D2692" s="1">
        <f>IFERROR(__xludf.DUMMYFUNCTION("""COMPUTED_VALUE"""),344000.0)</f>
        <v>344000</v>
      </c>
      <c r="E2692" s="1">
        <f>IFERROR(__xludf.DUMMYFUNCTION("""COMPUTED_VALUE"""),348000.0)</f>
        <v>348000</v>
      </c>
      <c r="F2692" s="1">
        <f>IFERROR(__xludf.DUMMYFUNCTION("""COMPUTED_VALUE"""),677226.0)</f>
        <v>677226</v>
      </c>
    </row>
    <row r="2693">
      <c r="A2693" s="2">
        <f>IFERROR(__xludf.DUMMYFUNCTION("""COMPUTED_VALUE"""),44575.64583333333)</f>
        <v>44575.64583</v>
      </c>
      <c r="B2693" s="1">
        <f>IFERROR(__xludf.DUMMYFUNCTION("""COMPUTED_VALUE"""),341000.0)</f>
        <v>341000</v>
      </c>
      <c r="C2693" s="1">
        <f>IFERROR(__xludf.DUMMYFUNCTION("""COMPUTED_VALUE"""),342500.0)</f>
        <v>342500</v>
      </c>
      <c r="D2693" s="1">
        <f>IFERROR(__xludf.DUMMYFUNCTION("""COMPUTED_VALUE"""),335500.0)</f>
        <v>335500</v>
      </c>
      <c r="E2693" s="1">
        <f>IFERROR(__xludf.DUMMYFUNCTION("""COMPUTED_VALUE"""),342000.0)</f>
        <v>342000</v>
      </c>
      <c r="F2693" s="1">
        <f>IFERROR(__xludf.DUMMYFUNCTION("""COMPUTED_VALUE"""),504907.0)</f>
        <v>504907</v>
      </c>
    </row>
    <row r="2694">
      <c r="A2694" s="2">
        <f>IFERROR(__xludf.DUMMYFUNCTION("""COMPUTED_VALUE"""),44578.64583333333)</f>
        <v>44578.64583</v>
      </c>
      <c r="B2694" s="1">
        <f>IFERROR(__xludf.DUMMYFUNCTION("""COMPUTED_VALUE"""),340500.0)</f>
        <v>340500</v>
      </c>
      <c r="C2694" s="1">
        <f>IFERROR(__xludf.DUMMYFUNCTION("""COMPUTED_VALUE"""),346500.0)</f>
        <v>346500</v>
      </c>
      <c r="D2694" s="1">
        <f>IFERROR(__xludf.DUMMYFUNCTION("""COMPUTED_VALUE"""),339500.0)</f>
        <v>339500</v>
      </c>
      <c r="E2694" s="1">
        <f>IFERROR(__xludf.DUMMYFUNCTION("""COMPUTED_VALUE"""),343500.0)</f>
        <v>343500</v>
      </c>
      <c r="F2694" s="1">
        <f>IFERROR(__xludf.DUMMYFUNCTION("""COMPUTED_VALUE"""),418789.0)</f>
        <v>418789</v>
      </c>
    </row>
    <row r="2695">
      <c r="A2695" s="2">
        <f>IFERROR(__xludf.DUMMYFUNCTION("""COMPUTED_VALUE"""),44579.64583333333)</f>
        <v>44579.64583</v>
      </c>
      <c r="B2695" s="1">
        <f>IFERROR(__xludf.DUMMYFUNCTION("""COMPUTED_VALUE"""),346500.0)</f>
        <v>346500</v>
      </c>
      <c r="C2695" s="1">
        <f>IFERROR(__xludf.DUMMYFUNCTION("""COMPUTED_VALUE"""),348000.0)</f>
        <v>348000</v>
      </c>
      <c r="D2695" s="1">
        <f>IFERROR(__xludf.DUMMYFUNCTION("""COMPUTED_VALUE"""),335500.0)</f>
        <v>335500</v>
      </c>
      <c r="E2695" s="1">
        <f>IFERROR(__xludf.DUMMYFUNCTION("""COMPUTED_VALUE"""),338000.0)</f>
        <v>338000</v>
      </c>
      <c r="F2695" s="1">
        <f>IFERROR(__xludf.DUMMYFUNCTION("""COMPUTED_VALUE"""),441573.0)</f>
        <v>441573</v>
      </c>
    </row>
    <row r="2696">
      <c r="A2696" s="2">
        <f>IFERROR(__xludf.DUMMYFUNCTION("""COMPUTED_VALUE"""),44580.64583333333)</f>
        <v>44580.64583</v>
      </c>
      <c r="B2696" s="1">
        <f>IFERROR(__xludf.DUMMYFUNCTION("""COMPUTED_VALUE"""),330000.0)</f>
        <v>330000</v>
      </c>
      <c r="C2696" s="1">
        <f>IFERROR(__xludf.DUMMYFUNCTION("""COMPUTED_VALUE"""),334000.0)</f>
        <v>334000</v>
      </c>
      <c r="D2696" s="1">
        <f>IFERROR(__xludf.DUMMYFUNCTION("""COMPUTED_VALUE"""),328000.0)</f>
        <v>328000</v>
      </c>
      <c r="E2696" s="1">
        <f>IFERROR(__xludf.DUMMYFUNCTION("""COMPUTED_VALUE"""),332500.0)</f>
        <v>332500</v>
      </c>
      <c r="F2696" s="1">
        <f>IFERROR(__xludf.DUMMYFUNCTION("""COMPUTED_VALUE"""),749338.0)</f>
        <v>749338</v>
      </c>
    </row>
    <row r="2697">
      <c r="A2697" s="2">
        <f>IFERROR(__xludf.DUMMYFUNCTION("""COMPUTED_VALUE"""),44581.64583333333)</f>
        <v>44581.64583</v>
      </c>
      <c r="B2697" s="1">
        <f>IFERROR(__xludf.DUMMYFUNCTION("""COMPUTED_VALUE"""),331000.0)</f>
        <v>331000</v>
      </c>
      <c r="C2697" s="1">
        <f>IFERROR(__xludf.DUMMYFUNCTION("""COMPUTED_VALUE"""),336500.0)</f>
        <v>336500</v>
      </c>
      <c r="D2697" s="1">
        <f>IFERROR(__xludf.DUMMYFUNCTION("""COMPUTED_VALUE"""),326500.0)</f>
        <v>326500</v>
      </c>
      <c r="E2697" s="1">
        <f>IFERROR(__xludf.DUMMYFUNCTION("""COMPUTED_VALUE"""),335000.0)</f>
        <v>335000</v>
      </c>
      <c r="F2697" s="1">
        <f>IFERROR(__xludf.DUMMYFUNCTION("""COMPUTED_VALUE"""),695553.0)</f>
        <v>695553</v>
      </c>
    </row>
    <row r="2698">
      <c r="A2698" s="2">
        <f>IFERROR(__xludf.DUMMYFUNCTION("""COMPUTED_VALUE"""),44582.64583333333)</f>
        <v>44582.64583</v>
      </c>
      <c r="B2698" s="1">
        <f>IFERROR(__xludf.DUMMYFUNCTION("""COMPUTED_VALUE"""),330500.0)</f>
        <v>330500</v>
      </c>
      <c r="C2698" s="1">
        <f>IFERROR(__xludf.DUMMYFUNCTION("""COMPUTED_VALUE"""),340500.0)</f>
        <v>340500</v>
      </c>
      <c r="D2698" s="1">
        <f>IFERROR(__xludf.DUMMYFUNCTION("""COMPUTED_VALUE"""),330000.0)</f>
        <v>330000</v>
      </c>
      <c r="E2698" s="1">
        <f>IFERROR(__xludf.DUMMYFUNCTION("""COMPUTED_VALUE"""),333000.0)</f>
        <v>333000</v>
      </c>
      <c r="F2698" s="1">
        <f>IFERROR(__xludf.DUMMYFUNCTION("""COMPUTED_VALUE"""),580928.0)</f>
        <v>580928</v>
      </c>
    </row>
    <row r="2699">
      <c r="A2699" s="2">
        <f>IFERROR(__xludf.DUMMYFUNCTION("""COMPUTED_VALUE"""),44585.64583333333)</f>
        <v>44585.64583</v>
      </c>
      <c r="B2699" s="1">
        <f>IFERROR(__xludf.DUMMYFUNCTION("""COMPUTED_VALUE"""),333000.0)</f>
        <v>333000</v>
      </c>
      <c r="C2699" s="1">
        <f>IFERROR(__xludf.DUMMYFUNCTION("""COMPUTED_VALUE"""),334000.0)</f>
        <v>334000</v>
      </c>
      <c r="D2699" s="1">
        <f>IFERROR(__xludf.DUMMYFUNCTION("""COMPUTED_VALUE"""),327500.0)</f>
        <v>327500</v>
      </c>
      <c r="E2699" s="1">
        <f>IFERROR(__xludf.DUMMYFUNCTION("""COMPUTED_VALUE"""),328500.0)</f>
        <v>328500</v>
      </c>
      <c r="F2699" s="1">
        <f>IFERROR(__xludf.DUMMYFUNCTION("""COMPUTED_VALUE"""),494977.0)</f>
        <v>494977</v>
      </c>
    </row>
    <row r="2700">
      <c r="A2700" s="2">
        <f>IFERROR(__xludf.DUMMYFUNCTION("""COMPUTED_VALUE"""),44586.64583333333)</f>
        <v>44586.64583</v>
      </c>
      <c r="B2700" s="1">
        <f>IFERROR(__xludf.DUMMYFUNCTION("""COMPUTED_VALUE"""),329500.0)</f>
        <v>329500</v>
      </c>
      <c r="C2700" s="1">
        <f>IFERROR(__xludf.DUMMYFUNCTION("""COMPUTED_VALUE"""),331500.0)</f>
        <v>331500</v>
      </c>
      <c r="D2700" s="1">
        <f>IFERROR(__xludf.DUMMYFUNCTION("""COMPUTED_VALUE"""),318000.0)</f>
        <v>318000</v>
      </c>
      <c r="E2700" s="1">
        <f>IFERROR(__xludf.DUMMYFUNCTION("""COMPUTED_VALUE"""),322000.0)</f>
        <v>322000</v>
      </c>
      <c r="F2700" s="1">
        <f>IFERROR(__xludf.DUMMYFUNCTION("""COMPUTED_VALUE"""),799996.0)</f>
        <v>799996</v>
      </c>
    </row>
    <row r="2701">
      <c r="A2701" s="2">
        <f>IFERROR(__xludf.DUMMYFUNCTION("""COMPUTED_VALUE"""),44587.64583333333)</f>
        <v>44587.64583</v>
      </c>
      <c r="B2701" s="1">
        <f>IFERROR(__xludf.DUMMYFUNCTION("""COMPUTED_VALUE"""),318500.0)</f>
        <v>318500</v>
      </c>
      <c r="C2701" s="1">
        <f>IFERROR(__xludf.DUMMYFUNCTION("""COMPUTED_VALUE"""),321000.0)</f>
        <v>321000</v>
      </c>
      <c r="D2701" s="1">
        <f>IFERROR(__xludf.DUMMYFUNCTION("""COMPUTED_VALUE"""),312000.0)</f>
        <v>312000</v>
      </c>
      <c r="E2701" s="1">
        <f>IFERROR(__xludf.DUMMYFUNCTION("""COMPUTED_VALUE"""),313000.0)</f>
        <v>313000</v>
      </c>
      <c r="F2701" s="1">
        <f>IFERROR(__xludf.DUMMYFUNCTION("""COMPUTED_VALUE"""),811297.0)</f>
        <v>811297</v>
      </c>
    </row>
    <row r="2702">
      <c r="A2702" s="2">
        <f>IFERROR(__xludf.DUMMYFUNCTION("""COMPUTED_VALUE"""),44588.64583333333)</f>
        <v>44588.64583</v>
      </c>
      <c r="B2702" s="1">
        <f>IFERROR(__xludf.DUMMYFUNCTION("""COMPUTED_VALUE"""),307000.0)</f>
        <v>307000</v>
      </c>
      <c r="C2702" s="1">
        <f>IFERROR(__xludf.DUMMYFUNCTION("""COMPUTED_VALUE"""),315500.0)</f>
        <v>315500</v>
      </c>
      <c r="D2702" s="1">
        <f>IFERROR(__xludf.DUMMYFUNCTION("""COMPUTED_VALUE"""),303000.0)</f>
        <v>303000</v>
      </c>
      <c r="E2702" s="1">
        <f>IFERROR(__xludf.DUMMYFUNCTION("""COMPUTED_VALUE"""),303000.0)</f>
        <v>303000</v>
      </c>
      <c r="F2702" s="1">
        <f>IFERROR(__xludf.DUMMYFUNCTION("""COMPUTED_VALUE"""),949565.0)</f>
        <v>949565</v>
      </c>
    </row>
    <row r="2703">
      <c r="A2703" s="2">
        <f>IFERROR(__xludf.DUMMYFUNCTION("""COMPUTED_VALUE"""),44589.64583333333)</f>
        <v>44589.64583</v>
      </c>
      <c r="B2703" s="1">
        <f>IFERROR(__xludf.DUMMYFUNCTION("""COMPUTED_VALUE"""),297000.0)</f>
        <v>297000</v>
      </c>
      <c r="C2703" s="1">
        <f>IFERROR(__xludf.DUMMYFUNCTION("""COMPUTED_VALUE"""),311000.0)</f>
        <v>311000</v>
      </c>
      <c r="D2703" s="1">
        <f>IFERROR(__xludf.DUMMYFUNCTION("""COMPUTED_VALUE"""),297000.0)</f>
        <v>297000</v>
      </c>
      <c r="E2703" s="1">
        <f>IFERROR(__xludf.DUMMYFUNCTION("""COMPUTED_VALUE"""),310000.0)</f>
        <v>310000</v>
      </c>
      <c r="F2703" s="1">
        <f>IFERROR(__xludf.DUMMYFUNCTION("""COMPUTED_VALUE"""),974351.0)</f>
        <v>974351</v>
      </c>
    </row>
    <row r="2704">
      <c r="A2704" s="2">
        <f>IFERROR(__xludf.DUMMYFUNCTION("""COMPUTED_VALUE"""),44595.64583333333)</f>
        <v>44595.64583</v>
      </c>
      <c r="B2704" s="1">
        <f>IFERROR(__xludf.DUMMYFUNCTION("""COMPUTED_VALUE"""),325500.0)</f>
        <v>325500</v>
      </c>
      <c r="C2704" s="1">
        <f>IFERROR(__xludf.DUMMYFUNCTION("""COMPUTED_VALUE"""),326000.0)</f>
        <v>326000</v>
      </c>
      <c r="D2704" s="1">
        <f>IFERROR(__xludf.DUMMYFUNCTION("""COMPUTED_VALUE"""),320000.0)</f>
        <v>320000</v>
      </c>
      <c r="E2704" s="1">
        <f>IFERROR(__xludf.DUMMYFUNCTION("""COMPUTED_VALUE"""),320500.0)</f>
        <v>320500</v>
      </c>
      <c r="F2704" s="1">
        <f>IFERROR(__xludf.DUMMYFUNCTION("""COMPUTED_VALUE"""),884438.0)</f>
        <v>884438</v>
      </c>
    </row>
    <row r="2705">
      <c r="A2705" s="2">
        <f>IFERROR(__xludf.DUMMYFUNCTION("""COMPUTED_VALUE"""),44596.64583333333)</f>
        <v>44596.64583</v>
      </c>
      <c r="B2705" s="1">
        <f>IFERROR(__xludf.DUMMYFUNCTION("""COMPUTED_VALUE"""),321500.0)</f>
        <v>321500</v>
      </c>
      <c r="C2705" s="1">
        <f>IFERROR(__xludf.DUMMYFUNCTION("""COMPUTED_VALUE"""),329500.0)</f>
        <v>329500</v>
      </c>
      <c r="D2705" s="1">
        <f>IFERROR(__xludf.DUMMYFUNCTION("""COMPUTED_VALUE"""),321000.0)</f>
        <v>321000</v>
      </c>
      <c r="E2705" s="1">
        <f>IFERROR(__xludf.DUMMYFUNCTION("""COMPUTED_VALUE"""),327500.0)</f>
        <v>327500</v>
      </c>
      <c r="F2705" s="1">
        <f>IFERROR(__xludf.DUMMYFUNCTION("""COMPUTED_VALUE"""),548945.0)</f>
        <v>548945</v>
      </c>
    </row>
    <row r="2706">
      <c r="A2706" s="2">
        <f>IFERROR(__xludf.DUMMYFUNCTION("""COMPUTED_VALUE"""),44599.64583333333)</f>
        <v>44599.64583</v>
      </c>
      <c r="B2706" s="1">
        <f>IFERROR(__xludf.DUMMYFUNCTION("""COMPUTED_VALUE"""),328500.0)</f>
        <v>328500</v>
      </c>
      <c r="C2706" s="1">
        <f>IFERROR(__xludf.DUMMYFUNCTION("""COMPUTED_VALUE"""),329000.0)</f>
        <v>329000</v>
      </c>
      <c r="D2706" s="1">
        <f>IFERROR(__xludf.DUMMYFUNCTION("""COMPUTED_VALUE"""),320500.0)</f>
        <v>320500</v>
      </c>
      <c r="E2706" s="1">
        <f>IFERROR(__xludf.DUMMYFUNCTION("""COMPUTED_VALUE"""),327000.0)</f>
        <v>327000</v>
      </c>
      <c r="F2706" s="1">
        <f>IFERROR(__xludf.DUMMYFUNCTION("""COMPUTED_VALUE"""),492656.0)</f>
        <v>492656</v>
      </c>
    </row>
    <row r="2707">
      <c r="A2707" s="2">
        <f>IFERROR(__xludf.DUMMYFUNCTION("""COMPUTED_VALUE"""),44600.64583333333)</f>
        <v>44600.64583</v>
      </c>
      <c r="B2707" s="1">
        <f>IFERROR(__xludf.DUMMYFUNCTION("""COMPUTED_VALUE"""),329000.0)</f>
        <v>329000</v>
      </c>
      <c r="C2707" s="1">
        <f>IFERROR(__xludf.DUMMYFUNCTION("""COMPUTED_VALUE"""),329500.0)</f>
        <v>329500</v>
      </c>
      <c r="D2707" s="1">
        <f>IFERROR(__xludf.DUMMYFUNCTION("""COMPUTED_VALUE"""),320000.0)</f>
        <v>320000</v>
      </c>
      <c r="E2707" s="1">
        <f>IFERROR(__xludf.DUMMYFUNCTION("""COMPUTED_VALUE"""),322000.0)</f>
        <v>322000</v>
      </c>
      <c r="F2707" s="1">
        <f>IFERROR(__xludf.DUMMYFUNCTION("""COMPUTED_VALUE"""),427530.0)</f>
        <v>427530</v>
      </c>
    </row>
    <row r="2708">
      <c r="A2708" s="2">
        <f>IFERROR(__xludf.DUMMYFUNCTION("""COMPUTED_VALUE"""),44601.64583333333)</f>
        <v>44601.64583</v>
      </c>
      <c r="B2708" s="1">
        <f>IFERROR(__xludf.DUMMYFUNCTION("""COMPUTED_VALUE"""),324000.0)</f>
        <v>324000</v>
      </c>
      <c r="C2708" s="1">
        <f>IFERROR(__xludf.DUMMYFUNCTION("""COMPUTED_VALUE"""),327000.0)</f>
        <v>327000</v>
      </c>
      <c r="D2708" s="1">
        <f>IFERROR(__xludf.DUMMYFUNCTION("""COMPUTED_VALUE"""),322000.0)</f>
        <v>322000</v>
      </c>
      <c r="E2708" s="1">
        <f>IFERROR(__xludf.DUMMYFUNCTION("""COMPUTED_VALUE"""),326000.0)</f>
        <v>326000</v>
      </c>
      <c r="F2708" s="1">
        <f>IFERROR(__xludf.DUMMYFUNCTION("""COMPUTED_VALUE"""),377538.0)</f>
        <v>377538</v>
      </c>
    </row>
    <row r="2709">
      <c r="A2709" s="2">
        <f>IFERROR(__xludf.DUMMYFUNCTION("""COMPUTED_VALUE"""),44602.64583333333)</f>
        <v>44602.64583</v>
      </c>
      <c r="B2709" s="1">
        <f>IFERROR(__xludf.DUMMYFUNCTION("""COMPUTED_VALUE"""),326500.0)</f>
        <v>326500</v>
      </c>
      <c r="C2709" s="1">
        <f>IFERROR(__xludf.DUMMYFUNCTION("""COMPUTED_VALUE"""),337500.0)</f>
        <v>337500</v>
      </c>
      <c r="D2709" s="1">
        <f>IFERROR(__xludf.DUMMYFUNCTION("""COMPUTED_VALUE"""),326500.0)</f>
        <v>326500</v>
      </c>
      <c r="E2709" s="1">
        <f>IFERROR(__xludf.DUMMYFUNCTION("""COMPUTED_VALUE"""),331500.0)</f>
        <v>331500</v>
      </c>
      <c r="F2709" s="1">
        <f>IFERROR(__xludf.DUMMYFUNCTION("""COMPUTED_VALUE"""),701866.0)</f>
        <v>701866</v>
      </c>
    </row>
    <row r="2710">
      <c r="A2710" s="2">
        <f>IFERROR(__xludf.DUMMYFUNCTION("""COMPUTED_VALUE"""),44603.64583333333)</f>
        <v>44603.64583</v>
      </c>
      <c r="B2710" s="1">
        <f>IFERROR(__xludf.DUMMYFUNCTION("""COMPUTED_VALUE"""),326500.0)</f>
        <v>326500</v>
      </c>
      <c r="C2710" s="1">
        <f>IFERROR(__xludf.DUMMYFUNCTION("""COMPUTED_VALUE"""),330500.0)</f>
        <v>330500</v>
      </c>
      <c r="D2710" s="1">
        <f>IFERROR(__xludf.DUMMYFUNCTION("""COMPUTED_VALUE"""),323500.0)</f>
        <v>323500</v>
      </c>
      <c r="E2710" s="1">
        <f>IFERROR(__xludf.DUMMYFUNCTION("""COMPUTED_VALUE"""),327500.0)</f>
        <v>327500</v>
      </c>
      <c r="F2710" s="1">
        <f>IFERROR(__xludf.DUMMYFUNCTION("""COMPUTED_VALUE"""),450896.0)</f>
        <v>450896</v>
      </c>
    </row>
    <row r="2711">
      <c r="A2711" s="2">
        <f>IFERROR(__xludf.DUMMYFUNCTION("""COMPUTED_VALUE"""),44606.64583333333)</f>
        <v>44606.64583</v>
      </c>
      <c r="B2711" s="1">
        <f>IFERROR(__xludf.DUMMYFUNCTION("""COMPUTED_VALUE"""),326000.0)</f>
        <v>326000</v>
      </c>
      <c r="C2711" s="1">
        <f>IFERROR(__xludf.DUMMYFUNCTION("""COMPUTED_VALUE"""),327000.0)</f>
        <v>327000</v>
      </c>
      <c r="D2711" s="1">
        <f>IFERROR(__xludf.DUMMYFUNCTION("""COMPUTED_VALUE"""),318000.0)</f>
        <v>318000</v>
      </c>
      <c r="E2711" s="1">
        <f>IFERROR(__xludf.DUMMYFUNCTION("""COMPUTED_VALUE"""),322000.0)</f>
        <v>322000</v>
      </c>
      <c r="F2711" s="1">
        <f>IFERROR(__xludf.DUMMYFUNCTION("""COMPUTED_VALUE"""),424845.0)</f>
        <v>424845</v>
      </c>
    </row>
    <row r="2712">
      <c r="A2712" s="2">
        <f>IFERROR(__xludf.DUMMYFUNCTION("""COMPUTED_VALUE"""),44607.64583333333)</f>
        <v>44607.64583</v>
      </c>
      <c r="B2712" s="1">
        <f>IFERROR(__xludf.DUMMYFUNCTION("""COMPUTED_VALUE"""),325000.0)</f>
        <v>325000</v>
      </c>
      <c r="C2712" s="1">
        <f>IFERROR(__xludf.DUMMYFUNCTION("""COMPUTED_VALUE"""),325500.0)</f>
        <v>325500</v>
      </c>
      <c r="D2712" s="1">
        <f>IFERROR(__xludf.DUMMYFUNCTION("""COMPUTED_VALUE"""),316000.0)</f>
        <v>316000</v>
      </c>
      <c r="E2712" s="1">
        <f>IFERROR(__xludf.DUMMYFUNCTION("""COMPUTED_VALUE"""),318500.0)</f>
        <v>318500</v>
      </c>
      <c r="F2712" s="1">
        <f>IFERROR(__xludf.DUMMYFUNCTION("""COMPUTED_VALUE"""),335584.0)</f>
        <v>335584</v>
      </c>
    </row>
    <row r="2713">
      <c r="A2713" s="2">
        <f>IFERROR(__xludf.DUMMYFUNCTION("""COMPUTED_VALUE"""),44608.64583333333)</f>
        <v>44608.64583</v>
      </c>
      <c r="B2713" s="1">
        <f>IFERROR(__xludf.DUMMYFUNCTION("""COMPUTED_VALUE"""),322500.0)</f>
        <v>322500</v>
      </c>
      <c r="C2713" s="1">
        <f>IFERROR(__xludf.DUMMYFUNCTION("""COMPUTED_VALUE"""),325500.0)</f>
        <v>325500</v>
      </c>
      <c r="D2713" s="1">
        <f>IFERROR(__xludf.DUMMYFUNCTION("""COMPUTED_VALUE"""),320000.0)</f>
        <v>320000</v>
      </c>
      <c r="E2713" s="1">
        <f>IFERROR(__xludf.DUMMYFUNCTION("""COMPUTED_VALUE"""),324500.0)</f>
        <v>324500</v>
      </c>
      <c r="F2713" s="1">
        <f>IFERROR(__xludf.DUMMYFUNCTION("""COMPUTED_VALUE"""),447832.0)</f>
        <v>447832</v>
      </c>
    </row>
    <row r="2714">
      <c r="A2714" s="2">
        <f>IFERROR(__xludf.DUMMYFUNCTION("""COMPUTED_VALUE"""),44609.64583333333)</f>
        <v>44609.64583</v>
      </c>
      <c r="B2714" s="1">
        <f>IFERROR(__xludf.DUMMYFUNCTION("""COMPUTED_VALUE"""),325000.0)</f>
        <v>325000</v>
      </c>
      <c r="C2714" s="1">
        <f>IFERROR(__xludf.DUMMYFUNCTION("""COMPUTED_VALUE"""),328000.0)</f>
        <v>328000</v>
      </c>
      <c r="D2714" s="1">
        <f>IFERROR(__xludf.DUMMYFUNCTION("""COMPUTED_VALUE"""),319000.0)</f>
        <v>319000</v>
      </c>
      <c r="E2714" s="1">
        <f>IFERROR(__xludf.DUMMYFUNCTION("""COMPUTED_VALUE"""),324500.0)</f>
        <v>324500</v>
      </c>
      <c r="F2714" s="1">
        <f>IFERROR(__xludf.DUMMYFUNCTION("""COMPUTED_VALUE"""),481773.0)</f>
        <v>481773</v>
      </c>
    </row>
    <row r="2715">
      <c r="A2715" s="2">
        <f>IFERROR(__xludf.DUMMYFUNCTION("""COMPUTED_VALUE"""),44610.64583333333)</f>
        <v>44610.64583</v>
      </c>
      <c r="B2715" s="1">
        <f>IFERROR(__xludf.DUMMYFUNCTION("""COMPUTED_VALUE"""),319500.0)</f>
        <v>319500</v>
      </c>
      <c r="C2715" s="1">
        <f>IFERROR(__xludf.DUMMYFUNCTION("""COMPUTED_VALUE"""),320000.0)</f>
        <v>320000</v>
      </c>
      <c r="D2715" s="1">
        <f>IFERROR(__xludf.DUMMYFUNCTION("""COMPUTED_VALUE"""),315500.0)</f>
        <v>315500</v>
      </c>
      <c r="E2715" s="1">
        <f>IFERROR(__xludf.DUMMYFUNCTION("""COMPUTED_VALUE"""),318000.0)</f>
        <v>318000</v>
      </c>
      <c r="F2715" s="1">
        <f>IFERROR(__xludf.DUMMYFUNCTION("""COMPUTED_VALUE"""),549382.0)</f>
        <v>549382</v>
      </c>
    </row>
    <row r="2716">
      <c r="A2716" s="2">
        <f>IFERROR(__xludf.DUMMYFUNCTION("""COMPUTED_VALUE"""),44613.64583333333)</f>
        <v>44613.64583</v>
      </c>
      <c r="B2716" s="1">
        <f>IFERROR(__xludf.DUMMYFUNCTION("""COMPUTED_VALUE"""),311000.0)</f>
        <v>311000</v>
      </c>
      <c r="C2716" s="1">
        <f>IFERROR(__xludf.DUMMYFUNCTION("""COMPUTED_VALUE"""),318500.0)</f>
        <v>318500</v>
      </c>
      <c r="D2716" s="1">
        <f>IFERROR(__xludf.DUMMYFUNCTION("""COMPUTED_VALUE"""),308000.0)</f>
        <v>308000</v>
      </c>
      <c r="E2716" s="1">
        <f>IFERROR(__xludf.DUMMYFUNCTION("""COMPUTED_VALUE"""),318000.0)</f>
        <v>318000</v>
      </c>
      <c r="F2716" s="1">
        <f>IFERROR(__xludf.DUMMYFUNCTION("""COMPUTED_VALUE"""),550016.0)</f>
        <v>550016</v>
      </c>
    </row>
    <row r="2717">
      <c r="A2717" s="2">
        <f>IFERROR(__xludf.DUMMYFUNCTION("""COMPUTED_VALUE"""),44614.64583333333)</f>
        <v>44614.64583</v>
      </c>
      <c r="B2717" s="1">
        <f>IFERROR(__xludf.DUMMYFUNCTION("""COMPUTED_VALUE"""),309500.0)</f>
        <v>309500</v>
      </c>
      <c r="C2717" s="1">
        <f>IFERROR(__xludf.DUMMYFUNCTION("""COMPUTED_VALUE"""),313000.0)</f>
        <v>313000</v>
      </c>
      <c r="D2717" s="1">
        <f>IFERROR(__xludf.DUMMYFUNCTION("""COMPUTED_VALUE"""),308000.0)</f>
        <v>308000</v>
      </c>
      <c r="E2717" s="1">
        <f>IFERROR(__xludf.DUMMYFUNCTION("""COMPUTED_VALUE"""),313000.0)</f>
        <v>313000</v>
      </c>
      <c r="F2717" s="1">
        <f>IFERROR(__xludf.DUMMYFUNCTION("""COMPUTED_VALUE"""),484404.0)</f>
        <v>484404</v>
      </c>
    </row>
    <row r="2718">
      <c r="A2718" s="2">
        <f>IFERROR(__xludf.DUMMYFUNCTION("""COMPUTED_VALUE"""),44615.64583333333)</f>
        <v>44615.64583</v>
      </c>
      <c r="B2718" s="1">
        <f>IFERROR(__xludf.DUMMYFUNCTION("""COMPUTED_VALUE"""),316000.0)</f>
        <v>316000</v>
      </c>
      <c r="C2718" s="1">
        <f>IFERROR(__xludf.DUMMYFUNCTION("""COMPUTED_VALUE"""),316500.0)</f>
        <v>316500</v>
      </c>
      <c r="D2718" s="1">
        <f>IFERROR(__xludf.DUMMYFUNCTION("""COMPUTED_VALUE"""),308500.0)</f>
        <v>308500</v>
      </c>
      <c r="E2718" s="1">
        <f>IFERROR(__xludf.DUMMYFUNCTION("""COMPUTED_VALUE"""),309000.0)</f>
        <v>309000</v>
      </c>
      <c r="F2718" s="1">
        <f>IFERROR(__xludf.DUMMYFUNCTION("""COMPUTED_VALUE"""),443348.0)</f>
        <v>443348</v>
      </c>
    </row>
    <row r="2719">
      <c r="A2719" s="2">
        <f>IFERROR(__xludf.DUMMYFUNCTION("""COMPUTED_VALUE"""),44616.64583333333)</f>
        <v>44616.64583</v>
      </c>
      <c r="B2719" s="1">
        <f>IFERROR(__xludf.DUMMYFUNCTION("""COMPUTED_VALUE"""),305000.0)</f>
        <v>305000</v>
      </c>
      <c r="C2719" s="1">
        <f>IFERROR(__xludf.DUMMYFUNCTION("""COMPUTED_VALUE"""),306000.0)</f>
        <v>306000</v>
      </c>
      <c r="D2719" s="1">
        <f>IFERROR(__xludf.DUMMYFUNCTION("""COMPUTED_VALUE"""),300000.0)</f>
        <v>300000</v>
      </c>
      <c r="E2719" s="1">
        <f>IFERROR(__xludf.DUMMYFUNCTION("""COMPUTED_VALUE"""),302500.0)</f>
        <v>302500</v>
      </c>
      <c r="F2719" s="1">
        <f>IFERROR(__xludf.DUMMYFUNCTION("""COMPUTED_VALUE"""),666538.0)</f>
        <v>666538</v>
      </c>
    </row>
    <row r="2720">
      <c r="A2720" s="2">
        <f>IFERROR(__xludf.DUMMYFUNCTION("""COMPUTED_VALUE"""),44617.64583333333)</f>
        <v>44617.64583</v>
      </c>
      <c r="B2720" s="1">
        <f>IFERROR(__xludf.DUMMYFUNCTION("""COMPUTED_VALUE"""),308000.0)</f>
        <v>308000</v>
      </c>
      <c r="C2720" s="1">
        <f>IFERROR(__xludf.DUMMYFUNCTION("""COMPUTED_VALUE"""),317500.0)</f>
        <v>317500</v>
      </c>
      <c r="D2720" s="1">
        <f>IFERROR(__xludf.DUMMYFUNCTION("""COMPUTED_VALUE"""),305000.0)</f>
        <v>305000</v>
      </c>
      <c r="E2720" s="1">
        <f>IFERROR(__xludf.DUMMYFUNCTION("""COMPUTED_VALUE"""),314500.0)</f>
        <v>314500</v>
      </c>
      <c r="F2720" s="1">
        <f>IFERROR(__xludf.DUMMYFUNCTION("""COMPUTED_VALUE"""),857872.0)</f>
        <v>857872</v>
      </c>
    </row>
    <row r="2721">
      <c r="A2721" s="2">
        <f>IFERROR(__xludf.DUMMYFUNCTION("""COMPUTED_VALUE"""),44620.64583333333)</f>
        <v>44620.64583</v>
      </c>
      <c r="B2721" s="1">
        <f>IFERROR(__xludf.DUMMYFUNCTION("""COMPUTED_VALUE"""),312000.0)</f>
        <v>312000</v>
      </c>
      <c r="C2721" s="1">
        <f>IFERROR(__xludf.DUMMYFUNCTION("""COMPUTED_VALUE"""),318500.0)</f>
        <v>318500</v>
      </c>
      <c r="D2721" s="1">
        <f>IFERROR(__xludf.DUMMYFUNCTION("""COMPUTED_VALUE"""),310500.0)</f>
        <v>310500</v>
      </c>
      <c r="E2721" s="1">
        <f>IFERROR(__xludf.DUMMYFUNCTION("""COMPUTED_VALUE"""),318000.0)</f>
        <v>318000</v>
      </c>
      <c r="F2721" s="1">
        <f>IFERROR(__xludf.DUMMYFUNCTION("""COMPUTED_VALUE"""),542469.0)</f>
        <v>542469</v>
      </c>
    </row>
    <row r="2722">
      <c r="A2722" s="2">
        <f>IFERROR(__xludf.DUMMYFUNCTION("""COMPUTED_VALUE"""),44622.64583333333)</f>
        <v>44622.64583</v>
      </c>
      <c r="B2722" s="1">
        <f>IFERROR(__xludf.DUMMYFUNCTION("""COMPUTED_VALUE"""),319000.0)</f>
        <v>319000</v>
      </c>
      <c r="C2722" s="1">
        <f>IFERROR(__xludf.DUMMYFUNCTION("""COMPUTED_VALUE"""),319500.0)</f>
        <v>319500</v>
      </c>
      <c r="D2722" s="1">
        <f>IFERROR(__xludf.DUMMYFUNCTION("""COMPUTED_VALUE"""),312000.0)</f>
        <v>312000</v>
      </c>
      <c r="E2722" s="1">
        <f>IFERROR(__xludf.DUMMYFUNCTION("""COMPUTED_VALUE"""),317000.0)</f>
        <v>317000</v>
      </c>
      <c r="F2722" s="1">
        <f>IFERROR(__xludf.DUMMYFUNCTION("""COMPUTED_VALUE"""),546099.0)</f>
        <v>546099</v>
      </c>
    </row>
    <row r="2723">
      <c r="A2723" s="2">
        <f>IFERROR(__xludf.DUMMYFUNCTION("""COMPUTED_VALUE"""),44623.64583333333)</f>
        <v>44623.64583</v>
      </c>
      <c r="B2723" s="1">
        <f>IFERROR(__xludf.DUMMYFUNCTION("""COMPUTED_VALUE"""),319000.0)</f>
        <v>319000</v>
      </c>
      <c r="C2723" s="1">
        <f>IFERROR(__xludf.DUMMYFUNCTION("""COMPUTED_VALUE"""),327000.0)</f>
        <v>327000</v>
      </c>
      <c r="D2723" s="1">
        <f>IFERROR(__xludf.DUMMYFUNCTION("""COMPUTED_VALUE"""),318500.0)</f>
        <v>318500</v>
      </c>
      <c r="E2723" s="1">
        <f>IFERROR(__xludf.DUMMYFUNCTION("""COMPUTED_VALUE"""),325500.0)</f>
        <v>325500</v>
      </c>
      <c r="F2723" s="1">
        <f>IFERROR(__xludf.DUMMYFUNCTION("""COMPUTED_VALUE"""),580888.0)</f>
        <v>580888</v>
      </c>
    </row>
    <row r="2724">
      <c r="A2724" s="2">
        <f>IFERROR(__xludf.DUMMYFUNCTION("""COMPUTED_VALUE"""),44624.64583333333)</f>
        <v>44624.64583</v>
      </c>
      <c r="B2724" s="1">
        <f>IFERROR(__xludf.DUMMYFUNCTION("""COMPUTED_VALUE"""),325500.0)</f>
        <v>325500</v>
      </c>
      <c r="C2724" s="1">
        <f>IFERROR(__xludf.DUMMYFUNCTION("""COMPUTED_VALUE"""),326000.0)</f>
        <v>326000</v>
      </c>
      <c r="D2724" s="1">
        <f>IFERROR(__xludf.DUMMYFUNCTION("""COMPUTED_VALUE"""),317000.0)</f>
        <v>317000</v>
      </c>
      <c r="E2724" s="1">
        <f>IFERROR(__xludf.DUMMYFUNCTION("""COMPUTED_VALUE"""),317500.0)</f>
        <v>317500</v>
      </c>
      <c r="F2724" s="1">
        <f>IFERROR(__xludf.DUMMYFUNCTION("""COMPUTED_VALUE"""),445607.0)</f>
        <v>445607</v>
      </c>
    </row>
    <row r="2725">
      <c r="A2725" s="2">
        <f>IFERROR(__xludf.DUMMYFUNCTION("""COMPUTED_VALUE"""),44627.64583333333)</f>
        <v>44627.64583</v>
      </c>
      <c r="B2725" s="1">
        <f>IFERROR(__xludf.DUMMYFUNCTION("""COMPUTED_VALUE"""),309000.0)</f>
        <v>309000</v>
      </c>
      <c r="C2725" s="1">
        <f>IFERROR(__xludf.DUMMYFUNCTION("""COMPUTED_VALUE"""),309500.0)</f>
        <v>309500</v>
      </c>
      <c r="D2725" s="1">
        <f>IFERROR(__xludf.DUMMYFUNCTION("""COMPUTED_VALUE"""),305000.0)</f>
        <v>305000</v>
      </c>
      <c r="E2725" s="1">
        <f>IFERROR(__xludf.DUMMYFUNCTION("""COMPUTED_VALUE"""),307000.0)</f>
        <v>307000</v>
      </c>
      <c r="F2725" s="1">
        <f>IFERROR(__xludf.DUMMYFUNCTION("""COMPUTED_VALUE"""),535033.0)</f>
        <v>535033</v>
      </c>
    </row>
    <row r="2726">
      <c r="A2726" s="2">
        <f>IFERROR(__xludf.DUMMYFUNCTION("""COMPUTED_VALUE"""),44628.64583333333)</f>
        <v>44628.64583</v>
      </c>
      <c r="B2726" s="1">
        <f>IFERROR(__xludf.DUMMYFUNCTION("""COMPUTED_VALUE"""),302000.0)</f>
        <v>302000</v>
      </c>
      <c r="C2726" s="1">
        <f>IFERROR(__xludf.DUMMYFUNCTION("""COMPUTED_VALUE"""),309500.0)</f>
        <v>309500</v>
      </c>
      <c r="D2726" s="1">
        <f>IFERROR(__xludf.DUMMYFUNCTION("""COMPUTED_VALUE"""),301500.0)</f>
        <v>301500</v>
      </c>
      <c r="E2726" s="1">
        <f>IFERROR(__xludf.DUMMYFUNCTION("""COMPUTED_VALUE"""),304500.0)</f>
        <v>304500</v>
      </c>
      <c r="F2726" s="1">
        <f>IFERROR(__xludf.DUMMYFUNCTION("""COMPUTED_VALUE"""),559921.0)</f>
        <v>559921</v>
      </c>
    </row>
    <row r="2727">
      <c r="A2727" s="2">
        <f>IFERROR(__xludf.DUMMYFUNCTION("""COMPUTED_VALUE"""),44630.64583333333)</f>
        <v>44630.64583</v>
      </c>
      <c r="B2727" s="1">
        <f>IFERROR(__xludf.DUMMYFUNCTION("""COMPUTED_VALUE"""),319000.0)</f>
        <v>319000</v>
      </c>
      <c r="C2727" s="1">
        <f>IFERROR(__xludf.DUMMYFUNCTION("""COMPUTED_VALUE"""),337000.0)</f>
        <v>337000</v>
      </c>
      <c r="D2727" s="1">
        <f>IFERROR(__xludf.DUMMYFUNCTION("""COMPUTED_VALUE"""),316000.0)</f>
        <v>316000</v>
      </c>
      <c r="E2727" s="1">
        <f>IFERROR(__xludf.DUMMYFUNCTION("""COMPUTED_VALUE"""),330500.0)</f>
        <v>330500</v>
      </c>
      <c r="F2727" s="1">
        <f>IFERROR(__xludf.DUMMYFUNCTION("""COMPUTED_VALUE"""),1521280.0)</f>
        <v>1521280</v>
      </c>
    </row>
    <row r="2728">
      <c r="A2728" s="2">
        <f>IFERROR(__xludf.DUMMYFUNCTION("""COMPUTED_VALUE"""),44631.64583333333)</f>
        <v>44631.64583</v>
      </c>
      <c r="B2728" s="1">
        <f>IFERROR(__xludf.DUMMYFUNCTION("""COMPUTED_VALUE"""),330000.0)</f>
        <v>330000</v>
      </c>
      <c r="C2728" s="1">
        <f>IFERROR(__xludf.DUMMYFUNCTION("""COMPUTED_VALUE"""),332000.0)</f>
        <v>332000</v>
      </c>
      <c r="D2728" s="1">
        <f>IFERROR(__xludf.DUMMYFUNCTION("""COMPUTED_VALUE"""),323000.0)</f>
        <v>323000</v>
      </c>
      <c r="E2728" s="1">
        <f>IFERROR(__xludf.DUMMYFUNCTION("""COMPUTED_VALUE"""),329000.0)</f>
        <v>329000</v>
      </c>
      <c r="F2728" s="1">
        <f>IFERROR(__xludf.DUMMYFUNCTION("""COMPUTED_VALUE"""),737003.0)</f>
        <v>737003</v>
      </c>
    </row>
    <row r="2729">
      <c r="A2729" s="2">
        <f>IFERROR(__xludf.DUMMYFUNCTION("""COMPUTED_VALUE"""),44634.64583333333)</f>
        <v>44634.64583</v>
      </c>
      <c r="B2729" s="1">
        <f>IFERROR(__xludf.DUMMYFUNCTION("""COMPUTED_VALUE"""),328500.0)</f>
        <v>328500</v>
      </c>
      <c r="C2729" s="1">
        <f>IFERROR(__xludf.DUMMYFUNCTION("""COMPUTED_VALUE"""),338000.0)</f>
        <v>338000</v>
      </c>
      <c r="D2729" s="1">
        <f>IFERROR(__xludf.DUMMYFUNCTION("""COMPUTED_VALUE"""),325000.0)</f>
        <v>325000</v>
      </c>
      <c r="E2729" s="1">
        <f>IFERROR(__xludf.DUMMYFUNCTION("""COMPUTED_VALUE"""),329000.0)</f>
        <v>329000</v>
      </c>
      <c r="F2729" s="1">
        <f>IFERROR(__xludf.DUMMYFUNCTION("""COMPUTED_VALUE"""),679812.0)</f>
        <v>679812</v>
      </c>
    </row>
    <row r="2730">
      <c r="A2730" s="2">
        <f>IFERROR(__xludf.DUMMYFUNCTION("""COMPUTED_VALUE"""),44635.64583333333)</f>
        <v>44635.64583</v>
      </c>
      <c r="B2730" s="1">
        <f>IFERROR(__xludf.DUMMYFUNCTION("""COMPUTED_VALUE"""),328500.0)</f>
        <v>328500</v>
      </c>
      <c r="C2730" s="1">
        <f>IFERROR(__xludf.DUMMYFUNCTION("""COMPUTED_VALUE"""),335000.0)</f>
        <v>335000</v>
      </c>
      <c r="D2730" s="1">
        <f>IFERROR(__xludf.DUMMYFUNCTION("""COMPUTED_VALUE"""),326000.0)</f>
        <v>326000</v>
      </c>
      <c r="E2730" s="1">
        <f>IFERROR(__xludf.DUMMYFUNCTION("""COMPUTED_VALUE"""),327500.0)</f>
        <v>327500</v>
      </c>
      <c r="F2730" s="1">
        <f>IFERROR(__xludf.DUMMYFUNCTION("""COMPUTED_VALUE"""),627012.0)</f>
        <v>627012</v>
      </c>
    </row>
    <row r="2731">
      <c r="A2731" s="2">
        <f>IFERROR(__xludf.DUMMYFUNCTION("""COMPUTED_VALUE"""),44636.64583333333)</f>
        <v>44636.64583</v>
      </c>
      <c r="B2731" s="1">
        <f>IFERROR(__xludf.DUMMYFUNCTION("""COMPUTED_VALUE"""),333500.0)</f>
        <v>333500</v>
      </c>
      <c r="C2731" s="1">
        <f>IFERROR(__xludf.DUMMYFUNCTION("""COMPUTED_VALUE"""),334000.0)</f>
        <v>334000</v>
      </c>
      <c r="D2731" s="1">
        <f>IFERROR(__xludf.DUMMYFUNCTION("""COMPUTED_VALUE"""),324000.0)</f>
        <v>324000</v>
      </c>
      <c r="E2731" s="1">
        <f>IFERROR(__xludf.DUMMYFUNCTION("""COMPUTED_VALUE"""),330500.0)</f>
        <v>330500</v>
      </c>
      <c r="F2731" s="1">
        <f>IFERROR(__xludf.DUMMYFUNCTION("""COMPUTED_VALUE"""),584708.0)</f>
        <v>584708</v>
      </c>
    </row>
    <row r="2732">
      <c r="A2732" s="2">
        <f>IFERROR(__xludf.DUMMYFUNCTION("""COMPUTED_VALUE"""),44637.64583333333)</f>
        <v>44637.64583</v>
      </c>
      <c r="B2732" s="1">
        <f>IFERROR(__xludf.DUMMYFUNCTION("""COMPUTED_VALUE"""),337500.0)</f>
        <v>337500</v>
      </c>
      <c r="C2732" s="1">
        <f>IFERROR(__xludf.DUMMYFUNCTION("""COMPUTED_VALUE"""),348000.0)</f>
        <v>348000</v>
      </c>
      <c r="D2732" s="1">
        <f>IFERROR(__xludf.DUMMYFUNCTION("""COMPUTED_VALUE"""),337500.0)</f>
        <v>337500</v>
      </c>
      <c r="E2732" s="1">
        <f>IFERROR(__xludf.DUMMYFUNCTION("""COMPUTED_VALUE"""),344500.0)</f>
        <v>344500</v>
      </c>
      <c r="F2732" s="1">
        <f>IFERROR(__xludf.DUMMYFUNCTION("""COMPUTED_VALUE"""),1070200.0)</f>
        <v>1070200</v>
      </c>
    </row>
    <row r="2733">
      <c r="A2733" s="2">
        <f>IFERROR(__xludf.DUMMYFUNCTION("""COMPUTED_VALUE"""),44638.64583333333)</f>
        <v>44638.64583</v>
      </c>
      <c r="B2733" s="1">
        <f>IFERROR(__xludf.DUMMYFUNCTION("""COMPUTED_VALUE"""),345000.0)</f>
        <v>345000</v>
      </c>
      <c r="C2733" s="1">
        <f>IFERROR(__xludf.DUMMYFUNCTION("""COMPUTED_VALUE"""),346500.0)</f>
        <v>346500</v>
      </c>
      <c r="D2733" s="1">
        <f>IFERROR(__xludf.DUMMYFUNCTION("""COMPUTED_VALUE"""),341500.0)</f>
        <v>341500</v>
      </c>
      <c r="E2733" s="1">
        <f>IFERROR(__xludf.DUMMYFUNCTION("""COMPUTED_VALUE"""),344500.0)</f>
        <v>344500</v>
      </c>
      <c r="F2733" s="1">
        <f>IFERROR(__xludf.DUMMYFUNCTION("""COMPUTED_VALUE"""),722326.0)</f>
        <v>722326</v>
      </c>
    </row>
    <row r="2734">
      <c r="A2734" s="2">
        <f>IFERROR(__xludf.DUMMYFUNCTION("""COMPUTED_VALUE"""),44641.64583333333)</f>
        <v>44641.64583</v>
      </c>
      <c r="B2734" s="1">
        <f>IFERROR(__xludf.DUMMYFUNCTION("""COMPUTED_VALUE"""),347500.0)</f>
        <v>347500</v>
      </c>
      <c r="C2734" s="1">
        <f>IFERROR(__xludf.DUMMYFUNCTION("""COMPUTED_VALUE"""),347500.0)</f>
        <v>347500</v>
      </c>
      <c r="D2734" s="1">
        <f>IFERROR(__xludf.DUMMYFUNCTION("""COMPUTED_VALUE"""),336000.0)</f>
        <v>336000</v>
      </c>
      <c r="E2734" s="1">
        <f>IFERROR(__xludf.DUMMYFUNCTION("""COMPUTED_VALUE"""),339000.0)</f>
        <v>339000</v>
      </c>
      <c r="F2734" s="1">
        <f>IFERROR(__xludf.DUMMYFUNCTION("""COMPUTED_VALUE"""),398441.0)</f>
        <v>398441</v>
      </c>
    </row>
    <row r="2735">
      <c r="A2735" s="2">
        <f>IFERROR(__xludf.DUMMYFUNCTION("""COMPUTED_VALUE"""),44642.64583333333)</f>
        <v>44642.64583</v>
      </c>
      <c r="B2735" s="1">
        <f>IFERROR(__xludf.DUMMYFUNCTION("""COMPUTED_VALUE"""),340000.0)</f>
        <v>340000</v>
      </c>
      <c r="C2735" s="1">
        <f>IFERROR(__xludf.DUMMYFUNCTION("""COMPUTED_VALUE"""),341000.0)</f>
        <v>341000</v>
      </c>
      <c r="D2735" s="1">
        <f>IFERROR(__xludf.DUMMYFUNCTION("""COMPUTED_VALUE"""),336000.0)</f>
        <v>336000</v>
      </c>
      <c r="E2735" s="1">
        <f>IFERROR(__xludf.DUMMYFUNCTION("""COMPUTED_VALUE"""),339500.0)</f>
        <v>339500</v>
      </c>
      <c r="F2735" s="1">
        <f>IFERROR(__xludf.DUMMYFUNCTION("""COMPUTED_VALUE"""),301259.0)</f>
        <v>301259</v>
      </c>
    </row>
    <row r="2736">
      <c r="A2736" s="2">
        <f>IFERROR(__xludf.DUMMYFUNCTION("""COMPUTED_VALUE"""),44643.64583333333)</f>
        <v>44643.64583</v>
      </c>
      <c r="B2736" s="1">
        <f>IFERROR(__xludf.DUMMYFUNCTION("""COMPUTED_VALUE"""),343000.0)</f>
        <v>343000</v>
      </c>
      <c r="C2736" s="1">
        <f>IFERROR(__xludf.DUMMYFUNCTION("""COMPUTED_VALUE"""),347500.0)</f>
        <v>347500</v>
      </c>
      <c r="D2736" s="1">
        <f>IFERROR(__xludf.DUMMYFUNCTION("""COMPUTED_VALUE"""),341500.0)</f>
        <v>341500</v>
      </c>
      <c r="E2736" s="1">
        <f>IFERROR(__xludf.DUMMYFUNCTION("""COMPUTED_VALUE"""),345500.0)</f>
        <v>345500</v>
      </c>
      <c r="F2736" s="1">
        <f>IFERROR(__xludf.DUMMYFUNCTION("""COMPUTED_VALUE"""),504911.0)</f>
        <v>504911</v>
      </c>
    </row>
    <row r="2737">
      <c r="A2737" s="2">
        <f>IFERROR(__xludf.DUMMYFUNCTION("""COMPUTED_VALUE"""),44644.64583333333)</f>
        <v>44644.64583</v>
      </c>
      <c r="B2737" s="1">
        <f>IFERROR(__xludf.DUMMYFUNCTION("""COMPUTED_VALUE"""),339500.0)</f>
        <v>339500</v>
      </c>
      <c r="C2737" s="1">
        <f>IFERROR(__xludf.DUMMYFUNCTION("""COMPUTED_VALUE"""),342000.0)</f>
        <v>342000</v>
      </c>
      <c r="D2737" s="1">
        <f>IFERROR(__xludf.DUMMYFUNCTION("""COMPUTED_VALUE"""),335000.0)</f>
        <v>335000</v>
      </c>
      <c r="E2737" s="1">
        <f>IFERROR(__xludf.DUMMYFUNCTION("""COMPUTED_VALUE"""),340000.0)</f>
        <v>340000</v>
      </c>
      <c r="F2737" s="1">
        <f>IFERROR(__xludf.DUMMYFUNCTION("""COMPUTED_VALUE"""),528012.0)</f>
        <v>528012</v>
      </c>
    </row>
    <row r="2738">
      <c r="A2738" s="2">
        <f>IFERROR(__xludf.DUMMYFUNCTION("""COMPUTED_VALUE"""),44645.64583333333)</f>
        <v>44645.64583</v>
      </c>
      <c r="B2738" s="1">
        <f>IFERROR(__xludf.DUMMYFUNCTION("""COMPUTED_VALUE"""),339500.0)</f>
        <v>339500</v>
      </c>
      <c r="C2738" s="1">
        <f>IFERROR(__xludf.DUMMYFUNCTION("""COMPUTED_VALUE"""),340000.0)</f>
        <v>340000</v>
      </c>
      <c r="D2738" s="1">
        <f>IFERROR(__xludf.DUMMYFUNCTION("""COMPUTED_VALUE"""),332500.0)</f>
        <v>332500</v>
      </c>
      <c r="E2738" s="1">
        <f>IFERROR(__xludf.DUMMYFUNCTION("""COMPUTED_VALUE"""),333000.0)</f>
        <v>333000</v>
      </c>
      <c r="F2738" s="1">
        <f>IFERROR(__xludf.DUMMYFUNCTION("""COMPUTED_VALUE"""),559026.0)</f>
        <v>559026</v>
      </c>
    </row>
    <row r="2739">
      <c r="A2739" s="2">
        <f>IFERROR(__xludf.DUMMYFUNCTION("""COMPUTED_VALUE"""),44648.64583333333)</f>
        <v>44648.64583</v>
      </c>
      <c r="B2739" s="1">
        <f>IFERROR(__xludf.DUMMYFUNCTION("""COMPUTED_VALUE"""),329500.0)</f>
        <v>329500</v>
      </c>
      <c r="C2739" s="1">
        <f>IFERROR(__xludf.DUMMYFUNCTION("""COMPUTED_VALUE"""),332500.0)</f>
        <v>332500</v>
      </c>
      <c r="D2739" s="1">
        <f>IFERROR(__xludf.DUMMYFUNCTION("""COMPUTED_VALUE"""),324000.0)</f>
        <v>324000</v>
      </c>
      <c r="E2739" s="1">
        <f>IFERROR(__xludf.DUMMYFUNCTION("""COMPUTED_VALUE"""),331500.0)</f>
        <v>331500</v>
      </c>
      <c r="F2739" s="1">
        <f>IFERROR(__xludf.DUMMYFUNCTION("""COMPUTED_VALUE"""),356589.0)</f>
        <v>356589</v>
      </c>
    </row>
    <row r="2740">
      <c r="A2740" s="2">
        <f>IFERROR(__xludf.DUMMYFUNCTION("""COMPUTED_VALUE"""),44649.64583333333)</f>
        <v>44649.64583</v>
      </c>
      <c r="B2740" s="1">
        <f>IFERROR(__xludf.DUMMYFUNCTION("""COMPUTED_VALUE"""),334500.0)</f>
        <v>334500</v>
      </c>
      <c r="C2740" s="1">
        <f>IFERROR(__xludf.DUMMYFUNCTION("""COMPUTED_VALUE"""),338000.0)</f>
        <v>338000</v>
      </c>
      <c r="D2740" s="1">
        <f>IFERROR(__xludf.DUMMYFUNCTION("""COMPUTED_VALUE"""),332000.0)</f>
        <v>332000</v>
      </c>
      <c r="E2740" s="1">
        <f>IFERROR(__xludf.DUMMYFUNCTION("""COMPUTED_VALUE"""),334000.0)</f>
        <v>334000</v>
      </c>
      <c r="F2740" s="1">
        <f>IFERROR(__xludf.DUMMYFUNCTION("""COMPUTED_VALUE"""),323767.0)</f>
        <v>323767</v>
      </c>
    </row>
    <row r="2741">
      <c r="A2741" s="2">
        <f>IFERROR(__xludf.DUMMYFUNCTION("""COMPUTED_VALUE"""),44650.64583333333)</f>
        <v>44650.64583</v>
      </c>
      <c r="B2741" s="1">
        <f>IFERROR(__xludf.DUMMYFUNCTION("""COMPUTED_VALUE"""),342000.0)</f>
        <v>342000</v>
      </c>
      <c r="C2741" s="1">
        <f>IFERROR(__xludf.DUMMYFUNCTION("""COMPUTED_VALUE"""),342000.0)</f>
        <v>342000</v>
      </c>
      <c r="D2741" s="1">
        <f>IFERROR(__xludf.DUMMYFUNCTION("""COMPUTED_VALUE"""),337000.0)</f>
        <v>337000</v>
      </c>
      <c r="E2741" s="1">
        <f>IFERROR(__xludf.DUMMYFUNCTION("""COMPUTED_VALUE"""),339000.0)</f>
        <v>339000</v>
      </c>
      <c r="F2741" s="1">
        <f>IFERROR(__xludf.DUMMYFUNCTION("""COMPUTED_VALUE"""),454373.0)</f>
        <v>454373</v>
      </c>
    </row>
    <row r="2742">
      <c r="A2742" s="2">
        <f>IFERROR(__xludf.DUMMYFUNCTION("""COMPUTED_VALUE"""),44651.64583333333)</f>
        <v>44651.64583</v>
      </c>
      <c r="B2742" s="1">
        <f>IFERROR(__xludf.DUMMYFUNCTION("""COMPUTED_VALUE"""),341500.0)</f>
        <v>341500</v>
      </c>
      <c r="C2742" s="1">
        <f>IFERROR(__xludf.DUMMYFUNCTION("""COMPUTED_VALUE"""),342000.0)</f>
        <v>342000</v>
      </c>
      <c r="D2742" s="1">
        <f>IFERROR(__xludf.DUMMYFUNCTION("""COMPUTED_VALUE"""),338500.0)</f>
        <v>338500</v>
      </c>
      <c r="E2742" s="1">
        <f>IFERROR(__xludf.DUMMYFUNCTION("""COMPUTED_VALUE"""),340500.0)</f>
        <v>340500</v>
      </c>
      <c r="F2742" s="1">
        <f>IFERROR(__xludf.DUMMYFUNCTION("""COMPUTED_VALUE"""),427064.0)</f>
        <v>427064</v>
      </c>
    </row>
    <row r="2743">
      <c r="A2743" s="2">
        <f>IFERROR(__xludf.DUMMYFUNCTION("""COMPUTED_VALUE"""),44652.64583333333)</f>
        <v>44652.64583</v>
      </c>
      <c r="B2743" s="1">
        <f>IFERROR(__xludf.DUMMYFUNCTION("""COMPUTED_VALUE"""),340000.0)</f>
        <v>340000</v>
      </c>
      <c r="C2743" s="1">
        <f>IFERROR(__xludf.DUMMYFUNCTION("""COMPUTED_VALUE"""),340500.0)</f>
        <v>340500</v>
      </c>
      <c r="D2743" s="1">
        <f>IFERROR(__xludf.DUMMYFUNCTION("""COMPUTED_VALUE"""),335500.0)</f>
        <v>335500</v>
      </c>
      <c r="E2743" s="1">
        <f>IFERROR(__xludf.DUMMYFUNCTION("""COMPUTED_VALUE"""),335500.0)</f>
        <v>335500</v>
      </c>
      <c r="F2743" s="1">
        <f>IFERROR(__xludf.DUMMYFUNCTION("""COMPUTED_VALUE"""),446987.0)</f>
        <v>446987</v>
      </c>
    </row>
    <row r="2744">
      <c r="A2744" s="2">
        <f>IFERROR(__xludf.DUMMYFUNCTION("""COMPUTED_VALUE"""),44655.64583333333)</f>
        <v>44655.64583</v>
      </c>
      <c r="B2744" s="1">
        <f>IFERROR(__xludf.DUMMYFUNCTION("""COMPUTED_VALUE"""),335500.0)</f>
        <v>335500</v>
      </c>
      <c r="C2744" s="1">
        <f>IFERROR(__xludf.DUMMYFUNCTION("""COMPUTED_VALUE"""),339000.0)</f>
        <v>339000</v>
      </c>
      <c r="D2744" s="1">
        <f>IFERROR(__xludf.DUMMYFUNCTION("""COMPUTED_VALUE"""),332000.0)</f>
        <v>332000</v>
      </c>
      <c r="E2744" s="1">
        <f>IFERROR(__xludf.DUMMYFUNCTION("""COMPUTED_VALUE"""),338000.0)</f>
        <v>338000</v>
      </c>
      <c r="F2744" s="1">
        <f>IFERROR(__xludf.DUMMYFUNCTION("""COMPUTED_VALUE"""),283687.0)</f>
        <v>283687</v>
      </c>
    </row>
    <row r="2745">
      <c r="A2745" s="2">
        <f>IFERROR(__xludf.DUMMYFUNCTION("""COMPUTED_VALUE"""),44656.64583333333)</f>
        <v>44656.64583</v>
      </c>
      <c r="B2745" s="1">
        <f>IFERROR(__xludf.DUMMYFUNCTION("""COMPUTED_VALUE"""),340500.0)</f>
        <v>340500</v>
      </c>
      <c r="C2745" s="1">
        <f>IFERROR(__xludf.DUMMYFUNCTION("""COMPUTED_VALUE"""),343000.0)</f>
        <v>343000</v>
      </c>
      <c r="D2745" s="1">
        <f>IFERROR(__xludf.DUMMYFUNCTION("""COMPUTED_VALUE"""),338000.0)</f>
        <v>338000</v>
      </c>
      <c r="E2745" s="1">
        <f>IFERROR(__xludf.DUMMYFUNCTION("""COMPUTED_VALUE"""),342500.0)</f>
        <v>342500</v>
      </c>
      <c r="F2745" s="1">
        <f>IFERROR(__xludf.DUMMYFUNCTION("""COMPUTED_VALUE"""),389951.0)</f>
        <v>389951</v>
      </c>
    </row>
    <row r="2746">
      <c r="A2746" s="2">
        <f>IFERROR(__xludf.DUMMYFUNCTION("""COMPUTED_VALUE"""),44657.64583333333)</f>
        <v>44657.64583</v>
      </c>
      <c r="B2746" s="1">
        <f>IFERROR(__xludf.DUMMYFUNCTION("""COMPUTED_VALUE"""),336500.0)</f>
        <v>336500</v>
      </c>
      <c r="C2746" s="1">
        <f>IFERROR(__xludf.DUMMYFUNCTION("""COMPUTED_VALUE"""),338000.0)</f>
        <v>338000</v>
      </c>
      <c r="D2746" s="1">
        <f>IFERROR(__xludf.DUMMYFUNCTION("""COMPUTED_VALUE"""),329000.0)</f>
        <v>329000</v>
      </c>
      <c r="E2746" s="1">
        <f>IFERROR(__xludf.DUMMYFUNCTION("""COMPUTED_VALUE"""),330000.0)</f>
        <v>330000</v>
      </c>
      <c r="F2746" s="1">
        <f>IFERROR(__xludf.DUMMYFUNCTION("""COMPUTED_VALUE"""),647201.0)</f>
        <v>647201</v>
      </c>
    </row>
    <row r="2747">
      <c r="A2747" s="2">
        <f>IFERROR(__xludf.DUMMYFUNCTION("""COMPUTED_VALUE"""),44658.64583333333)</f>
        <v>44658.64583</v>
      </c>
      <c r="B2747" s="1">
        <f>IFERROR(__xludf.DUMMYFUNCTION("""COMPUTED_VALUE"""),323000.0)</f>
        <v>323000</v>
      </c>
      <c r="C2747" s="1">
        <f>IFERROR(__xludf.DUMMYFUNCTION("""COMPUTED_VALUE"""),328500.0)</f>
        <v>328500</v>
      </c>
      <c r="D2747" s="1">
        <f>IFERROR(__xludf.DUMMYFUNCTION("""COMPUTED_VALUE"""),321000.0)</f>
        <v>321000</v>
      </c>
      <c r="E2747" s="1">
        <f>IFERROR(__xludf.DUMMYFUNCTION("""COMPUTED_VALUE"""),321000.0)</f>
        <v>321000</v>
      </c>
      <c r="F2747" s="1">
        <f>IFERROR(__xludf.DUMMYFUNCTION("""COMPUTED_VALUE"""),493204.0)</f>
        <v>493204</v>
      </c>
    </row>
    <row r="2748">
      <c r="A2748" s="2">
        <f>IFERROR(__xludf.DUMMYFUNCTION("""COMPUTED_VALUE"""),44659.64583333333)</f>
        <v>44659.64583</v>
      </c>
      <c r="B2748" s="1">
        <f>IFERROR(__xludf.DUMMYFUNCTION("""COMPUTED_VALUE"""),322000.0)</f>
        <v>322000</v>
      </c>
      <c r="C2748" s="1">
        <f>IFERROR(__xludf.DUMMYFUNCTION("""COMPUTED_VALUE"""),324500.0)</f>
        <v>324500</v>
      </c>
      <c r="D2748" s="1">
        <f>IFERROR(__xludf.DUMMYFUNCTION("""COMPUTED_VALUE"""),311500.0)</f>
        <v>311500</v>
      </c>
      <c r="E2748" s="1">
        <f>IFERROR(__xludf.DUMMYFUNCTION("""COMPUTED_VALUE"""),316500.0)</f>
        <v>316500</v>
      </c>
      <c r="F2748" s="1">
        <f>IFERROR(__xludf.DUMMYFUNCTION("""COMPUTED_VALUE"""),626173.0)</f>
        <v>626173</v>
      </c>
    </row>
    <row r="2749">
      <c r="A2749" s="2">
        <f>IFERROR(__xludf.DUMMYFUNCTION("""COMPUTED_VALUE"""),44662.64583333333)</f>
        <v>44662.64583</v>
      </c>
      <c r="B2749" s="1">
        <f>IFERROR(__xludf.DUMMYFUNCTION("""COMPUTED_VALUE"""),311000.0)</f>
        <v>311000</v>
      </c>
      <c r="C2749" s="1">
        <f>IFERROR(__xludf.DUMMYFUNCTION("""COMPUTED_VALUE"""),313000.0)</f>
        <v>313000</v>
      </c>
      <c r="D2749" s="1">
        <f>IFERROR(__xludf.DUMMYFUNCTION("""COMPUTED_VALUE"""),308000.0)</f>
        <v>308000</v>
      </c>
      <c r="E2749" s="1">
        <f>IFERROR(__xludf.DUMMYFUNCTION("""COMPUTED_VALUE"""),313000.0)</f>
        <v>313000</v>
      </c>
      <c r="F2749" s="1">
        <f>IFERROR(__xludf.DUMMYFUNCTION("""COMPUTED_VALUE"""),507362.0)</f>
        <v>507362</v>
      </c>
    </row>
    <row r="2750">
      <c r="A2750" s="2">
        <f>IFERROR(__xludf.DUMMYFUNCTION("""COMPUTED_VALUE"""),44663.64583333333)</f>
        <v>44663.64583</v>
      </c>
      <c r="B2750" s="1">
        <f>IFERROR(__xludf.DUMMYFUNCTION("""COMPUTED_VALUE"""),306000.0)</f>
        <v>306000</v>
      </c>
      <c r="C2750" s="1">
        <f>IFERROR(__xludf.DUMMYFUNCTION("""COMPUTED_VALUE"""),311000.0)</f>
        <v>311000</v>
      </c>
      <c r="D2750" s="1">
        <f>IFERROR(__xludf.DUMMYFUNCTION("""COMPUTED_VALUE"""),305000.0)</f>
        <v>305000</v>
      </c>
      <c r="E2750" s="1">
        <f>IFERROR(__xludf.DUMMYFUNCTION("""COMPUTED_VALUE"""),308500.0)</f>
        <v>308500</v>
      </c>
      <c r="F2750" s="1">
        <f>IFERROR(__xludf.DUMMYFUNCTION("""COMPUTED_VALUE"""),467984.0)</f>
        <v>467984</v>
      </c>
    </row>
    <row r="2751">
      <c r="A2751" s="2">
        <f>IFERROR(__xludf.DUMMYFUNCTION("""COMPUTED_VALUE"""),44664.64583333333)</f>
        <v>44664.64583</v>
      </c>
      <c r="B2751" s="1">
        <f>IFERROR(__xludf.DUMMYFUNCTION("""COMPUTED_VALUE"""),306000.0)</f>
        <v>306000</v>
      </c>
      <c r="C2751" s="1">
        <f>IFERROR(__xludf.DUMMYFUNCTION("""COMPUTED_VALUE"""),311500.0)</f>
        <v>311500</v>
      </c>
      <c r="D2751" s="1">
        <f>IFERROR(__xludf.DUMMYFUNCTION("""COMPUTED_VALUE"""),304000.0)</f>
        <v>304000</v>
      </c>
      <c r="E2751" s="1">
        <f>IFERROR(__xludf.DUMMYFUNCTION("""COMPUTED_VALUE"""),310500.0)</f>
        <v>310500</v>
      </c>
      <c r="F2751" s="1">
        <f>IFERROR(__xludf.DUMMYFUNCTION("""COMPUTED_VALUE"""),519629.0)</f>
        <v>519629</v>
      </c>
    </row>
    <row r="2752">
      <c r="A2752" s="2">
        <f>IFERROR(__xludf.DUMMYFUNCTION("""COMPUTED_VALUE"""),44665.64583333333)</f>
        <v>44665.64583</v>
      </c>
      <c r="B2752" s="1">
        <f>IFERROR(__xludf.DUMMYFUNCTION("""COMPUTED_VALUE"""),311500.0)</f>
        <v>311500</v>
      </c>
      <c r="C2752" s="1">
        <f>IFERROR(__xludf.DUMMYFUNCTION("""COMPUTED_VALUE"""),315500.0)</f>
        <v>315500</v>
      </c>
      <c r="D2752" s="1">
        <f>IFERROR(__xludf.DUMMYFUNCTION("""COMPUTED_VALUE"""),308500.0)</f>
        <v>308500</v>
      </c>
      <c r="E2752" s="1">
        <f>IFERROR(__xludf.DUMMYFUNCTION("""COMPUTED_VALUE"""),313000.0)</f>
        <v>313000</v>
      </c>
      <c r="F2752" s="1">
        <f>IFERROR(__xludf.DUMMYFUNCTION("""COMPUTED_VALUE"""),459979.0)</f>
        <v>459979</v>
      </c>
    </row>
    <row r="2753">
      <c r="A2753" s="2">
        <f>IFERROR(__xludf.DUMMYFUNCTION("""COMPUTED_VALUE"""),44666.64583333333)</f>
        <v>44666.64583</v>
      </c>
      <c r="B2753" s="1">
        <f>IFERROR(__xludf.DUMMYFUNCTION("""COMPUTED_VALUE"""),309000.0)</f>
        <v>309000</v>
      </c>
      <c r="C2753" s="1">
        <f>IFERROR(__xludf.DUMMYFUNCTION("""COMPUTED_VALUE"""),314000.0)</f>
        <v>314000</v>
      </c>
      <c r="D2753" s="1">
        <f>IFERROR(__xludf.DUMMYFUNCTION("""COMPUTED_VALUE"""),305500.0)</f>
        <v>305500</v>
      </c>
      <c r="E2753" s="1">
        <f>IFERROR(__xludf.DUMMYFUNCTION("""COMPUTED_VALUE"""),308500.0)</f>
        <v>308500</v>
      </c>
      <c r="F2753" s="1">
        <f>IFERROR(__xludf.DUMMYFUNCTION("""COMPUTED_VALUE"""),369642.0)</f>
        <v>369642</v>
      </c>
    </row>
    <row r="2754">
      <c r="A2754" s="2">
        <f>IFERROR(__xludf.DUMMYFUNCTION("""COMPUTED_VALUE"""),44669.64583333333)</f>
        <v>44669.64583</v>
      </c>
      <c r="B2754" s="1">
        <f>IFERROR(__xludf.DUMMYFUNCTION("""COMPUTED_VALUE"""),306000.0)</f>
        <v>306000</v>
      </c>
      <c r="C2754" s="1">
        <f>IFERROR(__xludf.DUMMYFUNCTION("""COMPUTED_VALUE"""),308000.0)</f>
        <v>308000</v>
      </c>
      <c r="D2754" s="1">
        <f>IFERROR(__xludf.DUMMYFUNCTION("""COMPUTED_VALUE"""),305000.0)</f>
        <v>305000</v>
      </c>
      <c r="E2754" s="1">
        <f>IFERROR(__xludf.DUMMYFUNCTION("""COMPUTED_VALUE"""),306500.0)</f>
        <v>306500</v>
      </c>
      <c r="F2754" s="1">
        <f>IFERROR(__xludf.DUMMYFUNCTION("""COMPUTED_VALUE"""),209787.0)</f>
        <v>209787</v>
      </c>
    </row>
    <row r="2755">
      <c r="A2755" s="2">
        <f>IFERROR(__xludf.DUMMYFUNCTION("""COMPUTED_VALUE"""),44670.64583333333)</f>
        <v>44670.64583</v>
      </c>
      <c r="B2755" s="1">
        <f>IFERROR(__xludf.DUMMYFUNCTION("""COMPUTED_VALUE"""),308000.0)</f>
        <v>308000</v>
      </c>
      <c r="C2755" s="1">
        <f>IFERROR(__xludf.DUMMYFUNCTION("""COMPUTED_VALUE"""),314000.0)</f>
        <v>314000</v>
      </c>
      <c r="D2755" s="1">
        <f>IFERROR(__xludf.DUMMYFUNCTION("""COMPUTED_VALUE"""),307500.0)</f>
        <v>307500</v>
      </c>
      <c r="E2755" s="1">
        <f>IFERROR(__xludf.DUMMYFUNCTION("""COMPUTED_VALUE"""),312000.0)</f>
        <v>312000</v>
      </c>
      <c r="F2755" s="1">
        <f>IFERROR(__xludf.DUMMYFUNCTION("""COMPUTED_VALUE"""),371024.0)</f>
        <v>371024</v>
      </c>
    </row>
    <row r="2756">
      <c r="A2756" s="2">
        <f>IFERROR(__xludf.DUMMYFUNCTION("""COMPUTED_VALUE"""),44671.64583333333)</f>
        <v>44671.64583</v>
      </c>
      <c r="B2756" s="1">
        <f>IFERROR(__xludf.DUMMYFUNCTION("""COMPUTED_VALUE"""),315500.0)</f>
        <v>315500</v>
      </c>
      <c r="C2756" s="1">
        <f>IFERROR(__xludf.DUMMYFUNCTION("""COMPUTED_VALUE"""),317000.0)</f>
        <v>317000</v>
      </c>
      <c r="D2756" s="1">
        <f>IFERROR(__xludf.DUMMYFUNCTION("""COMPUTED_VALUE"""),312000.0)</f>
        <v>312000</v>
      </c>
      <c r="E2756" s="1">
        <f>IFERROR(__xludf.DUMMYFUNCTION("""COMPUTED_VALUE"""),315500.0)</f>
        <v>315500</v>
      </c>
      <c r="F2756" s="1">
        <f>IFERROR(__xludf.DUMMYFUNCTION("""COMPUTED_VALUE"""),496286.0)</f>
        <v>496286</v>
      </c>
    </row>
    <row r="2757">
      <c r="A2757" s="2">
        <f>IFERROR(__xludf.DUMMYFUNCTION("""COMPUTED_VALUE"""),44672.64583333333)</f>
        <v>44672.64583</v>
      </c>
      <c r="B2757" s="1">
        <f>IFERROR(__xludf.DUMMYFUNCTION("""COMPUTED_VALUE"""),310500.0)</f>
        <v>310500</v>
      </c>
      <c r="C2757" s="1">
        <f>IFERROR(__xludf.DUMMYFUNCTION("""COMPUTED_VALUE"""),311000.0)</f>
        <v>311000</v>
      </c>
      <c r="D2757" s="1">
        <f>IFERROR(__xludf.DUMMYFUNCTION("""COMPUTED_VALUE"""),306000.0)</f>
        <v>306000</v>
      </c>
      <c r="E2757" s="1">
        <f>IFERROR(__xludf.DUMMYFUNCTION("""COMPUTED_VALUE"""),309500.0)</f>
        <v>309500</v>
      </c>
      <c r="F2757" s="1">
        <f>IFERROR(__xludf.DUMMYFUNCTION("""COMPUTED_VALUE"""),803990.0)</f>
        <v>803990</v>
      </c>
    </row>
    <row r="2758">
      <c r="A2758" s="2">
        <f>IFERROR(__xludf.DUMMYFUNCTION("""COMPUTED_VALUE"""),44673.64583333333)</f>
        <v>44673.64583</v>
      </c>
      <c r="B2758" s="1">
        <f>IFERROR(__xludf.DUMMYFUNCTION("""COMPUTED_VALUE"""),302000.0)</f>
        <v>302000</v>
      </c>
      <c r="C2758" s="1">
        <f>IFERROR(__xludf.DUMMYFUNCTION("""COMPUTED_VALUE"""),304000.0)</f>
        <v>304000</v>
      </c>
      <c r="D2758" s="1">
        <f>IFERROR(__xludf.DUMMYFUNCTION("""COMPUTED_VALUE"""),299500.0)</f>
        <v>299500</v>
      </c>
      <c r="E2758" s="1">
        <f>IFERROR(__xludf.DUMMYFUNCTION("""COMPUTED_VALUE"""),300000.0)</f>
        <v>300000</v>
      </c>
      <c r="F2758" s="1">
        <f>IFERROR(__xludf.DUMMYFUNCTION("""COMPUTED_VALUE"""),1166406.0)</f>
        <v>1166406</v>
      </c>
    </row>
    <row r="2759">
      <c r="A2759" s="2">
        <f>IFERROR(__xludf.DUMMYFUNCTION("""COMPUTED_VALUE"""),44676.64583333333)</f>
        <v>44676.64583</v>
      </c>
      <c r="B2759" s="1">
        <f>IFERROR(__xludf.DUMMYFUNCTION("""COMPUTED_VALUE"""),292500.0)</f>
        <v>292500</v>
      </c>
      <c r="C2759" s="1">
        <f>IFERROR(__xludf.DUMMYFUNCTION("""COMPUTED_VALUE"""),295000.0)</f>
        <v>295000</v>
      </c>
      <c r="D2759" s="1">
        <f>IFERROR(__xludf.DUMMYFUNCTION("""COMPUTED_VALUE"""),288000.0)</f>
        <v>288000</v>
      </c>
      <c r="E2759" s="1">
        <f>IFERROR(__xludf.DUMMYFUNCTION("""COMPUTED_VALUE"""),288500.0)</f>
        <v>288500</v>
      </c>
      <c r="F2759" s="1">
        <f>IFERROR(__xludf.DUMMYFUNCTION("""COMPUTED_VALUE"""),823308.0)</f>
        <v>823308</v>
      </c>
    </row>
    <row r="2760">
      <c r="A2760" s="2">
        <f>IFERROR(__xludf.DUMMYFUNCTION("""COMPUTED_VALUE"""),44677.64583333333)</f>
        <v>44677.64583</v>
      </c>
      <c r="B2760" s="1">
        <f>IFERROR(__xludf.DUMMYFUNCTION("""COMPUTED_VALUE"""),288500.0)</f>
        <v>288500</v>
      </c>
      <c r="C2760" s="1">
        <f>IFERROR(__xludf.DUMMYFUNCTION("""COMPUTED_VALUE"""),291500.0)</f>
        <v>291500</v>
      </c>
      <c r="D2760" s="1">
        <f>IFERROR(__xludf.DUMMYFUNCTION("""COMPUTED_VALUE"""),285000.0)</f>
        <v>285000</v>
      </c>
      <c r="E2760" s="1">
        <f>IFERROR(__xludf.DUMMYFUNCTION("""COMPUTED_VALUE"""),287000.0)</f>
        <v>287000</v>
      </c>
      <c r="F2760" s="1">
        <f>IFERROR(__xludf.DUMMYFUNCTION("""COMPUTED_VALUE"""),804555.0)</f>
        <v>804555</v>
      </c>
    </row>
    <row r="2761">
      <c r="A2761" s="2">
        <f>IFERROR(__xludf.DUMMYFUNCTION("""COMPUTED_VALUE"""),44678.64583333333)</f>
        <v>44678.64583</v>
      </c>
      <c r="B2761" s="1">
        <f>IFERROR(__xludf.DUMMYFUNCTION("""COMPUTED_VALUE"""),279500.0)</f>
        <v>279500</v>
      </c>
      <c r="C2761" s="1">
        <f>IFERROR(__xludf.DUMMYFUNCTION("""COMPUTED_VALUE"""),282000.0)</f>
        <v>282000</v>
      </c>
      <c r="D2761" s="1">
        <f>IFERROR(__xludf.DUMMYFUNCTION("""COMPUTED_VALUE"""),277000.0)</f>
        <v>277000</v>
      </c>
      <c r="E2761" s="1">
        <f>IFERROR(__xludf.DUMMYFUNCTION("""COMPUTED_VALUE"""),280500.0)</f>
        <v>280500</v>
      </c>
      <c r="F2761" s="1">
        <f>IFERROR(__xludf.DUMMYFUNCTION("""COMPUTED_VALUE"""),875090.0)</f>
        <v>875090</v>
      </c>
    </row>
    <row r="2762">
      <c r="A2762" s="2">
        <f>IFERROR(__xludf.DUMMYFUNCTION("""COMPUTED_VALUE"""),44679.64583333333)</f>
        <v>44679.64583</v>
      </c>
      <c r="B2762" s="1">
        <f>IFERROR(__xludf.DUMMYFUNCTION("""COMPUTED_VALUE"""),286000.0)</f>
        <v>286000</v>
      </c>
      <c r="C2762" s="1">
        <f>IFERROR(__xludf.DUMMYFUNCTION("""COMPUTED_VALUE"""),286000.0)</f>
        <v>286000</v>
      </c>
      <c r="D2762" s="1">
        <f>IFERROR(__xludf.DUMMYFUNCTION("""COMPUTED_VALUE"""),278500.0)</f>
        <v>278500</v>
      </c>
      <c r="E2762" s="1">
        <f>IFERROR(__xludf.DUMMYFUNCTION("""COMPUTED_VALUE"""),280500.0)</f>
        <v>280500</v>
      </c>
      <c r="F2762" s="1">
        <f>IFERROR(__xludf.DUMMYFUNCTION("""COMPUTED_VALUE"""),547958.0)</f>
        <v>547958</v>
      </c>
    </row>
    <row r="2763">
      <c r="A2763" s="2">
        <f>IFERROR(__xludf.DUMMYFUNCTION("""COMPUTED_VALUE"""),44680.64583333333)</f>
        <v>44680.64583</v>
      </c>
      <c r="B2763" s="1">
        <f>IFERROR(__xludf.DUMMYFUNCTION("""COMPUTED_VALUE"""),282500.0)</f>
        <v>282500</v>
      </c>
      <c r="C2763" s="1">
        <f>IFERROR(__xludf.DUMMYFUNCTION("""COMPUTED_VALUE"""),287500.0)</f>
        <v>287500</v>
      </c>
      <c r="D2763" s="1">
        <f>IFERROR(__xludf.DUMMYFUNCTION("""COMPUTED_VALUE"""),281500.0)</f>
        <v>281500</v>
      </c>
      <c r="E2763" s="1">
        <f>IFERROR(__xludf.DUMMYFUNCTION("""COMPUTED_VALUE"""),286500.0)</f>
        <v>286500</v>
      </c>
      <c r="F2763" s="1">
        <f>IFERROR(__xludf.DUMMYFUNCTION("""COMPUTED_VALUE"""),540274.0)</f>
        <v>540274</v>
      </c>
    </row>
    <row r="2764">
      <c r="A2764" s="2">
        <f>IFERROR(__xludf.DUMMYFUNCTION("""COMPUTED_VALUE"""),44683.64583333333)</f>
        <v>44683.64583</v>
      </c>
      <c r="B2764" s="1">
        <f>IFERROR(__xludf.DUMMYFUNCTION("""COMPUTED_VALUE"""),281000.0)</f>
        <v>281000</v>
      </c>
      <c r="C2764" s="1">
        <f>IFERROR(__xludf.DUMMYFUNCTION("""COMPUTED_VALUE"""),282500.0)</f>
        <v>282500</v>
      </c>
      <c r="D2764" s="1">
        <f>IFERROR(__xludf.DUMMYFUNCTION("""COMPUTED_VALUE"""),279000.0)</f>
        <v>279000</v>
      </c>
      <c r="E2764" s="1">
        <f>IFERROR(__xludf.DUMMYFUNCTION("""COMPUTED_VALUE"""),281000.0)</f>
        <v>281000</v>
      </c>
      <c r="F2764" s="1">
        <f>IFERROR(__xludf.DUMMYFUNCTION("""COMPUTED_VALUE"""),509250.0)</f>
        <v>509250</v>
      </c>
    </row>
    <row r="2765">
      <c r="A2765" s="2">
        <f>IFERROR(__xludf.DUMMYFUNCTION("""COMPUTED_VALUE"""),44684.64583333333)</f>
        <v>44684.64583</v>
      </c>
      <c r="B2765" s="1">
        <f>IFERROR(__xludf.DUMMYFUNCTION("""COMPUTED_VALUE"""),280500.0)</f>
        <v>280500</v>
      </c>
      <c r="C2765" s="1">
        <f>IFERROR(__xludf.DUMMYFUNCTION("""COMPUTED_VALUE"""),284000.0)</f>
        <v>284000</v>
      </c>
      <c r="D2765" s="1">
        <f>IFERROR(__xludf.DUMMYFUNCTION("""COMPUTED_VALUE"""),280000.0)</f>
        <v>280000</v>
      </c>
      <c r="E2765" s="1">
        <f>IFERROR(__xludf.DUMMYFUNCTION("""COMPUTED_VALUE"""),282000.0)</f>
        <v>282000</v>
      </c>
      <c r="F2765" s="1">
        <f>IFERROR(__xludf.DUMMYFUNCTION("""COMPUTED_VALUE"""),419535.0)</f>
        <v>419535</v>
      </c>
    </row>
    <row r="2766">
      <c r="A2766" s="2">
        <f>IFERROR(__xludf.DUMMYFUNCTION("""COMPUTED_VALUE"""),44685.64583333333)</f>
        <v>44685.64583</v>
      </c>
      <c r="B2766" s="1">
        <f>IFERROR(__xludf.DUMMYFUNCTION("""COMPUTED_VALUE"""),282000.0)</f>
        <v>282000</v>
      </c>
      <c r="C2766" s="1">
        <f>IFERROR(__xludf.DUMMYFUNCTION("""COMPUTED_VALUE"""),287000.0)</f>
        <v>287000</v>
      </c>
      <c r="D2766" s="1">
        <f>IFERROR(__xludf.DUMMYFUNCTION("""COMPUTED_VALUE"""),279500.0)</f>
        <v>279500</v>
      </c>
      <c r="E2766" s="1">
        <f>IFERROR(__xludf.DUMMYFUNCTION("""COMPUTED_VALUE"""),282000.0)</f>
        <v>282000</v>
      </c>
      <c r="F2766" s="1">
        <f>IFERROR(__xludf.DUMMYFUNCTION("""COMPUTED_VALUE"""),394212.0)</f>
        <v>394212</v>
      </c>
    </row>
    <row r="2767">
      <c r="A2767" s="2">
        <f>IFERROR(__xludf.DUMMYFUNCTION("""COMPUTED_VALUE"""),44687.64583333333)</f>
        <v>44687.64583</v>
      </c>
      <c r="B2767" s="1">
        <f>IFERROR(__xludf.DUMMYFUNCTION("""COMPUTED_VALUE"""),272500.0)</f>
        <v>272500</v>
      </c>
      <c r="C2767" s="1">
        <f>IFERROR(__xludf.DUMMYFUNCTION("""COMPUTED_VALUE"""),275000.0)</f>
        <v>275000</v>
      </c>
      <c r="D2767" s="1">
        <f>IFERROR(__xludf.DUMMYFUNCTION("""COMPUTED_VALUE"""),268000.0)</f>
        <v>268000</v>
      </c>
      <c r="E2767" s="1">
        <f>IFERROR(__xludf.DUMMYFUNCTION("""COMPUTED_VALUE"""),272000.0)</f>
        <v>272000</v>
      </c>
      <c r="F2767" s="1">
        <f>IFERROR(__xludf.DUMMYFUNCTION("""COMPUTED_VALUE"""),787063.0)</f>
        <v>787063</v>
      </c>
    </row>
    <row r="2768">
      <c r="A2768" s="2">
        <f>IFERROR(__xludf.DUMMYFUNCTION("""COMPUTED_VALUE"""),44690.64583333333)</f>
        <v>44690.64583</v>
      </c>
      <c r="B2768" s="1">
        <f>IFERROR(__xludf.DUMMYFUNCTION("""COMPUTED_VALUE"""),269500.0)</f>
        <v>269500</v>
      </c>
      <c r="C2768" s="1">
        <f>IFERROR(__xludf.DUMMYFUNCTION("""COMPUTED_VALUE"""),277000.0)</f>
        <v>277000</v>
      </c>
      <c r="D2768" s="1">
        <f>IFERROR(__xludf.DUMMYFUNCTION("""COMPUTED_VALUE"""),269000.0)</f>
        <v>269000</v>
      </c>
      <c r="E2768" s="1">
        <f>IFERROR(__xludf.DUMMYFUNCTION("""COMPUTED_VALUE"""),275000.0)</f>
        <v>275000</v>
      </c>
      <c r="F2768" s="1">
        <f>IFERROR(__xludf.DUMMYFUNCTION("""COMPUTED_VALUE"""),538607.0)</f>
        <v>538607</v>
      </c>
    </row>
    <row r="2769">
      <c r="A2769" s="2">
        <f>IFERROR(__xludf.DUMMYFUNCTION("""COMPUTED_VALUE"""),44691.64583333333)</f>
        <v>44691.64583</v>
      </c>
      <c r="B2769" s="1">
        <f>IFERROR(__xludf.DUMMYFUNCTION("""COMPUTED_VALUE"""),269000.0)</f>
        <v>269000</v>
      </c>
      <c r="C2769" s="1">
        <f>IFERROR(__xludf.DUMMYFUNCTION("""COMPUTED_VALUE"""),277500.0)</f>
        <v>277500</v>
      </c>
      <c r="D2769" s="1">
        <f>IFERROR(__xludf.DUMMYFUNCTION("""COMPUTED_VALUE"""),269000.0)</f>
        <v>269000</v>
      </c>
      <c r="E2769" s="1">
        <f>IFERROR(__xludf.DUMMYFUNCTION("""COMPUTED_VALUE"""),276000.0)</f>
        <v>276000</v>
      </c>
      <c r="F2769" s="1">
        <f>IFERROR(__xludf.DUMMYFUNCTION("""COMPUTED_VALUE"""),732705.0)</f>
        <v>732705</v>
      </c>
    </row>
    <row r="2770">
      <c r="A2770" s="2">
        <f>IFERROR(__xludf.DUMMYFUNCTION("""COMPUTED_VALUE"""),44692.64583333333)</f>
        <v>44692.64583</v>
      </c>
      <c r="B2770" s="1">
        <f>IFERROR(__xludf.DUMMYFUNCTION("""COMPUTED_VALUE"""),273500.0)</f>
        <v>273500</v>
      </c>
      <c r="C2770" s="1">
        <f>IFERROR(__xludf.DUMMYFUNCTION("""COMPUTED_VALUE"""),279000.0)</f>
        <v>279000</v>
      </c>
      <c r="D2770" s="1">
        <f>IFERROR(__xludf.DUMMYFUNCTION("""COMPUTED_VALUE"""),273000.0)</f>
        <v>273000</v>
      </c>
      <c r="E2770" s="1">
        <f>IFERROR(__xludf.DUMMYFUNCTION("""COMPUTED_VALUE"""),279000.0)</f>
        <v>279000</v>
      </c>
      <c r="F2770" s="1">
        <f>IFERROR(__xludf.DUMMYFUNCTION("""COMPUTED_VALUE"""),473201.0)</f>
        <v>473201</v>
      </c>
    </row>
    <row r="2771">
      <c r="A2771" s="2">
        <f>IFERROR(__xludf.DUMMYFUNCTION("""COMPUTED_VALUE"""),44693.64583333333)</f>
        <v>44693.64583</v>
      </c>
      <c r="B2771" s="1">
        <f>IFERROR(__xludf.DUMMYFUNCTION("""COMPUTED_VALUE"""),273500.0)</f>
        <v>273500</v>
      </c>
      <c r="C2771" s="1">
        <f>IFERROR(__xludf.DUMMYFUNCTION("""COMPUTED_VALUE"""),276000.0)</f>
        <v>276000</v>
      </c>
      <c r="D2771" s="1">
        <f>IFERROR(__xludf.DUMMYFUNCTION("""COMPUTED_VALUE"""),270000.0)</f>
        <v>270000</v>
      </c>
      <c r="E2771" s="1">
        <f>IFERROR(__xludf.DUMMYFUNCTION("""COMPUTED_VALUE"""),270000.0)</f>
        <v>270000</v>
      </c>
      <c r="F2771" s="1">
        <f>IFERROR(__xludf.DUMMYFUNCTION("""COMPUTED_VALUE"""),611860.0)</f>
        <v>611860</v>
      </c>
    </row>
    <row r="2772">
      <c r="A2772" s="2">
        <f>IFERROR(__xludf.DUMMYFUNCTION("""COMPUTED_VALUE"""),44694.64583333333)</f>
        <v>44694.64583</v>
      </c>
      <c r="B2772" s="1">
        <f>IFERROR(__xludf.DUMMYFUNCTION("""COMPUTED_VALUE"""),272000.0)</f>
        <v>272000</v>
      </c>
      <c r="C2772" s="1">
        <f>IFERROR(__xludf.DUMMYFUNCTION("""COMPUTED_VALUE"""),275000.0)</f>
        <v>275000</v>
      </c>
      <c r="D2772" s="1">
        <f>IFERROR(__xludf.DUMMYFUNCTION("""COMPUTED_VALUE"""),269500.0)</f>
        <v>269500</v>
      </c>
      <c r="E2772" s="1">
        <f>IFERROR(__xludf.DUMMYFUNCTION("""COMPUTED_VALUE"""),274500.0)</f>
        <v>274500</v>
      </c>
      <c r="F2772" s="1">
        <f>IFERROR(__xludf.DUMMYFUNCTION("""COMPUTED_VALUE"""),474153.0)</f>
        <v>474153</v>
      </c>
    </row>
    <row r="2773">
      <c r="A2773" s="2">
        <f>IFERROR(__xludf.DUMMYFUNCTION("""COMPUTED_VALUE"""),44697.64583333333)</f>
        <v>44697.64583</v>
      </c>
      <c r="B2773" s="1">
        <f>IFERROR(__xludf.DUMMYFUNCTION("""COMPUTED_VALUE"""),278000.0)</f>
        <v>278000</v>
      </c>
      <c r="C2773" s="1">
        <f>IFERROR(__xludf.DUMMYFUNCTION("""COMPUTED_VALUE"""),279000.0)</f>
        <v>279000</v>
      </c>
      <c r="D2773" s="1">
        <f>IFERROR(__xludf.DUMMYFUNCTION("""COMPUTED_VALUE"""),273000.0)</f>
        <v>273000</v>
      </c>
      <c r="E2773" s="1">
        <f>IFERROR(__xludf.DUMMYFUNCTION("""COMPUTED_VALUE"""),273500.0)</f>
        <v>273500</v>
      </c>
      <c r="F2773" s="1">
        <f>IFERROR(__xludf.DUMMYFUNCTION("""COMPUTED_VALUE"""),385763.0)</f>
        <v>385763</v>
      </c>
    </row>
    <row r="2774">
      <c r="A2774" s="2">
        <f>IFERROR(__xludf.DUMMYFUNCTION("""COMPUTED_VALUE"""),44698.64583333333)</f>
        <v>44698.64583</v>
      </c>
      <c r="B2774" s="1">
        <f>IFERROR(__xludf.DUMMYFUNCTION("""COMPUTED_VALUE"""),273500.0)</f>
        <v>273500</v>
      </c>
      <c r="C2774" s="1">
        <f>IFERROR(__xludf.DUMMYFUNCTION("""COMPUTED_VALUE"""),276000.0)</f>
        <v>276000</v>
      </c>
      <c r="D2774" s="1">
        <f>IFERROR(__xludf.DUMMYFUNCTION("""COMPUTED_VALUE"""),272000.0)</f>
        <v>272000</v>
      </c>
      <c r="E2774" s="1">
        <f>IFERROR(__xludf.DUMMYFUNCTION("""COMPUTED_VALUE"""),275500.0)</f>
        <v>275500</v>
      </c>
      <c r="F2774" s="1">
        <f>IFERROR(__xludf.DUMMYFUNCTION("""COMPUTED_VALUE"""),430794.0)</f>
        <v>430794</v>
      </c>
    </row>
    <row r="2775">
      <c r="A2775" s="2">
        <f>IFERROR(__xludf.DUMMYFUNCTION("""COMPUTED_VALUE"""),44699.64583333333)</f>
        <v>44699.64583</v>
      </c>
      <c r="B2775" s="1">
        <f>IFERROR(__xludf.DUMMYFUNCTION("""COMPUTED_VALUE"""),279500.0)</f>
        <v>279500</v>
      </c>
      <c r="C2775" s="1">
        <f>IFERROR(__xludf.DUMMYFUNCTION("""COMPUTED_VALUE"""),280500.0)</f>
        <v>280500</v>
      </c>
      <c r="D2775" s="1">
        <f>IFERROR(__xludf.DUMMYFUNCTION("""COMPUTED_VALUE"""),275000.0)</f>
        <v>275000</v>
      </c>
      <c r="E2775" s="1">
        <f>IFERROR(__xludf.DUMMYFUNCTION("""COMPUTED_VALUE"""),276500.0)</f>
        <v>276500</v>
      </c>
      <c r="F2775" s="1">
        <f>IFERROR(__xludf.DUMMYFUNCTION("""COMPUTED_VALUE"""),536493.0)</f>
        <v>536493</v>
      </c>
    </row>
    <row r="2776">
      <c r="A2776" s="2">
        <f>IFERROR(__xludf.DUMMYFUNCTION("""COMPUTED_VALUE"""),44700.64583333333)</f>
        <v>44700.64583</v>
      </c>
      <c r="B2776" s="1">
        <f>IFERROR(__xludf.DUMMYFUNCTION("""COMPUTED_VALUE"""),268500.0)</f>
        <v>268500</v>
      </c>
      <c r="C2776" s="1">
        <f>IFERROR(__xludf.DUMMYFUNCTION("""COMPUTED_VALUE"""),273000.0)</f>
        <v>273000</v>
      </c>
      <c r="D2776" s="1">
        <f>IFERROR(__xludf.DUMMYFUNCTION("""COMPUTED_VALUE"""),266500.0)</f>
        <v>266500</v>
      </c>
      <c r="E2776" s="1">
        <f>IFERROR(__xludf.DUMMYFUNCTION("""COMPUTED_VALUE"""),271500.0)</f>
        <v>271500</v>
      </c>
      <c r="F2776" s="1">
        <f>IFERROR(__xludf.DUMMYFUNCTION("""COMPUTED_VALUE"""),625683.0)</f>
        <v>625683</v>
      </c>
    </row>
    <row r="2777">
      <c r="A2777" s="2">
        <f>IFERROR(__xludf.DUMMYFUNCTION("""COMPUTED_VALUE"""),44701.64583333333)</f>
        <v>44701.64583</v>
      </c>
      <c r="B2777" s="1">
        <f>IFERROR(__xludf.DUMMYFUNCTION("""COMPUTED_VALUE"""),270000.0)</f>
        <v>270000</v>
      </c>
      <c r="C2777" s="1">
        <f>IFERROR(__xludf.DUMMYFUNCTION("""COMPUTED_VALUE"""),277000.0)</f>
        <v>277000</v>
      </c>
      <c r="D2777" s="1">
        <f>IFERROR(__xludf.DUMMYFUNCTION("""COMPUTED_VALUE"""),269000.0)</f>
        <v>269000</v>
      </c>
      <c r="E2777" s="1">
        <f>IFERROR(__xludf.DUMMYFUNCTION("""COMPUTED_VALUE"""),275000.0)</f>
        <v>275000</v>
      </c>
      <c r="F2777" s="1">
        <f>IFERROR(__xludf.DUMMYFUNCTION("""COMPUTED_VALUE"""),468832.0)</f>
        <v>468832</v>
      </c>
    </row>
    <row r="2778">
      <c r="A2778" s="2">
        <f>IFERROR(__xludf.DUMMYFUNCTION("""COMPUTED_VALUE"""),44704.64583333333)</f>
        <v>44704.64583</v>
      </c>
      <c r="B2778" s="1">
        <f>IFERROR(__xludf.DUMMYFUNCTION("""COMPUTED_VALUE"""),275000.0)</f>
        <v>275000</v>
      </c>
      <c r="C2778" s="1">
        <f>IFERROR(__xludf.DUMMYFUNCTION("""COMPUTED_VALUE"""),278000.0)</f>
        <v>278000</v>
      </c>
      <c r="D2778" s="1">
        <f>IFERROR(__xludf.DUMMYFUNCTION("""COMPUTED_VALUE"""),273500.0)</f>
        <v>273500</v>
      </c>
      <c r="E2778" s="1">
        <f>IFERROR(__xludf.DUMMYFUNCTION("""COMPUTED_VALUE"""),277500.0)</f>
        <v>277500</v>
      </c>
      <c r="F2778" s="1">
        <f>IFERROR(__xludf.DUMMYFUNCTION("""COMPUTED_VALUE"""),317519.0)</f>
        <v>317519</v>
      </c>
    </row>
    <row r="2779">
      <c r="A2779" s="2">
        <f>IFERROR(__xludf.DUMMYFUNCTION("""COMPUTED_VALUE"""),44705.64583333333)</f>
        <v>44705.64583</v>
      </c>
      <c r="B2779" s="1">
        <f>IFERROR(__xludf.DUMMYFUNCTION("""COMPUTED_VALUE"""),275000.0)</f>
        <v>275000</v>
      </c>
      <c r="C2779" s="1">
        <f>IFERROR(__xludf.DUMMYFUNCTION("""COMPUTED_VALUE"""),275500.0)</f>
        <v>275500</v>
      </c>
      <c r="D2779" s="1">
        <f>IFERROR(__xludf.DUMMYFUNCTION("""COMPUTED_VALUE"""),266000.0)</f>
        <v>266000</v>
      </c>
      <c r="E2779" s="1">
        <f>IFERROR(__xludf.DUMMYFUNCTION("""COMPUTED_VALUE"""),266000.0)</f>
        <v>266000</v>
      </c>
      <c r="F2779" s="1">
        <f>IFERROR(__xludf.DUMMYFUNCTION("""COMPUTED_VALUE"""),574617.0)</f>
        <v>574617</v>
      </c>
    </row>
    <row r="2780">
      <c r="A2780" s="2">
        <f>IFERROR(__xludf.DUMMYFUNCTION("""COMPUTED_VALUE"""),44706.64583333333)</f>
        <v>44706.64583</v>
      </c>
      <c r="B2780" s="1">
        <f>IFERROR(__xludf.DUMMYFUNCTION("""COMPUTED_VALUE"""),266500.0)</f>
        <v>266500</v>
      </c>
      <c r="C2780" s="1">
        <f>IFERROR(__xludf.DUMMYFUNCTION("""COMPUTED_VALUE"""),268500.0)</f>
        <v>268500</v>
      </c>
      <c r="D2780" s="1">
        <f>IFERROR(__xludf.DUMMYFUNCTION("""COMPUTED_VALUE"""),262500.0)</f>
        <v>262500</v>
      </c>
      <c r="E2780" s="1">
        <f>IFERROR(__xludf.DUMMYFUNCTION("""COMPUTED_VALUE"""),266000.0)</f>
        <v>266000</v>
      </c>
      <c r="F2780" s="1">
        <f>IFERROR(__xludf.DUMMYFUNCTION("""COMPUTED_VALUE"""),533307.0)</f>
        <v>533307</v>
      </c>
    </row>
    <row r="2781">
      <c r="A2781" s="2">
        <f>IFERROR(__xludf.DUMMYFUNCTION("""COMPUTED_VALUE"""),44707.64583333333)</f>
        <v>44707.64583</v>
      </c>
      <c r="B2781" s="1">
        <f>IFERROR(__xludf.DUMMYFUNCTION("""COMPUTED_VALUE"""),269500.0)</f>
        <v>269500</v>
      </c>
      <c r="C2781" s="1">
        <f>IFERROR(__xludf.DUMMYFUNCTION("""COMPUTED_VALUE"""),272500.0)</f>
        <v>272500</v>
      </c>
      <c r="D2781" s="1">
        <f>IFERROR(__xludf.DUMMYFUNCTION("""COMPUTED_VALUE"""),266000.0)</f>
        <v>266000</v>
      </c>
      <c r="E2781" s="1">
        <f>IFERROR(__xludf.DUMMYFUNCTION("""COMPUTED_VALUE"""),266000.0)</f>
        <v>266000</v>
      </c>
      <c r="F2781" s="1">
        <f>IFERROR(__xludf.DUMMYFUNCTION("""COMPUTED_VALUE"""),541194.0)</f>
        <v>541194</v>
      </c>
    </row>
    <row r="2782">
      <c r="A2782" s="2">
        <f>IFERROR(__xludf.DUMMYFUNCTION("""COMPUTED_VALUE"""),44708.64583333333)</f>
        <v>44708.64583</v>
      </c>
      <c r="B2782" s="1">
        <f>IFERROR(__xludf.DUMMYFUNCTION("""COMPUTED_VALUE"""),271000.0)</f>
        <v>271000</v>
      </c>
      <c r="C2782" s="1">
        <f>IFERROR(__xludf.DUMMYFUNCTION("""COMPUTED_VALUE"""),272000.0)</f>
        <v>272000</v>
      </c>
      <c r="D2782" s="1">
        <f>IFERROR(__xludf.DUMMYFUNCTION("""COMPUTED_VALUE"""),268500.0)</f>
        <v>268500</v>
      </c>
      <c r="E2782" s="1">
        <f>IFERROR(__xludf.DUMMYFUNCTION("""COMPUTED_VALUE"""),270000.0)</f>
        <v>270000</v>
      </c>
      <c r="F2782" s="1">
        <f>IFERROR(__xludf.DUMMYFUNCTION("""COMPUTED_VALUE"""),481191.0)</f>
        <v>481191</v>
      </c>
    </row>
    <row r="2783">
      <c r="A2783" s="2">
        <f>IFERROR(__xludf.DUMMYFUNCTION("""COMPUTED_VALUE"""),44711.64583333333)</f>
        <v>44711.64583</v>
      </c>
      <c r="B2783" s="1">
        <f>IFERROR(__xludf.DUMMYFUNCTION("""COMPUTED_VALUE"""),274000.0)</f>
        <v>274000</v>
      </c>
      <c r="C2783" s="1">
        <f>IFERROR(__xludf.DUMMYFUNCTION("""COMPUTED_VALUE"""),282500.0)</f>
        <v>282500</v>
      </c>
      <c r="D2783" s="1">
        <f>IFERROR(__xludf.DUMMYFUNCTION("""COMPUTED_VALUE"""),273500.0)</f>
        <v>273500</v>
      </c>
      <c r="E2783" s="1">
        <f>IFERROR(__xludf.DUMMYFUNCTION("""COMPUTED_VALUE"""),281000.0)</f>
        <v>281000</v>
      </c>
      <c r="F2783" s="1">
        <f>IFERROR(__xludf.DUMMYFUNCTION("""COMPUTED_VALUE"""),751170.0)</f>
        <v>751170</v>
      </c>
    </row>
    <row r="2784">
      <c r="A2784" s="2">
        <f>IFERROR(__xludf.DUMMYFUNCTION("""COMPUTED_VALUE"""),44712.64583333333)</f>
        <v>44712.64583</v>
      </c>
      <c r="B2784" s="1">
        <f>IFERROR(__xludf.DUMMYFUNCTION("""COMPUTED_VALUE"""),281500.0)</f>
        <v>281500</v>
      </c>
      <c r="C2784" s="1">
        <f>IFERROR(__xludf.DUMMYFUNCTION("""COMPUTED_VALUE"""),289500.0)</f>
        <v>289500</v>
      </c>
      <c r="D2784" s="1">
        <f>IFERROR(__xludf.DUMMYFUNCTION("""COMPUTED_VALUE"""),277500.0)</f>
        <v>277500</v>
      </c>
      <c r="E2784" s="1">
        <f>IFERROR(__xludf.DUMMYFUNCTION("""COMPUTED_VALUE"""),288000.0)</f>
        <v>288000</v>
      </c>
      <c r="F2784" s="1">
        <f>IFERROR(__xludf.DUMMYFUNCTION("""COMPUTED_VALUE"""),1515701.0)</f>
        <v>1515701</v>
      </c>
    </row>
    <row r="2785">
      <c r="A2785" s="2">
        <f>IFERROR(__xludf.DUMMYFUNCTION("""COMPUTED_VALUE"""),44714.64583333333)</f>
        <v>44714.64583</v>
      </c>
      <c r="B2785" s="1">
        <f>IFERROR(__xludf.DUMMYFUNCTION("""COMPUTED_VALUE"""),290500.0)</f>
        <v>290500</v>
      </c>
      <c r="C2785" s="1">
        <f>IFERROR(__xludf.DUMMYFUNCTION("""COMPUTED_VALUE"""),291000.0)</f>
        <v>291000</v>
      </c>
      <c r="D2785" s="1">
        <f>IFERROR(__xludf.DUMMYFUNCTION("""COMPUTED_VALUE"""),284000.0)</f>
        <v>284000</v>
      </c>
      <c r="E2785" s="1">
        <f>IFERROR(__xludf.DUMMYFUNCTION("""COMPUTED_VALUE"""),290000.0)</f>
        <v>290000</v>
      </c>
      <c r="F2785" s="1">
        <f>IFERROR(__xludf.DUMMYFUNCTION("""COMPUTED_VALUE"""),608586.0)</f>
        <v>608586</v>
      </c>
    </row>
    <row r="2786">
      <c r="A2786" s="2">
        <f>IFERROR(__xludf.DUMMYFUNCTION("""COMPUTED_VALUE"""),44715.64583333333)</f>
        <v>44715.64583</v>
      </c>
      <c r="B2786" s="1">
        <f>IFERROR(__xludf.DUMMYFUNCTION("""COMPUTED_VALUE"""),293500.0)</f>
        <v>293500</v>
      </c>
      <c r="C2786" s="1">
        <f>IFERROR(__xludf.DUMMYFUNCTION("""COMPUTED_VALUE"""),294500.0)</f>
        <v>294500</v>
      </c>
      <c r="D2786" s="1">
        <f>IFERROR(__xludf.DUMMYFUNCTION("""COMPUTED_VALUE"""),286000.0)</f>
        <v>286000</v>
      </c>
      <c r="E2786" s="1">
        <f>IFERROR(__xludf.DUMMYFUNCTION("""COMPUTED_VALUE"""),287500.0)</f>
        <v>287500</v>
      </c>
      <c r="F2786" s="1">
        <f>IFERROR(__xludf.DUMMYFUNCTION("""COMPUTED_VALUE"""),470483.0)</f>
        <v>470483</v>
      </c>
    </row>
    <row r="2787">
      <c r="A2787" s="2">
        <f>IFERROR(__xludf.DUMMYFUNCTION("""COMPUTED_VALUE"""),44719.64583333333)</f>
        <v>44719.64583</v>
      </c>
      <c r="B2787" s="1">
        <f>IFERROR(__xludf.DUMMYFUNCTION("""COMPUTED_VALUE"""),282500.0)</f>
        <v>282500</v>
      </c>
      <c r="C2787" s="1">
        <f>IFERROR(__xludf.DUMMYFUNCTION("""COMPUTED_VALUE"""),284000.0)</f>
        <v>284000</v>
      </c>
      <c r="D2787" s="1">
        <f>IFERROR(__xludf.DUMMYFUNCTION("""COMPUTED_VALUE"""),276000.0)</f>
        <v>276000</v>
      </c>
      <c r="E2787" s="1">
        <f>IFERROR(__xludf.DUMMYFUNCTION("""COMPUTED_VALUE"""),278000.0)</f>
        <v>278000</v>
      </c>
      <c r="F2787" s="1">
        <f>IFERROR(__xludf.DUMMYFUNCTION("""COMPUTED_VALUE"""),660801.0)</f>
        <v>660801</v>
      </c>
    </row>
    <row r="2788">
      <c r="A2788" s="2">
        <f>IFERROR(__xludf.DUMMYFUNCTION("""COMPUTED_VALUE"""),44720.64583333333)</f>
        <v>44720.64583</v>
      </c>
      <c r="B2788" s="1">
        <f>IFERROR(__xludf.DUMMYFUNCTION("""COMPUTED_VALUE"""),279500.0)</f>
        <v>279500</v>
      </c>
      <c r="C2788" s="1">
        <f>IFERROR(__xludf.DUMMYFUNCTION("""COMPUTED_VALUE"""),280000.0)</f>
        <v>280000</v>
      </c>
      <c r="D2788" s="1">
        <f>IFERROR(__xludf.DUMMYFUNCTION("""COMPUTED_VALUE"""),274500.0)</f>
        <v>274500</v>
      </c>
      <c r="E2788" s="1">
        <f>IFERROR(__xludf.DUMMYFUNCTION("""COMPUTED_VALUE"""),278000.0)</f>
        <v>278000</v>
      </c>
      <c r="F2788" s="1">
        <f>IFERROR(__xludf.DUMMYFUNCTION("""COMPUTED_VALUE"""),400681.0)</f>
        <v>400681</v>
      </c>
    </row>
    <row r="2789">
      <c r="A2789" s="2">
        <f>IFERROR(__xludf.DUMMYFUNCTION("""COMPUTED_VALUE"""),44721.64583333333)</f>
        <v>44721.64583</v>
      </c>
      <c r="B2789" s="1">
        <f>IFERROR(__xludf.DUMMYFUNCTION("""COMPUTED_VALUE"""),275500.0)</f>
        <v>275500</v>
      </c>
      <c r="C2789" s="1">
        <f>IFERROR(__xludf.DUMMYFUNCTION("""COMPUTED_VALUE"""),277500.0)</f>
        <v>277500</v>
      </c>
      <c r="D2789" s="1">
        <f>IFERROR(__xludf.DUMMYFUNCTION("""COMPUTED_VALUE"""),269000.0)</f>
        <v>269000</v>
      </c>
      <c r="E2789" s="1">
        <f>IFERROR(__xludf.DUMMYFUNCTION("""COMPUTED_VALUE"""),273000.0)</f>
        <v>273000</v>
      </c>
      <c r="F2789" s="1">
        <f>IFERROR(__xludf.DUMMYFUNCTION("""COMPUTED_VALUE"""),753205.0)</f>
        <v>753205</v>
      </c>
    </row>
    <row r="2790">
      <c r="A2790" s="2">
        <f>IFERROR(__xludf.DUMMYFUNCTION("""COMPUTED_VALUE"""),44722.64583333333)</f>
        <v>44722.64583</v>
      </c>
      <c r="B2790" s="1">
        <f>IFERROR(__xludf.DUMMYFUNCTION("""COMPUTED_VALUE"""),269000.0)</f>
        <v>269000</v>
      </c>
      <c r="C2790" s="1">
        <f>IFERROR(__xludf.DUMMYFUNCTION("""COMPUTED_VALUE"""),274500.0)</f>
        <v>274500</v>
      </c>
      <c r="D2790" s="1">
        <f>IFERROR(__xludf.DUMMYFUNCTION("""COMPUTED_VALUE"""),268500.0)</f>
        <v>268500</v>
      </c>
      <c r="E2790" s="1">
        <f>IFERROR(__xludf.DUMMYFUNCTION("""COMPUTED_VALUE"""),270000.0)</f>
        <v>270000</v>
      </c>
      <c r="F2790" s="1">
        <f>IFERROR(__xludf.DUMMYFUNCTION("""COMPUTED_VALUE"""),497525.0)</f>
        <v>497525</v>
      </c>
    </row>
    <row r="2791">
      <c r="A2791" s="2">
        <f>IFERROR(__xludf.DUMMYFUNCTION("""COMPUTED_VALUE"""),44725.64583333333)</f>
        <v>44725.64583</v>
      </c>
      <c r="B2791" s="1">
        <f>IFERROR(__xludf.DUMMYFUNCTION("""COMPUTED_VALUE"""),262000.0)</f>
        <v>262000</v>
      </c>
      <c r="C2791" s="1">
        <f>IFERROR(__xludf.DUMMYFUNCTION("""COMPUTED_VALUE"""),263000.0)</f>
        <v>263000</v>
      </c>
      <c r="D2791" s="1">
        <f>IFERROR(__xludf.DUMMYFUNCTION("""COMPUTED_VALUE"""),254000.0)</f>
        <v>254000</v>
      </c>
      <c r="E2791" s="1">
        <f>IFERROR(__xludf.DUMMYFUNCTION("""COMPUTED_VALUE"""),254000.0)</f>
        <v>254000</v>
      </c>
      <c r="F2791" s="1">
        <f>IFERROR(__xludf.DUMMYFUNCTION("""COMPUTED_VALUE"""),928643.0)</f>
        <v>928643</v>
      </c>
    </row>
    <row r="2792">
      <c r="A2792" s="2">
        <f>IFERROR(__xludf.DUMMYFUNCTION("""COMPUTED_VALUE"""),44726.64583333333)</f>
        <v>44726.64583</v>
      </c>
      <c r="B2792" s="1">
        <f>IFERROR(__xludf.DUMMYFUNCTION("""COMPUTED_VALUE"""),246000.0)</f>
        <v>246000</v>
      </c>
      <c r="C2792" s="1">
        <f>IFERROR(__xludf.DUMMYFUNCTION("""COMPUTED_VALUE"""),255500.0)</f>
        <v>255500</v>
      </c>
      <c r="D2792" s="1">
        <f>IFERROR(__xludf.DUMMYFUNCTION("""COMPUTED_VALUE"""),245000.0)</f>
        <v>245000</v>
      </c>
      <c r="E2792" s="1">
        <f>IFERROR(__xludf.DUMMYFUNCTION("""COMPUTED_VALUE"""),253000.0)</f>
        <v>253000</v>
      </c>
      <c r="F2792" s="1">
        <f>IFERROR(__xludf.DUMMYFUNCTION("""COMPUTED_VALUE"""),731127.0)</f>
        <v>731127</v>
      </c>
    </row>
    <row r="2793">
      <c r="A2793" s="2">
        <f>IFERROR(__xludf.DUMMYFUNCTION("""COMPUTED_VALUE"""),44727.64583333333)</f>
        <v>44727.64583</v>
      </c>
      <c r="B2793" s="1">
        <f>IFERROR(__xludf.DUMMYFUNCTION("""COMPUTED_VALUE"""),250000.0)</f>
        <v>250000</v>
      </c>
      <c r="C2793" s="1">
        <f>IFERROR(__xludf.DUMMYFUNCTION("""COMPUTED_VALUE"""),252000.0)</f>
        <v>252000</v>
      </c>
      <c r="D2793" s="1">
        <f>IFERROR(__xludf.DUMMYFUNCTION("""COMPUTED_VALUE"""),241500.0)</f>
        <v>241500</v>
      </c>
      <c r="E2793" s="1">
        <f>IFERROR(__xludf.DUMMYFUNCTION("""COMPUTED_VALUE"""),244500.0)</f>
        <v>244500</v>
      </c>
      <c r="F2793" s="1">
        <f>IFERROR(__xludf.DUMMYFUNCTION("""COMPUTED_VALUE"""),751618.0)</f>
        <v>751618</v>
      </c>
    </row>
    <row r="2794">
      <c r="A2794" s="2">
        <f>IFERROR(__xludf.DUMMYFUNCTION("""COMPUTED_VALUE"""),44728.64583333333)</f>
        <v>44728.64583</v>
      </c>
      <c r="B2794" s="1">
        <f>IFERROR(__xludf.DUMMYFUNCTION("""COMPUTED_VALUE"""),249000.0)</f>
        <v>249000</v>
      </c>
      <c r="C2794" s="1">
        <f>IFERROR(__xludf.DUMMYFUNCTION("""COMPUTED_VALUE"""),251000.0)</f>
        <v>251000</v>
      </c>
      <c r="D2794" s="1">
        <f>IFERROR(__xludf.DUMMYFUNCTION("""COMPUTED_VALUE"""),239500.0)</f>
        <v>239500</v>
      </c>
      <c r="E2794" s="1">
        <f>IFERROR(__xludf.DUMMYFUNCTION("""COMPUTED_VALUE"""),240000.0)</f>
        <v>240000</v>
      </c>
      <c r="F2794" s="1">
        <f>IFERROR(__xludf.DUMMYFUNCTION("""COMPUTED_VALUE"""),737844.0)</f>
        <v>737844</v>
      </c>
    </row>
    <row r="2795">
      <c r="A2795" s="2">
        <f>IFERROR(__xludf.DUMMYFUNCTION("""COMPUTED_VALUE"""),44729.64583333333)</f>
        <v>44729.64583</v>
      </c>
      <c r="B2795" s="1">
        <f>IFERROR(__xludf.DUMMYFUNCTION("""COMPUTED_VALUE"""),232500.0)</f>
        <v>232500</v>
      </c>
      <c r="C2795" s="1">
        <f>IFERROR(__xludf.DUMMYFUNCTION("""COMPUTED_VALUE"""),241500.0)</f>
        <v>241500</v>
      </c>
      <c r="D2795" s="1">
        <f>IFERROR(__xludf.DUMMYFUNCTION("""COMPUTED_VALUE"""),232500.0)</f>
        <v>232500</v>
      </c>
      <c r="E2795" s="1">
        <f>IFERROR(__xludf.DUMMYFUNCTION("""COMPUTED_VALUE"""),237500.0)</f>
        <v>237500</v>
      </c>
      <c r="F2795" s="1">
        <f>IFERROR(__xludf.DUMMYFUNCTION("""COMPUTED_VALUE"""),990192.0)</f>
        <v>990192</v>
      </c>
    </row>
    <row r="2796">
      <c r="A2796" s="2">
        <f>IFERROR(__xludf.DUMMYFUNCTION("""COMPUTED_VALUE"""),44732.64583333333)</f>
        <v>44732.64583</v>
      </c>
      <c r="B2796" s="1">
        <f>IFERROR(__xludf.DUMMYFUNCTION("""COMPUTED_VALUE"""),239500.0)</f>
        <v>239500</v>
      </c>
      <c r="C2796" s="1">
        <f>IFERROR(__xludf.DUMMYFUNCTION("""COMPUTED_VALUE"""),241000.0)</f>
        <v>241000</v>
      </c>
      <c r="D2796" s="1">
        <f>IFERROR(__xludf.DUMMYFUNCTION("""COMPUTED_VALUE"""),230000.0)</f>
        <v>230000</v>
      </c>
      <c r="E2796" s="1">
        <f>IFERROR(__xludf.DUMMYFUNCTION("""COMPUTED_VALUE"""),234000.0)</f>
        <v>234000</v>
      </c>
      <c r="F2796" s="1">
        <f>IFERROR(__xludf.DUMMYFUNCTION("""COMPUTED_VALUE"""),719666.0)</f>
        <v>719666</v>
      </c>
    </row>
    <row r="2797">
      <c r="A2797" s="2">
        <f>IFERROR(__xludf.DUMMYFUNCTION("""COMPUTED_VALUE"""),44733.64583333333)</f>
        <v>44733.64583</v>
      </c>
      <c r="B2797" s="1">
        <f>IFERROR(__xludf.DUMMYFUNCTION("""COMPUTED_VALUE"""),236000.0)</f>
        <v>236000</v>
      </c>
      <c r="C2797" s="1">
        <f>IFERROR(__xludf.DUMMYFUNCTION("""COMPUTED_VALUE"""),241500.0)</f>
        <v>241500</v>
      </c>
      <c r="D2797" s="1">
        <f>IFERROR(__xludf.DUMMYFUNCTION("""COMPUTED_VALUE"""),234500.0)</f>
        <v>234500</v>
      </c>
      <c r="E2797" s="1">
        <f>IFERROR(__xludf.DUMMYFUNCTION("""COMPUTED_VALUE"""),239500.0)</f>
        <v>239500</v>
      </c>
      <c r="F2797" s="1">
        <f>IFERROR(__xludf.DUMMYFUNCTION("""COMPUTED_VALUE"""),526317.0)</f>
        <v>526317</v>
      </c>
    </row>
    <row r="2798">
      <c r="A2798" s="2">
        <f>IFERROR(__xludf.DUMMYFUNCTION("""COMPUTED_VALUE"""),44734.64583333333)</f>
        <v>44734.64583</v>
      </c>
      <c r="B2798" s="1">
        <f>IFERROR(__xludf.DUMMYFUNCTION("""COMPUTED_VALUE"""),239500.0)</f>
        <v>239500</v>
      </c>
      <c r="C2798" s="1">
        <f>IFERROR(__xludf.DUMMYFUNCTION("""COMPUTED_VALUE"""),239500.0)</f>
        <v>239500</v>
      </c>
      <c r="D2798" s="1">
        <f>IFERROR(__xludf.DUMMYFUNCTION("""COMPUTED_VALUE"""),227000.0)</f>
        <v>227000</v>
      </c>
      <c r="E2798" s="1">
        <f>IFERROR(__xludf.DUMMYFUNCTION("""COMPUTED_VALUE"""),229000.0)</f>
        <v>229000</v>
      </c>
      <c r="F2798" s="1">
        <f>IFERROR(__xludf.DUMMYFUNCTION("""COMPUTED_VALUE"""),894578.0)</f>
        <v>894578</v>
      </c>
    </row>
    <row r="2799">
      <c r="A2799" s="2">
        <f>IFERROR(__xludf.DUMMYFUNCTION("""COMPUTED_VALUE"""),44735.64583333333)</f>
        <v>44735.64583</v>
      </c>
      <c r="B2799" s="1">
        <f>IFERROR(__xludf.DUMMYFUNCTION("""COMPUTED_VALUE"""),229000.0)</f>
        <v>229000</v>
      </c>
      <c r="C2799" s="1">
        <f>IFERROR(__xludf.DUMMYFUNCTION("""COMPUTED_VALUE"""),239500.0)</f>
        <v>239500</v>
      </c>
      <c r="D2799" s="1">
        <f>IFERROR(__xludf.DUMMYFUNCTION("""COMPUTED_VALUE"""),229000.0)</f>
        <v>229000</v>
      </c>
      <c r="E2799" s="1">
        <f>IFERROR(__xludf.DUMMYFUNCTION("""COMPUTED_VALUE"""),234000.0)</f>
        <v>234000</v>
      </c>
      <c r="F2799" s="1">
        <f>IFERROR(__xludf.DUMMYFUNCTION("""COMPUTED_VALUE"""),894526.0)</f>
        <v>894526</v>
      </c>
    </row>
    <row r="2800">
      <c r="A2800" s="2">
        <f>IFERROR(__xludf.DUMMYFUNCTION("""COMPUTED_VALUE"""),44736.64583333333)</f>
        <v>44736.64583</v>
      </c>
      <c r="B2800" s="1">
        <f>IFERROR(__xludf.DUMMYFUNCTION("""COMPUTED_VALUE"""),238500.0)</f>
        <v>238500</v>
      </c>
      <c r="C2800" s="1">
        <f>IFERROR(__xludf.DUMMYFUNCTION("""COMPUTED_VALUE"""),250000.0)</f>
        <v>250000</v>
      </c>
      <c r="D2800" s="1">
        <f>IFERROR(__xludf.DUMMYFUNCTION("""COMPUTED_VALUE"""),236000.0)</f>
        <v>236000</v>
      </c>
      <c r="E2800" s="1">
        <f>IFERROR(__xludf.DUMMYFUNCTION("""COMPUTED_VALUE"""),247500.0)</f>
        <v>247500</v>
      </c>
      <c r="F2800" s="1">
        <f>IFERROR(__xludf.DUMMYFUNCTION("""COMPUTED_VALUE"""),990710.0)</f>
        <v>990710</v>
      </c>
    </row>
    <row r="2801">
      <c r="A2801" s="2">
        <f>IFERROR(__xludf.DUMMYFUNCTION("""COMPUTED_VALUE"""),44739.64583333333)</f>
        <v>44739.64583</v>
      </c>
      <c r="B2801" s="1">
        <f>IFERROR(__xludf.DUMMYFUNCTION("""COMPUTED_VALUE"""),247500.0)</f>
        <v>247500</v>
      </c>
      <c r="C2801" s="1">
        <f>IFERROR(__xludf.DUMMYFUNCTION("""COMPUTED_VALUE"""),253500.0)</f>
        <v>253500</v>
      </c>
      <c r="D2801" s="1">
        <f>IFERROR(__xludf.DUMMYFUNCTION("""COMPUTED_VALUE"""),244500.0)</f>
        <v>244500</v>
      </c>
      <c r="E2801" s="1">
        <f>IFERROR(__xludf.DUMMYFUNCTION("""COMPUTED_VALUE"""),249000.0)</f>
        <v>249000</v>
      </c>
      <c r="F2801" s="1">
        <f>IFERROR(__xludf.DUMMYFUNCTION("""COMPUTED_VALUE"""),634239.0)</f>
        <v>634239</v>
      </c>
    </row>
    <row r="2802">
      <c r="A2802" s="2">
        <f>IFERROR(__xludf.DUMMYFUNCTION("""COMPUTED_VALUE"""),44740.64583333333)</f>
        <v>44740.64583</v>
      </c>
      <c r="B2802" s="1">
        <f>IFERROR(__xludf.DUMMYFUNCTION("""COMPUTED_VALUE"""),248500.0)</f>
        <v>248500</v>
      </c>
      <c r="C2802" s="1">
        <f>IFERROR(__xludf.DUMMYFUNCTION("""COMPUTED_VALUE"""),253000.0)</f>
        <v>253000</v>
      </c>
      <c r="D2802" s="1">
        <f>IFERROR(__xludf.DUMMYFUNCTION("""COMPUTED_VALUE"""),246000.0)</f>
        <v>246000</v>
      </c>
      <c r="E2802" s="1">
        <f>IFERROR(__xludf.DUMMYFUNCTION("""COMPUTED_VALUE"""),252500.0)</f>
        <v>252500</v>
      </c>
      <c r="F2802" s="1">
        <f>IFERROR(__xludf.DUMMYFUNCTION("""COMPUTED_VALUE"""),460119.0)</f>
        <v>460119</v>
      </c>
    </row>
    <row r="2803">
      <c r="A2803" s="2">
        <f>IFERROR(__xludf.DUMMYFUNCTION("""COMPUTED_VALUE"""),44741.64583333333)</f>
        <v>44741.64583</v>
      </c>
      <c r="B2803" s="1">
        <f>IFERROR(__xludf.DUMMYFUNCTION("""COMPUTED_VALUE"""),246500.0)</f>
        <v>246500</v>
      </c>
      <c r="C2803" s="1">
        <f>IFERROR(__xludf.DUMMYFUNCTION("""COMPUTED_VALUE"""),249000.0)</f>
        <v>249000</v>
      </c>
      <c r="D2803" s="1">
        <f>IFERROR(__xludf.DUMMYFUNCTION("""COMPUTED_VALUE"""),244500.0)</f>
        <v>244500</v>
      </c>
      <c r="E2803" s="1">
        <f>IFERROR(__xludf.DUMMYFUNCTION("""COMPUTED_VALUE"""),246500.0)</f>
        <v>246500</v>
      </c>
      <c r="F2803" s="1">
        <f>IFERROR(__xludf.DUMMYFUNCTION("""COMPUTED_VALUE"""),464699.0)</f>
        <v>464699</v>
      </c>
    </row>
    <row r="2804">
      <c r="A2804" s="2">
        <f>IFERROR(__xludf.DUMMYFUNCTION("""COMPUTED_VALUE"""),44742.64583333333)</f>
        <v>44742.64583</v>
      </c>
      <c r="B2804" s="1">
        <f>IFERROR(__xludf.DUMMYFUNCTION("""COMPUTED_VALUE"""),241500.0)</f>
        <v>241500</v>
      </c>
      <c r="C2804" s="1">
        <f>IFERROR(__xludf.DUMMYFUNCTION("""COMPUTED_VALUE"""),245000.0)</f>
        <v>245000</v>
      </c>
      <c r="D2804" s="1">
        <f>IFERROR(__xludf.DUMMYFUNCTION("""COMPUTED_VALUE"""),236500.0)</f>
        <v>236500</v>
      </c>
      <c r="E2804" s="1">
        <f>IFERROR(__xludf.DUMMYFUNCTION("""COMPUTED_VALUE"""),240000.0)</f>
        <v>240000</v>
      </c>
      <c r="F2804" s="1">
        <f>IFERROR(__xludf.DUMMYFUNCTION("""COMPUTED_VALUE"""),764891.0)</f>
        <v>764891</v>
      </c>
    </row>
    <row r="2805">
      <c r="A2805" s="2">
        <f>IFERROR(__xludf.DUMMYFUNCTION("""COMPUTED_VALUE"""),44743.64583333333)</f>
        <v>44743.64583</v>
      </c>
      <c r="B2805" s="1">
        <f>IFERROR(__xludf.DUMMYFUNCTION("""COMPUTED_VALUE"""),240000.0)</f>
        <v>240000</v>
      </c>
      <c r="C2805" s="1">
        <f>IFERROR(__xludf.DUMMYFUNCTION("""COMPUTED_VALUE"""),242500.0)</f>
        <v>242500</v>
      </c>
      <c r="D2805" s="1">
        <f>IFERROR(__xludf.DUMMYFUNCTION("""COMPUTED_VALUE"""),233500.0)</f>
        <v>233500</v>
      </c>
      <c r="E2805" s="1">
        <f>IFERROR(__xludf.DUMMYFUNCTION("""COMPUTED_VALUE"""),237000.0)</f>
        <v>237000</v>
      </c>
      <c r="F2805" s="1">
        <f>IFERROR(__xludf.DUMMYFUNCTION("""COMPUTED_VALUE"""),527033.0)</f>
        <v>527033</v>
      </c>
    </row>
    <row r="2806">
      <c r="A2806" s="2">
        <f>IFERROR(__xludf.DUMMYFUNCTION("""COMPUTED_VALUE"""),44746.64583333333)</f>
        <v>44746.64583</v>
      </c>
      <c r="B2806" s="1">
        <f>IFERROR(__xludf.DUMMYFUNCTION("""COMPUTED_VALUE"""),237500.0)</f>
        <v>237500</v>
      </c>
      <c r="C2806" s="1">
        <f>IFERROR(__xludf.DUMMYFUNCTION("""COMPUTED_VALUE"""),240000.0)</f>
        <v>240000</v>
      </c>
      <c r="D2806" s="1">
        <f>IFERROR(__xludf.DUMMYFUNCTION("""COMPUTED_VALUE"""),230500.0)</f>
        <v>230500</v>
      </c>
      <c r="E2806" s="1">
        <f>IFERROR(__xludf.DUMMYFUNCTION("""COMPUTED_VALUE"""),235000.0)</f>
        <v>235000</v>
      </c>
      <c r="F2806" s="1">
        <f>IFERROR(__xludf.DUMMYFUNCTION("""COMPUTED_VALUE"""),512776.0)</f>
        <v>512776</v>
      </c>
    </row>
    <row r="2807">
      <c r="A2807" s="2">
        <f>IFERROR(__xludf.DUMMYFUNCTION("""COMPUTED_VALUE"""),44747.64583333333)</f>
        <v>44747.64583</v>
      </c>
      <c r="B2807" s="1">
        <f>IFERROR(__xludf.DUMMYFUNCTION("""COMPUTED_VALUE"""),238500.0)</f>
        <v>238500</v>
      </c>
      <c r="C2807" s="1">
        <f>IFERROR(__xludf.DUMMYFUNCTION("""COMPUTED_VALUE"""),248500.0)</f>
        <v>248500</v>
      </c>
      <c r="D2807" s="1">
        <f>IFERROR(__xludf.DUMMYFUNCTION("""COMPUTED_VALUE"""),237000.0)</f>
        <v>237000</v>
      </c>
      <c r="E2807" s="1">
        <f>IFERROR(__xludf.DUMMYFUNCTION("""COMPUTED_VALUE"""),243000.0)</f>
        <v>243000</v>
      </c>
      <c r="F2807" s="1">
        <f>IFERROR(__xludf.DUMMYFUNCTION("""COMPUTED_VALUE"""),654854.0)</f>
        <v>654854</v>
      </c>
    </row>
    <row r="2808">
      <c r="A2808" s="2">
        <f>IFERROR(__xludf.DUMMYFUNCTION("""COMPUTED_VALUE"""),44748.64583333333)</f>
        <v>44748.64583</v>
      </c>
      <c r="B2808" s="1">
        <f>IFERROR(__xludf.DUMMYFUNCTION("""COMPUTED_VALUE"""),240000.0)</f>
        <v>240000</v>
      </c>
      <c r="C2808" s="1">
        <f>IFERROR(__xludf.DUMMYFUNCTION("""COMPUTED_VALUE"""),249500.0)</f>
        <v>249500</v>
      </c>
      <c r="D2808" s="1">
        <f>IFERROR(__xludf.DUMMYFUNCTION("""COMPUTED_VALUE"""),236500.0)</f>
        <v>236500</v>
      </c>
      <c r="E2808" s="1">
        <f>IFERROR(__xludf.DUMMYFUNCTION("""COMPUTED_VALUE"""),243500.0)</f>
        <v>243500</v>
      </c>
      <c r="F2808" s="1">
        <f>IFERROR(__xludf.DUMMYFUNCTION("""COMPUTED_VALUE"""),875386.0)</f>
        <v>875386</v>
      </c>
    </row>
    <row r="2809">
      <c r="A2809" s="2">
        <f>IFERROR(__xludf.DUMMYFUNCTION("""COMPUTED_VALUE"""),44749.64583333333)</f>
        <v>44749.64583</v>
      </c>
      <c r="B2809" s="1">
        <f>IFERROR(__xludf.DUMMYFUNCTION("""COMPUTED_VALUE"""),246000.0)</f>
        <v>246000</v>
      </c>
      <c r="C2809" s="1">
        <f>IFERROR(__xludf.DUMMYFUNCTION("""COMPUTED_VALUE"""),249000.0)</f>
        <v>249000</v>
      </c>
      <c r="D2809" s="1">
        <f>IFERROR(__xludf.DUMMYFUNCTION("""COMPUTED_VALUE"""),243000.0)</f>
        <v>243000</v>
      </c>
      <c r="E2809" s="1">
        <f>IFERROR(__xludf.DUMMYFUNCTION("""COMPUTED_VALUE"""),245000.0)</f>
        <v>245000</v>
      </c>
      <c r="F2809" s="1">
        <f>IFERROR(__xludf.DUMMYFUNCTION("""COMPUTED_VALUE"""),547620.0)</f>
        <v>547620</v>
      </c>
    </row>
    <row r="2810">
      <c r="A2810" s="2">
        <f>IFERROR(__xludf.DUMMYFUNCTION("""COMPUTED_VALUE"""),44750.64583333333)</f>
        <v>44750.64583</v>
      </c>
      <c r="B2810" s="1">
        <f>IFERROR(__xludf.DUMMYFUNCTION("""COMPUTED_VALUE"""),247000.0)</f>
        <v>247000</v>
      </c>
      <c r="C2810" s="1">
        <f>IFERROR(__xludf.DUMMYFUNCTION("""COMPUTED_VALUE"""),252500.0)</f>
        <v>252500</v>
      </c>
      <c r="D2810" s="1">
        <f>IFERROR(__xludf.DUMMYFUNCTION("""COMPUTED_VALUE"""),246000.0)</f>
        <v>246000</v>
      </c>
      <c r="E2810" s="1">
        <f>IFERROR(__xludf.DUMMYFUNCTION("""COMPUTED_VALUE"""),249000.0)</f>
        <v>249000</v>
      </c>
      <c r="F2810" s="1">
        <f>IFERROR(__xludf.DUMMYFUNCTION("""COMPUTED_VALUE"""),652395.0)</f>
        <v>652395</v>
      </c>
    </row>
    <row r="2811">
      <c r="A2811" s="2">
        <f>IFERROR(__xludf.DUMMYFUNCTION("""COMPUTED_VALUE"""),44753.64583333333)</f>
        <v>44753.64583</v>
      </c>
      <c r="B2811" s="1">
        <f>IFERROR(__xludf.DUMMYFUNCTION("""COMPUTED_VALUE"""),246000.0)</f>
        <v>246000</v>
      </c>
      <c r="C2811" s="1">
        <f>IFERROR(__xludf.DUMMYFUNCTION("""COMPUTED_VALUE"""),248000.0)</f>
        <v>248000</v>
      </c>
      <c r="D2811" s="1">
        <f>IFERROR(__xludf.DUMMYFUNCTION("""COMPUTED_VALUE"""),238500.0)</f>
        <v>238500</v>
      </c>
      <c r="E2811" s="1">
        <f>IFERROR(__xludf.DUMMYFUNCTION("""COMPUTED_VALUE"""),240500.0)</f>
        <v>240500</v>
      </c>
      <c r="F2811" s="1">
        <f>IFERROR(__xludf.DUMMYFUNCTION("""COMPUTED_VALUE"""),554603.0)</f>
        <v>554603</v>
      </c>
    </row>
    <row r="2812">
      <c r="A2812" s="2">
        <f>IFERROR(__xludf.DUMMYFUNCTION("""COMPUTED_VALUE"""),44754.64583333333)</f>
        <v>44754.64583</v>
      </c>
      <c r="B2812" s="1">
        <f>IFERROR(__xludf.DUMMYFUNCTION("""COMPUTED_VALUE"""),236500.0)</f>
        <v>236500</v>
      </c>
      <c r="C2812" s="1">
        <f>IFERROR(__xludf.DUMMYFUNCTION("""COMPUTED_VALUE"""),237500.0)</f>
        <v>237500</v>
      </c>
      <c r="D2812" s="1">
        <f>IFERROR(__xludf.DUMMYFUNCTION("""COMPUTED_VALUE"""),230500.0)</f>
        <v>230500</v>
      </c>
      <c r="E2812" s="1">
        <f>IFERROR(__xludf.DUMMYFUNCTION("""COMPUTED_VALUE"""),233500.0)</f>
        <v>233500</v>
      </c>
      <c r="F2812" s="1">
        <f>IFERROR(__xludf.DUMMYFUNCTION("""COMPUTED_VALUE"""),601679.0)</f>
        <v>601679</v>
      </c>
    </row>
    <row r="2813">
      <c r="A2813" s="2">
        <f>IFERROR(__xludf.DUMMYFUNCTION("""COMPUTED_VALUE"""),44755.64583333333)</f>
        <v>44755.64583</v>
      </c>
      <c r="B2813" s="1">
        <f>IFERROR(__xludf.DUMMYFUNCTION("""COMPUTED_VALUE"""),232000.0)</f>
        <v>232000</v>
      </c>
      <c r="C2813" s="1">
        <f>IFERROR(__xludf.DUMMYFUNCTION("""COMPUTED_VALUE"""),239000.0)</f>
        <v>239000</v>
      </c>
      <c r="D2813" s="1">
        <f>IFERROR(__xludf.DUMMYFUNCTION("""COMPUTED_VALUE"""),232000.0)</f>
        <v>232000</v>
      </c>
      <c r="E2813" s="1">
        <f>IFERROR(__xludf.DUMMYFUNCTION("""COMPUTED_VALUE"""),237500.0)</f>
        <v>237500</v>
      </c>
      <c r="F2813" s="1">
        <f>IFERROR(__xludf.DUMMYFUNCTION("""COMPUTED_VALUE"""),451619.0)</f>
        <v>451619</v>
      </c>
    </row>
    <row r="2814">
      <c r="A2814" s="2">
        <f>IFERROR(__xludf.DUMMYFUNCTION("""COMPUTED_VALUE"""),44756.64583333333)</f>
        <v>44756.64583</v>
      </c>
      <c r="B2814" s="1">
        <f>IFERROR(__xludf.DUMMYFUNCTION("""COMPUTED_VALUE"""),232000.0)</f>
        <v>232000</v>
      </c>
      <c r="C2814" s="1">
        <f>IFERROR(__xludf.DUMMYFUNCTION("""COMPUTED_VALUE"""),236000.0)</f>
        <v>236000</v>
      </c>
      <c r="D2814" s="1">
        <f>IFERROR(__xludf.DUMMYFUNCTION("""COMPUTED_VALUE"""),231000.0)</f>
        <v>231000</v>
      </c>
      <c r="E2814" s="1">
        <f>IFERROR(__xludf.DUMMYFUNCTION("""COMPUTED_VALUE"""),233500.0)</f>
        <v>233500</v>
      </c>
      <c r="F2814" s="1">
        <f>IFERROR(__xludf.DUMMYFUNCTION("""COMPUTED_VALUE"""),611226.0)</f>
        <v>611226</v>
      </c>
    </row>
    <row r="2815">
      <c r="A2815" s="2">
        <f>IFERROR(__xludf.DUMMYFUNCTION("""COMPUTED_VALUE"""),44757.64583333333)</f>
        <v>44757.64583</v>
      </c>
      <c r="B2815" s="1">
        <f>IFERROR(__xludf.DUMMYFUNCTION("""COMPUTED_VALUE"""),234500.0)</f>
        <v>234500</v>
      </c>
      <c r="C2815" s="1">
        <f>IFERROR(__xludf.DUMMYFUNCTION("""COMPUTED_VALUE"""),234500.0)</f>
        <v>234500</v>
      </c>
      <c r="D2815" s="1">
        <f>IFERROR(__xludf.DUMMYFUNCTION("""COMPUTED_VALUE"""),228000.0)</f>
        <v>228000</v>
      </c>
      <c r="E2815" s="1">
        <f>IFERROR(__xludf.DUMMYFUNCTION("""COMPUTED_VALUE"""),231000.0)</f>
        <v>231000</v>
      </c>
      <c r="F2815" s="1">
        <f>IFERROR(__xludf.DUMMYFUNCTION("""COMPUTED_VALUE"""),826920.0)</f>
        <v>826920</v>
      </c>
    </row>
    <row r="2816">
      <c r="A2816" s="2">
        <f>IFERROR(__xludf.DUMMYFUNCTION("""COMPUTED_VALUE"""),44760.64583333333)</f>
        <v>44760.64583</v>
      </c>
      <c r="B2816" s="1">
        <f>IFERROR(__xludf.DUMMYFUNCTION("""COMPUTED_VALUE"""),234000.0)</f>
        <v>234000</v>
      </c>
      <c r="C2816" s="1">
        <f>IFERROR(__xludf.DUMMYFUNCTION("""COMPUTED_VALUE"""),247000.0)</f>
        <v>247000</v>
      </c>
      <c r="D2816" s="1">
        <f>IFERROR(__xludf.DUMMYFUNCTION("""COMPUTED_VALUE"""),233000.0)</f>
        <v>233000</v>
      </c>
      <c r="E2816" s="1">
        <f>IFERROR(__xludf.DUMMYFUNCTION("""COMPUTED_VALUE"""),246500.0)</f>
        <v>246500</v>
      </c>
      <c r="F2816" s="1">
        <f>IFERROR(__xludf.DUMMYFUNCTION("""COMPUTED_VALUE"""),986963.0)</f>
        <v>986963</v>
      </c>
    </row>
    <row r="2817">
      <c r="A2817" s="2">
        <f>IFERROR(__xludf.DUMMYFUNCTION("""COMPUTED_VALUE"""),44761.64583333333)</f>
        <v>44761.64583</v>
      </c>
      <c r="B2817" s="1">
        <f>IFERROR(__xludf.DUMMYFUNCTION("""COMPUTED_VALUE"""),242500.0)</f>
        <v>242500</v>
      </c>
      <c r="C2817" s="1">
        <f>IFERROR(__xludf.DUMMYFUNCTION("""COMPUTED_VALUE"""),244000.0)</f>
        <v>244000</v>
      </c>
      <c r="D2817" s="1">
        <f>IFERROR(__xludf.DUMMYFUNCTION("""COMPUTED_VALUE"""),240000.0)</f>
        <v>240000</v>
      </c>
      <c r="E2817" s="1">
        <f>IFERROR(__xludf.DUMMYFUNCTION("""COMPUTED_VALUE"""),243500.0)</f>
        <v>243500</v>
      </c>
      <c r="F2817" s="1">
        <f>IFERROR(__xludf.DUMMYFUNCTION("""COMPUTED_VALUE"""),350932.0)</f>
        <v>350932</v>
      </c>
    </row>
    <row r="2818">
      <c r="A2818" s="2">
        <f>IFERROR(__xludf.DUMMYFUNCTION("""COMPUTED_VALUE"""),44762.64583333333)</f>
        <v>44762.64583</v>
      </c>
      <c r="B2818" s="1">
        <f>IFERROR(__xludf.DUMMYFUNCTION("""COMPUTED_VALUE"""),251000.0)</f>
        <v>251000</v>
      </c>
      <c r="C2818" s="1">
        <f>IFERROR(__xludf.DUMMYFUNCTION("""COMPUTED_VALUE"""),253500.0)</f>
        <v>253500</v>
      </c>
      <c r="D2818" s="1">
        <f>IFERROR(__xludf.DUMMYFUNCTION("""COMPUTED_VALUE"""),244500.0)</f>
        <v>244500</v>
      </c>
      <c r="E2818" s="1">
        <f>IFERROR(__xludf.DUMMYFUNCTION("""COMPUTED_VALUE"""),246000.0)</f>
        <v>246000</v>
      </c>
      <c r="F2818" s="1">
        <f>IFERROR(__xludf.DUMMYFUNCTION("""COMPUTED_VALUE"""),635582.0)</f>
        <v>635582</v>
      </c>
    </row>
    <row r="2819">
      <c r="A2819" s="2">
        <f>IFERROR(__xludf.DUMMYFUNCTION("""COMPUTED_VALUE"""),44763.64583333333)</f>
        <v>44763.64583</v>
      </c>
      <c r="B2819" s="1">
        <f>IFERROR(__xludf.DUMMYFUNCTION("""COMPUTED_VALUE"""),248500.0)</f>
        <v>248500</v>
      </c>
      <c r="C2819" s="1">
        <f>IFERROR(__xludf.DUMMYFUNCTION("""COMPUTED_VALUE"""),256500.0)</f>
        <v>256500</v>
      </c>
      <c r="D2819" s="1">
        <f>IFERROR(__xludf.DUMMYFUNCTION("""COMPUTED_VALUE"""),246500.0)</f>
        <v>246500</v>
      </c>
      <c r="E2819" s="1">
        <f>IFERROR(__xludf.DUMMYFUNCTION("""COMPUTED_VALUE"""),250500.0)</f>
        <v>250500</v>
      </c>
      <c r="F2819" s="1">
        <f>IFERROR(__xludf.DUMMYFUNCTION("""COMPUTED_VALUE"""),567875.0)</f>
        <v>567875</v>
      </c>
    </row>
    <row r="2820">
      <c r="A2820" s="2">
        <f>IFERROR(__xludf.DUMMYFUNCTION("""COMPUTED_VALUE"""),44764.64583333333)</f>
        <v>44764.64583</v>
      </c>
      <c r="B2820" s="1">
        <f>IFERROR(__xludf.DUMMYFUNCTION("""COMPUTED_VALUE"""),250000.0)</f>
        <v>250000</v>
      </c>
      <c r="C2820" s="1">
        <f>IFERROR(__xludf.DUMMYFUNCTION("""COMPUTED_VALUE"""),253500.0)</f>
        <v>253500</v>
      </c>
      <c r="D2820" s="1">
        <f>IFERROR(__xludf.DUMMYFUNCTION("""COMPUTED_VALUE"""),247000.0)</f>
        <v>247000</v>
      </c>
      <c r="E2820" s="1">
        <f>IFERROR(__xludf.DUMMYFUNCTION("""COMPUTED_VALUE"""),250000.0)</f>
        <v>250000</v>
      </c>
      <c r="F2820" s="1">
        <f>IFERROR(__xludf.DUMMYFUNCTION("""COMPUTED_VALUE"""),465586.0)</f>
        <v>465586</v>
      </c>
    </row>
    <row r="2821">
      <c r="A2821" s="2">
        <f>IFERROR(__xludf.DUMMYFUNCTION("""COMPUTED_VALUE"""),44767.64583333333)</f>
        <v>44767.64583</v>
      </c>
      <c r="B2821" s="1">
        <f>IFERROR(__xludf.DUMMYFUNCTION("""COMPUTED_VALUE"""),248000.0)</f>
        <v>248000</v>
      </c>
      <c r="C2821" s="1">
        <f>IFERROR(__xludf.DUMMYFUNCTION("""COMPUTED_VALUE"""),249000.0)</f>
        <v>249000</v>
      </c>
      <c r="D2821" s="1">
        <f>IFERROR(__xludf.DUMMYFUNCTION("""COMPUTED_VALUE"""),244000.0)</f>
        <v>244000</v>
      </c>
      <c r="E2821" s="1">
        <f>IFERROR(__xludf.DUMMYFUNCTION("""COMPUTED_VALUE"""),248000.0)</f>
        <v>248000</v>
      </c>
      <c r="F2821" s="1">
        <f>IFERROR(__xludf.DUMMYFUNCTION("""COMPUTED_VALUE"""),380368.0)</f>
        <v>380368</v>
      </c>
    </row>
    <row r="2822">
      <c r="A2822" s="2">
        <f>IFERROR(__xludf.DUMMYFUNCTION("""COMPUTED_VALUE"""),44768.64583333333)</f>
        <v>44768.64583</v>
      </c>
      <c r="B2822" s="1">
        <f>IFERROR(__xludf.DUMMYFUNCTION("""COMPUTED_VALUE"""),244500.0)</f>
        <v>244500</v>
      </c>
      <c r="C2822" s="1">
        <f>IFERROR(__xludf.DUMMYFUNCTION("""COMPUTED_VALUE"""),245000.0)</f>
        <v>245000</v>
      </c>
      <c r="D2822" s="1">
        <f>IFERROR(__xludf.DUMMYFUNCTION("""COMPUTED_VALUE"""),240500.0)</f>
        <v>240500</v>
      </c>
      <c r="E2822" s="1">
        <f>IFERROR(__xludf.DUMMYFUNCTION("""COMPUTED_VALUE"""),245000.0)</f>
        <v>245000</v>
      </c>
      <c r="F2822" s="1">
        <f>IFERROR(__xludf.DUMMYFUNCTION("""COMPUTED_VALUE"""),432397.0)</f>
        <v>432397</v>
      </c>
    </row>
    <row r="2823">
      <c r="A2823" s="2">
        <f>IFERROR(__xludf.DUMMYFUNCTION("""COMPUTED_VALUE"""),44769.64583333333)</f>
        <v>44769.64583</v>
      </c>
      <c r="B2823" s="1">
        <f>IFERROR(__xludf.DUMMYFUNCTION("""COMPUTED_VALUE"""),247500.0)</f>
        <v>247500</v>
      </c>
      <c r="C2823" s="1">
        <f>IFERROR(__xludf.DUMMYFUNCTION("""COMPUTED_VALUE"""),247500.0)</f>
        <v>247500</v>
      </c>
      <c r="D2823" s="1">
        <f>IFERROR(__xludf.DUMMYFUNCTION("""COMPUTED_VALUE"""),241000.0)</f>
        <v>241000</v>
      </c>
      <c r="E2823" s="1">
        <f>IFERROR(__xludf.DUMMYFUNCTION("""COMPUTED_VALUE"""),246000.0)</f>
        <v>246000</v>
      </c>
      <c r="F2823" s="1">
        <f>IFERROR(__xludf.DUMMYFUNCTION("""COMPUTED_VALUE"""),576997.0)</f>
        <v>576997</v>
      </c>
    </row>
    <row r="2824">
      <c r="A2824" s="2">
        <f>IFERROR(__xludf.DUMMYFUNCTION("""COMPUTED_VALUE"""),44770.64583333333)</f>
        <v>44770.64583</v>
      </c>
      <c r="B2824" s="1">
        <f>IFERROR(__xludf.DUMMYFUNCTION("""COMPUTED_VALUE"""),251000.0)</f>
        <v>251000</v>
      </c>
      <c r="C2824" s="1">
        <f>IFERROR(__xludf.DUMMYFUNCTION("""COMPUTED_VALUE"""),255000.0)</f>
        <v>255000</v>
      </c>
      <c r="D2824" s="1">
        <f>IFERROR(__xludf.DUMMYFUNCTION("""COMPUTED_VALUE"""),245500.0)</f>
        <v>245500</v>
      </c>
      <c r="E2824" s="1">
        <f>IFERROR(__xludf.DUMMYFUNCTION("""COMPUTED_VALUE"""),247000.0)</f>
        <v>247000</v>
      </c>
      <c r="F2824" s="1">
        <f>IFERROR(__xludf.DUMMYFUNCTION("""COMPUTED_VALUE"""),564324.0)</f>
        <v>564324</v>
      </c>
    </row>
    <row r="2825">
      <c r="A2825" s="2">
        <f>IFERROR(__xludf.DUMMYFUNCTION("""COMPUTED_VALUE"""),44771.64583333333)</f>
        <v>44771.64583</v>
      </c>
      <c r="B2825" s="1">
        <f>IFERROR(__xludf.DUMMYFUNCTION("""COMPUTED_VALUE"""),252000.0)</f>
        <v>252000</v>
      </c>
      <c r="C2825" s="1">
        <f>IFERROR(__xludf.DUMMYFUNCTION("""COMPUTED_VALUE"""),262000.0)</f>
        <v>262000</v>
      </c>
      <c r="D2825" s="1">
        <f>IFERROR(__xludf.DUMMYFUNCTION("""COMPUTED_VALUE"""),251500.0)</f>
        <v>251500</v>
      </c>
      <c r="E2825" s="1">
        <f>IFERROR(__xludf.DUMMYFUNCTION("""COMPUTED_VALUE"""),259000.0)</f>
        <v>259000</v>
      </c>
      <c r="F2825" s="1">
        <f>IFERROR(__xludf.DUMMYFUNCTION("""COMPUTED_VALUE"""),1105156.0)</f>
        <v>1105156</v>
      </c>
    </row>
    <row r="2826">
      <c r="A2826" s="2">
        <f>IFERROR(__xludf.DUMMYFUNCTION("""COMPUTED_VALUE"""),44774.64583333333)</f>
        <v>44774.64583</v>
      </c>
      <c r="B2826" s="1">
        <f>IFERROR(__xludf.DUMMYFUNCTION("""COMPUTED_VALUE"""),260500.0)</f>
        <v>260500</v>
      </c>
      <c r="C2826" s="1">
        <f>IFERROR(__xludf.DUMMYFUNCTION("""COMPUTED_VALUE"""),261500.0)</f>
        <v>261500</v>
      </c>
      <c r="D2826" s="1">
        <f>IFERROR(__xludf.DUMMYFUNCTION("""COMPUTED_VALUE"""),256500.0)</f>
        <v>256500</v>
      </c>
      <c r="E2826" s="1">
        <f>IFERROR(__xludf.DUMMYFUNCTION("""COMPUTED_VALUE"""),259000.0)</f>
        <v>259000</v>
      </c>
      <c r="F2826" s="1">
        <f>IFERROR(__xludf.DUMMYFUNCTION("""COMPUTED_VALUE"""),532517.0)</f>
        <v>532517</v>
      </c>
    </row>
    <row r="2827">
      <c r="A2827" s="2">
        <f>IFERROR(__xludf.DUMMYFUNCTION("""COMPUTED_VALUE"""),44775.64583333333)</f>
        <v>44775.64583</v>
      </c>
      <c r="B2827" s="1">
        <f>IFERROR(__xludf.DUMMYFUNCTION("""COMPUTED_VALUE"""),260500.0)</f>
        <v>260500</v>
      </c>
      <c r="C2827" s="1">
        <f>IFERROR(__xludf.DUMMYFUNCTION("""COMPUTED_VALUE"""),260500.0)</f>
        <v>260500</v>
      </c>
      <c r="D2827" s="1">
        <f>IFERROR(__xludf.DUMMYFUNCTION("""COMPUTED_VALUE"""),254000.0)</f>
        <v>254000</v>
      </c>
      <c r="E2827" s="1">
        <f>IFERROR(__xludf.DUMMYFUNCTION("""COMPUTED_VALUE"""),259000.0)</f>
        <v>259000</v>
      </c>
      <c r="F2827" s="1">
        <f>IFERROR(__xludf.DUMMYFUNCTION("""COMPUTED_VALUE"""),551218.0)</f>
        <v>551218</v>
      </c>
    </row>
    <row r="2828">
      <c r="A2828" s="2">
        <f>IFERROR(__xludf.DUMMYFUNCTION("""COMPUTED_VALUE"""),44776.64583333333)</f>
        <v>44776.64583</v>
      </c>
      <c r="B2828" s="1">
        <f>IFERROR(__xludf.DUMMYFUNCTION("""COMPUTED_VALUE"""),256000.0)</f>
        <v>256000</v>
      </c>
      <c r="C2828" s="1">
        <f>IFERROR(__xludf.DUMMYFUNCTION("""COMPUTED_VALUE"""),271000.0)</f>
        <v>271000</v>
      </c>
      <c r="D2828" s="1">
        <f>IFERROR(__xludf.DUMMYFUNCTION("""COMPUTED_VALUE"""),255000.0)</f>
        <v>255000</v>
      </c>
      <c r="E2828" s="1">
        <f>IFERROR(__xludf.DUMMYFUNCTION("""COMPUTED_VALUE"""),269000.0)</f>
        <v>269000</v>
      </c>
      <c r="F2828" s="1">
        <f>IFERROR(__xludf.DUMMYFUNCTION("""COMPUTED_VALUE"""),831121.0)</f>
        <v>831121</v>
      </c>
    </row>
    <row r="2829">
      <c r="A2829" s="2">
        <f>IFERROR(__xludf.DUMMYFUNCTION("""COMPUTED_VALUE"""),44777.64583333333)</f>
        <v>44777.64583</v>
      </c>
      <c r="B2829" s="1">
        <f>IFERROR(__xludf.DUMMYFUNCTION("""COMPUTED_VALUE"""),272500.0)</f>
        <v>272500</v>
      </c>
      <c r="C2829" s="1">
        <f>IFERROR(__xludf.DUMMYFUNCTION("""COMPUTED_VALUE"""),278000.0)</f>
        <v>278000</v>
      </c>
      <c r="D2829" s="1">
        <f>IFERROR(__xludf.DUMMYFUNCTION("""COMPUTED_VALUE"""),271000.0)</f>
        <v>271000</v>
      </c>
      <c r="E2829" s="1">
        <f>IFERROR(__xludf.DUMMYFUNCTION("""COMPUTED_VALUE"""),273500.0)</f>
        <v>273500</v>
      </c>
      <c r="F2829" s="1">
        <f>IFERROR(__xludf.DUMMYFUNCTION("""COMPUTED_VALUE"""),960547.0)</f>
        <v>960547</v>
      </c>
    </row>
    <row r="2830">
      <c r="A2830" s="2">
        <f>IFERROR(__xludf.DUMMYFUNCTION("""COMPUTED_VALUE"""),44778.64583333333)</f>
        <v>44778.64583</v>
      </c>
      <c r="B2830" s="1">
        <f>IFERROR(__xludf.DUMMYFUNCTION("""COMPUTED_VALUE"""),277500.0)</f>
        <v>277500</v>
      </c>
      <c r="C2830" s="1">
        <f>IFERROR(__xludf.DUMMYFUNCTION("""COMPUTED_VALUE"""),281000.0)</f>
        <v>281000</v>
      </c>
      <c r="D2830" s="1">
        <f>IFERROR(__xludf.DUMMYFUNCTION("""COMPUTED_VALUE"""),265500.0)</f>
        <v>265500</v>
      </c>
      <c r="E2830" s="1">
        <f>IFERROR(__xludf.DUMMYFUNCTION("""COMPUTED_VALUE"""),267000.0)</f>
        <v>267000</v>
      </c>
      <c r="F2830" s="1">
        <f>IFERROR(__xludf.DUMMYFUNCTION("""COMPUTED_VALUE"""),949836.0)</f>
        <v>949836</v>
      </c>
    </row>
    <row r="2831">
      <c r="A2831" s="2">
        <f>IFERROR(__xludf.DUMMYFUNCTION("""COMPUTED_VALUE"""),44781.64583333333)</f>
        <v>44781.64583</v>
      </c>
      <c r="B2831" s="1">
        <f>IFERROR(__xludf.DUMMYFUNCTION("""COMPUTED_VALUE"""),261000.0)</f>
        <v>261000</v>
      </c>
      <c r="C2831" s="1">
        <f>IFERROR(__xludf.DUMMYFUNCTION("""COMPUTED_VALUE"""),261500.0)</f>
        <v>261500</v>
      </c>
      <c r="D2831" s="1">
        <f>IFERROR(__xludf.DUMMYFUNCTION("""COMPUTED_VALUE"""),257000.0)</f>
        <v>257000</v>
      </c>
      <c r="E2831" s="1">
        <f>IFERROR(__xludf.DUMMYFUNCTION("""COMPUTED_VALUE"""),258500.0)</f>
        <v>258500</v>
      </c>
      <c r="F2831" s="1">
        <f>IFERROR(__xludf.DUMMYFUNCTION("""COMPUTED_VALUE"""),940226.0)</f>
        <v>940226</v>
      </c>
    </row>
    <row r="2832">
      <c r="A2832" s="2">
        <f>IFERROR(__xludf.DUMMYFUNCTION("""COMPUTED_VALUE"""),44782.64583333333)</f>
        <v>44782.64583</v>
      </c>
      <c r="B2832" s="1">
        <f>IFERROR(__xludf.DUMMYFUNCTION("""COMPUTED_VALUE"""),261000.0)</f>
        <v>261000</v>
      </c>
      <c r="C2832" s="1">
        <f>IFERROR(__xludf.DUMMYFUNCTION("""COMPUTED_VALUE"""),267000.0)</f>
        <v>267000</v>
      </c>
      <c r="D2832" s="1">
        <f>IFERROR(__xludf.DUMMYFUNCTION("""COMPUTED_VALUE"""),259500.0)</f>
        <v>259500</v>
      </c>
      <c r="E2832" s="1">
        <f>IFERROR(__xludf.DUMMYFUNCTION("""COMPUTED_VALUE"""),265000.0)</f>
        <v>265000</v>
      </c>
      <c r="F2832" s="1">
        <f>IFERROR(__xludf.DUMMYFUNCTION("""COMPUTED_VALUE"""),529474.0)</f>
        <v>529474</v>
      </c>
    </row>
    <row r="2833">
      <c r="A2833" s="2">
        <f>IFERROR(__xludf.DUMMYFUNCTION("""COMPUTED_VALUE"""),44783.64583333333)</f>
        <v>44783.64583</v>
      </c>
      <c r="B2833" s="1">
        <f>IFERROR(__xludf.DUMMYFUNCTION("""COMPUTED_VALUE"""),262500.0)</f>
        <v>262500</v>
      </c>
      <c r="C2833" s="1">
        <f>IFERROR(__xludf.DUMMYFUNCTION("""COMPUTED_VALUE"""),266000.0)</f>
        <v>266000</v>
      </c>
      <c r="D2833" s="1">
        <f>IFERROR(__xludf.DUMMYFUNCTION("""COMPUTED_VALUE"""),261000.0)</f>
        <v>261000</v>
      </c>
      <c r="E2833" s="1">
        <f>IFERROR(__xludf.DUMMYFUNCTION("""COMPUTED_VALUE"""),262000.0)</f>
        <v>262000</v>
      </c>
      <c r="F2833" s="1">
        <f>IFERROR(__xludf.DUMMYFUNCTION("""COMPUTED_VALUE"""),317975.0)</f>
        <v>317975</v>
      </c>
    </row>
    <row r="2834">
      <c r="A2834" s="2">
        <f>IFERROR(__xludf.DUMMYFUNCTION("""COMPUTED_VALUE"""),44784.64583333333)</f>
        <v>44784.64583</v>
      </c>
      <c r="B2834" s="1">
        <f>IFERROR(__xludf.DUMMYFUNCTION("""COMPUTED_VALUE"""),269500.0)</f>
        <v>269500</v>
      </c>
      <c r="C2834" s="1">
        <f>IFERROR(__xludf.DUMMYFUNCTION("""COMPUTED_VALUE"""),271000.0)</f>
        <v>271000</v>
      </c>
      <c r="D2834" s="1">
        <f>IFERROR(__xludf.DUMMYFUNCTION("""COMPUTED_VALUE"""),266000.0)</f>
        <v>266000</v>
      </c>
      <c r="E2834" s="1">
        <f>IFERROR(__xludf.DUMMYFUNCTION("""COMPUTED_VALUE"""),267500.0)</f>
        <v>267500</v>
      </c>
      <c r="F2834" s="1">
        <f>IFERROR(__xludf.DUMMYFUNCTION("""COMPUTED_VALUE"""),517715.0)</f>
        <v>517715</v>
      </c>
    </row>
    <row r="2835">
      <c r="A2835" s="2">
        <f>IFERROR(__xludf.DUMMYFUNCTION("""COMPUTED_VALUE"""),44785.64583333333)</f>
        <v>44785.64583</v>
      </c>
      <c r="B2835" s="1">
        <f>IFERROR(__xludf.DUMMYFUNCTION("""COMPUTED_VALUE"""),267500.0)</f>
        <v>267500</v>
      </c>
      <c r="C2835" s="1">
        <f>IFERROR(__xludf.DUMMYFUNCTION("""COMPUTED_VALUE"""),269500.0)</f>
        <v>269500</v>
      </c>
      <c r="D2835" s="1">
        <f>IFERROR(__xludf.DUMMYFUNCTION("""COMPUTED_VALUE"""),265000.0)</f>
        <v>265000</v>
      </c>
      <c r="E2835" s="1">
        <f>IFERROR(__xludf.DUMMYFUNCTION("""COMPUTED_VALUE"""),265500.0)</f>
        <v>265500</v>
      </c>
      <c r="F2835" s="1">
        <f>IFERROR(__xludf.DUMMYFUNCTION("""COMPUTED_VALUE"""),402713.0)</f>
        <v>402713</v>
      </c>
    </row>
    <row r="2836">
      <c r="A2836" s="2">
        <f>IFERROR(__xludf.DUMMYFUNCTION("""COMPUTED_VALUE"""),44789.64583333333)</f>
        <v>44789.64583</v>
      </c>
      <c r="B2836" s="1">
        <f>IFERROR(__xludf.DUMMYFUNCTION("""COMPUTED_VALUE"""),268500.0)</f>
        <v>268500</v>
      </c>
      <c r="C2836" s="1">
        <f>IFERROR(__xludf.DUMMYFUNCTION("""COMPUTED_VALUE"""),269000.0)</f>
        <v>269000</v>
      </c>
      <c r="D2836" s="1">
        <f>IFERROR(__xludf.DUMMYFUNCTION("""COMPUTED_VALUE"""),258000.0)</f>
        <v>258000</v>
      </c>
      <c r="E2836" s="1">
        <f>IFERROR(__xludf.DUMMYFUNCTION("""COMPUTED_VALUE"""),259500.0)</f>
        <v>259500</v>
      </c>
      <c r="F2836" s="1">
        <f>IFERROR(__xludf.DUMMYFUNCTION("""COMPUTED_VALUE"""),864710.0)</f>
        <v>864710</v>
      </c>
    </row>
    <row r="2837">
      <c r="A2837" s="2">
        <f>IFERROR(__xludf.DUMMYFUNCTION("""COMPUTED_VALUE"""),44790.64583333333)</f>
        <v>44790.64583</v>
      </c>
      <c r="B2837" s="1">
        <f>IFERROR(__xludf.DUMMYFUNCTION("""COMPUTED_VALUE"""),259000.0)</f>
        <v>259000</v>
      </c>
      <c r="C2837" s="1">
        <f>IFERROR(__xludf.DUMMYFUNCTION("""COMPUTED_VALUE"""),260000.0)</f>
        <v>260000</v>
      </c>
      <c r="D2837" s="1">
        <f>IFERROR(__xludf.DUMMYFUNCTION("""COMPUTED_VALUE"""),254500.0)</f>
        <v>254500</v>
      </c>
      <c r="E2837" s="1">
        <f>IFERROR(__xludf.DUMMYFUNCTION("""COMPUTED_VALUE"""),258000.0)</f>
        <v>258000</v>
      </c>
      <c r="F2837" s="1">
        <f>IFERROR(__xludf.DUMMYFUNCTION("""COMPUTED_VALUE"""),433453.0)</f>
        <v>433453</v>
      </c>
    </row>
    <row r="2838">
      <c r="A2838" s="2">
        <f>IFERROR(__xludf.DUMMYFUNCTION("""COMPUTED_VALUE"""),44791.64583333333)</f>
        <v>44791.64583</v>
      </c>
      <c r="B2838" s="1">
        <f>IFERROR(__xludf.DUMMYFUNCTION("""COMPUTED_VALUE"""),254000.0)</f>
        <v>254000</v>
      </c>
      <c r="C2838" s="1">
        <f>IFERROR(__xludf.DUMMYFUNCTION("""COMPUTED_VALUE"""),256000.0)</f>
        <v>256000</v>
      </c>
      <c r="D2838" s="1">
        <f>IFERROR(__xludf.DUMMYFUNCTION("""COMPUTED_VALUE"""),249000.0)</f>
        <v>249000</v>
      </c>
      <c r="E2838" s="1">
        <f>IFERROR(__xludf.DUMMYFUNCTION("""COMPUTED_VALUE"""),250000.0)</f>
        <v>250000</v>
      </c>
      <c r="F2838" s="1">
        <f>IFERROR(__xludf.DUMMYFUNCTION("""COMPUTED_VALUE"""),788467.0)</f>
        <v>788467</v>
      </c>
    </row>
    <row r="2839">
      <c r="A2839" s="2">
        <f>IFERROR(__xludf.DUMMYFUNCTION("""COMPUTED_VALUE"""),44792.64583333333)</f>
        <v>44792.64583</v>
      </c>
      <c r="B2839" s="1">
        <f>IFERROR(__xludf.DUMMYFUNCTION("""COMPUTED_VALUE"""),250500.0)</f>
        <v>250500</v>
      </c>
      <c r="C2839" s="1">
        <f>IFERROR(__xludf.DUMMYFUNCTION("""COMPUTED_VALUE"""),251000.0)</f>
        <v>251000</v>
      </c>
      <c r="D2839" s="1">
        <f>IFERROR(__xludf.DUMMYFUNCTION("""COMPUTED_VALUE"""),246000.0)</f>
        <v>246000</v>
      </c>
      <c r="E2839" s="1">
        <f>IFERROR(__xludf.DUMMYFUNCTION("""COMPUTED_VALUE"""),248000.0)</f>
        <v>248000</v>
      </c>
      <c r="F2839" s="1">
        <f>IFERROR(__xludf.DUMMYFUNCTION("""COMPUTED_VALUE"""),382703.0)</f>
        <v>382703</v>
      </c>
    </row>
    <row r="2840">
      <c r="A2840" s="2">
        <f>IFERROR(__xludf.DUMMYFUNCTION("""COMPUTED_VALUE"""),44795.64583333333)</f>
        <v>44795.64583</v>
      </c>
      <c r="B2840" s="1">
        <f>IFERROR(__xludf.DUMMYFUNCTION("""COMPUTED_VALUE"""),245000.0)</f>
        <v>245000</v>
      </c>
      <c r="C2840" s="1">
        <f>IFERROR(__xludf.DUMMYFUNCTION("""COMPUTED_VALUE"""),247000.0)</f>
        <v>247000</v>
      </c>
      <c r="D2840" s="1">
        <f>IFERROR(__xludf.DUMMYFUNCTION("""COMPUTED_VALUE"""),241500.0)</f>
        <v>241500</v>
      </c>
      <c r="E2840" s="1">
        <f>IFERROR(__xludf.DUMMYFUNCTION("""COMPUTED_VALUE"""),245500.0)</f>
        <v>245500</v>
      </c>
      <c r="F2840" s="1">
        <f>IFERROR(__xludf.DUMMYFUNCTION("""COMPUTED_VALUE"""),340467.0)</f>
        <v>340467</v>
      </c>
    </row>
    <row r="2841">
      <c r="A2841" s="2">
        <f>IFERROR(__xludf.DUMMYFUNCTION("""COMPUTED_VALUE"""),44796.64583333333)</f>
        <v>44796.64583</v>
      </c>
      <c r="B2841" s="1">
        <f>IFERROR(__xludf.DUMMYFUNCTION("""COMPUTED_VALUE"""),243500.0)</f>
        <v>243500</v>
      </c>
      <c r="C2841" s="1">
        <f>IFERROR(__xludf.DUMMYFUNCTION("""COMPUTED_VALUE"""),244500.0)</f>
        <v>244500</v>
      </c>
      <c r="D2841" s="1">
        <f>IFERROR(__xludf.DUMMYFUNCTION("""COMPUTED_VALUE"""),240000.0)</f>
        <v>240000</v>
      </c>
      <c r="E2841" s="1">
        <f>IFERROR(__xludf.DUMMYFUNCTION("""COMPUTED_VALUE"""),241000.0)</f>
        <v>241000</v>
      </c>
      <c r="F2841" s="1">
        <f>IFERROR(__xludf.DUMMYFUNCTION("""COMPUTED_VALUE"""),400035.0)</f>
        <v>400035</v>
      </c>
    </row>
    <row r="2842">
      <c r="A2842" s="2">
        <f>IFERROR(__xludf.DUMMYFUNCTION("""COMPUTED_VALUE"""),44797.64583333333)</f>
        <v>44797.64583</v>
      </c>
      <c r="B2842" s="1">
        <f>IFERROR(__xludf.DUMMYFUNCTION("""COMPUTED_VALUE"""),242000.0)</f>
        <v>242000</v>
      </c>
      <c r="C2842" s="1">
        <f>IFERROR(__xludf.DUMMYFUNCTION("""COMPUTED_VALUE"""),243500.0)</f>
        <v>243500</v>
      </c>
      <c r="D2842" s="1">
        <f>IFERROR(__xludf.DUMMYFUNCTION("""COMPUTED_VALUE"""),240500.0)</f>
        <v>240500</v>
      </c>
      <c r="E2842" s="1">
        <f>IFERROR(__xludf.DUMMYFUNCTION("""COMPUTED_VALUE"""),241500.0)</f>
        <v>241500</v>
      </c>
      <c r="F2842" s="1">
        <f>IFERROR(__xludf.DUMMYFUNCTION("""COMPUTED_VALUE"""),344838.0)</f>
        <v>344838</v>
      </c>
    </row>
    <row r="2843">
      <c r="A2843" s="2">
        <f>IFERROR(__xludf.DUMMYFUNCTION("""COMPUTED_VALUE"""),44798.64583333333)</f>
        <v>44798.64583</v>
      </c>
      <c r="B2843" s="1">
        <f>IFERROR(__xludf.DUMMYFUNCTION("""COMPUTED_VALUE"""),243000.0)</f>
        <v>243000</v>
      </c>
      <c r="C2843" s="1">
        <f>IFERROR(__xludf.DUMMYFUNCTION("""COMPUTED_VALUE"""),248500.0)</f>
        <v>248500</v>
      </c>
      <c r="D2843" s="1">
        <f>IFERROR(__xludf.DUMMYFUNCTION("""COMPUTED_VALUE"""),242000.0)</f>
        <v>242000</v>
      </c>
      <c r="E2843" s="1">
        <f>IFERROR(__xludf.DUMMYFUNCTION("""COMPUTED_VALUE"""),244500.0)</f>
        <v>244500</v>
      </c>
      <c r="F2843" s="1">
        <f>IFERROR(__xludf.DUMMYFUNCTION("""COMPUTED_VALUE"""),347778.0)</f>
        <v>347778</v>
      </c>
    </row>
    <row r="2844">
      <c r="A2844" s="2">
        <f>IFERROR(__xludf.DUMMYFUNCTION("""COMPUTED_VALUE"""),44799.64583333333)</f>
        <v>44799.64583</v>
      </c>
      <c r="B2844" s="1">
        <f>IFERROR(__xludf.DUMMYFUNCTION("""COMPUTED_VALUE"""),246000.0)</f>
        <v>246000</v>
      </c>
      <c r="C2844" s="1">
        <f>IFERROR(__xludf.DUMMYFUNCTION("""COMPUTED_VALUE"""),246500.0)</f>
        <v>246500</v>
      </c>
      <c r="D2844" s="1">
        <f>IFERROR(__xludf.DUMMYFUNCTION("""COMPUTED_VALUE"""),241500.0)</f>
        <v>241500</v>
      </c>
      <c r="E2844" s="1">
        <f>IFERROR(__xludf.DUMMYFUNCTION("""COMPUTED_VALUE"""),242000.0)</f>
        <v>242000</v>
      </c>
      <c r="F2844" s="1">
        <f>IFERROR(__xludf.DUMMYFUNCTION("""COMPUTED_VALUE"""),306637.0)</f>
        <v>306637</v>
      </c>
    </row>
    <row r="2845">
      <c r="A2845" s="2">
        <f>IFERROR(__xludf.DUMMYFUNCTION("""COMPUTED_VALUE"""),44802.64583333333)</f>
        <v>44802.64583</v>
      </c>
      <c r="B2845" s="1">
        <f>IFERROR(__xludf.DUMMYFUNCTION("""COMPUTED_VALUE"""),232500.0)</f>
        <v>232500</v>
      </c>
      <c r="C2845" s="1">
        <f>IFERROR(__xludf.DUMMYFUNCTION("""COMPUTED_VALUE"""),235500.0)</f>
        <v>235500</v>
      </c>
      <c r="D2845" s="1">
        <f>IFERROR(__xludf.DUMMYFUNCTION("""COMPUTED_VALUE"""),231500.0)</f>
        <v>231500</v>
      </c>
      <c r="E2845" s="1">
        <f>IFERROR(__xludf.DUMMYFUNCTION("""COMPUTED_VALUE"""),234000.0)</f>
        <v>234000</v>
      </c>
      <c r="F2845" s="1">
        <f>IFERROR(__xludf.DUMMYFUNCTION("""COMPUTED_VALUE"""),610295.0)</f>
        <v>610295</v>
      </c>
    </row>
    <row r="2846">
      <c r="A2846" s="2">
        <f>IFERROR(__xludf.DUMMYFUNCTION("""COMPUTED_VALUE"""),44803.64583333333)</f>
        <v>44803.64583</v>
      </c>
      <c r="B2846" s="1">
        <f>IFERROR(__xludf.DUMMYFUNCTION("""COMPUTED_VALUE"""),234500.0)</f>
        <v>234500</v>
      </c>
      <c r="C2846" s="1">
        <f>IFERROR(__xludf.DUMMYFUNCTION("""COMPUTED_VALUE"""),239500.0)</f>
        <v>239500</v>
      </c>
      <c r="D2846" s="1">
        <f>IFERROR(__xludf.DUMMYFUNCTION("""COMPUTED_VALUE"""),234500.0)</f>
        <v>234500</v>
      </c>
      <c r="E2846" s="1">
        <f>IFERROR(__xludf.DUMMYFUNCTION("""COMPUTED_VALUE"""),238000.0)</f>
        <v>238000</v>
      </c>
      <c r="F2846" s="1">
        <f>IFERROR(__xludf.DUMMYFUNCTION("""COMPUTED_VALUE"""),306143.0)</f>
        <v>306143</v>
      </c>
    </row>
    <row r="2847">
      <c r="A2847" s="2">
        <f>IFERROR(__xludf.DUMMYFUNCTION("""COMPUTED_VALUE"""),44804.64583333333)</f>
        <v>44804.64583</v>
      </c>
      <c r="B2847" s="1">
        <f>IFERROR(__xludf.DUMMYFUNCTION("""COMPUTED_VALUE"""),234500.0)</f>
        <v>234500</v>
      </c>
      <c r="C2847" s="1">
        <f>IFERROR(__xludf.DUMMYFUNCTION("""COMPUTED_VALUE"""),240500.0)</f>
        <v>240500</v>
      </c>
      <c r="D2847" s="1">
        <f>IFERROR(__xludf.DUMMYFUNCTION("""COMPUTED_VALUE"""),232500.0)</f>
        <v>232500</v>
      </c>
      <c r="E2847" s="1">
        <f>IFERROR(__xludf.DUMMYFUNCTION("""COMPUTED_VALUE"""),240000.0)</f>
        <v>240000</v>
      </c>
      <c r="F2847" s="1">
        <f>IFERROR(__xludf.DUMMYFUNCTION("""COMPUTED_VALUE"""),424718.0)</f>
        <v>424718</v>
      </c>
    </row>
    <row r="2848">
      <c r="A2848" s="2">
        <f>IFERROR(__xludf.DUMMYFUNCTION("""COMPUTED_VALUE"""),44805.64583333333)</f>
        <v>44805.64583</v>
      </c>
      <c r="B2848" s="1">
        <f>IFERROR(__xludf.DUMMYFUNCTION("""COMPUTED_VALUE"""),236000.0)</f>
        <v>236000</v>
      </c>
      <c r="C2848" s="1">
        <f>IFERROR(__xludf.DUMMYFUNCTION("""COMPUTED_VALUE"""),238000.0)</f>
        <v>238000</v>
      </c>
      <c r="D2848" s="1">
        <f>IFERROR(__xludf.DUMMYFUNCTION("""COMPUTED_VALUE"""),233000.0)</f>
        <v>233000</v>
      </c>
      <c r="E2848" s="1">
        <f>IFERROR(__xludf.DUMMYFUNCTION("""COMPUTED_VALUE"""),236000.0)</f>
        <v>236000</v>
      </c>
      <c r="F2848" s="1">
        <f>IFERROR(__xludf.DUMMYFUNCTION("""COMPUTED_VALUE"""),410984.0)</f>
        <v>410984</v>
      </c>
    </row>
    <row r="2849">
      <c r="A2849" s="2">
        <f>IFERROR(__xludf.DUMMYFUNCTION("""COMPUTED_VALUE"""),44806.64583333333)</f>
        <v>44806.64583</v>
      </c>
      <c r="B2849" s="1">
        <f>IFERROR(__xludf.DUMMYFUNCTION("""COMPUTED_VALUE"""),237500.0)</f>
        <v>237500</v>
      </c>
      <c r="C2849" s="1">
        <f>IFERROR(__xludf.DUMMYFUNCTION("""COMPUTED_VALUE"""),239000.0)</f>
        <v>239000</v>
      </c>
      <c r="D2849" s="1">
        <f>IFERROR(__xludf.DUMMYFUNCTION("""COMPUTED_VALUE"""),232500.0)</f>
        <v>232500</v>
      </c>
      <c r="E2849" s="1">
        <f>IFERROR(__xludf.DUMMYFUNCTION("""COMPUTED_VALUE"""),234000.0)</f>
        <v>234000</v>
      </c>
      <c r="F2849" s="1">
        <f>IFERROR(__xludf.DUMMYFUNCTION("""COMPUTED_VALUE"""),374672.0)</f>
        <v>374672</v>
      </c>
    </row>
    <row r="2850">
      <c r="A2850" s="2">
        <f>IFERROR(__xludf.DUMMYFUNCTION("""COMPUTED_VALUE"""),44809.64583333333)</f>
        <v>44809.64583</v>
      </c>
      <c r="B2850" s="1">
        <f>IFERROR(__xludf.DUMMYFUNCTION("""COMPUTED_VALUE"""),233500.0)</f>
        <v>233500</v>
      </c>
      <c r="C2850" s="1">
        <f>IFERROR(__xludf.DUMMYFUNCTION("""COMPUTED_VALUE"""),238000.0)</f>
        <v>238000</v>
      </c>
      <c r="D2850" s="1">
        <f>IFERROR(__xludf.DUMMYFUNCTION("""COMPUTED_VALUE"""),233500.0)</f>
        <v>233500</v>
      </c>
      <c r="E2850" s="1">
        <f>IFERROR(__xludf.DUMMYFUNCTION("""COMPUTED_VALUE"""),236000.0)</f>
        <v>236000</v>
      </c>
      <c r="F2850" s="1">
        <f>IFERROR(__xludf.DUMMYFUNCTION("""COMPUTED_VALUE"""),327916.0)</f>
        <v>327916</v>
      </c>
    </row>
    <row r="2851">
      <c r="A2851" s="2">
        <f>IFERROR(__xludf.DUMMYFUNCTION("""COMPUTED_VALUE"""),44810.64583333333)</f>
        <v>44810.64583</v>
      </c>
      <c r="B2851" s="1">
        <f>IFERROR(__xludf.DUMMYFUNCTION("""COMPUTED_VALUE"""),237500.0)</f>
        <v>237500</v>
      </c>
      <c r="C2851" s="1">
        <f>IFERROR(__xludf.DUMMYFUNCTION("""COMPUTED_VALUE"""),237500.0)</f>
        <v>237500</v>
      </c>
      <c r="D2851" s="1">
        <f>IFERROR(__xludf.DUMMYFUNCTION("""COMPUTED_VALUE"""),233500.0)</f>
        <v>233500</v>
      </c>
      <c r="E2851" s="1">
        <f>IFERROR(__xludf.DUMMYFUNCTION("""COMPUTED_VALUE"""),235000.0)</f>
        <v>235000</v>
      </c>
      <c r="F2851" s="1">
        <f>IFERROR(__xludf.DUMMYFUNCTION("""COMPUTED_VALUE"""),240015.0)</f>
        <v>240015</v>
      </c>
    </row>
    <row r="2852">
      <c r="A2852" s="2">
        <f>IFERROR(__xludf.DUMMYFUNCTION("""COMPUTED_VALUE"""),44811.64583333333)</f>
        <v>44811.64583</v>
      </c>
      <c r="B2852" s="1">
        <f>IFERROR(__xludf.DUMMYFUNCTION("""COMPUTED_VALUE"""),233500.0)</f>
        <v>233500</v>
      </c>
      <c r="C2852" s="1">
        <f>IFERROR(__xludf.DUMMYFUNCTION("""COMPUTED_VALUE"""),233500.0)</f>
        <v>233500</v>
      </c>
      <c r="D2852" s="1">
        <f>IFERROR(__xludf.DUMMYFUNCTION("""COMPUTED_VALUE"""),228000.0)</f>
        <v>228000</v>
      </c>
      <c r="E2852" s="1">
        <f>IFERROR(__xludf.DUMMYFUNCTION("""COMPUTED_VALUE"""),231500.0)</f>
        <v>231500</v>
      </c>
      <c r="F2852" s="1">
        <f>IFERROR(__xludf.DUMMYFUNCTION("""COMPUTED_VALUE"""),480805.0)</f>
        <v>480805</v>
      </c>
    </row>
    <row r="2853">
      <c r="A2853" s="2">
        <f>IFERROR(__xludf.DUMMYFUNCTION("""COMPUTED_VALUE"""),44812.64583333333)</f>
        <v>44812.64583</v>
      </c>
      <c r="B2853" s="1">
        <f>IFERROR(__xludf.DUMMYFUNCTION("""COMPUTED_VALUE"""),233000.0)</f>
        <v>233000</v>
      </c>
      <c r="C2853" s="1">
        <f>IFERROR(__xludf.DUMMYFUNCTION("""COMPUTED_VALUE"""),234500.0)</f>
        <v>234500</v>
      </c>
      <c r="D2853" s="1">
        <f>IFERROR(__xludf.DUMMYFUNCTION("""COMPUTED_VALUE"""),228500.0)</f>
        <v>228500</v>
      </c>
      <c r="E2853" s="1">
        <f>IFERROR(__xludf.DUMMYFUNCTION("""COMPUTED_VALUE"""),231500.0)</f>
        <v>231500</v>
      </c>
      <c r="F2853" s="1">
        <f>IFERROR(__xludf.DUMMYFUNCTION("""COMPUTED_VALUE"""),542651.0)</f>
        <v>542651</v>
      </c>
    </row>
    <row r="2854">
      <c r="A2854" s="2">
        <f>IFERROR(__xludf.DUMMYFUNCTION("""COMPUTED_VALUE"""),44817.64583333333)</f>
        <v>44817.64583</v>
      </c>
      <c r="B2854" s="1">
        <f>IFERROR(__xludf.DUMMYFUNCTION("""COMPUTED_VALUE"""),236000.0)</f>
        <v>236000</v>
      </c>
      <c r="C2854" s="1">
        <f>IFERROR(__xludf.DUMMYFUNCTION("""COMPUTED_VALUE"""),239500.0)</f>
        <v>239500</v>
      </c>
      <c r="D2854" s="1">
        <f>IFERROR(__xludf.DUMMYFUNCTION("""COMPUTED_VALUE"""),235500.0)</f>
        <v>235500</v>
      </c>
      <c r="E2854" s="1">
        <f>IFERROR(__xludf.DUMMYFUNCTION("""COMPUTED_VALUE"""),238500.0)</f>
        <v>238500</v>
      </c>
      <c r="F2854" s="1">
        <f>IFERROR(__xludf.DUMMYFUNCTION("""COMPUTED_VALUE"""),510894.0)</f>
        <v>510894</v>
      </c>
    </row>
    <row r="2855">
      <c r="A2855" s="2">
        <f>IFERROR(__xludf.DUMMYFUNCTION("""COMPUTED_VALUE"""),44818.64583333333)</f>
        <v>44818.64583</v>
      </c>
      <c r="B2855" s="1">
        <f>IFERROR(__xludf.DUMMYFUNCTION("""COMPUTED_VALUE"""),228500.0)</f>
        <v>228500</v>
      </c>
      <c r="C2855" s="1">
        <f>IFERROR(__xludf.DUMMYFUNCTION("""COMPUTED_VALUE"""),231000.0)</f>
        <v>231000</v>
      </c>
      <c r="D2855" s="1">
        <f>IFERROR(__xludf.DUMMYFUNCTION("""COMPUTED_VALUE"""),226000.0)</f>
        <v>226000</v>
      </c>
      <c r="E2855" s="1">
        <f>IFERROR(__xludf.DUMMYFUNCTION("""COMPUTED_VALUE"""),230000.0)</f>
        <v>230000</v>
      </c>
      <c r="F2855" s="1">
        <f>IFERROR(__xludf.DUMMYFUNCTION("""COMPUTED_VALUE"""),552863.0)</f>
        <v>552863</v>
      </c>
    </row>
    <row r="2856">
      <c r="A2856" s="2">
        <f>IFERROR(__xludf.DUMMYFUNCTION("""COMPUTED_VALUE"""),44819.64583333333)</f>
        <v>44819.64583</v>
      </c>
      <c r="B2856" s="1">
        <f>IFERROR(__xludf.DUMMYFUNCTION("""COMPUTED_VALUE"""),231000.0)</f>
        <v>231000</v>
      </c>
      <c r="C2856" s="1">
        <f>IFERROR(__xludf.DUMMYFUNCTION("""COMPUTED_VALUE"""),231000.0)</f>
        <v>231000</v>
      </c>
      <c r="D2856" s="1">
        <f>IFERROR(__xludf.DUMMYFUNCTION("""COMPUTED_VALUE"""),225500.0)</f>
        <v>225500</v>
      </c>
      <c r="E2856" s="1">
        <f>IFERROR(__xludf.DUMMYFUNCTION("""COMPUTED_VALUE"""),225500.0)</f>
        <v>225500</v>
      </c>
      <c r="F2856" s="1">
        <f>IFERROR(__xludf.DUMMYFUNCTION("""COMPUTED_VALUE"""),525459.0)</f>
        <v>525459</v>
      </c>
    </row>
    <row r="2857">
      <c r="A2857" s="2">
        <f>IFERROR(__xludf.DUMMYFUNCTION("""COMPUTED_VALUE"""),44820.64583333333)</f>
        <v>44820.64583</v>
      </c>
      <c r="B2857" s="1">
        <f>IFERROR(__xludf.DUMMYFUNCTION("""COMPUTED_VALUE"""),221500.0)</f>
        <v>221500</v>
      </c>
      <c r="C2857" s="1">
        <f>IFERROR(__xludf.DUMMYFUNCTION("""COMPUTED_VALUE"""),223000.0)</f>
        <v>223000</v>
      </c>
      <c r="D2857" s="1">
        <f>IFERROR(__xludf.DUMMYFUNCTION("""COMPUTED_VALUE"""),219500.0)</f>
        <v>219500</v>
      </c>
      <c r="E2857" s="1">
        <f>IFERROR(__xludf.DUMMYFUNCTION("""COMPUTED_VALUE"""),220000.0)</f>
        <v>220000</v>
      </c>
      <c r="F2857" s="1">
        <f>IFERROR(__xludf.DUMMYFUNCTION("""COMPUTED_VALUE"""),777712.0)</f>
        <v>777712</v>
      </c>
    </row>
    <row r="2858">
      <c r="A2858" s="2">
        <f>IFERROR(__xludf.DUMMYFUNCTION("""COMPUTED_VALUE"""),44823.64583333333)</f>
        <v>44823.64583</v>
      </c>
      <c r="B2858" s="1">
        <f>IFERROR(__xludf.DUMMYFUNCTION("""COMPUTED_VALUE"""),219500.0)</f>
        <v>219500</v>
      </c>
      <c r="C2858" s="1">
        <f>IFERROR(__xludf.DUMMYFUNCTION("""COMPUTED_VALUE"""),221000.0)</f>
        <v>221000</v>
      </c>
      <c r="D2858" s="1">
        <f>IFERROR(__xludf.DUMMYFUNCTION("""COMPUTED_VALUE"""),217000.0)</f>
        <v>217000</v>
      </c>
      <c r="E2858" s="1">
        <f>IFERROR(__xludf.DUMMYFUNCTION("""COMPUTED_VALUE"""),218000.0)</f>
        <v>218000</v>
      </c>
      <c r="F2858" s="1">
        <f>IFERROR(__xludf.DUMMYFUNCTION("""COMPUTED_VALUE"""),502182.0)</f>
        <v>502182</v>
      </c>
    </row>
    <row r="2859">
      <c r="A2859" s="2">
        <f>IFERROR(__xludf.DUMMYFUNCTION("""COMPUTED_VALUE"""),44824.64583333333)</f>
        <v>44824.64583</v>
      </c>
      <c r="B2859" s="1">
        <f>IFERROR(__xludf.DUMMYFUNCTION("""COMPUTED_VALUE"""),220500.0)</f>
        <v>220500</v>
      </c>
      <c r="C2859" s="1">
        <f>IFERROR(__xludf.DUMMYFUNCTION("""COMPUTED_VALUE"""),222000.0)</f>
        <v>222000</v>
      </c>
      <c r="D2859" s="1">
        <f>IFERROR(__xludf.DUMMYFUNCTION("""COMPUTED_VALUE"""),218000.0)</f>
        <v>218000</v>
      </c>
      <c r="E2859" s="1">
        <f>IFERROR(__xludf.DUMMYFUNCTION("""COMPUTED_VALUE"""),218000.0)</f>
        <v>218000</v>
      </c>
      <c r="F2859" s="1">
        <f>IFERROR(__xludf.DUMMYFUNCTION("""COMPUTED_VALUE"""),240498.0)</f>
        <v>240498</v>
      </c>
    </row>
    <row r="2860">
      <c r="A2860" s="2">
        <f>IFERROR(__xludf.DUMMYFUNCTION("""COMPUTED_VALUE"""),44825.64583333333)</f>
        <v>44825.64583</v>
      </c>
      <c r="B2860" s="1">
        <f>IFERROR(__xludf.DUMMYFUNCTION("""COMPUTED_VALUE"""),216500.0)</f>
        <v>216500</v>
      </c>
      <c r="C2860" s="1">
        <f>IFERROR(__xludf.DUMMYFUNCTION("""COMPUTED_VALUE"""),217000.0)</f>
        <v>217000</v>
      </c>
      <c r="D2860" s="1">
        <f>IFERROR(__xludf.DUMMYFUNCTION("""COMPUTED_VALUE"""),212000.0)</f>
        <v>212000</v>
      </c>
      <c r="E2860" s="1">
        <f>IFERROR(__xludf.DUMMYFUNCTION("""COMPUTED_VALUE"""),213000.0)</f>
        <v>213000</v>
      </c>
      <c r="F2860" s="1">
        <f>IFERROR(__xludf.DUMMYFUNCTION("""COMPUTED_VALUE"""),493972.0)</f>
        <v>493972</v>
      </c>
    </row>
    <row r="2861">
      <c r="A2861" s="2">
        <f>IFERROR(__xludf.DUMMYFUNCTION("""COMPUTED_VALUE"""),44826.64583333333)</f>
        <v>44826.64583</v>
      </c>
      <c r="B2861" s="1">
        <f>IFERROR(__xludf.DUMMYFUNCTION("""COMPUTED_VALUE"""),207500.0)</f>
        <v>207500</v>
      </c>
      <c r="C2861" s="1">
        <f>IFERROR(__xludf.DUMMYFUNCTION("""COMPUTED_VALUE"""),209500.0)</f>
        <v>209500</v>
      </c>
      <c r="D2861" s="1">
        <f>IFERROR(__xludf.DUMMYFUNCTION("""COMPUTED_VALUE"""),204000.0)</f>
        <v>204000</v>
      </c>
      <c r="E2861" s="1">
        <f>IFERROR(__xludf.DUMMYFUNCTION("""COMPUTED_VALUE"""),206500.0)</f>
        <v>206500</v>
      </c>
      <c r="F2861" s="1">
        <f>IFERROR(__xludf.DUMMYFUNCTION("""COMPUTED_VALUE"""),693460.0)</f>
        <v>693460</v>
      </c>
    </row>
    <row r="2862">
      <c r="A2862" s="2">
        <f>IFERROR(__xludf.DUMMYFUNCTION("""COMPUTED_VALUE"""),44827.64583333333)</f>
        <v>44827.64583</v>
      </c>
      <c r="B2862" s="1">
        <f>IFERROR(__xludf.DUMMYFUNCTION("""COMPUTED_VALUE"""),207500.0)</f>
        <v>207500</v>
      </c>
      <c r="C2862" s="1">
        <f>IFERROR(__xludf.DUMMYFUNCTION("""COMPUTED_VALUE"""),212500.0)</f>
        <v>212500</v>
      </c>
      <c r="D2862" s="1">
        <f>IFERROR(__xludf.DUMMYFUNCTION("""COMPUTED_VALUE"""),207500.0)</f>
        <v>207500</v>
      </c>
      <c r="E2862" s="1">
        <f>IFERROR(__xludf.DUMMYFUNCTION("""COMPUTED_VALUE"""),210500.0)</f>
        <v>210500</v>
      </c>
      <c r="F2862" s="1">
        <f>IFERROR(__xludf.DUMMYFUNCTION("""COMPUTED_VALUE"""),655441.0)</f>
        <v>655441</v>
      </c>
    </row>
    <row r="2863">
      <c r="A2863" s="2">
        <f>IFERROR(__xludf.DUMMYFUNCTION("""COMPUTED_VALUE"""),44830.64583333333)</f>
        <v>44830.64583</v>
      </c>
      <c r="B2863" s="1">
        <f>IFERROR(__xludf.DUMMYFUNCTION("""COMPUTED_VALUE"""),205500.0)</f>
        <v>205500</v>
      </c>
      <c r="C2863" s="1">
        <f>IFERROR(__xludf.DUMMYFUNCTION("""COMPUTED_VALUE"""),208000.0)</f>
        <v>208000</v>
      </c>
      <c r="D2863" s="1">
        <f>IFERROR(__xludf.DUMMYFUNCTION("""COMPUTED_VALUE"""),204000.0)</f>
        <v>204000</v>
      </c>
      <c r="E2863" s="1">
        <f>IFERROR(__xludf.DUMMYFUNCTION("""COMPUTED_VALUE"""),204500.0)</f>
        <v>204500</v>
      </c>
      <c r="F2863" s="1">
        <f>IFERROR(__xludf.DUMMYFUNCTION("""COMPUTED_VALUE"""),513342.0)</f>
        <v>513342</v>
      </c>
    </row>
    <row r="2864">
      <c r="A2864" s="2">
        <f>IFERROR(__xludf.DUMMYFUNCTION("""COMPUTED_VALUE"""),44831.64583333333)</f>
        <v>44831.64583</v>
      </c>
      <c r="B2864" s="1">
        <f>IFERROR(__xludf.DUMMYFUNCTION("""COMPUTED_VALUE"""),202500.0)</f>
        <v>202500</v>
      </c>
      <c r="C2864" s="1">
        <f>IFERROR(__xludf.DUMMYFUNCTION("""COMPUTED_VALUE"""),206000.0)</f>
        <v>206000</v>
      </c>
      <c r="D2864" s="1">
        <f>IFERROR(__xludf.DUMMYFUNCTION("""COMPUTED_VALUE"""),199000.0)</f>
        <v>199000</v>
      </c>
      <c r="E2864" s="1">
        <f>IFERROR(__xludf.DUMMYFUNCTION("""COMPUTED_VALUE"""),204500.0)</f>
        <v>204500</v>
      </c>
      <c r="F2864" s="1">
        <f>IFERROR(__xludf.DUMMYFUNCTION("""COMPUTED_VALUE"""),641394.0)</f>
        <v>641394</v>
      </c>
    </row>
    <row r="2865">
      <c r="A2865" s="2">
        <f>IFERROR(__xludf.DUMMYFUNCTION("""COMPUTED_VALUE"""),44832.64583333333)</f>
        <v>44832.64583</v>
      </c>
      <c r="B2865" s="1">
        <f>IFERROR(__xludf.DUMMYFUNCTION("""COMPUTED_VALUE"""),202500.0)</f>
        <v>202500</v>
      </c>
      <c r="C2865" s="1">
        <f>IFERROR(__xludf.DUMMYFUNCTION("""COMPUTED_VALUE"""),203500.0)</f>
        <v>203500</v>
      </c>
      <c r="D2865" s="1">
        <f>IFERROR(__xludf.DUMMYFUNCTION("""COMPUTED_VALUE"""),198000.0)</f>
        <v>198000</v>
      </c>
      <c r="E2865" s="1">
        <f>IFERROR(__xludf.DUMMYFUNCTION("""COMPUTED_VALUE"""),200500.0)</f>
        <v>200500</v>
      </c>
      <c r="F2865" s="1">
        <f>IFERROR(__xludf.DUMMYFUNCTION("""COMPUTED_VALUE"""),579635.0)</f>
        <v>579635</v>
      </c>
    </row>
    <row r="2866">
      <c r="A2866" s="2">
        <f>IFERROR(__xludf.DUMMYFUNCTION("""COMPUTED_VALUE"""),44833.64583333333)</f>
        <v>44833.64583</v>
      </c>
      <c r="B2866" s="1">
        <f>IFERROR(__xludf.DUMMYFUNCTION("""COMPUTED_VALUE"""),203000.0)</f>
        <v>203000</v>
      </c>
      <c r="C2866" s="1">
        <f>IFERROR(__xludf.DUMMYFUNCTION("""COMPUTED_VALUE"""),205000.0)</f>
        <v>205000</v>
      </c>
      <c r="D2866" s="1">
        <f>IFERROR(__xludf.DUMMYFUNCTION("""COMPUTED_VALUE"""),196000.0)</f>
        <v>196000</v>
      </c>
      <c r="E2866" s="1">
        <f>IFERROR(__xludf.DUMMYFUNCTION("""COMPUTED_VALUE"""),196500.0)</f>
        <v>196500</v>
      </c>
      <c r="F2866" s="1">
        <f>IFERROR(__xludf.DUMMYFUNCTION("""COMPUTED_VALUE"""),612278.0)</f>
        <v>612278</v>
      </c>
    </row>
    <row r="2867">
      <c r="A2867" s="2">
        <f>IFERROR(__xludf.DUMMYFUNCTION("""COMPUTED_VALUE"""),44834.64583333333)</f>
        <v>44834.64583</v>
      </c>
      <c r="B2867" s="1">
        <f>IFERROR(__xludf.DUMMYFUNCTION("""COMPUTED_VALUE"""),191500.0)</f>
        <v>191500</v>
      </c>
      <c r="C2867" s="1">
        <f>IFERROR(__xludf.DUMMYFUNCTION("""COMPUTED_VALUE"""),198000.0)</f>
        <v>198000</v>
      </c>
      <c r="D2867" s="1">
        <f>IFERROR(__xludf.DUMMYFUNCTION("""COMPUTED_VALUE"""),190500.0)</f>
        <v>190500</v>
      </c>
      <c r="E2867" s="1">
        <f>IFERROR(__xludf.DUMMYFUNCTION("""COMPUTED_VALUE"""),193500.0)</f>
        <v>193500</v>
      </c>
      <c r="F2867" s="1">
        <f>IFERROR(__xludf.DUMMYFUNCTION("""COMPUTED_VALUE"""),924294.0)</f>
        <v>924294</v>
      </c>
    </row>
    <row r="2868">
      <c r="A2868" s="2">
        <f>IFERROR(__xludf.DUMMYFUNCTION("""COMPUTED_VALUE"""),44838.64583333333)</f>
        <v>44838.64583</v>
      </c>
      <c r="B2868" s="1">
        <f>IFERROR(__xludf.DUMMYFUNCTION("""COMPUTED_VALUE"""),192000.0)</f>
        <v>192000</v>
      </c>
      <c r="C2868" s="1">
        <f>IFERROR(__xludf.DUMMYFUNCTION("""COMPUTED_VALUE"""),192000.0)</f>
        <v>192000</v>
      </c>
      <c r="D2868" s="1">
        <f>IFERROR(__xludf.DUMMYFUNCTION("""COMPUTED_VALUE"""),175500.0)</f>
        <v>175500</v>
      </c>
      <c r="E2868" s="1">
        <f>IFERROR(__xludf.DUMMYFUNCTION("""COMPUTED_VALUE"""),176500.0)</f>
        <v>176500</v>
      </c>
      <c r="F2868" s="1">
        <f>IFERROR(__xludf.DUMMYFUNCTION("""COMPUTED_VALUE"""),3753785.0)</f>
        <v>3753785</v>
      </c>
    </row>
    <row r="2869">
      <c r="A2869" s="2">
        <f>IFERROR(__xludf.DUMMYFUNCTION("""COMPUTED_VALUE"""),44839.64583333333)</f>
        <v>44839.64583</v>
      </c>
      <c r="B2869" s="1">
        <f>IFERROR(__xludf.DUMMYFUNCTION("""COMPUTED_VALUE"""),170500.0)</f>
        <v>170500</v>
      </c>
      <c r="C2869" s="1">
        <f>IFERROR(__xludf.DUMMYFUNCTION("""COMPUTED_VALUE"""),176000.0)</f>
        <v>176000</v>
      </c>
      <c r="D2869" s="1">
        <f>IFERROR(__xludf.DUMMYFUNCTION("""COMPUTED_VALUE"""),164000.0)</f>
        <v>164000</v>
      </c>
      <c r="E2869" s="1">
        <f>IFERROR(__xludf.DUMMYFUNCTION("""COMPUTED_VALUE"""),164000.0)</f>
        <v>164000</v>
      </c>
      <c r="F2869" s="1">
        <f>IFERROR(__xludf.DUMMYFUNCTION("""COMPUTED_VALUE"""),6634375.0)</f>
        <v>6634375</v>
      </c>
    </row>
    <row r="2870">
      <c r="A2870" s="2">
        <f>IFERROR(__xludf.DUMMYFUNCTION("""COMPUTED_VALUE"""),44840.64583333333)</f>
        <v>44840.64583</v>
      </c>
      <c r="B2870" s="1">
        <f>IFERROR(__xludf.DUMMYFUNCTION("""COMPUTED_VALUE"""),163500.0)</f>
        <v>163500</v>
      </c>
      <c r="C2870" s="1">
        <f>IFERROR(__xludf.DUMMYFUNCTION("""COMPUTED_VALUE"""),169000.0)</f>
        <v>169000</v>
      </c>
      <c r="D2870" s="1">
        <f>IFERROR(__xludf.DUMMYFUNCTION("""COMPUTED_VALUE"""),163000.0)</f>
        <v>163000</v>
      </c>
      <c r="E2870" s="1">
        <f>IFERROR(__xludf.DUMMYFUNCTION("""COMPUTED_VALUE"""),167000.0)</f>
        <v>167000</v>
      </c>
      <c r="F2870" s="1">
        <f>IFERROR(__xludf.DUMMYFUNCTION("""COMPUTED_VALUE"""),3477299.0)</f>
        <v>3477299</v>
      </c>
    </row>
    <row r="2871">
      <c r="A2871" s="2">
        <f>IFERROR(__xludf.DUMMYFUNCTION("""COMPUTED_VALUE"""),44841.64583333333)</f>
        <v>44841.64583</v>
      </c>
      <c r="B2871" s="1">
        <f>IFERROR(__xludf.DUMMYFUNCTION("""COMPUTED_VALUE"""),164000.0)</f>
        <v>164000</v>
      </c>
      <c r="C2871" s="1">
        <f>IFERROR(__xludf.DUMMYFUNCTION("""COMPUTED_VALUE"""),167500.0)</f>
        <v>167500</v>
      </c>
      <c r="D2871" s="1">
        <f>IFERROR(__xludf.DUMMYFUNCTION("""COMPUTED_VALUE"""),159500.0)</f>
        <v>159500</v>
      </c>
      <c r="E2871" s="1">
        <f>IFERROR(__xludf.DUMMYFUNCTION("""COMPUTED_VALUE"""),160000.0)</f>
        <v>160000</v>
      </c>
      <c r="F2871" s="1">
        <f>IFERROR(__xludf.DUMMYFUNCTION("""COMPUTED_VALUE"""),2596863.0)</f>
        <v>2596863</v>
      </c>
    </row>
    <row r="2872">
      <c r="A2872" s="2">
        <f>IFERROR(__xludf.DUMMYFUNCTION("""COMPUTED_VALUE"""),44845.64583333333)</f>
        <v>44845.64583</v>
      </c>
      <c r="B2872" s="1">
        <f>IFERROR(__xludf.DUMMYFUNCTION("""COMPUTED_VALUE"""),156500.0)</f>
        <v>156500</v>
      </c>
      <c r="C2872" s="1">
        <f>IFERROR(__xludf.DUMMYFUNCTION("""COMPUTED_VALUE"""),159500.0)</f>
        <v>159500</v>
      </c>
      <c r="D2872" s="1">
        <f>IFERROR(__xludf.DUMMYFUNCTION("""COMPUTED_VALUE"""),156000.0)</f>
        <v>156000</v>
      </c>
      <c r="E2872" s="1">
        <f>IFERROR(__xludf.DUMMYFUNCTION("""COMPUTED_VALUE"""),158500.0)</f>
        <v>158500</v>
      </c>
      <c r="F2872" s="1">
        <f>IFERROR(__xludf.DUMMYFUNCTION("""COMPUTED_VALUE"""),1835014.0)</f>
        <v>1835014</v>
      </c>
    </row>
    <row r="2873">
      <c r="A2873" s="2">
        <f>IFERROR(__xludf.DUMMYFUNCTION("""COMPUTED_VALUE"""),44846.64583333333)</f>
        <v>44846.64583</v>
      </c>
      <c r="B2873" s="1">
        <f>IFERROR(__xludf.DUMMYFUNCTION("""COMPUTED_VALUE"""),158500.0)</f>
        <v>158500</v>
      </c>
      <c r="C2873" s="1">
        <f>IFERROR(__xludf.DUMMYFUNCTION("""COMPUTED_VALUE"""),164500.0)</f>
        <v>164500</v>
      </c>
      <c r="D2873" s="1">
        <f>IFERROR(__xludf.DUMMYFUNCTION("""COMPUTED_VALUE"""),158000.0)</f>
        <v>158000</v>
      </c>
      <c r="E2873" s="1">
        <f>IFERROR(__xludf.DUMMYFUNCTION("""COMPUTED_VALUE"""),162000.0)</f>
        <v>162000</v>
      </c>
      <c r="F2873" s="1">
        <f>IFERROR(__xludf.DUMMYFUNCTION("""COMPUTED_VALUE"""),1515631.0)</f>
        <v>1515631</v>
      </c>
    </row>
    <row r="2874">
      <c r="A2874" s="2">
        <f>IFERROR(__xludf.DUMMYFUNCTION("""COMPUTED_VALUE"""),44847.64583333333)</f>
        <v>44847.64583</v>
      </c>
      <c r="B2874" s="1">
        <f>IFERROR(__xludf.DUMMYFUNCTION("""COMPUTED_VALUE"""),160500.0)</f>
        <v>160500</v>
      </c>
      <c r="C2874" s="1">
        <f>IFERROR(__xludf.DUMMYFUNCTION("""COMPUTED_VALUE"""),161000.0)</f>
        <v>161000</v>
      </c>
      <c r="D2874" s="1">
        <f>IFERROR(__xludf.DUMMYFUNCTION("""COMPUTED_VALUE"""),155000.0)</f>
        <v>155000</v>
      </c>
      <c r="E2874" s="1">
        <f>IFERROR(__xludf.DUMMYFUNCTION("""COMPUTED_VALUE"""),158500.0)</f>
        <v>158500</v>
      </c>
      <c r="F2874" s="1">
        <f>IFERROR(__xludf.DUMMYFUNCTION("""COMPUTED_VALUE"""),1487183.0)</f>
        <v>1487183</v>
      </c>
    </row>
    <row r="2875">
      <c r="A2875" s="2">
        <f>IFERROR(__xludf.DUMMYFUNCTION("""COMPUTED_VALUE"""),44848.64583333333)</f>
        <v>44848.64583</v>
      </c>
      <c r="B2875" s="1">
        <f>IFERROR(__xludf.DUMMYFUNCTION("""COMPUTED_VALUE"""),163500.0)</f>
        <v>163500</v>
      </c>
      <c r="C2875" s="1">
        <f>IFERROR(__xludf.DUMMYFUNCTION("""COMPUTED_VALUE"""),168500.0)</f>
        <v>168500</v>
      </c>
      <c r="D2875" s="1">
        <f>IFERROR(__xludf.DUMMYFUNCTION("""COMPUTED_VALUE"""),163000.0)</f>
        <v>163000</v>
      </c>
      <c r="E2875" s="1">
        <f>IFERROR(__xludf.DUMMYFUNCTION("""COMPUTED_VALUE"""),165500.0)</f>
        <v>165500</v>
      </c>
      <c r="F2875" s="1">
        <f>IFERROR(__xludf.DUMMYFUNCTION("""COMPUTED_VALUE"""),1568930.0)</f>
        <v>1568930</v>
      </c>
    </row>
    <row r="2876">
      <c r="A2876" s="2">
        <f>IFERROR(__xludf.DUMMYFUNCTION("""COMPUTED_VALUE"""),44851.64583333333)</f>
        <v>44851.64583</v>
      </c>
      <c r="B2876" s="1">
        <f>IFERROR(__xludf.DUMMYFUNCTION("""COMPUTED_VALUE"""),162500.0)</f>
        <v>162500</v>
      </c>
      <c r="C2876" s="1">
        <f>IFERROR(__xludf.DUMMYFUNCTION("""COMPUTED_VALUE"""),168000.0)</f>
        <v>168000</v>
      </c>
      <c r="D2876" s="1">
        <f>IFERROR(__xludf.DUMMYFUNCTION("""COMPUTED_VALUE"""),160500.0)</f>
        <v>160500</v>
      </c>
      <c r="E2876" s="1">
        <f>IFERROR(__xludf.DUMMYFUNCTION("""COMPUTED_VALUE"""),167000.0)</f>
        <v>167000</v>
      </c>
      <c r="F2876" s="1">
        <f>IFERROR(__xludf.DUMMYFUNCTION("""COMPUTED_VALUE"""),1436527.0)</f>
        <v>1436527</v>
      </c>
    </row>
    <row r="2877">
      <c r="A2877" s="2">
        <f>IFERROR(__xludf.DUMMYFUNCTION("""COMPUTED_VALUE"""),44852.64583333333)</f>
        <v>44852.64583</v>
      </c>
      <c r="B2877" s="1">
        <f>IFERROR(__xludf.DUMMYFUNCTION("""COMPUTED_VALUE"""),170500.0)</f>
        <v>170500</v>
      </c>
      <c r="C2877" s="1">
        <f>IFERROR(__xludf.DUMMYFUNCTION("""COMPUTED_VALUE"""),173000.0)</f>
        <v>173000</v>
      </c>
      <c r="D2877" s="1">
        <f>IFERROR(__xludf.DUMMYFUNCTION("""COMPUTED_VALUE"""),169000.0)</f>
        <v>169000</v>
      </c>
      <c r="E2877" s="1">
        <f>IFERROR(__xludf.DUMMYFUNCTION("""COMPUTED_VALUE"""),172500.0)</f>
        <v>172500</v>
      </c>
      <c r="F2877" s="1">
        <f>IFERROR(__xludf.DUMMYFUNCTION("""COMPUTED_VALUE"""),1414552.0)</f>
        <v>1414552</v>
      </c>
    </row>
    <row r="2878">
      <c r="A2878" s="2">
        <f>IFERROR(__xludf.DUMMYFUNCTION("""COMPUTED_VALUE"""),44853.64583333333)</f>
        <v>44853.64583</v>
      </c>
      <c r="B2878" s="1">
        <f>IFERROR(__xludf.DUMMYFUNCTION("""COMPUTED_VALUE"""),172500.0)</f>
        <v>172500</v>
      </c>
      <c r="C2878" s="1">
        <f>IFERROR(__xludf.DUMMYFUNCTION("""COMPUTED_VALUE"""),173500.0)</f>
        <v>173500</v>
      </c>
      <c r="D2878" s="1">
        <f>IFERROR(__xludf.DUMMYFUNCTION("""COMPUTED_VALUE"""),168500.0)</f>
        <v>168500</v>
      </c>
      <c r="E2878" s="1">
        <f>IFERROR(__xludf.DUMMYFUNCTION("""COMPUTED_VALUE"""),168500.0)</f>
        <v>168500</v>
      </c>
      <c r="F2878" s="1">
        <f>IFERROR(__xludf.DUMMYFUNCTION("""COMPUTED_VALUE"""),1172766.0)</f>
        <v>1172766</v>
      </c>
    </row>
    <row r="2879">
      <c r="A2879" s="2">
        <f>IFERROR(__xludf.DUMMYFUNCTION("""COMPUTED_VALUE"""),44854.64583333333)</f>
        <v>44854.64583</v>
      </c>
      <c r="B2879" s="1">
        <f>IFERROR(__xludf.DUMMYFUNCTION("""COMPUTED_VALUE"""),168000.0)</f>
        <v>168000</v>
      </c>
      <c r="C2879" s="1">
        <f>IFERROR(__xludf.DUMMYFUNCTION("""COMPUTED_VALUE"""),168500.0)</f>
        <v>168500</v>
      </c>
      <c r="D2879" s="1">
        <f>IFERROR(__xludf.DUMMYFUNCTION("""COMPUTED_VALUE"""),163000.0)</f>
        <v>163000</v>
      </c>
      <c r="E2879" s="1">
        <f>IFERROR(__xludf.DUMMYFUNCTION("""COMPUTED_VALUE"""),168500.0)</f>
        <v>168500</v>
      </c>
      <c r="F2879" s="1">
        <f>IFERROR(__xludf.DUMMYFUNCTION("""COMPUTED_VALUE"""),1098598.0)</f>
        <v>1098598</v>
      </c>
    </row>
    <row r="2880">
      <c r="A2880" s="2">
        <f>IFERROR(__xludf.DUMMYFUNCTION("""COMPUTED_VALUE"""),44855.64583333333)</f>
        <v>44855.64583</v>
      </c>
      <c r="B2880" s="1">
        <f>IFERROR(__xludf.DUMMYFUNCTION("""COMPUTED_VALUE"""),165000.0)</f>
        <v>165000</v>
      </c>
      <c r="C2880" s="1">
        <f>IFERROR(__xludf.DUMMYFUNCTION("""COMPUTED_VALUE"""),168000.0)</f>
        <v>168000</v>
      </c>
      <c r="D2880" s="1">
        <f>IFERROR(__xludf.DUMMYFUNCTION("""COMPUTED_VALUE"""),164000.0)</f>
        <v>164000</v>
      </c>
      <c r="E2880" s="1">
        <f>IFERROR(__xludf.DUMMYFUNCTION("""COMPUTED_VALUE"""),166000.0)</f>
        <v>166000</v>
      </c>
      <c r="F2880" s="1">
        <f>IFERROR(__xludf.DUMMYFUNCTION("""COMPUTED_VALUE"""),749769.0)</f>
        <v>749769</v>
      </c>
    </row>
    <row r="2881">
      <c r="A2881" s="2">
        <f>IFERROR(__xludf.DUMMYFUNCTION("""COMPUTED_VALUE"""),44858.64583333333)</f>
        <v>44858.64583</v>
      </c>
      <c r="B2881" s="1">
        <f>IFERROR(__xludf.DUMMYFUNCTION("""COMPUTED_VALUE"""),169000.0)</f>
        <v>169000</v>
      </c>
      <c r="C2881" s="1">
        <f>IFERROR(__xludf.DUMMYFUNCTION("""COMPUTED_VALUE"""),170000.0)</f>
        <v>170000</v>
      </c>
      <c r="D2881" s="1">
        <f>IFERROR(__xludf.DUMMYFUNCTION("""COMPUTED_VALUE"""),163000.0)</f>
        <v>163000</v>
      </c>
      <c r="E2881" s="1">
        <f>IFERROR(__xludf.DUMMYFUNCTION("""COMPUTED_VALUE"""),164000.0)</f>
        <v>164000</v>
      </c>
      <c r="F2881" s="1">
        <f>IFERROR(__xludf.DUMMYFUNCTION("""COMPUTED_VALUE"""),888373.0)</f>
        <v>888373</v>
      </c>
    </row>
    <row r="2882">
      <c r="A2882" s="2">
        <f>IFERROR(__xludf.DUMMYFUNCTION("""COMPUTED_VALUE"""),44859.64583333333)</f>
        <v>44859.64583</v>
      </c>
      <c r="B2882" s="1">
        <f>IFERROR(__xludf.DUMMYFUNCTION("""COMPUTED_VALUE"""),164500.0)</f>
        <v>164500</v>
      </c>
      <c r="C2882" s="1">
        <f>IFERROR(__xludf.DUMMYFUNCTION("""COMPUTED_VALUE"""),167000.0)</f>
        <v>167000</v>
      </c>
      <c r="D2882" s="1">
        <f>IFERROR(__xludf.DUMMYFUNCTION("""COMPUTED_VALUE"""),164000.0)</f>
        <v>164000</v>
      </c>
      <c r="E2882" s="1">
        <f>IFERROR(__xludf.DUMMYFUNCTION("""COMPUTED_VALUE"""),165500.0)</f>
        <v>165500</v>
      </c>
      <c r="F2882" s="1">
        <f>IFERROR(__xludf.DUMMYFUNCTION("""COMPUTED_VALUE"""),547041.0)</f>
        <v>547041</v>
      </c>
    </row>
    <row r="2883">
      <c r="A2883" s="2">
        <f>IFERROR(__xludf.DUMMYFUNCTION("""COMPUTED_VALUE"""),44860.64583333333)</f>
        <v>44860.64583</v>
      </c>
      <c r="B2883" s="1">
        <f>IFERROR(__xludf.DUMMYFUNCTION("""COMPUTED_VALUE"""),165000.0)</f>
        <v>165000</v>
      </c>
      <c r="C2883" s="1">
        <f>IFERROR(__xludf.DUMMYFUNCTION("""COMPUTED_VALUE"""),165000.0)</f>
        <v>165000</v>
      </c>
      <c r="D2883" s="1">
        <f>IFERROR(__xludf.DUMMYFUNCTION("""COMPUTED_VALUE"""),159000.0)</f>
        <v>159000</v>
      </c>
      <c r="E2883" s="1">
        <f>IFERROR(__xludf.DUMMYFUNCTION("""COMPUTED_VALUE"""),159500.0)</f>
        <v>159500</v>
      </c>
      <c r="F2883" s="1">
        <f>IFERROR(__xludf.DUMMYFUNCTION("""COMPUTED_VALUE"""),1352211.0)</f>
        <v>1352211</v>
      </c>
    </row>
    <row r="2884">
      <c r="A2884" s="2">
        <f>IFERROR(__xludf.DUMMYFUNCTION("""COMPUTED_VALUE"""),44861.64583333333)</f>
        <v>44861.64583</v>
      </c>
      <c r="B2884" s="1">
        <f>IFERROR(__xludf.DUMMYFUNCTION("""COMPUTED_VALUE"""),159000.0)</f>
        <v>159000</v>
      </c>
      <c r="C2884" s="1">
        <f>IFERROR(__xludf.DUMMYFUNCTION("""COMPUTED_VALUE"""),162000.0)</f>
        <v>162000</v>
      </c>
      <c r="D2884" s="1">
        <f>IFERROR(__xludf.DUMMYFUNCTION("""COMPUTED_VALUE"""),156000.0)</f>
        <v>156000</v>
      </c>
      <c r="E2884" s="1">
        <f>IFERROR(__xludf.DUMMYFUNCTION("""COMPUTED_VALUE"""),161000.0)</f>
        <v>161000</v>
      </c>
      <c r="F2884" s="1">
        <f>IFERROR(__xludf.DUMMYFUNCTION("""COMPUTED_VALUE"""),1058992.0)</f>
        <v>1058992</v>
      </c>
    </row>
    <row r="2885">
      <c r="A2885" s="2">
        <f>IFERROR(__xludf.DUMMYFUNCTION("""COMPUTED_VALUE"""),44862.64583333333)</f>
        <v>44862.64583</v>
      </c>
      <c r="B2885" s="1">
        <f>IFERROR(__xludf.DUMMYFUNCTION("""COMPUTED_VALUE"""),158000.0)</f>
        <v>158000</v>
      </c>
      <c r="C2885" s="1">
        <f>IFERROR(__xludf.DUMMYFUNCTION("""COMPUTED_VALUE"""),161000.0)</f>
        <v>161000</v>
      </c>
      <c r="D2885" s="1">
        <f>IFERROR(__xludf.DUMMYFUNCTION("""COMPUTED_VALUE"""),157000.0)</f>
        <v>157000</v>
      </c>
      <c r="E2885" s="1">
        <f>IFERROR(__xludf.DUMMYFUNCTION("""COMPUTED_VALUE"""),160000.0)</f>
        <v>160000</v>
      </c>
      <c r="F2885" s="1">
        <f>IFERROR(__xludf.DUMMYFUNCTION("""COMPUTED_VALUE"""),777329.0)</f>
        <v>777329</v>
      </c>
    </row>
    <row r="2886">
      <c r="A2886" s="2">
        <f>IFERROR(__xludf.DUMMYFUNCTION("""COMPUTED_VALUE"""),44865.64583333333)</f>
        <v>44865.64583</v>
      </c>
      <c r="B2886" s="1">
        <f>IFERROR(__xludf.DUMMYFUNCTION("""COMPUTED_VALUE"""),163500.0)</f>
        <v>163500</v>
      </c>
      <c r="C2886" s="1">
        <f>IFERROR(__xludf.DUMMYFUNCTION("""COMPUTED_VALUE"""),170500.0)</f>
        <v>170500</v>
      </c>
      <c r="D2886" s="1">
        <f>IFERROR(__xludf.DUMMYFUNCTION("""COMPUTED_VALUE"""),161500.0)</f>
        <v>161500</v>
      </c>
      <c r="E2886" s="1">
        <f>IFERROR(__xludf.DUMMYFUNCTION("""COMPUTED_VALUE"""),169500.0)</f>
        <v>169500</v>
      </c>
      <c r="F2886" s="1">
        <f>IFERROR(__xludf.DUMMYFUNCTION("""COMPUTED_VALUE"""),1585289.0)</f>
        <v>1585289</v>
      </c>
    </row>
    <row r="2887">
      <c r="A2887" s="2">
        <f>IFERROR(__xludf.DUMMYFUNCTION("""COMPUTED_VALUE"""),44866.64583333333)</f>
        <v>44866.64583</v>
      </c>
      <c r="B2887" s="1">
        <f>IFERROR(__xludf.DUMMYFUNCTION("""COMPUTED_VALUE"""),168000.0)</f>
        <v>168000</v>
      </c>
      <c r="C2887" s="1">
        <f>IFERROR(__xludf.DUMMYFUNCTION("""COMPUTED_VALUE"""),171000.0)</f>
        <v>171000</v>
      </c>
      <c r="D2887" s="1">
        <f>IFERROR(__xludf.DUMMYFUNCTION("""COMPUTED_VALUE"""),166500.0)</f>
        <v>166500</v>
      </c>
      <c r="E2887" s="1">
        <f>IFERROR(__xludf.DUMMYFUNCTION("""COMPUTED_VALUE"""),170500.0)</f>
        <v>170500</v>
      </c>
      <c r="F2887" s="1">
        <f>IFERROR(__xludf.DUMMYFUNCTION("""COMPUTED_VALUE"""),768757.0)</f>
        <v>768757</v>
      </c>
    </row>
    <row r="2888">
      <c r="A2888" s="2">
        <f>IFERROR(__xludf.DUMMYFUNCTION("""COMPUTED_VALUE"""),44867.64583333333)</f>
        <v>44867.64583</v>
      </c>
      <c r="B2888" s="1">
        <f>IFERROR(__xludf.DUMMYFUNCTION("""COMPUTED_VALUE"""),170000.0)</f>
        <v>170000</v>
      </c>
      <c r="C2888" s="1">
        <f>IFERROR(__xludf.DUMMYFUNCTION("""COMPUTED_VALUE"""),177000.0)</f>
        <v>177000</v>
      </c>
      <c r="D2888" s="1">
        <f>IFERROR(__xludf.DUMMYFUNCTION("""COMPUTED_VALUE"""),169000.0)</f>
        <v>169000</v>
      </c>
      <c r="E2888" s="1">
        <f>IFERROR(__xludf.DUMMYFUNCTION("""COMPUTED_VALUE"""),174000.0)</f>
        <v>174000</v>
      </c>
      <c r="F2888" s="1">
        <f>IFERROR(__xludf.DUMMYFUNCTION("""COMPUTED_VALUE"""),1585072.0)</f>
        <v>1585072</v>
      </c>
    </row>
    <row r="2889">
      <c r="A2889" s="2">
        <f>IFERROR(__xludf.DUMMYFUNCTION("""COMPUTED_VALUE"""),44868.64583333333)</f>
        <v>44868.64583</v>
      </c>
      <c r="B2889" s="1">
        <f>IFERROR(__xludf.DUMMYFUNCTION("""COMPUTED_VALUE"""),168500.0)</f>
        <v>168500</v>
      </c>
      <c r="C2889" s="1">
        <f>IFERROR(__xludf.DUMMYFUNCTION("""COMPUTED_VALUE"""),170500.0)</f>
        <v>170500</v>
      </c>
      <c r="D2889" s="1">
        <f>IFERROR(__xludf.DUMMYFUNCTION("""COMPUTED_VALUE"""),166000.0)</f>
        <v>166000</v>
      </c>
      <c r="E2889" s="1">
        <f>IFERROR(__xludf.DUMMYFUNCTION("""COMPUTED_VALUE"""),169000.0)</f>
        <v>169000</v>
      </c>
      <c r="F2889" s="1">
        <f>IFERROR(__xludf.DUMMYFUNCTION("""COMPUTED_VALUE"""),1017930.0)</f>
        <v>1017930</v>
      </c>
    </row>
    <row r="2890">
      <c r="A2890" s="2">
        <f>IFERROR(__xludf.DUMMYFUNCTION("""COMPUTED_VALUE"""),44869.64583333333)</f>
        <v>44869.64583</v>
      </c>
      <c r="B2890" s="1">
        <f>IFERROR(__xludf.DUMMYFUNCTION("""COMPUTED_VALUE"""),167500.0)</f>
        <v>167500</v>
      </c>
      <c r="C2890" s="1">
        <f>IFERROR(__xludf.DUMMYFUNCTION("""COMPUTED_VALUE"""),174500.0)</f>
        <v>174500</v>
      </c>
      <c r="D2890" s="1">
        <f>IFERROR(__xludf.DUMMYFUNCTION("""COMPUTED_VALUE"""),167500.0)</f>
        <v>167500</v>
      </c>
      <c r="E2890" s="1">
        <f>IFERROR(__xludf.DUMMYFUNCTION("""COMPUTED_VALUE"""),174000.0)</f>
        <v>174000</v>
      </c>
      <c r="F2890" s="1">
        <f>IFERROR(__xludf.DUMMYFUNCTION("""COMPUTED_VALUE"""),1248339.0)</f>
        <v>1248339</v>
      </c>
    </row>
    <row r="2891">
      <c r="A2891" s="2">
        <f>IFERROR(__xludf.DUMMYFUNCTION("""COMPUTED_VALUE"""),44872.64583333333)</f>
        <v>44872.64583</v>
      </c>
      <c r="B2891" s="1">
        <f>IFERROR(__xludf.DUMMYFUNCTION("""COMPUTED_VALUE"""),177000.0)</f>
        <v>177000</v>
      </c>
      <c r="C2891" s="1">
        <f>IFERROR(__xludf.DUMMYFUNCTION("""COMPUTED_VALUE"""),178000.0)</f>
        <v>178000</v>
      </c>
      <c r="D2891" s="1">
        <f>IFERROR(__xludf.DUMMYFUNCTION("""COMPUTED_VALUE"""),168000.0)</f>
        <v>168000</v>
      </c>
      <c r="E2891" s="1">
        <f>IFERROR(__xludf.DUMMYFUNCTION("""COMPUTED_VALUE"""),169000.0)</f>
        <v>169000</v>
      </c>
      <c r="F2891" s="1">
        <f>IFERROR(__xludf.DUMMYFUNCTION("""COMPUTED_VALUE"""),2128304.0)</f>
        <v>2128304</v>
      </c>
    </row>
    <row r="2892">
      <c r="A2892" s="2">
        <f>IFERROR(__xludf.DUMMYFUNCTION("""COMPUTED_VALUE"""),44873.64583333333)</f>
        <v>44873.64583</v>
      </c>
      <c r="B2892" s="1">
        <f>IFERROR(__xludf.DUMMYFUNCTION("""COMPUTED_VALUE"""),172000.0)</f>
        <v>172000</v>
      </c>
      <c r="C2892" s="1">
        <f>IFERROR(__xludf.DUMMYFUNCTION("""COMPUTED_VALUE"""),179000.0)</f>
        <v>179000</v>
      </c>
      <c r="D2892" s="1">
        <f>IFERROR(__xludf.DUMMYFUNCTION("""COMPUTED_VALUE"""),171000.0)</f>
        <v>171000</v>
      </c>
      <c r="E2892" s="1">
        <f>IFERROR(__xludf.DUMMYFUNCTION("""COMPUTED_VALUE"""),177500.0)</f>
        <v>177500</v>
      </c>
      <c r="F2892" s="1">
        <f>IFERROR(__xludf.DUMMYFUNCTION("""COMPUTED_VALUE"""),2549625.0)</f>
        <v>2549625</v>
      </c>
    </row>
    <row r="2893">
      <c r="A2893" s="2">
        <f>IFERROR(__xludf.DUMMYFUNCTION("""COMPUTED_VALUE"""),44874.64583333333)</f>
        <v>44874.64583</v>
      </c>
      <c r="B2893" s="1">
        <f>IFERROR(__xludf.DUMMYFUNCTION("""COMPUTED_VALUE"""),178500.0)</f>
        <v>178500</v>
      </c>
      <c r="C2893" s="1">
        <f>IFERROR(__xludf.DUMMYFUNCTION("""COMPUTED_VALUE"""),183000.0)</f>
        <v>183000</v>
      </c>
      <c r="D2893" s="1">
        <f>IFERROR(__xludf.DUMMYFUNCTION("""COMPUTED_VALUE"""),177500.0)</f>
        <v>177500</v>
      </c>
      <c r="E2893" s="1">
        <f>IFERROR(__xludf.DUMMYFUNCTION("""COMPUTED_VALUE"""),180000.0)</f>
        <v>180000</v>
      </c>
      <c r="F2893" s="1">
        <f>IFERROR(__xludf.DUMMYFUNCTION("""COMPUTED_VALUE"""),1596245.0)</f>
        <v>1596245</v>
      </c>
    </row>
    <row r="2894">
      <c r="A2894" s="2">
        <f>IFERROR(__xludf.DUMMYFUNCTION("""COMPUTED_VALUE"""),44875.64583333333)</f>
        <v>44875.64583</v>
      </c>
      <c r="B2894" s="1">
        <f>IFERROR(__xludf.DUMMYFUNCTION("""COMPUTED_VALUE"""),177500.0)</f>
        <v>177500</v>
      </c>
      <c r="C2894" s="1">
        <f>IFERROR(__xludf.DUMMYFUNCTION("""COMPUTED_VALUE"""),180000.0)</f>
        <v>180000</v>
      </c>
      <c r="D2894" s="1">
        <f>IFERROR(__xludf.DUMMYFUNCTION("""COMPUTED_VALUE"""),176000.0)</f>
        <v>176000</v>
      </c>
      <c r="E2894" s="1">
        <f>IFERROR(__xludf.DUMMYFUNCTION("""COMPUTED_VALUE"""),176000.0)</f>
        <v>176000</v>
      </c>
      <c r="F2894" s="1">
        <f>IFERROR(__xludf.DUMMYFUNCTION("""COMPUTED_VALUE"""),975484.0)</f>
        <v>975484</v>
      </c>
    </row>
    <row r="2895">
      <c r="A2895" s="2">
        <f>IFERROR(__xludf.DUMMYFUNCTION("""COMPUTED_VALUE"""),44876.64583333333)</f>
        <v>44876.64583</v>
      </c>
      <c r="B2895" s="1">
        <f>IFERROR(__xludf.DUMMYFUNCTION("""COMPUTED_VALUE"""),189000.0)</f>
        <v>189000</v>
      </c>
      <c r="C2895" s="1">
        <f>IFERROR(__xludf.DUMMYFUNCTION("""COMPUTED_VALUE"""),196500.0)</f>
        <v>196500</v>
      </c>
      <c r="D2895" s="1">
        <f>IFERROR(__xludf.DUMMYFUNCTION("""COMPUTED_VALUE"""),186000.0)</f>
        <v>186000</v>
      </c>
      <c r="E2895" s="1">
        <f>IFERROR(__xludf.DUMMYFUNCTION("""COMPUTED_VALUE"""),193500.0)</f>
        <v>193500</v>
      </c>
      <c r="F2895" s="1">
        <f>IFERROR(__xludf.DUMMYFUNCTION("""COMPUTED_VALUE"""),3312709.0)</f>
        <v>3312709</v>
      </c>
    </row>
    <row r="2896">
      <c r="A2896" s="2">
        <f>IFERROR(__xludf.DUMMYFUNCTION("""COMPUTED_VALUE"""),44879.64583333333)</f>
        <v>44879.64583</v>
      </c>
      <c r="B2896" s="1">
        <f>IFERROR(__xludf.DUMMYFUNCTION("""COMPUTED_VALUE"""),194000.0)</f>
        <v>194000</v>
      </c>
      <c r="C2896" s="1">
        <f>IFERROR(__xludf.DUMMYFUNCTION("""COMPUTED_VALUE"""),194500.0)</f>
        <v>194500</v>
      </c>
      <c r="D2896" s="1">
        <f>IFERROR(__xludf.DUMMYFUNCTION("""COMPUTED_VALUE"""),188000.0)</f>
        <v>188000</v>
      </c>
      <c r="E2896" s="1">
        <f>IFERROR(__xludf.DUMMYFUNCTION("""COMPUTED_VALUE"""),188500.0)</f>
        <v>188500</v>
      </c>
      <c r="F2896" s="1">
        <f>IFERROR(__xludf.DUMMYFUNCTION("""COMPUTED_VALUE"""),1776156.0)</f>
        <v>1776156</v>
      </c>
    </row>
    <row r="2897">
      <c r="A2897" s="2">
        <f>IFERROR(__xludf.DUMMYFUNCTION("""COMPUTED_VALUE"""),44880.64583333333)</f>
        <v>44880.64583</v>
      </c>
      <c r="B2897" s="1">
        <f>IFERROR(__xludf.DUMMYFUNCTION("""COMPUTED_VALUE"""),190000.0)</f>
        <v>190000</v>
      </c>
      <c r="C2897" s="1">
        <f>IFERROR(__xludf.DUMMYFUNCTION("""COMPUTED_VALUE"""),192500.0)</f>
        <v>192500</v>
      </c>
      <c r="D2897" s="1">
        <f>IFERROR(__xludf.DUMMYFUNCTION("""COMPUTED_VALUE"""),188000.0)</f>
        <v>188000</v>
      </c>
      <c r="E2897" s="1">
        <f>IFERROR(__xludf.DUMMYFUNCTION("""COMPUTED_VALUE"""),192000.0)</f>
        <v>192000</v>
      </c>
      <c r="F2897" s="1">
        <f>IFERROR(__xludf.DUMMYFUNCTION("""COMPUTED_VALUE"""),889734.0)</f>
        <v>889734</v>
      </c>
    </row>
    <row r="2898">
      <c r="A2898" s="2">
        <f>IFERROR(__xludf.DUMMYFUNCTION("""COMPUTED_VALUE"""),44881.64583333333)</f>
        <v>44881.64583</v>
      </c>
      <c r="B2898" s="1">
        <f>IFERROR(__xludf.DUMMYFUNCTION("""COMPUTED_VALUE"""),194000.0)</f>
        <v>194000</v>
      </c>
      <c r="C2898" s="1">
        <f>IFERROR(__xludf.DUMMYFUNCTION("""COMPUTED_VALUE"""),194500.0)</f>
        <v>194500</v>
      </c>
      <c r="D2898" s="1">
        <f>IFERROR(__xludf.DUMMYFUNCTION("""COMPUTED_VALUE"""),187000.0)</f>
        <v>187000</v>
      </c>
      <c r="E2898" s="1">
        <f>IFERROR(__xludf.DUMMYFUNCTION("""COMPUTED_VALUE"""),189500.0)</f>
        <v>189500</v>
      </c>
      <c r="F2898" s="1">
        <f>IFERROR(__xludf.DUMMYFUNCTION("""COMPUTED_VALUE"""),1156594.0)</f>
        <v>1156594</v>
      </c>
    </row>
    <row r="2899">
      <c r="A2899" s="2">
        <f>IFERROR(__xludf.DUMMYFUNCTION("""COMPUTED_VALUE"""),44882.64583333333)</f>
        <v>44882.64583</v>
      </c>
      <c r="B2899" s="1">
        <f>IFERROR(__xludf.DUMMYFUNCTION("""COMPUTED_VALUE"""),188000.0)</f>
        <v>188000</v>
      </c>
      <c r="C2899" s="1">
        <f>IFERROR(__xludf.DUMMYFUNCTION("""COMPUTED_VALUE"""),189500.0)</f>
        <v>189500</v>
      </c>
      <c r="D2899" s="1">
        <f>IFERROR(__xludf.DUMMYFUNCTION("""COMPUTED_VALUE"""),186500.0)</f>
        <v>186500</v>
      </c>
      <c r="E2899" s="1">
        <f>IFERROR(__xludf.DUMMYFUNCTION("""COMPUTED_VALUE"""),188000.0)</f>
        <v>188000</v>
      </c>
      <c r="F2899" s="1">
        <f>IFERROR(__xludf.DUMMYFUNCTION("""COMPUTED_VALUE"""),825254.0)</f>
        <v>825254</v>
      </c>
    </row>
    <row r="2900">
      <c r="A2900" s="2">
        <f>IFERROR(__xludf.DUMMYFUNCTION("""COMPUTED_VALUE"""),44883.64583333333)</f>
        <v>44883.64583</v>
      </c>
      <c r="B2900" s="1">
        <f>IFERROR(__xludf.DUMMYFUNCTION("""COMPUTED_VALUE"""),187500.0)</f>
        <v>187500</v>
      </c>
      <c r="C2900" s="1">
        <f>IFERROR(__xludf.DUMMYFUNCTION("""COMPUTED_VALUE"""),190000.0)</f>
        <v>190000</v>
      </c>
      <c r="D2900" s="1">
        <f>IFERROR(__xludf.DUMMYFUNCTION("""COMPUTED_VALUE"""),184500.0)</f>
        <v>184500</v>
      </c>
      <c r="E2900" s="1">
        <f>IFERROR(__xludf.DUMMYFUNCTION("""COMPUTED_VALUE"""),185500.0)</f>
        <v>185500</v>
      </c>
      <c r="F2900" s="1">
        <f>IFERROR(__xludf.DUMMYFUNCTION("""COMPUTED_VALUE"""),784241.0)</f>
        <v>784241</v>
      </c>
    </row>
    <row r="2901">
      <c r="A2901" s="2">
        <f>IFERROR(__xludf.DUMMYFUNCTION("""COMPUTED_VALUE"""),44886.64583333333)</f>
        <v>44886.64583</v>
      </c>
      <c r="B2901" s="1">
        <f>IFERROR(__xludf.DUMMYFUNCTION("""COMPUTED_VALUE"""),186000.0)</f>
        <v>186000</v>
      </c>
      <c r="C2901" s="1">
        <f>IFERROR(__xludf.DUMMYFUNCTION("""COMPUTED_VALUE"""),187500.0)</f>
        <v>187500</v>
      </c>
      <c r="D2901" s="1">
        <f>IFERROR(__xludf.DUMMYFUNCTION("""COMPUTED_VALUE"""),181000.0)</f>
        <v>181000</v>
      </c>
      <c r="E2901" s="1">
        <f>IFERROR(__xludf.DUMMYFUNCTION("""COMPUTED_VALUE"""),182500.0)</f>
        <v>182500</v>
      </c>
      <c r="F2901" s="1">
        <f>IFERROR(__xludf.DUMMYFUNCTION("""COMPUTED_VALUE"""),614738.0)</f>
        <v>614738</v>
      </c>
    </row>
    <row r="2902">
      <c r="A2902" s="2">
        <f>IFERROR(__xludf.DUMMYFUNCTION("""COMPUTED_VALUE"""),44887.64583333333)</f>
        <v>44887.64583</v>
      </c>
      <c r="B2902" s="1">
        <f>IFERROR(__xludf.DUMMYFUNCTION("""COMPUTED_VALUE"""),181500.0)</f>
        <v>181500</v>
      </c>
      <c r="C2902" s="1">
        <f>IFERROR(__xludf.DUMMYFUNCTION("""COMPUTED_VALUE"""),184500.0)</f>
        <v>184500</v>
      </c>
      <c r="D2902" s="1">
        <f>IFERROR(__xludf.DUMMYFUNCTION("""COMPUTED_VALUE"""),179500.0)</f>
        <v>179500</v>
      </c>
      <c r="E2902" s="1">
        <f>IFERROR(__xludf.DUMMYFUNCTION("""COMPUTED_VALUE"""),180500.0)</f>
        <v>180500</v>
      </c>
      <c r="F2902" s="1">
        <f>IFERROR(__xludf.DUMMYFUNCTION("""COMPUTED_VALUE"""),631550.0)</f>
        <v>631550</v>
      </c>
    </row>
    <row r="2903">
      <c r="A2903" s="2">
        <f>IFERROR(__xludf.DUMMYFUNCTION("""COMPUTED_VALUE"""),44888.64583333333)</f>
        <v>44888.64583</v>
      </c>
      <c r="B2903" s="1">
        <f>IFERROR(__xludf.DUMMYFUNCTION("""COMPUTED_VALUE"""),184000.0)</f>
        <v>184000</v>
      </c>
      <c r="C2903" s="1">
        <f>IFERROR(__xludf.DUMMYFUNCTION("""COMPUTED_VALUE"""),186000.0)</f>
        <v>186000</v>
      </c>
      <c r="D2903" s="1">
        <f>IFERROR(__xludf.DUMMYFUNCTION("""COMPUTED_VALUE"""),181000.0)</f>
        <v>181000</v>
      </c>
      <c r="E2903" s="1">
        <f>IFERROR(__xludf.DUMMYFUNCTION("""COMPUTED_VALUE"""),181500.0)</f>
        <v>181500</v>
      </c>
      <c r="F2903" s="1">
        <f>IFERROR(__xludf.DUMMYFUNCTION("""COMPUTED_VALUE"""),780342.0)</f>
        <v>780342</v>
      </c>
    </row>
    <row r="2904">
      <c r="A2904" s="2">
        <f>IFERROR(__xludf.DUMMYFUNCTION("""COMPUTED_VALUE"""),44889.64583333333)</f>
        <v>44889.64583</v>
      </c>
      <c r="B2904" s="1">
        <f>IFERROR(__xludf.DUMMYFUNCTION("""COMPUTED_VALUE"""),183000.0)</f>
        <v>183000</v>
      </c>
      <c r="C2904" s="1">
        <f>IFERROR(__xludf.DUMMYFUNCTION("""COMPUTED_VALUE"""),188000.0)</f>
        <v>188000</v>
      </c>
      <c r="D2904" s="1">
        <f>IFERROR(__xludf.DUMMYFUNCTION("""COMPUTED_VALUE"""),182500.0)</f>
        <v>182500</v>
      </c>
      <c r="E2904" s="1">
        <f>IFERROR(__xludf.DUMMYFUNCTION("""COMPUTED_VALUE"""),188000.0)</f>
        <v>188000</v>
      </c>
      <c r="F2904" s="1">
        <f>IFERROR(__xludf.DUMMYFUNCTION("""COMPUTED_VALUE"""),969322.0)</f>
        <v>969322</v>
      </c>
    </row>
    <row r="2905">
      <c r="A2905" s="2">
        <f>IFERROR(__xludf.DUMMYFUNCTION("""COMPUTED_VALUE"""),44890.64583333333)</f>
        <v>44890.64583</v>
      </c>
      <c r="B2905" s="1">
        <f>IFERROR(__xludf.DUMMYFUNCTION("""COMPUTED_VALUE"""),187000.0)</f>
        <v>187000</v>
      </c>
      <c r="C2905" s="1">
        <f>IFERROR(__xludf.DUMMYFUNCTION("""COMPUTED_VALUE"""),189000.0)</f>
        <v>189000</v>
      </c>
      <c r="D2905" s="1">
        <f>IFERROR(__xludf.DUMMYFUNCTION("""COMPUTED_VALUE"""),185000.0)</f>
        <v>185000</v>
      </c>
      <c r="E2905" s="1">
        <f>IFERROR(__xludf.DUMMYFUNCTION("""COMPUTED_VALUE"""),185000.0)</f>
        <v>185000</v>
      </c>
      <c r="F2905" s="1">
        <f>IFERROR(__xludf.DUMMYFUNCTION("""COMPUTED_VALUE"""),440351.0)</f>
        <v>440351</v>
      </c>
    </row>
    <row r="2906">
      <c r="A2906" s="2">
        <f>IFERROR(__xludf.DUMMYFUNCTION("""COMPUTED_VALUE"""),44893.64583333333)</f>
        <v>44893.64583</v>
      </c>
      <c r="B2906" s="1">
        <f>IFERROR(__xludf.DUMMYFUNCTION("""COMPUTED_VALUE"""),184000.0)</f>
        <v>184000</v>
      </c>
      <c r="C2906" s="1">
        <f>IFERROR(__xludf.DUMMYFUNCTION("""COMPUTED_VALUE"""),184500.0)</f>
        <v>184500</v>
      </c>
      <c r="D2906" s="1">
        <f>IFERROR(__xludf.DUMMYFUNCTION("""COMPUTED_VALUE"""),180500.0)</f>
        <v>180500</v>
      </c>
      <c r="E2906" s="1">
        <f>IFERROR(__xludf.DUMMYFUNCTION("""COMPUTED_VALUE"""),180500.0)</f>
        <v>180500</v>
      </c>
      <c r="F2906" s="1">
        <f>IFERROR(__xludf.DUMMYFUNCTION("""COMPUTED_VALUE"""),550985.0)</f>
        <v>550985</v>
      </c>
    </row>
    <row r="2907">
      <c r="A2907" s="2">
        <f>IFERROR(__xludf.DUMMYFUNCTION("""COMPUTED_VALUE"""),44894.64583333333)</f>
        <v>44894.64583</v>
      </c>
      <c r="B2907" s="1">
        <f>IFERROR(__xludf.DUMMYFUNCTION("""COMPUTED_VALUE"""),178500.0)</f>
        <v>178500</v>
      </c>
      <c r="C2907" s="1">
        <f>IFERROR(__xludf.DUMMYFUNCTION("""COMPUTED_VALUE"""),183500.0)</f>
        <v>183500</v>
      </c>
      <c r="D2907" s="1">
        <f>IFERROR(__xludf.DUMMYFUNCTION("""COMPUTED_VALUE"""),178500.0)</f>
        <v>178500</v>
      </c>
      <c r="E2907" s="1">
        <f>IFERROR(__xludf.DUMMYFUNCTION("""COMPUTED_VALUE"""),182500.0)</f>
        <v>182500</v>
      </c>
      <c r="F2907" s="1">
        <f>IFERROR(__xludf.DUMMYFUNCTION("""COMPUTED_VALUE"""),481120.0)</f>
        <v>481120</v>
      </c>
    </row>
    <row r="2908">
      <c r="A2908" s="2">
        <f>IFERROR(__xludf.DUMMYFUNCTION("""COMPUTED_VALUE"""),44895.64583333333)</f>
        <v>44895.64583</v>
      </c>
      <c r="B2908" s="1">
        <f>IFERROR(__xludf.DUMMYFUNCTION("""COMPUTED_VALUE"""),181500.0)</f>
        <v>181500</v>
      </c>
      <c r="C2908" s="1">
        <f>IFERROR(__xludf.DUMMYFUNCTION("""COMPUTED_VALUE"""),187000.0)</f>
        <v>187000</v>
      </c>
      <c r="D2908" s="1">
        <f>IFERROR(__xludf.DUMMYFUNCTION("""COMPUTED_VALUE"""),180500.0)</f>
        <v>180500</v>
      </c>
      <c r="E2908" s="1">
        <f>IFERROR(__xludf.DUMMYFUNCTION("""COMPUTED_VALUE"""),187000.0)</f>
        <v>187000</v>
      </c>
      <c r="F2908" s="1">
        <f>IFERROR(__xludf.DUMMYFUNCTION("""COMPUTED_VALUE"""),880333.0)</f>
        <v>880333</v>
      </c>
    </row>
    <row r="2909">
      <c r="A2909" s="2">
        <f>IFERROR(__xludf.DUMMYFUNCTION("""COMPUTED_VALUE"""),44896.64583333333)</f>
        <v>44896.64583</v>
      </c>
      <c r="B2909" s="1">
        <f>IFERROR(__xludf.DUMMYFUNCTION("""COMPUTED_VALUE"""),194500.0)</f>
        <v>194500</v>
      </c>
      <c r="C2909" s="1">
        <f>IFERROR(__xludf.DUMMYFUNCTION("""COMPUTED_VALUE"""),195000.0)</f>
        <v>195000</v>
      </c>
      <c r="D2909" s="1">
        <f>IFERROR(__xludf.DUMMYFUNCTION("""COMPUTED_VALUE"""),187500.0)</f>
        <v>187500</v>
      </c>
      <c r="E2909" s="1">
        <f>IFERROR(__xludf.DUMMYFUNCTION("""COMPUTED_VALUE"""),187500.0)</f>
        <v>187500</v>
      </c>
      <c r="F2909" s="1">
        <f>IFERROR(__xludf.DUMMYFUNCTION("""COMPUTED_VALUE"""),1218297.0)</f>
        <v>1218297</v>
      </c>
    </row>
    <row r="2910">
      <c r="A2910" s="2">
        <f>IFERROR(__xludf.DUMMYFUNCTION("""COMPUTED_VALUE"""),44897.64583333333)</f>
        <v>44897.64583</v>
      </c>
      <c r="B2910" s="1">
        <f>IFERROR(__xludf.DUMMYFUNCTION("""COMPUTED_VALUE"""),188000.0)</f>
        <v>188000</v>
      </c>
      <c r="C2910" s="1">
        <f>IFERROR(__xludf.DUMMYFUNCTION("""COMPUTED_VALUE"""),190500.0)</f>
        <v>190500</v>
      </c>
      <c r="D2910" s="1">
        <f>IFERROR(__xludf.DUMMYFUNCTION("""COMPUTED_VALUE"""),185500.0)</f>
        <v>185500</v>
      </c>
      <c r="E2910" s="1">
        <f>IFERROR(__xludf.DUMMYFUNCTION("""COMPUTED_VALUE"""),185500.0)</f>
        <v>185500</v>
      </c>
      <c r="F2910" s="1">
        <f>IFERROR(__xludf.DUMMYFUNCTION("""COMPUTED_VALUE"""),796841.0)</f>
        <v>796841</v>
      </c>
    </row>
    <row r="2911">
      <c r="A2911" s="2">
        <f>IFERROR(__xludf.DUMMYFUNCTION("""COMPUTED_VALUE"""),44900.64583333333)</f>
        <v>44900.64583</v>
      </c>
      <c r="B2911" s="1">
        <f>IFERROR(__xludf.DUMMYFUNCTION("""COMPUTED_VALUE"""),187000.0)</f>
        <v>187000</v>
      </c>
      <c r="C2911" s="1">
        <f>IFERROR(__xludf.DUMMYFUNCTION("""COMPUTED_VALUE"""),195000.0)</f>
        <v>195000</v>
      </c>
      <c r="D2911" s="1">
        <f>IFERROR(__xludf.DUMMYFUNCTION("""COMPUTED_VALUE"""),186500.0)</f>
        <v>186500</v>
      </c>
      <c r="E2911" s="1">
        <f>IFERROR(__xludf.DUMMYFUNCTION("""COMPUTED_VALUE"""),191500.0)</f>
        <v>191500</v>
      </c>
      <c r="F2911" s="1">
        <f>IFERROR(__xludf.DUMMYFUNCTION("""COMPUTED_VALUE"""),1224361.0)</f>
        <v>1224361</v>
      </c>
    </row>
    <row r="2912">
      <c r="A2912" s="2">
        <f>IFERROR(__xludf.DUMMYFUNCTION("""COMPUTED_VALUE"""),44901.64583333333)</f>
        <v>44901.64583</v>
      </c>
      <c r="B2912" s="1">
        <f>IFERROR(__xludf.DUMMYFUNCTION("""COMPUTED_VALUE"""),189500.0)</f>
        <v>189500</v>
      </c>
      <c r="C2912" s="1">
        <f>IFERROR(__xludf.DUMMYFUNCTION("""COMPUTED_VALUE"""),190000.0)</f>
        <v>190000</v>
      </c>
      <c r="D2912" s="1">
        <f>IFERROR(__xludf.DUMMYFUNCTION("""COMPUTED_VALUE"""),185000.0)</f>
        <v>185000</v>
      </c>
      <c r="E2912" s="1">
        <f>IFERROR(__xludf.DUMMYFUNCTION("""COMPUTED_VALUE"""),185500.0)</f>
        <v>185500</v>
      </c>
      <c r="F2912" s="1">
        <f>IFERROR(__xludf.DUMMYFUNCTION("""COMPUTED_VALUE"""),877534.0)</f>
        <v>877534</v>
      </c>
    </row>
    <row r="2913">
      <c r="A2913" s="2">
        <f>IFERROR(__xludf.DUMMYFUNCTION("""COMPUTED_VALUE"""),44902.64583333333)</f>
        <v>44902.64583</v>
      </c>
      <c r="B2913" s="1">
        <f>IFERROR(__xludf.DUMMYFUNCTION("""COMPUTED_VALUE"""),183000.0)</f>
        <v>183000</v>
      </c>
      <c r="C2913" s="1">
        <f>IFERROR(__xludf.DUMMYFUNCTION("""COMPUTED_VALUE"""),187500.0)</f>
        <v>187500</v>
      </c>
      <c r="D2913" s="1">
        <f>IFERROR(__xludf.DUMMYFUNCTION("""COMPUTED_VALUE"""),182500.0)</f>
        <v>182500</v>
      </c>
      <c r="E2913" s="1">
        <f>IFERROR(__xludf.DUMMYFUNCTION("""COMPUTED_VALUE"""),183500.0)</f>
        <v>183500</v>
      </c>
      <c r="F2913" s="1">
        <f>IFERROR(__xludf.DUMMYFUNCTION("""COMPUTED_VALUE"""),646753.0)</f>
        <v>646753</v>
      </c>
    </row>
    <row r="2914">
      <c r="A2914" s="2">
        <f>IFERROR(__xludf.DUMMYFUNCTION("""COMPUTED_VALUE"""),44903.64583333333)</f>
        <v>44903.64583</v>
      </c>
      <c r="B2914" s="1">
        <f>IFERROR(__xludf.DUMMYFUNCTION("""COMPUTED_VALUE"""),184000.0)</f>
        <v>184000</v>
      </c>
      <c r="C2914" s="1">
        <f>IFERROR(__xludf.DUMMYFUNCTION("""COMPUTED_VALUE"""),186500.0)</f>
        <v>186500</v>
      </c>
      <c r="D2914" s="1">
        <f>IFERROR(__xludf.DUMMYFUNCTION("""COMPUTED_VALUE"""),181500.0)</f>
        <v>181500</v>
      </c>
      <c r="E2914" s="1">
        <f>IFERROR(__xludf.DUMMYFUNCTION("""COMPUTED_VALUE"""),185500.0)</f>
        <v>185500</v>
      </c>
      <c r="F2914" s="1">
        <f>IFERROR(__xludf.DUMMYFUNCTION("""COMPUTED_VALUE"""),709428.0)</f>
        <v>709428</v>
      </c>
    </row>
    <row r="2915">
      <c r="A2915" s="2">
        <f>IFERROR(__xludf.DUMMYFUNCTION("""COMPUTED_VALUE"""),44904.64583333333)</f>
        <v>44904.64583</v>
      </c>
      <c r="B2915" s="1">
        <f>IFERROR(__xludf.DUMMYFUNCTION("""COMPUTED_VALUE"""),187500.0)</f>
        <v>187500</v>
      </c>
      <c r="C2915" s="1">
        <f>IFERROR(__xludf.DUMMYFUNCTION("""COMPUTED_VALUE"""),195000.0)</f>
        <v>195000</v>
      </c>
      <c r="D2915" s="1">
        <f>IFERROR(__xludf.DUMMYFUNCTION("""COMPUTED_VALUE"""),187000.0)</f>
        <v>187000</v>
      </c>
      <c r="E2915" s="1">
        <f>IFERROR(__xludf.DUMMYFUNCTION("""COMPUTED_VALUE"""),195000.0)</f>
        <v>195000</v>
      </c>
      <c r="F2915" s="1">
        <f>IFERROR(__xludf.DUMMYFUNCTION("""COMPUTED_VALUE"""),1081470.0)</f>
        <v>1081470</v>
      </c>
    </row>
    <row r="2916">
      <c r="A2916" s="2">
        <f>IFERROR(__xludf.DUMMYFUNCTION("""COMPUTED_VALUE"""),44907.64583333333)</f>
        <v>44907.64583</v>
      </c>
      <c r="B2916" s="1">
        <f>IFERROR(__xludf.DUMMYFUNCTION("""COMPUTED_VALUE"""),192500.0)</f>
        <v>192500</v>
      </c>
      <c r="C2916" s="1">
        <f>IFERROR(__xludf.DUMMYFUNCTION("""COMPUTED_VALUE"""),196500.0)</f>
        <v>196500</v>
      </c>
      <c r="D2916" s="1">
        <f>IFERROR(__xludf.DUMMYFUNCTION("""COMPUTED_VALUE"""),190500.0)</f>
        <v>190500</v>
      </c>
      <c r="E2916" s="1">
        <f>IFERROR(__xludf.DUMMYFUNCTION("""COMPUTED_VALUE"""),193000.0)</f>
        <v>193000</v>
      </c>
      <c r="F2916" s="1">
        <f>IFERROR(__xludf.DUMMYFUNCTION("""COMPUTED_VALUE"""),652814.0)</f>
        <v>652814</v>
      </c>
    </row>
    <row r="2917">
      <c r="A2917" s="2">
        <f>IFERROR(__xludf.DUMMYFUNCTION("""COMPUTED_VALUE"""),44908.64583333333)</f>
        <v>44908.64583</v>
      </c>
      <c r="B2917" s="1">
        <f>IFERROR(__xludf.DUMMYFUNCTION("""COMPUTED_VALUE"""),195500.0)</f>
        <v>195500</v>
      </c>
      <c r="C2917" s="1">
        <f>IFERROR(__xludf.DUMMYFUNCTION("""COMPUTED_VALUE"""),197000.0)</f>
        <v>197000</v>
      </c>
      <c r="D2917" s="1">
        <f>IFERROR(__xludf.DUMMYFUNCTION("""COMPUTED_VALUE"""),191000.0)</f>
        <v>191000</v>
      </c>
      <c r="E2917" s="1">
        <f>IFERROR(__xludf.DUMMYFUNCTION("""COMPUTED_VALUE"""),193000.0)</f>
        <v>193000</v>
      </c>
      <c r="F2917" s="1">
        <f>IFERROR(__xludf.DUMMYFUNCTION("""COMPUTED_VALUE"""),692706.0)</f>
        <v>692706</v>
      </c>
    </row>
    <row r="2918">
      <c r="A2918" s="2">
        <f>IFERROR(__xludf.DUMMYFUNCTION("""COMPUTED_VALUE"""),44909.64583333333)</f>
        <v>44909.64583</v>
      </c>
      <c r="B2918" s="1">
        <f>IFERROR(__xludf.DUMMYFUNCTION("""COMPUTED_VALUE"""),194000.0)</f>
        <v>194000</v>
      </c>
      <c r="C2918" s="1">
        <f>IFERROR(__xludf.DUMMYFUNCTION("""COMPUTED_VALUE"""),195000.0)</f>
        <v>195000</v>
      </c>
      <c r="D2918" s="1">
        <f>IFERROR(__xludf.DUMMYFUNCTION("""COMPUTED_VALUE"""),191500.0)</f>
        <v>191500</v>
      </c>
      <c r="E2918" s="1">
        <f>IFERROR(__xludf.DUMMYFUNCTION("""COMPUTED_VALUE"""),193500.0)</f>
        <v>193500</v>
      </c>
      <c r="F2918" s="1">
        <f>IFERROR(__xludf.DUMMYFUNCTION("""COMPUTED_VALUE"""),708760.0)</f>
        <v>708760</v>
      </c>
    </row>
    <row r="2919">
      <c r="A2919" s="2">
        <f>IFERROR(__xludf.DUMMYFUNCTION("""COMPUTED_VALUE"""),44910.64583333333)</f>
        <v>44910.64583</v>
      </c>
      <c r="B2919" s="1">
        <f>IFERROR(__xludf.DUMMYFUNCTION("""COMPUTED_VALUE"""),191000.0)</f>
        <v>191000</v>
      </c>
      <c r="C2919" s="1">
        <f>IFERROR(__xludf.DUMMYFUNCTION("""COMPUTED_VALUE"""),191000.0)</f>
        <v>191000</v>
      </c>
      <c r="D2919" s="1">
        <f>IFERROR(__xludf.DUMMYFUNCTION("""COMPUTED_VALUE"""),182500.0)</f>
        <v>182500</v>
      </c>
      <c r="E2919" s="1">
        <f>IFERROR(__xludf.DUMMYFUNCTION("""COMPUTED_VALUE"""),182500.0)</f>
        <v>182500</v>
      </c>
      <c r="F2919" s="1">
        <f>IFERROR(__xludf.DUMMYFUNCTION("""COMPUTED_VALUE"""),1270685.0)</f>
        <v>1270685</v>
      </c>
    </row>
    <row r="2920">
      <c r="A2920" s="2">
        <f>IFERROR(__xludf.DUMMYFUNCTION("""COMPUTED_VALUE"""),44911.64583333333)</f>
        <v>44911.64583</v>
      </c>
      <c r="B2920" s="1">
        <f>IFERROR(__xludf.DUMMYFUNCTION("""COMPUTED_VALUE"""),178000.0)</f>
        <v>178000</v>
      </c>
      <c r="C2920" s="1">
        <f>IFERROR(__xludf.DUMMYFUNCTION("""COMPUTED_VALUE"""),182500.0)</f>
        <v>182500</v>
      </c>
      <c r="D2920" s="1">
        <f>IFERROR(__xludf.DUMMYFUNCTION("""COMPUTED_VALUE"""),177500.0)</f>
        <v>177500</v>
      </c>
      <c r="E2920" s="1">
        <f>IFERROR(__xludf.DUMMYFUNCTION("""COMPUTED_VALUE"""),180500.0)</f>
        <v>180500</v>
      </c>
      <c r="F2920" s="1">
        <f>IFERROR(__xludf.DUMMYFUNCTION("""COMPUTED_VALUE"""),913806.0)</f>
        <v>913806</v>
      </c>
    </row>
    <row r="2921">
      <c r="A2921" s="2">
        <f>IFERROR(__xludf.DUMMYFUNCTION("""COMPUTED_VALUE"""),44914.64583333333)</f>
        <v>44914.64583</v>
      </c>
      <c r="B2921" s="1">
        <f>IFERROR(__xludf.DUMMYFUNCTION("""COMPUTED_VALUE"""),179500.0)</f>
        <v>179500</v>
      </c>
      <c r="C2921" s="1">
        <f>IFERROR(__xludf.DUMMYFUNCTION("""COMPUTED_VALUE"""),184000.0)</f>
        <v>184000</v>
      </c>
      <c r="D2921" s="1">
        <f>IFERROR(__xludf.DUMMYFUNCTION("""COMPUTED_VALUE"""),179500.0)</f>
        <v>179500</v>
      </c>
      <c r="E2921" s="1">
        <f>IFERROR(__xludf.DUMMYFUNCTION("""COMPUTED_VALUE"""),183500.0)</f>
        <v>183500</v>
      </c>
      <c r="F2921" s="1">
        <f>IFERROR(__xludf.DUMMYFUNCTION("""COMPUTED_VALUE"""),574398.0)</f>
        <v>574398</v>
      </c>
    </row>
    <row r="2922">
      <c r="A2922" s="2">
        <f>IFERROR(__xludf.DUMMYFUNCTION("""COMPUTED_VALUE"""),44915.64583333333)</f>
        <v>44915.64583</v>
      </c>
      <c r="B2922" s="1">
        <f>IFERROR(__xludf.DUMMYFUNCTION("""COMPUTED_VALUE"""),182000.0)</f>
        <v>182000</v>
      </c>
      <c r="C2922" s="1">
        <f>IFERROR(__xludf.DUMMYFUNCTION("""COMPUTED_VALUE"""),184000.0)</f>
        <v>184000</v>
      </c>
      <c r="D2922" s="1">
        <f>IFERROR(__xludf.DUMMYFUNCTION("""COMPUTED_VALUE"""),179000.0)</f>
        <v>179000</v>
      </c>
      <c r="E2922" s="1">
        <f>IFERROR(__xludf.DUMMYFUNCTION("""COMPUTED_VALUE"""),180500.0)</f>
        <v>180500</v>
      </c>
      <c r="F2922" s="1">
        <f>IFERROR(__xludf.DUMMYFUNCTION("""COMPUTED_VALUE"""),625022.0)</f>
        <v>625022</v>
      </c>
    </row>
    <row r="2923">
      <c r="A2923" s="2">
        <f>IFERROR(__xludf.DUMMYFUNCTION("""COMPUTED_VALUE"""),44916.64583333333)</f>
        <v>44916.64583</v>
      </c>
      <c r="B2923" s="1">
        <f>IFERROR(__xludf.DUMMYFUNCTION("""COMPUTED_VALUE"""),182500.0)</f>
        <v>182500</v>
      </c>
      <c r="C2923" s="1">
        <f>IFERROR(__xludf.DUMMYFUNCTION("""COMPUTED_VALUE"""),183000.0)</f>
        <v>183000</v>
      </c>
      <c r="D2923" s="1">
        <f>IFERROR(__xludf.DUMMYFUNCTION("""COMPUTED_VALUE"""),180000.0)</f>
        <v>180000</v>
      </c>
      <c r="E2923" s="1">
        <f>IFERROR(__xludf.DUMMYFUNCTION("""COMPUTED_VALUE"""),180000.0)</f>
        <v>180000</v>
      </c>
      <c r="F2923" s="1">
        <f>IFERROR(__xludf.DUMMYFUNCTION("""COMPUTED_VALUE"""),302976.0)</f>
        <v>302976</v>
      </c>
    </row>
    <row r="2924">
      <c r="A2924" s="2">
        <f>IFERROR(__xludf.DUMMYFUNCTION("""COMPUTED_VALUE"""),44917.64583333333)</f>
        <v>44917.64583</v>
      </c>
      <c r="B2924" s="1">
        <f>IFERROR(__xludf.DUMMYFUNCTION("""COMPUTED_VALUE"""),182000.0)</f>
        <v>182000</v>
      </c>
      <c r="C2924" s="1">
        <f>IFERROR(__xludf.DUMMYFUNCTION("""COMPUTED_VALUE"""),185500.0)</f>
        <v>185500</v>
      </c>
      <c r="D2924" s="1">
        <f>IFERROR(__xludf.DUMMYFUNCTION("""COMPUTED_VALUE"""),180500.0)</f>
        <v>180500</v>
      </c>
      <c r="E2924" s="1">
        <f>IFERROR(__xludf.DUMMYFUNCTION("""COMPUTED_VALUE"""),184500.0)</f>
        <v>184500</v>
      </c>
      <c r="F2924" s="1">
        <f>IFERROR(__xludf.DUMMYFUNCTION("""COMPUTED_VALUE"""),466951.0)</f>
        <v>466951</v>
      </c>
    </row>
    <row r="2925">
      <c r="A2925" s="2">
        <f>IFERROR(__xludf.DUMMYFUNCTION("""COMPUTED_VALUE"""),44918.64583333333)</f>
        <v>44918.64583</v>
      </c>
      <c r="B2925" s="1">
        <f>IFERROR(__xludf.DUMMYFUNCTION("""COMPUTED_VALUE"""),180500.0)</f>
        <v>180500</v>
      </c>
      <c r="C2925" s="1">
        <f>IFERROR(__xludf.DUMMYFUNCTION("""COMPUTED_VALUE"""),182000.0)</f>
        <v>182000</v>
      </c>
      <c r="D2925" s="1">
        <f>IFERROR(__xludf.DUMMYFUNCTION("""COMPUTED_VALUE"""),178000.0)</f>
        <v>178000</v>
      </c>
      <c r="E2925" s="1">
        <f>IFERROR(__xludf.DUMMYFUNCTION("""COMPUTED_VALUE"""),178000.0)</f>
        <v>178000</v>
      </c>
      <c r="F2925" s="1">
        <f>IFERROR(__xludf.DUMMYFUNCTION("""COMPUTED_VALUE"""),613209.0)</f>
        <v>613209</v>
      </c>
    </row>
    <row r="2926">
      <c r="A2926" s="2">
        <f>IFERROR(__xludf.DUMMYFUNCTION("""COMPUTED_VALUE"""),44921.64583333333)</f>
        <v>44921.64583</v>
      </c>
      <c r="B2926" s="1">
        <f>IFERROR(__xludf.DUMMYFUNCTION("""COMPUTED_VALUE"""),178500.0)</f>
        <v>178500</v>
      </c>
      <c r="C2926" s="1">
        <f>IFERROR(__xludf.DUMMYFUNCTION("""COMPUTED_VALUE"""),180500.0)</f>
        <v>180500</v>
      </c>
      <c r="D2926" s="1">
        <f>IFERROR(__xludf.DUMMYFUNCTION("""COMPUTED_VALUE"""),177000.0)</f>
        <v>177000</v>
      </c>
      <c r="E2926" s="1">
        <f>IFERROR(__xludf.DUMMYFUNCTION("""COMPUTED_VALUE"""),178500.0)</f>
        <v>178500</v>
      </c>
      <c r="F2926" s="1">
        <f>IFERROR(__xludf.DUMMYFUNCTION("""COMPUTED_VALUE"""),350843.0)</f>
        <v>350843</v>
      </c>
    </row>
    <row r="2927">
      <c r="A2927" s="2">
        <f>IFERROR(__xludf.DUMMYFUNCTION("""COMPUTED_VALUE"""),44922.64583333333)</f>
        <v>44922.64583</v>
      </c>
      <c r="B2927" s="1">
        <f>IFERROR(__xludf.DUMMYFUNCTION("""COMPUTED_VALUE"""),179500.0)</f>
        <v>179500</v>
      </c>
      <c r="C2927" s="1">
        <f>IFERROR(__xludf.DUMMYFUNCTION("""COMPUTED_VALUE"""),182500.0)</f>
        <v>182500</v>
      </c>
      <c r="D2927" s="1">
        <f>IFERROR(__xludf.DUMMYFUNCTION("""COMPUTED_VALUE"""),179000.0)</f>
        <v>179000</v>
      </c>
      <c r="E2927" s="1">
        <f>IFERROR(__xludf.DUMMYFUNCTION("""COMPUTED_VALUE"""),181000.0)</f>
        <v>181000</v>
      </c>
      <c r="F2927" s="1">
        <f>IFERROR(__xludf.DUMMYFUNCTION("""COMPUTED_VALUE"""),492232.0)</f>
        <v>492232</v>
      </c>
    </row>
    <row r="2928">
      <c r="A2928" s="2">
        <f>IFERROR(__xludf.DUMMYFUNCTION("""COMPUTED_VALUE"""),44923.64583333333)</f>
        <v>44923.64583</v>
      </c>
      <c r="B2928" s="1">
        <f>IFERROR(__xludf.DUMMYFUNCTION("""COMPUTED_VALUE"""),179000.0)</f>
        <v>179000</v>
      </c>
      <c r="C2928" s="1">
        <f>IFERROR(__xludf.DUMMYFUNCTION("""COMPUTED_VALUE"""),183500.0)</f>
        <v>183500</v>
      </c>
      <c r="D2928" s="1">
        <f>IFERROR(__xludf.DUMMYFUNCTION("""COMPUTED_VALUE"""),178000.0)</f>
        <v>178000</v>
      </c>
      <c r="E2928" s="1">
        <f>IFERROR(__xludf.DUMMYFUNCTION("""COMPUTED_VALUE"""),180000.0)</f>
        <v>180000</v>
      </c>
      <c r="F2928" s="1">
        <f>IFERROR(__xludf.DUMMYFUNCTION("""COMPUTED_VALUE"""),580495.0)</f>
        <v>580495</v>
      </c>
    </row>
    <row r="2929">
      <c r="A2929" s="2">
        <f>IFERROR(__xludf.DUMMYFUNCTION("""COMPUTED_VALUE"""),44924.64583333333)</f>
        <v>44924.64583</v>
      </c>
      <c r="B2929" s="1">
        <f>IFERROR(__xludf.DUMMYFUNCTION("""COMPUTED_VALUE"""),180000.0)</f>
        <v>180000</v>
      </c>
      <c r="C2929" s="1">
        <f>IFERROR(__xludf.DUMMYFUNCTION("""COMPUTED_VALUE"""),185000.0)</f>
        <v>185000</v>
      </c>
      <c r="D2929" s="1">
        <f>IFERROR(__xludf.DUMMYFUNCTION("""COMPUTED_VALUE"""),177500.0)</f>
        <v>177500</v>
      </c>
      <c r="E2929" s="1">
        <f>IFERROR(__xludf.DUMMYFUNCTION("""COMPUTED_VALUE"""),177500.0)</f>
        <v>177500</v>
      </c>
      <c r="F2929" s="1">
        <f>IFERROR(__xludf.DUMMYFUNCTION("""COMPUTED_VALUE"""),656658.0)</f>
        <v>656658</v>
      </c>
    </row>
    <row r="2930">
      <c r="A2930" s="2">
        <f>IFERROR(__xludf.DUMMYFUNCTION("""COMPUTED_VALUE"""),44928.64583333333)</f>
        <v>44928.64583</v>
      </c>
      <c r="B2930" s="1">
        <f>IFERROR(__xludf.DUMMYFUNCTION("""COMPUTED_VALUE"""),179500.0)</f>
        <v>179500</v>
      </c>
      <c r="C2930" s="1">
        <f>IFERROR(__xludf.DUMMYFUNCTION("""COMPUTED_VALUE"""),180000.0)</f>
        <v>180000</v>
      </c>
      <c r="D2930" s="1">
        <f>IFERROR(__xludf.DUMMYFUNCTION("""COMPUTED_VALUE"""),176000.0)</f>
        <v>176000</v>
      </c>
      <c r="E2930" s="1">
        <f>IFERROR(__xludf.DUMMYFUNCTION("""COMPUTED_VALUE"""),179500.0)</f>
        <v>179500</v>
      </c>
      <c r="F2930" s="1">
        <f>IFERROR(__xludf.DUMMYFUNCTION("""COMPUTED_VALUE"""),438162.0)</f>
        <v>438162</v>
      </c>
    </row>
    <row r="2931">
      <c r="A2931" s="2">
        <f>IFERROR(__xludf.DUMMYFUNCTION("""COMPUTED_VALUE"""),44929.64583333333)</f>
        <v>44929.64583</v>
      </c>
      <c r="B2931" s="1">
        <f>IFERROR(__xludf.DUMMYFUNCTION("""COMPUTED_VALUE"""),177000.0)</f>
        <v>177000</v>
      </c>
      <c r="C2931" s="1">
        <f>IFERROR(__xludf.DUMMYFUNCTION("""COMPUTED_VALUE"""),179500.0)</f>
        <v>179500</v>
      </c>
      <c r="D2931" s="1">
        <f>IFERROR(__xludf.DUMMYFUNCTION("""COMPUTED_VALUE"""),173500.0)</f>
        <v>173500</v>
      </c>
      <c r="E2931" s="1">
        <f>IFERROR(__xludf.DUMMYFUNCTION("""COMPUTED_VALUE"""),178500.0)</f>
        <v>178500</v>
      </c>
      <c r="F2931" s="1">
        <f>IFERROR(__xludf.DUMMYFUNCTION("""COMPUTED_VALUE"""),573137.0)</f>
        <v>573137</v>
      </c>
    </row>
    <row r="2932">
      <c r="A2932" s="2">
        <f>IFERROR(__xludf.DUMMYFUNCTION("""COMPUTED_VALUE"""),44930.64583333333)</f>
        <v>44930.64583</v>
      </c>
      <c r="B2932" s="1">
        <f>IFERROR(__xludf.DUMMYFUNCTION("""COMPUTED_VALUE"""),177000.0)</f>
        <v>177000</v>
      </c>
      <c r="C2932" s="1">
        <f>IFERROR(__xludf.DUMMYFUNCTION("""COMPUTED_VALUE"""),183500.0)</f>
        <v>183500</v>
      </c>
      <c r="D2932" s="1">
        <f>IFERROR(__xludf.DUMMYFUNCTION("""COMPUTED_VALUE"""),177000.0)</f>
        <v>177000</v>
      </c>
      <c r="E2932" s="1">
        <f>IFERROR(__xludf.DUMMYFUNCTION("""COMPUTED_VALUE"""),182500.0)</f>
        <v>182500</v>
      </c>
      <c r="F2932" s="1">
        <f>IFERROR(__xludf.DUMMYFUNCTION("""COMPUTED_VALUE"""),792920.0)</f>
        <v>792920</v>
      </c>
    </row>
    <row r="2933">
      <c r="A2933" s="2">
        <f>IFERROR(__xludf.DUMMYFUNCTION("""COMPUTED_VALUE"""),44931.64583333333)</f>
        <v>44931.64583</v>
      </c>
      <c r="B2933" s="1">
        <f>IFERROR(__xludf.DUMMYFUNCTION("""COMPUTED_VALUE"""),184500.0)</f>
        <v>184500</v>
      </c>
      <c r="C2933" s="1">
        <f>IFERROR(__xludf.DUMMYFUNCTION("""COMPUTED_VALUE"""),190000.0)</f>
        <v>190000</v>
      </c>
      <c r="D2933" s="1">
        <f>IFERROR(__xludf.DUMMYFUNCTION("""COMPUTED_VALUE"""),184000.0)</f>
        <v>184000</v>
      </c>
      <c r="E2933" s="1">
        <f>IFERROR(__xludf.DUMMYFUNCTION("""COMPUTED_VALUE"""),186000.0)</f>
        <v>186000</v>
      </c>
      <c r="F2933" s="1">
        <f>IFERROR(__xludf.DUMMYFUNCTION("""COMPUTED_VALUE"""),1107483.0)</f>
        <v>1107483</v>
      </c>
    </row>
    <row r="2934">
      <c r="A2934" s="2">
        <f>IFERROR(__xludf.DUMMYFUNCTION("""COMPUTED_VALUE"""),44932.64583333333)</f>
        <v>44932.64583</v>
      </c>
      <c r="B2934" s="1">
        <f>IFERROR(__xludf.DUMMYFUNCTION("""COMPUTED_VALUE"""),185500.0)</f>
        <v>185500</v>
      </c>
      <c r="C2934" s="1">
        <f>IFERROR(__xludf.DUMMYFUNCTION("""COMPUTED_VALUE"""),187000.0)</f>
        <v>187000</v>
      </c>
      <c r="D2934" s="1">
        <f>IFERROR(__xludf.DUMMYFUNCTION("""COMPUTED_VALUE"""),182500.0)</f>
        <v>182500</v>
      </c>
      <c r="E2934" s="1">
        <f>IFERROR(__xludf.DUMMYFUNCTION("""COMPUTED_VALUE"""),185000.0)</f>
        <v>185000</v>
      </c>
      <c r="F2934" s="1">
        <f>IFERROR(__xludf.DUMMYFUNCTION("""COMPUTED_VALUE"""),741129.0)</f>
        <v>741129</v>
      </c>
    </row>
    <row r="2935">
      <c r="A2935" s="2">
        <f>IFERROR(__xludf.DUMMYFUNCTION("""COMPUTED_VALUE"""),44935.64583333333)</f>
        <v>44935.64583</v>
      </c>
      <c r="B2935" s="1">
        <f>IFERROR(__xludf.DUMMYFUNCTION("""COMPUTED_VALUE"""),189500.0)</f>
        <v>189500</v>
      </c>
      <c r="C2935" s="1">
        <f>IFERROR(__xludf.DUMMYFUNCTION("""COMPUTED_VALUE"""),196500.0)</f>
        <v>196500</v>
      </c>
      <c r="D2935" s="1">
        <f>IFERROR(__xludf.DUMMYFUNCTION("""COMPUTED_VALUE"""),189000.0)</f>
        <v>189000</v>
      </c>
      <c r="E2935" s="1">
        <f>IFERROR(__xludf.DUMMYFUNCTION("""COMPUTED_VALUE"""),196500.0)</f>
        <v>196500</v>
      </c>
      <c r="F2935" s="1">
        <f>IFERROR(__xludf.DUMMYFUNCTION("""COMPUTED_VALUE"""),1115201.0)</f>
        <v>1115201</v>
      </c>
    </row>
    <row r="2936">
      <c r="A2936" s="2">
        <f>IFERROR(__xludf.DUMMYFUNCTION("""COMPUTED_VALUE"""),44936.64583333333)</f>
        <v>44936.64583</v>
      </c>
      <c r="B2936" s="1">
        <f>IFERROR(__xludf.DUMMYFUNCTION("""COMPUTED_VALUE"""),193000.0)</f>
        <v>193000</v>
      </c>
      <c r="C2936" s="1">
        <f>IFERROR(__xludf.DUMMYFUNCTION("""COMPUTED_VALUE"""),196000.0)</f>
        <v>196000</v>
      </c>
      <c r="D2936" s="1">
        <f>IFERROR(__xludf.DUMMYFUNCTION("""COMPUTED_VALUE"""),190500.0)</f>
        <v>190500</v>
      </c>
      <c r="E2936" s="1">
        <f>IFERROR(__xludf.DUMMYFUNCTION("""COMPUTED_VALUE"""),193000.0)</f>
        <v>193000</v>
      </c>
      <c r="F2936" s="1">
        <f>IFERROR(__xludf.DUMMYFUNCTION("""COMPUTED_VALUE"""),839225.0)</f>
        <v>839225</v>
      </c>
    </row>
    <row r="2937">
      <c r="A2937" s="2">
        <f>IFERROR(__xludf.DUMMYFUNCTION("""COMPUTED_VALUE"""),44937.64583333333)</f>
        <v>44937.64583</v>
      </c>
      <c r="B2937" s="1">
        <f>IFERROR(__xludf.DUMMYFUNCTION("""COMPUTED_VALUE"""),197500.0)</f>
        <v>197500</v>
      </c>
      <c r="C2937" s="1">
        <f>IFERROR(__xludf.DUMMYFUNCTION("""COMPUTED_VALUE"""),200500.0)</f>
        <v>200500</v>
      </c>
      <c r="D2937" s="1">
        <f>IFERROR(__xludf.DUMMYFUNCTION("""COMPUTED_VALUE"""),194500.0)</f>
        <v>194500</v>
      </c>
      <c r="E2937" s="1">
        <f>IFERROR(__xludf.DUMMYFUNCTION("""COMPUTED_VALUE"""),195000.0)</f>
        <v>195000</v>
      </c>
      <c r="F2937" s="1">
        <f>IFERROR(__xludf.DUMMYFUNCTION("""COMPUTED_VALUE"""),1030650.0)</f>
        <v>1030650</v>
      </c>
    </row>
    <row r="2938">
      <c r="A2938" s="2">
        <f>IFERROR(__xludf.DUMMYFUNCTION("""COMPUTED_VALUE"""),44938.64583333333)</f>
        <v>44938.64583</v>
      </c>
      <c r="B2938" s="1">
        <f>IFERROR(__xludf.DUMMYFUNCTION("""COMPUTED_VALUE"""),198000.0)</f>
        <v>198000</v>
      </c>
      <c r="C2938" s="1">
        <f>IFERROR(__xludf.DUMMYFUNCTION("""COMPUTED_VALUE"""),199000.0)</f>
        <v>199000</v>
      </c>
      <c r="D2938" s="1">
        <f>IFERROR(__xludf.DUMMYFUNCTION("""COMPUTED_VALUE"""),194000.0)</f>
        <v>194000</v>
      </c>
      <c r="E2938" s="1">
        <f>IFERROR(__xludf.DUMMYFUNCTION("""COMPUTED_VALUE"""),194000.0)</f>
        <v>194000</v>
      </c>
      <c r="F2938" s="1">
        <f>IFERROR(__xludf.DUMMYFUNCTION("""COMPUTED_VALUE"""),797343.0)</f>
        <v>797343</v>
      </c>
    </row>
    <row r="2939">
      <c r="A2939" s="2">
        <f>IFERROR(__xludf.DUMMYFUNCTION("""COMPUTED_VALUE"""),44939.64583333333)</f>
        <v>44939.64583</v>
      </c>
      <c r="B2939" s="1">
        <f>IFERROR(__xludf.DUMMYFUNCTION("""COMPUTED_VALUE"""),196000.0)</f>
        <v>196000</v>
      </c>
      <c r="C2939" s="1">
        <f>IFERROR(__xludf.DUMMYFUNCTION("""COMPUTED_VALUE"""),200500.0)</f>
        <v>200500</v>
      </c>
      <c r="D2939" s="1">
        <f>IFERROR(__xludf.DUMMYFUNCTION("""COMPUTED_VALUE"""),195000.0)</f>
        <v>195000</v>
      </c>
      <c r="E2939" s="1">
        <f>IFERROR(__xludf.DUMMYFUNCTION("""COMPUTED_VALUE"""),195000.0)</f>
        <v>195000</v>
      </c>
      <c r="F2939" s="1">
        <f>IFERROR(__xludf.DUMMYFUNCTION("""COMPUTED_VALUE"""),869459.0)</f>
        <v>869459</v>
      </c>
    </row>
    <row r="2940">
      <c r="A2940" s="2">
        <f>IFERROR(__xludf.DUMMYFUNCTION("""COMPUTED_VALUE"""),44942.64583333333)</f>
        <v>44942.64583</v>
      </c>
      <c r="B2940" s="1">
        <f>IFERROR(__xludf.DUMMYFUNCTION("""COMPUTED_VALUE"""),197000.0)</f>
        <v>197000</v>
      </c>
      <c r="C2940" s="1">
        <f>IFERROR(__xludf.DUMMYFUNCTION("""COMPUTED_VALUE"""),201000.0)</f>
        <v>201000</v>
      </c>
      <c r="D2940" s="1">
        <f>IFERROR(__xludf.DUMMYFUNCTION("""COMPUTED_VALUE"""),195000.0)</f>
        <v>195000</v>
      </c>
      <c r="E2940" s="1">
        <f>IFERROR(__xludf.DUMMYFUNCTION("""COMPUTED_VALUE"""),200500.0)</f>
        <v>200500</v>
      </c>
      <c r="F2940" s="1">
        <f>IFERROR(__xludf.DUMMYFUNCTION("""COMPUTED_VALUE"""),846276.0)</f>
        <v>846276</v>
      </c>
    </row>
    <row r="2941">
      <c r="A2941" s="2">
        <f>IFERROR(__xludf.DUMMYFUNCTION("""COMPUTED_VALUE"""),44943.64583333333)</f>
        <v>44943.64583</v>
      </c>
      <c r="B2941" s="1">
        <f>IFERROR(__xludf.DUMMYFUNCTION("""COMPUTED_VALUE"""),201000.0)</f>
        <v>201000</v>
      </c>
      <c r="C2941" s="1">
        <f>IFERROR(__xludf.DUMMYFUNCTION("""COMPUTED_VALUE"""),201000.0)</f>
        <v>201000</v>
      </c>
      <c r="D2941" s="1">
        <f>IFERROR(__xludf.DUMMYFUNCTION("""COMPUTED_VALUE"""),193500.0)</f>
        <v>193500</v>
      </c>
      <c r="E2941" s="1">
        <f>IFERROR(__xludf.DUMMYFUNCTION("""COMPUTED_VALUE"""),193500.0)</f>
        <v>193500</v>
      </c>
      <c r="F2941" s="1">
        <f>IFERROR(__xludf.DUMMYFUNCTION("""COMPUTED_VALUE"""),976576.0)</f>
        <v>976576</v>
      </c>
    </row>
    <row r="2942">
      <c r="A2942" s="2">
        <f>IFERROR(__xludf.DUMMYFUNCTION("""COMPUTED_VALUE"""),44944.64583333333)</f>
        <v>44944.64583</v>
      </c>
      <c r="B2942" s="1">
        <f>IFERROR(__xludf.DUMMYFUNCTION("""COMPUTED_VALUE"""),194000.0)</f>
        <v>194000</v>
      </c>
      <c r="C2942" s="1">
        <f>IFERROR(__xludf.DUMMYFUNCTION("""COMPUTED_VALUE"""),196000.0)</f>
        <v>196000</v>
      </c>
      <c r="D2942" s="1">
        <f>IFERROR(__xludf.DUMMYFUNCTION("""COMPUTED_VALUE"""),193000.0)</f>
        <v>193000</v>
      </c>
      <c r="E2942" s="1">
        <f>IFERROR(__xludf.DUMMYFUNCTION("""COMPUTED_VALUE"""),195500.0)</f>
        <v>195500</v>
      </c>
      <c r="F2942" s="1">
        <f>IFERROR(__xludf.DUMMYFUNCTION("""COMPUTED_VALUE"""),518929.0)</f>
        <v>518929</v>
      </c>
    </row>
    <row r="2943">
      <c r="A2943" s="2">
        <f>IFERROR(__xludf.DUMMYFUNCTION("""COMPUTED_VALUE"""),44945.64583333333)</f>
        <v>44945.64583</v>
      </c>
      <c r="B2943" s="1">
        <f>IFERROR(__xludf.DUMMYFUNCTION("""COMPUTED_VALUE"""),194000.0)</f>
        <v>194000</v>
      </c>
      <c r="C2943" s="1">
        <f>IFERROR(__xludf.DUMMYFUNCTION("""COMPUTED_VALUE"""),196500.0)</f>
        <v>196500</v>
      </c>
      <c r="D2943" s="1">
        <f>IFERROR(__xludf.DUMMYFUNCTION("""COMPUTED_VALUE"""),192500.0)</f>
        <v>192500</v>
      </c>
      <c r="E2943" s="1">
        <f>IFERROR(__xludf.DUMMYFUNCTION("""COMPUTED_VALUE"""),196000.0)</f>
        <v>196000</v>
      </c>
      <c r="F2943" s="1">
        <f>IFERROR(__xludf.DUMMYFUNCTION("""COMPUTED_VALUE"""),475600.0)</f>
        <v>475600</v>
      </c>
    </row>
    <row r="2944">
      <c r="A2944" s="2">
        <f>IFERROR(__xludf.DUMMYFUNCTION("""COMPUTED_VALUE"""),44946.64583333333)</f>
        <v>44946.64583</v>
      </c>
      <c r="B2944" s="1">
        <f>IFERROR(__xludf.DUMMYFUNCTION("""COMPUTED_VALUE"""),195500.0)</f>
        <v>195500</v>
      </c>
      <c r="C2944" s="1">
        <f>IFERROR(__xludf.DUMMYFUNCTION("""COMPUTED_VALUE"""),201000.0)</f>
        <v>201000</v>
      </c>
      <c r="D2944" s="1">
        <f>IFERROR(__xludf.DUMMYFUNCTION("""COMPUTED_VALUE"""),195000.0)</f>
        <v>195000</v>
      </c>
      <c r="E2944" s="1">
        <f>IFERROR(__xludf.DUMMYFUNCTION("""COMPUTED_VALUE"""),196000.0)</f>
        <v>196000</v>
      </c>
      <c r="F2944" s="1">
        <f>IFERROR(__xludf.DUMMYFUNCTION("""COMPUTED_VALUE"""),787881.0)</f>
        <v>787881</v>
      </c>
    </row>
    <row r="2945">
      <c r="A2945" s="2">
        <f>IFERROR(__xludf.DUMMYFUNCTION("""COMPUTED_VALUE"""),44951.64583333333)</f>
        <v>44951.64583</v>
      </c>
      <c r="B2945" s="1">
        <f>IFERROR(__xludf.DUMMYFUNCTION("""COMPUTED_VALUE"""),200500.0)</f>
        <v>200500</v>
      </c>
      <c r="C2945" s="1">
        <f>IFERROR(__xludf.DUMMYFUNCTION("""COMPUTED_VALUE"""),203500.0)</f>
        <v>203500</v>
      </c>
      <c r="D2945" s="1">
        <f>IFERROR(__xludf.DUMMYFUNCTION("""COMPUTED_VALUE"""),199600.0)</f>
        <v>199600</v>
      </c>
      <c r="E2945" s="1">
        <f>IFERROR(__xludf.DUMMYFUNCTION("""COMPUTED_VALUE"""),202000.0)</f>
        <v>202000</v>
      </c>
      <c r="F2945" s="1">
        <f>IFERROR(__xludf.DUMMYFUNCTION("""COMPUTED_VALUE"""),988822.0)</f>
        <v>988822</v>
      </c>
    </row>
    <row r="2946">
      <c r="A2946" s="2">
        <f>IFERROR(__xludf.DUMMYFUNCTION("""COMPUTED_VALUE"""),44952.64583333333)</f>
        <v>44952.64583</v>
      </c>
      <c r="B2946" s="1">
        <f>IFERROR(__xludf.DUMMYFUNCTION("""COMPUTED_VALUE"""),202500.0)</f>
        <v>202500</v>
      </c>
      <c r="C2946" s="1">
        <f>IFERROR(__xludf.DUMMYFUNCTION("""COMPUTED_VALUE"""),204000.0)</f>
        <v>204000</v>
      </c>
      <c r="D2946" s="1">
        <f>IFERROR(__xludf.DUMMYFUNCTION("""COMPUTED_VALUE"""),199900.0)</f>
        <v>199900</v>
      </c>
      <c r="E2946" s="1">
        <f>IFERROR(__xludf.DUMMYFUNCTION("""COMPUTED_VALUE"""),204000.0)</f>
        <v>204000</v>
      </c>
      <c r="F2946" s="1">
        <f>IFERROR(__xludf.DUMMYFUNCTION("""COMPUTED_VALUE"""),873219.0)</f>
        <v>873219</v>
      </c>
    </row>
    <row r="2947">
      <c r="A2947" s="2">
        <f>IFERROR(__xludf.DUMMYFUNCTION("""COMPUTED_VALUE"""),44953.64583333333)</f>
        <v>44953.64583</v>
      </c>
      <c r="B2947" s="1">
        <f>IFERROR(__xludf.DUMMYFUNCTION("""COMPUTED_VALUE"""),204500.0)</f>
        <v>204500</v>
      </c>
      <c r="C2947" s="1">
        <f>IFERROR(__xludf.DUMMYFUNCTION("""COMPUTED_VALUE"""),211500.0)</f>
        <v>211500</v>
      </c>
      <c r="D2947" s="1">
        <f>IFERROR(__xludf.DUMMYFUNCTION("""COMPUTED_VALUE"""),202000.0)</f>
        <v>202000</v>
      </c>
      <c r="E2947" s="1">
        <f>IFERROR(__xludf.DUMMYFUNCTION("""COMPUTED_VALUE"""),211500.0)</f>
        <v>211500</v>
      </c>
      <c r="F2947" s="1">
        <f>IFERROR(__xludf.DUMMYFUNCTION("""COMPUTED_VALUE"""),1212987.0)</f>
        <v>1212987</v>
      </c>
    </row>
    <row r="2948">
      <c r="A2948" s="2">
        <f>IFERROR(__xludf.DUMMYFUNCTION("""COMPUTED_VALUE"""),44956.64583333333)</f>
        <v>44956.64583</v>
      </c>
      <c r="B2948" s="1">
        <f>IFERROR(__xludf.DUMMYFUNCTION("""COMPUTED_VALUE"""),212000.0)</f>
        <v>212000</v>
      </c>
      <c r="C2948" s="1">
        <f>IFERROR(__xludf.DUMMYFUNCTION("""COMPUTED_VALUE"""),214000.0)</f>
        <v>214000</v>
      </c>
      <c r="D2948" s="1">
        <f>IFERROR(__xludf.DUMMYFUNCTION("""COMPUTED_VALUE"""),206500.0)</f>
        <v>206500</v>
      </c>
      <c r="E2948" s="1">
        <f>IFERROR(__xludf.DUMMYFUNCTION("""COMPUTED_VALUE"""),207000.0)</f>
        <v>207000</v>
      </c>
      <c r="F2948" s="1">
        <f>IFERROR(__xludf.DUMMYFUNCTION("""COMPUTED_VALUE"""),1204050.0)</f>
        <v>1204050</v>
      </c>
    </row>
    <row r="2949">
      <c r="A2949" s="2">
        <f>IFERROR(__xludf.DUMMYFUNCTION("""COMPUTED_VALUE"""),44957.64583333333)</f>
        <v>44957.64583</v>
      </c>
      <c r="B2949" s="1">
        <f>IFERROR(__xludf.DUMMYFUNCTION("""COMPUTED_VALUE"""),206000.0)</f>
        <v>206000</v>
      </c>
      <c r="C2949" s="1">
        <f>IFERROR(__xludf.DUMMYFUNCTION("""COMPUTED_VALUE"""),208500.0)</f>
        <v>208500</v>
      </c>
      <c r="D2949" s="1">
        <f>IFERROR(__xludf.DUMMYFUNCTION("""COMPUTED_VALUE"""),202000.0)</f>
        <v>202000</v>
      </c>
      <c r="E2949" s="1">
        <f>IFERROR(__xludf.DUMMYFUNCTION("""COMPUTED_VALUE"""),202500.0)</f>
        <v>202500</v>
      </c>
      <c r="F2949" s="1">
        <f>IFERROR(__xludf.DUMMYFUNCTION("""COMPUTED_VALUE"""),1076468.0)</f>
        <v>1076468</v>
      </c>
    </row>
    <row r="2950">
      <c r="A2950" s="2">
        <f>IFERROR(__xludf.DUMMYFUNCTION("""COMPUTED_VALUE"""),44958.64583333333)</f>
        <v>44958.64583</v>
      </c>
      <c r="B2950" s="1">
        <f>IFERROR(__xludf.DUMMYFUNCTION("""COMPUTED_VALUE"""),204500.0)</f>
        <v>204500</v>
      </c>
      <c r="C2950" s="1">
        <f>IFERROR(__xludf.DUMMYFUNCTION("""COMPUTED_VALUE"""),208500.0)</f>
        <v>208500</v>
      </c>
      <c r="D2950" s="1">
        <f>IFERROR(__xludf.DUMMYFUNCTION("""COMPUTED_VALUE"""),202500.0)</f>
        <v>202500</v>
      </c>
      <c r="E2950" s="1">
        <f>IFERROR(__xludf.DUMMYFUNCTION("""COMPUTED_VALUE"""),205500.0)</f>
        <v>205500</v>
      </c>
      <c r="F2950" s="1">
        <f>IFERROR(__xludf.DUMMYFUNCTION("""COMPUTED_VALUE"""),860204.0)</f>
        <v>860204</v>
      </c>
    </row>
    <row r="2951">
      <c r="A2951" s="2">
        <f>IFERROR(__xludf.DUMMYFUNCTION("""COMPUTED_VALUE"""),44959.64583333333)</f>
        <v>44959.64583</v>
      </c>
      <c r="B2951" s="1">
        <f>IFERROR(__xludf.DUMMYFUNCTION("""COMPUTED_VALUE"""),213000.0)</f>
        <v>213000</v>
      </c>
      <c r="C2951" s="1">
        <f>IFERROR(__xludf.DUMMYFUNCTION("""COMPUTED_VALUE"""),213500.0)</f>
        <v>213500</v>
      </c>
      <c r="D2951" s="1">
        <f>IFERROR(__xludf.DUMMYFUNCTION("""COMPUTED_VALUE"""),210500.0)</f>
        <v>210500</v>
      </c>
      <c r="E2951" s="1">
        <f>IFERROR(__xludf.DUMMYFUNCTION("""COMPUTED_VALUE"""),211500.0)</f>
        <v>211500</v>
      </c>
      <c r="F2951" s="1">
        <f>IFERROR(__xludf.DUMMYFUNCTION("""COMPUTED_VALUE"""),1245591.0)</f>
        <v>1245591</v>
      </c>
    </row>
    <row r="2952">
      <c r="A2952" s="2">
        <f>IFERROR(__xludf.DUMMYFUNCTION("""COMPUTED_VALUE"""),44960.64583333333)</f>
        <v>44960.64583</v>
      </c>
      <c r="B2952" s="1">
        <f>IFERROR(__xludf.DUMMYFUNCTION("""COMPUTED_VALUE"""),214000.0)</f>
        <v>214000</v>
      </c>
      <c r="C2952" s="1">
        <f>IFERROR(__xludf.DUMMYFUNCTION("""COMPUTED_VALUE"""),225500.0)</f>
        <v>225500</v>
      </c>
      <c r="D2952" s="1">
        <f>IFERROR(__xludf.DUMMYFUNCTION("""COMPUTED_VALUE"""),210500.0)</f>
        <v>210500</v>
      </c>
      <c r="E2952" s="1">
        <f>IFERROR(__xludf.DUMMYFUNCTION("""COMPUTED_VALUE"""),223500.0)</f>
        <v>223500</v>
      </c>
      <c r="F2952" s="1">
        <f>IFERROR(__xludf.DUMMYFUNCTION("""COMPUTED_VALUE"""),3065767.0)</f>
        <v>3065767</v>
      </c>
    </row>
    <row r="2953">
      <c r="A2953" s="2">
        <f>IFERROR(__xludf.DUMMYFUNCTION("""COMPUTED_VALUE"""),44963.64583333333)</f>
        <v>44963.64583</v>
      </c>
      <c r="B2953" s="1">
        <f>IFERROR(__xludf.DUMMYFUNCTION("""COMPUTED_VALUE"""),221000.0)</f>
        <v>221000</v>
      </c>
      <c r="C2953" s="1">
        <f>IFERROR(__xludf.DUMMYFUNCTION("""COMPUTED_VALUE"""),224500.0)</f>
        <v>224500</v>
      </c>
      <c r="D2953" s="1">
        <f>IFERROR(__xludf.DUMMYFUNCTION("""COMPUTED_VALUE"""),215500.0)</f>
        <v>215500</v>
      </c>
      <c r="E2953" s="1">
        <f>IFERROR(__xludf.DUMMYFUNCTION("""COMPUTED_VALUE"""),215500.0)</f>
        <v>215500</v>
      </c>
      <c r="F2953" s="1">
        <f>IFERROR(__xludf.DUMMYFUNCTION("""COMPUTED_VALUE"""),1390741.0)</f>
        <v>1390741</v>
      </c>
    </row>
    <row r="2954">
      <c r="A2954" s="2">
        <f>IFERROR(__xludf.DUMMYFUNCTION("""COMPUTED_VALUE"""),44964.64583333333)</f>
        <v>44964.64583</v>
      </c>
      <c r="B2954" s="1">
        <f>IFERROR(__xludf.DUMMYFUNCTION("""COMPUTED_VALUE"""),216000.0)</f>
        <v>216000</v>
      </c>
      <c r="C2954" s="1">
        <f>IFERROR(__xludf.DUMMYFUNCTION("""COMPUTED_VALUE"""),220500.0)</f>
        <v>220500</v>
      </c>
      <c r="D2954" s="1">
        <f>IFERROR(__xludf.DUMMYFUNCTION("""COMPUTED_VALUE"""),215000.0)</f>
        <v>215000</v>
      </c>
      <c r="E2954" s="1">
        <f>IFERROR(__xludf.DUMMYFUNCTION("""COMPUTED_VALUE"""),219500.0)</f>
        <v>219500</v>
      </c>
      <c r="F2954" s="1">
        <f>IFERROR(__xludf.DUMMYFUNCTION("""COMPUTED_VALUE"""),1041746.0)</f>
        <v>1041746</v>
      </c>
    </row>
    <row r="2955">
      <c r="A2955" s="2">
        <f>IFERROR(__xludf.DUMMYFUNCTION("""COMPUTED_VALUE"""),44965.64583333333)</f>
        <v>44965.64583</v>
      </c>
      <c r="B2955" s="1">
        <f>IFERROR(__xludf.DUMMYFUNCTION("""COMPUTED_VALUE"""),224500.0)</f>
        <v>224500</v>
      </c>
      <c r="C2955" s="1">
        <f>IFERROR(__xludf.DUMMYFUNCTION("""COMPUTED_VALUE"""),232000.0)</f>
        <v>232000</v>
      </c>
      <c r="D2955" s="1">
        <f>IFERROR(__xludf.DUMMYFUNCTION("""COMPUTED_VALUE"""),224000.0)</f>
        <v>224000</v>
      </c>
      <c r="E2955" s="1">
        <f>IFERROR(__xludf.DUMMYFUNCTION("""COMPUTED_VALUE"""),230500.0)</f>
        <v>230500</v>
      </c>
      <c r="F2955" s="1">
        <f>IFERROR(__xludf.DUMMYFUNCTION("""COMPUTED_VALUE"""),1777709.0)</f>
        <v>1777709</v>
      </c>
    </row>
    <row r="2956">
      <c r="A2956" s="2">
        <f>IFERROR(__xludf.DUMMYFUNCTION("""COMPUTED_VALUE"""),44966.64583333333)</f>
        <v>44966.64583</v>
      </c>
      <c r="B2956" s="1">
        <f>IFERROR(__xludf.DUMMYFUNCTION("""COMPUTED_VALUE"""),224500.0)</f>
        <v>224500</v>
      </c>
      <c r="C2956" s="1">
        <f>IFERROR(__xludf.DUMMYFUNCTION("""COMPUTED_VALUE"""),230500.0)</f>
        <v>230500</v>
      </c>
      <c r="D2956" s="1">
        <f>IFERROR(__xludf.DUMMYFUNCTION("""COMPUTED_VALUE"""),224000.0)</f>
        <v>224000</v>
      </c>
      <c r="E2956" s="1">
        <f>IFERROR(__xludf.DUMMYFUNCTION("""COMPUTED_VALUE"""),230000.0)</f>
        <v>230000</v>
      </c>
      <c r="F2956" s="1">
        <f>IFERROR(__xludf.DUMMYFUNCTION("""COMPUTED_VALUE"""),1575905.0)</f>
        <v>1575905</v>
      </c>
    </row>
    <row r="2957">
      <c r="A2957" s="2">
        <f>IFERROR(__xludf.DUMMYFUNCTION("""COMPUTED_VALUE"""),44967.64583333333)</f>
        <v>44967.64583</v>
      </c>
      <c r="B2957" s="1">
        <f>IFERROR(__xludf.DUMMYFUNCTION("""COMPUTED_VALUE"""),226000.0)</f>
        <v>226000</v>
      </c>
      <c r="C2957" s="1">
        <f>IFERROR(__xludf.DUMMYFUNCTION("""COMPUTED_VALUE"""),230500.0)</f>
        <v>230500</v>
      </c>
      <c r="D2957" s="1">
        <f>IFERROR(__xludf.DUMMYFUNCTION("""COMPUTED_VALUE"""),222000.0)</f>
        <v>222000</v>
      </c>
      <c r="E2957" s="1">
        <f>IFERROR(__xludf.DUMMYFUNCTION("""COMPUTED_VALUE"""),230000.0)</f>
        <v>230000</v>
      </c>
      <c r="F2957" s="1">
        <f>IFERROR(__xludf.DUMMYFUNCTION("""COMPUTED_VALUE"""),1412939.0)</f>
        <v>1412939</v>
      </c>
    </row>
    <row r="2958">
      <c r="A2958" s="2">
        <f>IFERROR(__xludf.DUMMYFUNCTION("""COMPUTED_VALUE"""),44970.64583333333)</f>
        <v>44970.64583</v>
      </c>
      <c r="B2958" s="1">
        <f>IFERROR(__xludf.DUMMYFUNCTION("""COMPUTED_VALUE"""),231000.0)</f>
        <v>231000</v>
      </c>
      <c r="C2958" s="1">
        <f>IFERROR(__xludf.DUMMYFUNCTION("""COMPUTED_VALUE"""),231000.0)</f>
        <v>231000</v>
      </c>
      <c r="D2958" s="1">
        <f>IFERROR(__xludf.DUMMYFUNCTION("""COMPUTED_VALUE"""),220500.0)</f>
        <v>220500</v>
      </c>
      <c r="E2958" s="1">
        <f>IFERROR(__xludf.DUMMYFUNCTION("""COMPUTED_VALUE"""),223000.0)</f>
        <v>223000</v>
      </c>
      <c r="F2958" s="1">
        <f>IFERROR(__xludf.DUMMYFUNCTION("""COMPUTED_VALUE"""),1308899.0)</f>
        <v>1308899</v>
      </c>
    </row>
    <row r="2959">
      <c r="A2959" s="2">
        <f>IFERROR(__xludf.DUMMYFUNCTION("""COMPUTED_VALUE"""),44971.64583333333)</f>
        <v>44971.64583</v>
      </c>
      <c r="B2959" s="1">
        <f>IFERROR(__xludf.DUMMYFUNCTION("""COMPUTED_VALUE"""),226500.0)</f>
        <v>226500</v>
      </c>
      <c r="C2959" s="1">
        <f>IFERROR(__xludf.DUMMYFUNCTION("""COMPUTED_VALUE"""),228500.0)</f>
        <v>228500</v>
      </c>
      <c r="D2959" s="1">
        <f>IFERROR(__xludf.DUMMYFUNCTION("""COMPUTED_VALUE"""),223000.0)</f>
        <v>223000</v>
      </c>
      <c r="E2959" s="1">
        <f>IFERROR(__xludf.DUMMYFUNCTION("""COMPUTED_VALUE"""),224000.0)</f>
        <v>224000</v>
      </c>
      <c r="F2959" s="1">
        <f>IFERROR(__xludf.DUMMYFUNCTION("""COMPUTED_VALUE"""),745937.0)</f>
        <v>745937</v>
      </c>
    </row>
    <row r="2960">
      <c r="A2960" s="2">
        <f>IFERROR(__xludf.DUMMYFUNCTION("""COMPUTED_VALUE"""),44972.64583333333)</f>
        <v>44972.64583</v>
      </c>
      <c r="B2960" s="1">
        <f>IFERROR(__xludf.DUMMYFUNCTION("""COMPUTED_VALUE"""),224500.0)</f>
        <v>224500</v>
      </c>
      <c r="C2960" s="1">
        <f>IFERROR(__xludf.DUMMYFUNCTION("""COMPUTED_VALUE"""),224500.0)</f>
        <v>224500</v>
      </c>
      <c r="D2960" s="1">
        <f>IFERROR(__xludf.DUMMYFUNCTION("""COMPUTED_VALUE"""),215000.0)</f>
        <v>215000</v>
      </c>
      <c r="E2960" s="1">
        <f>IFERROR(__xludf.DUMMYFUNCTION("""COMPUTED_VALUE"""),215500.0)</f>
        <v>215500</v>
      </c>
      <c r="F2960" s="1">
        <f>IFERROR(__xludf.DUMMYFUNCTION("""COMPUTED_VALUE"""),1424562.0)</f>
        <v>1424562</v>
      </c>
    </row>
    <row r="2961">
      <c r="A2961" s="2">
        <f>IFERROR(__xludf.DUMMYFUNCTION("""COMPUTED_VALUE"""),44973.64583333333)</f>
        <v>44973.64583</v>
      </c>
      <c r="B2961" s="1">
        <f>IFERROR(__xludf.DUMMYFUNCTION("""COMPUTED_VALUE"""),218000.0)</f>
        <v>218000</v>
      </c>
      <c r="C2961" s="1">
        <f>IFERROR(__xludf.DUMMYFUNCTION("""COMPUTED_VALUE"""),222500.0)</f>
        <v>222500</v>
      </c>
      <c r="D2961" s="1">
        <f>IFERROR(__xludf.DUMMYFUNCTION("""COMPUTED_VALUE"""),218000.0)</f>
        <v>218000</v>
      </c>
      <c r="E2961" s="1">
        <f>IFERROR(__xludf.DUMMYFUNCTION("""COMPUTED_VALUE"""),220500.0)</f>
        <v>220500</v>
      </c>
      <c r="F2961" s="1">
        <f>IFERROR(__xludf.DUMMYFUNCTION("""COMPUTED_VALUE"""),959443.0)</f>
        <v>959443</v>
      </c>
    </row>
    <row r="2962">
      <c r="A2962" s="2">
        <f>IFERROR(__xludf.DUMMYFUNCTION("""COMPUTED_VALUE"""),44974.64583333333)</f>
        <v>44974.64583</v>
      </c>
      <c r="B2962" s="1">
        <f>IFERROR(__xludf.DUMMYFUNCTION("""COMPUTED_VALUE"""),216000.0)</f>
        <v>216000</v>
      </c>
      <c r="C2962" s="1">
        <f>IFERROR(__xludf.DUMMYFUNCTION("""COMPUTED_VALUE"""),219000.0)</f>
        <v>219000</v>
      </c>
      <c r="D2962" s="1">
        <f>IFERROR(__xludf.DUMMYFUNCTION("""COMPUTED_VALUE"""),212000.0)</f>
        <v>212000</v>
      </c>
      <c r="E2962" s="1">
        <f>IFERROR(__xludf.DUMMYFUNCTION("""COMPUTED_VALUE"""),215500.0)</f>
        <v>215500</v>
      </c>
      <c r="F2962" s="1">
        <f>IFERROR(__xludf.DUMMYFUNCTION("""COMPUTED_VALUE"""),904481.0)</f>
        <v>904481</v>
      </c>
    </row>
    <row r="2963">
      <c r="A2963" s="2">
        <f>IFERROR(__xludf.DUMMYFUNCTION("""COMPUTED_VALUE"""),44977.64583333333)</f>
        <v>44977.64583</v>
      </c>
      <c r="B2963" s="1">
        <f>IFERROR(__xludf.DUMMYFUNCTION("""COMPUTED_VALUE"""),215500.0)</f>
        <v>215500</v>
      </c>
      <c r="C2963" s="1">
        <f>IFERROR(__xludf.DUMMYFUNCTION("""COMPUTED_VALUE"""),220000.0)</f>
        <v>220000</v>
      </c>
      <c r="D2963" s="1">
        <f>IFERROR(__xludf.DUMMYFUNCTION("""COMPUTED_VALUE"""),213500.0)</f>
        <v>213500</v>
      </c>
      <c r="E2963" s="1">
        <f>IFERROR(__xludf.DUMMYFUNCTION("""COMPUTED_VALUE"""),219000.0)</f>
        <v>219000</v>
      </c>
      <c r="F2963" s="1">
        <f>IFERROR(__xludf.DUMMYFUNCTION("""COMPUTED_VALUE"""),571053.0)</f>
        <v>571053</v>
      </c>
    </row>
    <row r="2964">
      <c r="A2964" s="2">
        <f>IFERROR(__xludf.DUMMYFUNCTION("""COMPUTED_VALUE"""),44978.64583333333)</f>
        <v>44978.64583</v>
      </c>
      <c r="B2964" s="1">
        <f>IFERROR(__xludf.DUMMYFUNCTION("""COMPUTED_VALUE"""),220500.0)</f>
        <v>220500</v>
      </c>
      <c r="C2964" s="1">
        <f>IFERROR(__xludf.DUMMYFUNCTION("""COMPUTED_VALUE"""),220500.0)</f>
        <v>220500</v>
      </c>
      <c r="D2964" s="1">
        <f>IFERROR(__xludf.DUMMYFUNCTION("""COMPUTED_VALUE"""),215000.0)</f>
        <v>215000</v>
      </c>
      <c r="E2964" s="1">
        <f>IFERROR(__xludf.DUMMYFUNCTION("""COMPUTED_VALUE"""),215500.0)</f>
        <v>215500</v>
      </c>
      <c r="F2964" s="1">
        <f>IFERROR(__xludf.DUMMYFUNCTION("""COMPUTED_VALUE"""),646501.0)</f>
        <v>646501</v>
      </c>
    </row>
    <row r="2965">
      <c r="A2965" s="2">
        <f>IFERROR(__xludf.DUMMYFUNCTION("""COMPUTED_VALUE"""),44979.64583333333)</f>
        <v>44979.64583</v>
      </c>
      <c r="B2965" s="1">
        <f>IFERROR(__xludf.DUMMYFUNCTION("""COMPUTED_VALUE"""),211500.0)</f>
        <v>211500</v>
      </c>
      <c r="C2965" s="1">
        <f>IFERROR(__xludf.DUMMYFUNCTION("""COMPUTED_VALUE"""),213500.0)</f>
        <v>213500</v>
      </c>
      <c r="D2965" s="1">
        <f>IFERROR(__xludf.DUMMYFUNCTION("""COMPUTED_VALUE"""),210500.0)</f>
        <v>210500</v>
      </c>
      <c r="E2965" s="1">
        <f>IFERROR(__xludf.DUMMYFUNCTION("""COMPUTED_VALUE"""),211500.0)</f>
        <v>211500</v>
      </c>
      <c r="F2965" s="1">
        <f>IFERROR(__xludf.DUMMYFUNCTION("""COMPUTED_VALUE"""),820639.0)</f>
        <v>820639</v>
      </c>
    </row>
    <row r="2966">
      <c r="A2966" s="2">
        <f>IFERROR(__xludf.DUMMYFUNCTION("""COMPUTED_VALUE"""),44980.64583333333)</f>
        <v>44980.64583</v>
      </c>
      <c r="B2966" s="1">
        <f>IFERROR(__xludf.DUMMYFUNCTION("""COMPUTED_VALUE"""),212000.0)</f>
        <v>212000</v>
      </c>
      <c r="C2966" s="1">
        <f>IFERROR(__xludf.DUMMYFUNCTION("""COMPUTED_VALUE"""),214500.0)</f>
        <v>214500</v>
      </c>
      <c r="D2966" s="1">
        <f>IFERROR(__xludf.DUMMYFUNCTION("""COMPUTED_VALUE"""),211000.0)</f>
        <v>211000</v>
      </c>
      <c r="E2966" s="1">
        <f>IFERROR(__xludf.DUMMYFUNCTION("""COMPUTED_VALUE"""),213500.0)</f>
        <v>213500</v>
      </c>
      <c r="F2966" s="1">
        <f>IFERROR(__xludf.DUMMYFUNCTION("""COMPUTED_VALUE"""),563669.0)</f>
        <v>563669</v>
      </c>
    </row>
    <row r="2967">
      <c r="A2967" s="2">
        <f>IFERROR(__xludf.DUMMYFUNCTION("""COMPUTED_VALUE"""),44981.64583333333)</f>
        <v>44981.64583</v>
      </c>
      <c r="B2967" s="1">
        <f>IFERROR(__xludf.DUMMYFUNCTION("""COMPUTED_VALUE"""),213500.0)</f>
        <v>213500</v>
      </c>
      <c r="C2967" s="1">
        <f>IFERROR(__xludf.DUMMYFUNCTION("""COMPUTED_VALUE"""),214000.0)</f>
        <v>214000</v>
      </c>
      <c r="D2967" s="1">
        <f>IFERROR(__xludf.DUMMYFUNCTION("""COMPUTED_VALUE"""),207000.0)</f>
        <v>207000</v>
      </c>
      <c r="E2967" s="1">
        <f>IFERROR(__xludf.DUMMYFUNCTION("""COMPUTED_VALUE"""),208000.0)</f>
        <v>208000</v>
      </c>
      <c r="F2967" s="1">
        <f>IFERROR(__xludf.DUMMYFUNCTION("""COMPUTED_VALUE"""),851405.0)</f>
        <v>851405</v>
      </c>
    </row>
    <row r="2968">
      <c r="A2968" s="2">
        <f>IFERROR(__xludf.DUMMYFUNCTION("""COMPUTED_VALUE"""),44984.64583333333)</f>
        <v>44984.64583</v>
      </c>
      <c r="B2968" s="1">
        <f>IFERROR(__xludf.DUMMYFUNCTION("""COMPUTED_VALUE"""),204000.0)</f>
        <v>204000</v>
      </c>
      <c r="C2968" s="1">
        <f>IFERROR(__xludf.DUMMYFUNCTION("""COMPUTED_VALUE"""),209000.0)</f>
        <v>209000</v>
      </c>
      <c r="D2968" s="1">
        <f>IFERROR(__xludf.DUMMYFUNCTION("""COMPUTED_VALUE"""),204000.0)</f>
        <v>204000</v>
      </c>
      <c r="E2968" s="1">
        <f>IFERROR(__xludf.DUMMYFUNCTION("""COMPUTED_VALUE"""),208000.0)</f>
        <v>208000</v>
      </c>
      <c r="F2968" s="1">
        <f>IFERROR(__xludf.DUMMYFUNCTION("""COMPUTED_VALUE"""),930467.0)</f>
        <v>930467</v>
      </c>
    </row>
    <row r="2969">
      <c r="A2969" s="2">
        <f>IFERROR(__xludf.DUMMYFUNCTION("""COMPUTED_VALUE"""),44985.64583333333)</f>
        <v>44985.64583</v>
      </c>
      <c r="B2969" s="1">
        <f>IFERROR(__xludf.DUMMYFUNCTION("""COMPUTED_VALUE"""),209500.0)</f>
        <v>209500</v>
      </c>
      <c r="C2969" s="1">
        <f>IFERROR(__xludf.DUMMYFUNCTION("""COMPUTED_VALUE"""),212000.0)</f>
        <v>212000</v>
      </c>
      <c r="D2969" s="1">
        <f>IFERROR(__xludf.DUMMYFUNCTION("""COMPUTED_VALUE"""),207500.0)</f>
        <v>207500</v>
      </c>
      <c r="E2969" s="1">
        <f>IFERROR(__xludf.DUMMYFUNCTION("""COMPUTED_VALUE"""),208500.0)</f>
        <v>208500</v>
      </c>
      <c r="F2969" s="1">
        <f>IFERROR(__xludf.DUMMYFUNCTION("""COMPUTED_VALUE"""),848323.0)</f>
        <v>848323</v>
      </c>
    </row>
    <row r="2970">
      <c r="A2970" s="2">
        <f>IFERROR(__xludf.DUMMYFUNCTION("""COMPUTED_VALUE"""),44987.64583333333)</f>
        <v>44987.64583</v>
      </c>
      <c r="B2970" s="1">
        <f>IFERROR(__xludf.DUMMYFUNCTION("""COMPUTED_VALUE"""),207500.0)</f>
        <v>207500</v>
      </c>
      <c r="C2970" s="1">
        <f>IFERROR(__xludf.DUMMYFUNCTION("""COMPUTED_VALUE"""),209500.0)</f>
        <v>209500</v>
      </c>
      <c r="D2970" s="1">
        <f>IFERROR(__xludf.DUMMYFUNCTION("""COMPUTED_VALUE"""),205000.0)</f>
        <v>205000</v>
      </c>
      <c r="E2970" s="1">
        <f>IFERROR(__xludf.DUMMYFUNCTION("""COMPUTED_VALUE"""),206000.0)</f>
        <v>206000</v>
      </c>
      <c r="F2970" s="1">
        <f>IFERROR(__xludf.DUMMYFUNCTION("""COMPUTED_VALUE"""),817689.0)</f>
        <v>817689</v>
      </c>
    </row>
    <row r="2971">
      <c r="A2971" s="2">
        <f>IFERROR(__xludf.DUMMYFUNCTION("""COMPUTED_VALUE"""),44988.64583333333)</f>
        <v>44988.64583</v>
      </c>
      <c r="B2971" s="1">
        <f>IFERROR(__xludf.DUMMYFUNCTION("""COMPUTED_VALUE"""),207500.0)</f>
        <v>207500</v>
      </c>
      <c r="C2971" s="1">
        <f>IFERROR(__xludf.DUMMYFUNCTION("""COMPUTED_VALUE"""),210500.0)</f>
        <v>210500</v>
      </c>
      <c r="D2971" s="1">
        <f>IFERROR(__xludf.DUMMYFUNCTION("""COMPUTED_VALUE"""),205500.0)</f>
        <v>205500</v>
      </c>
      <c r="E2971" s="1">
        <f>IFERROR(__xludf.DUMMYFUNCTION("""COMPUTED_VALUE"""),205500.0)</f>
        <v>205500</v>
      </c>
      <c r="F2971" s="1">
        <f>IFERROR(__xludf.DUMMYFUNCTION("""COMPUTED_VALUE"""),729689.0)</f>
        <v>729689</v>
      </c>
    </row>
    <row r="2972">
      <c r="A2972" s="2">
        <f>IFERROR(__xludf.DUMMYFUNCTION("""COMPUTED_VALUE"""),44991.64583333333)</f>
        <v>44991.64583</v>
      </c>
      <c r="B2972" s="1">
        <f>IFERROR(__xludf.DUMMYFUNCTION("""COMPUTED_VALUE"""),208500.0)</f>
        <v>208500</v>
      </c>
      <c r="C2972" s="1">
        <f>IFERROR(__xludf.DUMMYFUNCTION("""COMPUTED_VALUE"""),214500.0)</f>
        <v>214500</v>
      </c>
      <c r="D2972" s="1">
        <f>IFERROR(__xludf.DUMMYFUNCTION("""COMPUTED_VALUE"""),208500.0)</f>
        <v>208500</v>
      </c>
      <c r="E2972" s="1">
        <f>IFERROR(__xludf.DUMMYFUNCTION("""COMPUTED_VALUE"""),214500.0)</f>
        <v>214500</v>
      </c>
      <c r="F2972" s="1">
        <f>IFERROR(__xludf.DUMMYFUNCTION("""COMPUTED_VALUE"""),1052243.0)</f>
        <v>1052243</v>
      </c>
    </row>
    <row r="2973">
      <c r="A2973" s="2">
        <f>IFERROR(__xludf.DUMMYFUNCTION("""COMPUTED_VALUE"""),44992.64583333333)</f>
        <v>44992.64583</v>
      </c>
      <c r="B2973" s="1">
        <f>IFERROR(__xludf.DUMMYFUNCTION("""COMPUTED_VALUE"""),214000.0)</f>
        <v>214000</v>
      </c>
      <c r="C2973" s="1">
        <f>IFERROR(__xludf.DUMMYFUNCTION("""COMPUTED_VALUE"""),214500.0)</f>
        <v>214500</v>
      </c>
      <c r="D2973" s="1">
        <f>IFERROR(__xludf.DUMMYFUNCTION("""COMPUTED_VALUE"""),210500.0)</f>
        <v>210500</v>
      </c>
      <c r="E2973" s="1">
        <f>IFERROR(__xludf.DUMMYFUNCTION("""COMPUTED_VALUE"""),211000.0)</f>
        <v>211000</v>
      </c>
      <c r="F2973" s="1">
        <f>IFERROR(__xludf.DUMMYFUNCTION("""COMPUTED_VALUE"""),640146.0)</f>
        <v>640146</v>
      </c>
    </row>
    <row r="2974">
      <c r="A2974" s="2">
        <f>IFERROR(__xludf.DUMMYFUNCTION("""COMPUTED_VALUE"""),44993.64583333333)</f>
        <v>44993.64583</v>
      </c>
      <c r="B2974" s="1">
        <f>IFERROR(__xludf.DUMMYFUNCTION("""COMPUTED_VALUE"""),208500.0)</f>
        <v>208500</v>
      </c>
      <c r="C2974" s="1">
        <f>IFERROR(__xludf.DUMMYFUNCTION("""COMPUTED_VALUE"""),209000.0)</f>
        <v>209000</v>
      </c>
      <c r="D2974" s="1">
        <f>IFERROR(__xludf.DUMMYFUNCTION("""COMPUTED_VALUE"""),202000.0)</f>
        <v>202000</v>
      </c>
      <c r="E2974" s="1">
        <f>IFERROR(__xludf.DUMMYFUNCTION("""COMPUTED_VALUE"""),202500.0)</f>
        <v>202500</v>
      </c>
      <c r="F2974" s="1">
        <f>IFERROR(__xludf.DUMMYFUNCTION("""COMPUTED_VALUE"""),1027023.0)</f>
        <v>1027023</v>
      </c>
    </row>
    <row r="2975">
      <c r="A2975" s="2">
        <f>IFERROR(__xludf.DUMMYFUNCTION("""COMPUTED_VALUE"""),44994.64583333333)</f>
        <v>44994.64583</v>
      </c>
      <c r="B2975" s="1">
        <f>IFERROR(__xludf.DUMMYFUNCTION("""COMPUTED_VALUE"""),204500.0)</f>
        <v>204500</v>
      </c>
      <c r="C2975" s="1">
        <f>IFERROR(__xludf.DUMMYFUNCTION("""COMPUTED_VALUE"""),206000.0)</f>
        <v>206000</v>
      </c>
      <c r="D2975" s="1">
        <f>IFERROR(__xludf.DUMMYFUNCTION("""COMPUTED_VALUE"""),202000.0)</f>
        <v>202000</v>
      </c>
      <c r="E2975" s="1">
        <f>IFERROR(__xludf.DUMMYFUNCTION("""COMPUTED_VALUE"""),202000.0)</f>
        <v>202000</v>
      </c>
      <c r="F2975" s="1">
        <f>IFERROR(__xludf.DUMMYFUNCTION("""COMPUTED_VALUE"""),760330.0)</f>
        <v>760330</v>
      </c>
    </row>
    <row r="2976">
      <c r="A2976" s="2">
        <f>IFERROR(__xludf.DUMMYFUNCTION("""COMPUTED_VALUE"""),44995.64583333333)</f>
        <v>44995.64583</v>
      </c>
      <c r="B2976" s="1">
        <f>IFERROR(__xludf.DUMMYFUNCTION("""COMPUTED_VALUE"""),198000.0)</f>
        <v>198000</v>
      </c>
      <c r="C2976" s="1">
        <f>IFERROR(__xludf.DUMMYFUNCTION("""COMPUTED_VALUE"""),201000.0)</f>
        <v>201000</v>
      </c>
      <c r="D2976" s="1">
        <f>IFERROR(__xludf.DUMMYFUNCTION("""COMPUTED_VALUE"""),197800.0)</f>
        <v>197800</v>
      </c>
      <c r="E2976" s="1">
        <f>IFERROR(__xludf.DUMMYFUNCTION("""COMPUTED_VALUE"""),199800.0)</f>
        <v>199800</v>
      </c>
      <c r="F2976" s="1">
        <f>IFERROR(__xludf.DUMMYFUNCTION("""COMPUTED_VALUE"""),854741.0)</f>
        <v>854741</v>
      </c>
    </row>
    <row r="2977">
      <c r="A2977" s="2">
        <f>IFERROR(__xludf.DUMMYFUNCTION("""COMPUTED_VALUE"""),44998.64583333333)</f>
        <v>44998.64583</v>
      </c>
      <c r="B2977" s="1">
        <f>IFERROR(__xludf.DUMMYFUNCTION("""COMPUTED_VALUE"""),199800.0)</f>
        <v>199800</v>
      </c>
      <c r="C2977" s="1">
        <f>IFERROR(__xludf.DUMMYFUNCTION("""COMPUTED_VALUE"""),203000.0)</f>
        <v>203000</v>
      </c>
      <c r="D2977" s="1">
        <f>IFERROR(__xludf.DUMMYFUNCTION("""COMPUTED_VALUE"""),194600.0)</f>
        <v>194600</v>
      </c>
      <c r="E2977" s="1">
        <f>IFERROR(__xludf.DUMMYFUNCTION("""COMPUTED_VALUE"""),202500.0)</f>
        <v>202500</v>
      </c>
      <c r="F2977" s="1">
        <f>IFERROR(__xludf.DUMMYFUNCTION("""COMPUTED_VALUE"""),1035513.0)</f>
        <v>1035513</v>
      </c>
    </row>
    <row r="2978">
      <c r="A2978" s="2">
        <f>IFERROR(__xludf.DUMMYFUNCTION("""COMPUTED_VALUE"""),44999.64583333333)</f>
        <v>44999.64583</v>
      </c>
      <c r="B2978" s="1">
        <f>IFERROR(__xludf.DUMMYFUNCTION("""COMPUTED_VALUE"""),200000.0)</f>
        <v>200000</v>
      </c>
      <c r="C2978" s="1">
        <f>IFERROR(__xludf.DUMMYFUNCTION("""COMPUTED_VALUE"""),202000.0)</f>
        <v>202000</v>
      </c>
      <c r="D2978" s="1">
        <f>IFERROR(__xludf.DUMMYFUNCTION("""COMPUTED_VALUE"""),196000.0)</f>
        <v>196000</v>
      </c>
      <c r="E2978" s="1">
        <f>IFERROR(__xludf.DUMMYFUNCTION("""COMPUTED_VALUE"""),196000.0)</f>
        <v>196000</v>
      </c>
      <c r="F2978" s="1">
        <f>IFERROR(__xludf.DUMMYFUNCTION("""COMPUTED_VALUE"""),776395.0)</f>
        <v>776395</v>
      </c>
    </row>
    <row r="2979">
      <c r="A2979" s="2">
        <f>IFERROR(__xludf.DUMMYFUNCTION("""COMPUTED_VALUE"""),45000.64583333333)</f>
        <v>45000.64583</v>
      </c>
      <c r="B2979" s="1">
        <f>IFERROR(__xludf.DUMMYFUNCTION("""COMPUTED_VALUE"""),200000.0)</f>
        <v>200000</v>
      </c>
      <c r="C2979" s="1">
        <f>IFERROR(__xludf.DUMMYFUNCTION("""COMPUTED_VALUE"""),201000.0)</f>
        <v>201000</v>
      </c>
      <c r="D2979" s="1">
        <f>IFERROR(__xludf.DUMMYFUNCTION("""COMPUTED_VALUE"""),194500.0)</f>
        <v>194500</v>
      </c>
      <c r="E2979" s="1">
        <f>IFERROR(__xludf.DUMMYFUNCTION("""COMPUTED_VALUE"""),196400.0)</f>
        <v>196400</v>
      </c>
      <c r="F2979" s="1">
        <f>IFERROR(__xludf.DUMMYFUNCTION("""COMPUTED_VALUE"""),838555.0)</f>
        <v>838555</v>
      </c>
    </row>
    <row r="2980">
      <c r="A2980" s="2">
        <f>IFERROR(__xludf.DUMMYFUNCTION("""COMPUTED_VALUE"""),45001.64583333333)</f>
        <v>45001.64583</v>
      </c>
      <c r="B2980" s="1">
        <f>IFERROR(__xludf.DUMMYFUNCTION("""COMPUTED_VALUE"""),193600.0)</f>
        <v>193600</v>
      </c>
      <c r="C2980" s="1">
        <f>IFERROR(__xludf.DUMMYFUNCTION("""COMPUTED_VALUE"""),198400.0)</f>
        <v>198400</v>
      </c>
      <c r="D2980" s="1">
        <f>IFERROR(__xludf.DUMMYFUNCTION("""COMPUTED_VALUE"""),192100.0)</f>
        <v>192100</v>
      </c>
      <c r="E2980" s="1">
        <f>IFERROR(__xludf.DUMMYFUNCTION("""COMPUTED_VALUE"""),197100.0)</f>
        <v>197100</v>
      </c>
      <c r="F2980" s="1">
        <f>IFERROR(__xludf.DUMMYFUNCTION("""COMPUTED_VALUE"""),708127.0)</f>
        <v>708127</v>
      </c>
    </row>
    <row r="2981">
      <c r="A2981" s="2">
        <f>IFERROR(__xludf.DUMMYFUNCTION("""COMPUTED_VALUE"""),45002.64583333333)</f>
        <v>45002.64583</v>
      </c>
      <c r="B2981" s="1">
        <f>IFERROR(__xludf.DUMMYFUNCTION("""COMPUTED_VALUE"""),201000.0)</f>
        <v>201000</v>
      </c>
      <c r="C2981" s="1">
        <f>IFERROR(__xludf.DUMMYFUNCTION("""COMPUTED_VALUE"""),202000.0)</f>
        <v>202000</v>
      </c>
      <c r="D2981" s="1">
        <f>IFERROR(__xludf.DUMMYFUNCTION("""COMPUTED_VALUE"""),197200.0)</f>
        <v>197200</v>
      </c>
      <c r="E2981" s="1">
        <f>IFERROR(__xludf.DUMMYFUNCTION("""COMPUTED_VALUE"""),198000.0)</f>
        <v>198000</v>
      </c>
      <c r="F2981" s="1">
        <f>IFERROR(__xludf.DUMMYFUNCTION("""COMPUTED_VALUE"""),778496.0)</f>
        <v>778496</v>
      </c>
    </row>
    <row r="2982">
      <c r="A2982" s="2">
        <f>IFERROR(__xludf.DUMMYFUNCTION("""COMPUTED_VALUE"""),45005.64583333333)</f>
        <v>45005.64583</v>
      </c>
      <c r="B2982" s="1">
        <f>IFERROR(__xludf.DUMMYFUNCTION("""COMPUTED_VALUE"""),198000.0)</f>
        <v>198000</v>
      </c>
      <c r="C2982" s="1">
        <f>IFERROR(__xludf.DUMMYFUNCTION("""COMPUTED_VALUE"""),204000.0)</f>
        <v>204000</v>
      </c>
      <c r="D2982" s="1">
        <f>IFERROR(__xludf.DUMMYFUNCTION("""COMPUTED_VALUE"""),198000.0)</f>
        <v>198000</v>
      </c>
      <c r="E2982" s="1">
        <f>IFERROR(__xludf.DUMMYFUNCTION("""COMPUTED_VALUE"""),201500.0)</f>
        <v>201500</v>
      </c>
      <c r="F2982" s="1">
        <f>IFERROR(__xludf.DUMMYFUNCTION("""COMPUTED_VALUE"""),602589.0)</f>
        <v>602589</v>
      </c>
    </row>
    <row r="2983">
      <c r="A2983" s="2">
        <f>IFERROR(__xludf.DUMMYFUNCTION("""COMPUTED_VALUE"""),45006.64583333333)</f>
        <v>45006.64583</v>
      </c>
      <c r="B2983" s="1">
        <f>IFERROR(__xludf.DUMMYFUNCTION("""COMPUTED_VALUE"""),202500.0)</f>
        <v>202500</v>
      </c>
      <c r="C2983" s="1">
        <f>IFERROR(__xludf.DUMMYFUNCTION("""COMPUTED_VALUE"""),203500.0)</f>
        <v>203500</v>
      </c>
      <c r="D2983" s="1">
        <f>IFERROR(__xludf.DUMMYFUNCTION("""COMPUTED_VALUE"""),200000.0)</f>
        <v>200000</v>
      </c>
      <c r="E2983" s="1">
        <f>IFERROR(__xludf.DUMMYFUNCTION("""COMPUTED_VALUE"""),200500.0)</f>
        <v>200500</v>
      </c>
      <c r="F2983" s="1">
        <f>IFERROR(__xludf.DUMMYFUNCTION("""COMPUTED_VALUE"""),403322.0)</f>
        <v>403322</v>
      </c>
    </row>
    <row r="2984">
      <c r="A2984" s="2">
        <f>IFERROR(__xludf.DUMMYFUNCTION("""COMPUTED_VALUE"""),45007.64583333333)</f>
        <v>45007.64583</v>
      </c>
      <c r="B2984" s="1">
        <f>IFERROR(__xludf.DUMMYFUNCTION("""COMPUTED_VALUE"""),203500.0)</f>
        <v>203500</v>
      </c>
      <c r="C2984" s="1">
        <f>IFERROR(__xludf.DUMMYFUNCTION("""COMPUTED_VALUE"""),207500.0)</f>
        <v>207500</v>
      </c>
      <c r="D2984" s="1">
        <f>IFERROR(__xludf.DUMMYFUNCTION("""COMPUTED_VALUE"""),203000.0)</f>
        <v>203000</v>
      </c>
      <c r="E2984" s="1">
        <f>IFERROR(__xludf.DUMMYFUNCTION("""COMPUTED_VALUE"""),207000.0)</f>
        <v>207000</v>
      </c>
      <c r="F2984" s="1">
        <f>IFERROR(__xludf.DUMMYFUNCTION("""COMPUTED_VALUE"""),655503.0)</f>
        <v>655503</v>
      </c>
    </row>
    <row r="2985">
      <c r="A2985" s="2">
        <f>IFERROR(__xludf.DUMMYFUNCTION("""COMPUTED_VALUE"""),45008.64583333333)</f>
        <v>45008.64583</v>
      </c>
      <c r="B2985" s="1">
        <f>IFERROR(__xludf.DUMMYFUNCTION("""COMPUTED_VALUE"""),204000.0)</f>
        <v>204000</v>
      </c>
      <c r="C2985" s="1">
        <f>IFERROR(__xludf.DUMMYFUNCTION("""COMPUTED_VALUE"""),205000.0)</f>
        <v>205000</v>
      </c>
      <c r="D2985" s="1">
        <f>IFERROR(__xludf.DUMMYFUNCTION("""COMPUTED_VALUE"""),202000.0)</f>
        <v>202000</v>
      </c>
      <c r="E2985" s="1">
        <f>IFERROR(__xludf.DUMMYFUNCTION("""COMPUTED_VALUE"""),204000.0)</f>
        <v>204000</v>
      </c>
      <c r="F2985" s="1">
        <f>IFERROR(__xludf.DUMMYFUNCTION("""COMPUTED_VALUE"""),607503.0)</f>
        <v>607503</v>
      </c>
    </row>
    <row r="2986">
      <c r="A2986" s="2">
        <f>IFERROR(__xludf.DUMMYFUNCTION("""COMPUTED_VALUE"""),45009.64583333333)</f>
        <v>45009.64583</v>
      </c>
      <c r="B2986" s="1">
        <f>IFERROR(__xludf.DUMMYFUNCTION("""COMPUTED_VALUE"""),204500.0)</f>
        <v>204500</v>
      </c>
      <c r="C2986" s="1">
        <f>IFERROR(__xludf.DUMMYFUNCTION("""COMPUTED_VALUE"""),204500.0)</f>
        <v>204500</v>
      </c>
      <c r="D2986" s="1">
        <f>IFERROR(__xludf.DUMMYFUNCTION("""COMPUTED_VALUE"""),200500.0)</f>
        <v>200500</v>
      </c>
      <c r="E2986" s="1">
        <f>IFERROR(__xludf.DUMMYFUNCTION("""COMPUTED_VALUE"""),202500.0)</f>
        <v>202500</v>
      </c>
      <c r="F2986" s="1">
        <f>IFERROR(__xludf.DUMMYFUNCTION("""COMPUTED_VALUE"""),599102.0)</f>
        <v>599102</v>
      </c>
    </row>
    <row r="2987">
      <c r="A2987" s="2">
        <f>IFERROR(__xludf.DUMMYFUNCTION("""COMPUTED_VALUE"""),45012.64583333333)</f>
        <v>45012.64583</v>
      </c>
      <c r="B2987" s="1">
        <f>IFERROR(__xludf.DUMMYFUNCTION("""COMPUTED_VALUE"""),201500.0)</f>
        <v>201500</v>
      </c>
      <c r="C2987" s="1">
        <f>IFERROR(__xludf.DUMMYFUNCTION("""COMPUTED_VALUE"""),202000.0)</f>
        <v>202000</v>
      </c>
      <c r="D2987" s="1">
        <f>IFERROR(__xludf.DUMMYFUNCTION("""COMPUTED_VALUE"""),198200.0)</f>
        <v>198200</v>
      </c>
      <c r="E2987" s="1">
        <f>IFERROR(__xludf.DUMMYFUNCTION("""COMPUTED_VALUE"""),199300.0)</f>
        <v>199300</v>
      </c>
      <c r="F2987" s="1">
        <f>IFERROR(__xludf.DUMMYFUNCTION("""COMPUTED_VALUE"""),611569.0)</f>
        <v>611569</v>
      </c>
    </row>
    <row r="2988">
      <c r="A2988" s="2">
        <f>IFERROR(__xludf.DUMMYFUNCTION("""COMPUTED_VALUE"""),45013.64583333333)</f>
        <v>45013.64583</v>
      </c>
      <c r="B2988" s="1">
        <f>IFERROR(__xludf.DUMMYFUNCTION("""COMPUTED_VALUE"""),199600.0)</f>
        <v>199600</v>
      </c>
      <c r="C2988" s="1">
        <f>IFERROR(__xludf.DUMMYFUNCTION("""COMPUTED_VALUE"""),201000.0)</f>
        <v>201000</v>
      </c>
      <c r="D2988" s="1">
        <f>IFERROR(__xludf.DUMMYFUNCTION("""COMPUTED_VALUE"""),197800.0)</f>
        <v>197800</v>
      </c>
      <c r="E2988" s="1">
        <f>IFERROR(__xludf.DUMMYFUNCTION("""COMPUTED_VALUE"""),199500.0)</f>
        <v>199500</v>
      </c>
      <c r="F2988" s="1">
        <f>IFERROR(__xludf.DUMMYFUNCTION("""COMPUTED_VALUE"""),586388.0)</f>
        <v>586388</v>
      </c>
    </row>
    <row r="2989">
      <c r="A2989" s="2">
        <f>IFERROR(__xludf.DUMMYFUNCTION("""COMPUTED_VALUE"""),45014.64583333333)</f>
        <v>45014.64583</v>
      </c>
      <c r="B2989" s="1">
        <f>IFERROR(__xludf.DUMMYFUNCTION("""COMPUTED_VALUE"""),198000.0)</f>
        <v>198000</v>
      </c>
      <c r="C2989" s="1">
        <f>IFERROR(__xludf.DUMMYFUNCTION("""COMPUTED_VALUE"""),201000.0)</f>
        <v>201000</v>
      </c>
      <c r="D2989" s="1">
        <f>IFERROR(__xludf.DUMMYFUNCTION("""COMPUTED_VALUE"""),198000.0)</f>
        <v>198000</v>
      </c>
      <c r="E2989" s="1">
        <f>IFERROR(__xludf.DUMMYFUNCTION("""COMPUTED_VALUE"""),199100.0)</f>
        <v>199100</v>
      </c>
      <c r="F2989" s="1">
        <f>IFERROR(__xludf.DUMMYFUNCTION("""COMPUTED_VALUE"""),442034.0)</f>
        <v>442034</v>
      </c>
    </row>
    <row r="2990">
      <c r="A2990" s="2">
        <f>IFERROR(__xludf.DUMMYFUNCTION("""COMPUTED_VALUE"""),45015.64583333333)</f>
        <v>45015.64583</v>
      </c>
      <c r="B2990" s="1">
        <f>IFERROR(__xludf.DUMMYFUNCTION("""COMPUTED_VALUE"""),200500.0)</f>
        <v>200500</v>
      </c>
      <c r="C2990" s="1">
        <f>IFERROR(__xludf.DUMMYFUNCTION("""COMPUTED_VALUE"""),201000.0)</f>
        <v>201000</v>
      </c>
      <c r="D2990" s="1">
        <f>IFERROR(__xludf.DUMMYFUNCTION("""COMPUTED_VALUE"""),198100.0)</f>
        <v>198100</v>
      </c>
      <c r="E2990" s="1">
        <f>IFERROR(__xludf.DUMMYFUNCTION("""COMPUTED_VALUE"""),201000.0)</f>
        <v>201000</v>
      </c>
      <c r="F2990" s="1">
        <f>IFERROR(__xludf.DUMMYFUNCTION("""COMPUTED_VALUE"""),788108.0)</f>
        <v>788108</v>
      </c>
    </row>
    <row r="2991">
      <c r="A2991" s="2">
        <f>IFERROR(__xludf.DUMMYFUNCTION("""COMPUTED_VALUE"""),45016.64583333333)</f>
        <v>45016.64583</v>
      </c>
      <c r="B2991" s="1">
        <f>IFERROR(__xludf.DUMMYFUNCTION("""COMPUTED_VALUE"""),203500.0)</f>
        <v>203500</v>
      </c>
      <c r="C2991" s="1">
        <f>IFERROR(__xludf.DUMMYFUNCTION("""COMPUTED_VALUE"""),203500.0)</f>
        <v>203500</v>
      </c>
      <c r="D2991" s="1">
        <f>IFERROR(__xludf.DUMMYFUNCTION("""COMPUTED_VALUE"""),199100.0)</f>
        <v>199100</v>
      </c>
      <c r="E2991" s="1">
        <f>IFERROR(__xludf.DUMMYFUNCTION("""COMPUTED_VALUE"""),202000.0)</f>
        <v>202000</v>
      </c>
      <c r="F2991" s="1">
        <f>IFERROR(__xludf.DUMMYFUNCTION("""COMPUTED_VALUE"""),937726.0)</f>
        <v>937726</v>
      </c>
    </row>
    <row r="2992">
      <c r="A2992" s="2">
        <f>IFERROR(__xludf.DUMMYFUNCTION("""COMPUTED_VALUE"""),45019.64583333333)</f>
        <v>45019.64583</v>
      </c>
      <c r="B2992" s="1">
        <f>IFERROR(__xludf.DUMMYFUNCTION("""COMPUTED_VALUE"""),203500.0)</f>
        <v>203500</v>
      </c>
      <c r="C2992" s="1">
        <f>IFERROR(__xludf.DUMMYFUNCTION("""COMPUTED_VALUE"""),204500.0)</f>
        <v>204500</v>
      </c>
      <c r="D2992" s="1">
        <f>IFERROR(__xludf.DUMMYFUNCTION("""COMPUTED_VALUE"""),198100.0)</f>
        <v>198100</v>
      </c>
      <c r="E2992" s="1">
        <f>IFERROR(__xludf.DUMMYFUNCTION("""COMPUTED_VALUE"""),198200.0)</f>
        <v>198200</v>
      </c>
      <c r="F2992" s="1">
        <f>IFERROR(__xludf.DUMMYFUNCTION("""COMPUTED_VALUE"""),794745.0)</f>
        <v>794745</v>
      </c>
    </row>
    <row r="2993">
      <c r="A2993" s="2">
        <f>IFERROR(__xludf.DUMMYFUNCTION("""COMPUTED_VALUE"""),45020.64583333333)</f>
        <v>45020.64583</v>
      </c>
      <c r="B2993" s="1">
        <f>IFERROR(__xludf.DUMMYFUNCTION("""COMPUTED_VALUE"""),198200.0)</f>
        <v>198200</v>
      </c>
      <c r="C2993" s="1">
        <f>IFERROR(__xludf.DUMMYFUNCTION("""COMPUTED_VALUE"""),201000.0)</f>
        <v>201000</v>
      </c>
      <c r="D2993" s="1">
        <f>IFERROR(__xludf.DUMMYFUNCTION("""COMPUTED_VALUE"""),198100.0)</f>
        <v>198100</v>
      </c>
      <c r="E2993" s="1">
        <f>IFERROR(__xludf.DUMMYFUNCTION("""COMPUTED_VALUE"""),201000.0)</f>
        <v>201000</v>
      </c>
      <c r="F2993" s="1">
        <f>IFERROR(__xludf.DUMMYFUNCTION("""COMPUTED_VALUE"""),575220.0)</f>
        <v>575220</v>
      </c>
    </row>
    <row r="2994">
      <c r="A2994" s="2">
        <f>IFERROR(__xludf.DUMMYFUNCTION("""COMPUTED_VALUE"""),45021.64583333333)</f>
        <v>45021.64583</v>
      </c>
      <c r="B2994" s="1">
        <f>IFERROR(__xludf.DUMMYFUNCTION("""COMPUTED_VALUE"""),201000.0)</f>
        <v>201000</v>
      </c>
      <c r="C2994" s="1">
        <f>IFERROR(__xludf.DUMMYFUNCTION("""COMPUTED_VALUE"""),202500.0)</f>
        <v>202500</v>
      </c>
      <c r="D2994" s="1">
        <f>IFERROR(__xludf.DUMMYFUNCTION("""COMPUTED_VALUE"""),199100.0)</f>
        <v>199100</v>
      </c>
      <c r="E2994" s="1">
        <f>IFERROR(__xludf.DUMMYFUNCTION("""COMPUTED_VALUE"""),199200.0)</f>
        <v>199200</v>
      </c>
      <c r="F2994" s="1">
        <f>IFERROR(__xludf.DUMMYFUNCTION("""COMPUTED_VALUE"""),485125.0)</f>
        <v>485125</v>
      </c>
    </row>
    <row r="2995">
      <c r="A2995" s="2">
        <f>IFERROR(__xludf.DUMMYFUNCTION("""COMPUTED_VALUE"""),45022.64583333333)</f>
        <v>45022.64583</v>
      </c>
      <c r="B2995" s="1">
        <f>IFERROR(__xludf.DUMMYFUNCTION("""COMPUTED_VALUE"""),198200.0)</f>
        <v>198200</v>
      </c>
      <c r="C2995" s="1">
        <f>IFERROR(__xludf.DUMMYFUNCTION("""COMPUTED_VALUE"""),198300.0)</f>
        <v>198300</v>
      </c>
      <c r="D2995" s="1">
        <f>IFERROR(__xludf.DUMMYFUNCTION("""COMPUTED_VALUE"""),191900.0)</f>
        <v>191900</v>
      </c>
      <c r="E2995" s="1">
        <f>IFERROR(__xludf.DUMMYFUNCTION("""COMPUTED_VALUE"""),191900.0)</f>
        <v>191900</v>
      </c>
      <c r="F2995" s="1">
        <f>IFERROR(__xludf.DUMMYFUNCTION("""COMPUTED_VALUE"""),1409355.0)</f>
        <v>1409355</v>
      </c>
    </row>
    <row r="2996">
      <c r="A2996" s="2">
        <f>IFERROR(__xludf.DUMMYFUNCTION("""COMPUTED_VALUE"""),45023.64583333333)</f>
        <v>45023.64583</v>
      </c>
      <c r="B2996" s="1">
        <f>IFERROR(__xludf.DUMMYFUNCTION("""COMPUTED_VALUE"""),193000.0)</f>
        <v>193000</v>
      </c>
      <c r="C2996" s="1">
        <f>IFERROR(__xludf.DUMMYFUNCTION("""COMPUTED_VALUE"""),195400.0)</f>
        <v>195400</v>
      </c>
      <c r="D2996" s="1">
        <f>IFERROR(__xludf.DUMMYFUNCTION("""COMPUTED_VALUE"""),192900.0)</f>
        <v>192900</v>
      </c>
      <c r="E2996" s="1">
        <f>IFERROR(__xludf.DUMMYFUNCTION("""COMPUTED_VALUE"""),193400.0)</f>
        <v>193400</v>
      </c>
      <c r="F2996" s="1">
        <f>IFERROR(__xludf.DUMMYFUNCTION("""COMPUTED_VALUE"""),531141.0)</f>
        <v>531141</v>
      </c>
    </row>
    <row r="2997">
      <c r="A2997" s="2">
        <f>IFERROR(__xludf.DUMMYFUNCTION("""COMPUTED_VALUE"""),45026.64583333333)</f>
        <v>45026.64583</v>
      </c>
      <c r="B2997" s="1">
        <f>IFERROR(__xludf.DUMMYFUNCTION("""COMPUTED_VALUE"""),193300.0)</f>
        <v>193300</v>
      </c>
      <c r="C2997" s="1">
        <f>IFERROR(__xludf.DUMMYFUNCTION("""COMPUTED_VALUE"""),193700.0)</f>
        <v>193700</v>
      </c>
      <c r="D2997" s="1">
        <f>IFERROR(__xludf.DUMMYFUNCTION("""COMPUTED_VALUE"""),190500.0)</f>
        <v>190500</v>
      </c>
      <c r="E2997" s="1">
        <f>IFERROR(__xludf.DUMMYFUNCTION("""COMPUTED_VALUE"""),193000.0)</f>
        <v>193000</v>
      </c>
      <c r="F2997" s="1">
        <f>IFERROR(__xludf.DUMMYFUNCTION("""COMPUTED_VALUE"""),783772.0)</f>
        <v>783772</v>
      </c>
    </row>
    <row r="2998">
      <c r="A2998" s="2">
        <f>IFERROR(__xludf.DUMMYFUNCTION("""COMPUTED_VALUE"""),45027.64583333333)</f>
        <v>45027.64583</v>
      </c>
      <c r="B2998" s="1">
        <f>IFERROR(__xludf.DUMMYFUNCTION("""COMPUTED_VALUE"""),193300.0)</f>
        <v>193300</v>
      </c>
      <c r="C2998" s="1">
        <f>IFERROR(__xludf.DUMMYFUNCTION("""COMPUTED_VALUE"""),200000.0)</f>
        <v>200000</v>
      </c>
      <c r="D2998" s="1">
        <f>IFERROR(__xludf.DUMMYFUNCTION("""COMPUTED_VALUE"""),193300.0)</f>
        <v>193300</v>
      </c>
      <c r="E2998" s="1">
        <f>IFERROR(__xludf.DUMMYFUNCTION("""COMPUTED_VALUE"""),199900.0)</f>
        <v>199900</v>
      </c>
      <c r="F2998" s="1">
        <f>IFERROR(__xludf.DUMMYFUNCTION("""COMPUTED_VALUE"""),1137837.0)</f>
        <v>1137837</v>
      </c>
    </row>
    <row r="2999">
      <c r="A2999" s="2">
        <f>IFERROR(__xludf.DUMMYFUNCTION("""COMPUTED_VALUE"""),45028.64583333333)</f>
        <v>45028.64583</v>
      </c>
      <c r="B2999" s="1">
        <f>IFERROR(__xludf.DUMMYFUNCTION("""COMPUTED_VALUE"""),199300.0)</f>
        <v>199300</v>
      </c>
      <c r="C2999" s="1">
        <f>IFERROR(__xludf.DUMMYFUNCTION("""COMPUTED_VALUE"""),200500.0)</f>
        <v>200500</v>
      </c>
      <c r="D2999" s="1">
        <f>IFERROR(__xludf.DUMMYFUNCTION("""COMPUTED_VALUE"""),196900.0)</f>
        <v>196900</v>
      </c>
      <c r="E2999" s="1">
        <f>IFERROR(__xludf.DUMMYFUNCTION("""COMPUTED_VALUE"""),198000.0)</f>
        <v>198000</v>
      </c>
      <c r="F2999" s="1">
        <f>IFERROR(__xludf.DUMMYFUNCTION("""COMPUTED_VALUE"""),700638.0)</f>
        <v>700638</v>
      </c>
    </row>
    <row r="3000">
      <c r="A3000" s="2">
        <f>IFERROR(__xludf.DUMMYFUNCTION("""COMPUTED_VALUE"""),45029.64583333333)</f>
        <v>45029.64583</v>
      </c>
      <c r="B3000" s="1">
        <f>IFERROR(__xludf.DUMMYFUNCTION("""COMPUTED_VALUE"""),196200.0)</f>
        <v>196200</v>
      </c>
      <c r="C3000" s="1">
        <f>IFERROR(__xludf.DUMMYFUNCTION("""COMPUTED_VALUE"""),198800.0)</f>
        <v>198800</v>
      </c>
      <c r="D3000" s="1">
        <f>IFERROR(__xludf.DUMMYFUNCTION("""COMPUTED_VALUE"""),195600.0)</f>
        <v>195600</v>
      </c>
      <c r="E3000" s="1">
        <f>IFERROR(__xludf.DUMMYFUNCTION("""COMPUTED_VALUE"""),196400.0)</f>
        <v>196400</v>
      </c>
      <c r="F3000" s="1">
        <f>IFERROR(__xludf.DUMMYFUNCTION("""COMPUTED_VALUE"""),727674.0)</f>
        <v>727674</v>
      </c>
    </row>
    <row r="3001">
      <c r="A3001" s="2">
        <f>IFERROR(__xludf.DUMMYFUNCTION("""COMPUTED_VALUE"""),45030.64583333333)</f>
        <v>45030.64583</v>
      </c>
      <c r="B3001" s="1">
        <f>IFERROR(__xludf.DUMMYFUNCTION("""COMPUTED_VALUE"""),198700.0)</f>
        <v>198700</v>
      </c>
      <c r="C3001" s="1">
        <f>IFERROR(__xludf.DUMMYFUNCTION("""COMPUTED_VALUE"""),200500.0)</f>
        <v>200500</v>
      </c>
      <c r="D3001" s="1">
        <f>IFERROR(__xludf.DUMMYFUNCTION("""COMPUTED_VALUE"""),197000.0)</f>
        <v>197000</v>
      </c>
      <c r="E3001" s="1">
        <f>IFERROR(__xludf.DUMMYFUNCTION("""COMPUTED_VALUE"""),199000.0)</f>
        <v>199000</v>
      </c>
      <c r="F3001" s="1">
        <f>IFERROR(__xludf.DUMMYFUNCTION("""COMPUTED_VALUE"""),964852.0)</f>
        <v>964852</v>
      </c>
    </row>
    <row r="3002">
      <c r="A3002" s="2">
        <f>IFERROR(__xludf.DUMMYFUNCTION("""COMPUTED_VALUE"""),45033.64583333333)</f>
        <v>45033.64583</v>
      </c>
      <c r="B3002" s="1">
        <f>IFERROR(__xludf.DUMMYFUNCTION("""COMPUTED_VALUE"""),199000.0)</f>
        <v>199000</v>
      </c>
      <c r="C3002" s="1">
        <f>IFERROR(__xludf.DUMMYFUNCTION("""COMPUTED_VALUE"""),199300.0)</f>
        <v>199300</v>
      </c>
      <c r="D3002" s="1">
        <f>IFERROR(__xludf.DUMMYFUNCTION("""COMPUTED_VALUE"""),196300.0)</f>
        <v>196300</v>
      </c>
      <c r="E3002" s="1">
        <f>IFERROR(__xludf.DUMMYFUNCTION("""COMPUTED_VALUE"""),197000.0)</f>
        <v>197000</v>
      </c>
      <c r="F3002" s="1">
        <f>IFERROR(__xludf.DUMMYFUNCTION("""COMPUTED_VALUE"""),556371.0)</f>
        <v>556371</v>
      </c>
    </row>
    <row r="3003">
      <c r="A3003" s="2">
        <f>IFERROR(__xludf.DUMMYFUNCTION("""COMPUTED_VALUE"""),45034.64583333333)</f>
        <v>45034.64583</v>
      </c>
      <c r="B3003" s="1">
        <f>IFERROR(__xludf.DUMMYFUNCTION("""COMPUTED_VALUE"""),196100.0)</f>
        <v>196100</v>
      </c>
      <c r="C3003" s="1">
        <f>IFERROR(__xludf.DUMMYFUNCTION("""COMPUTED_VALUE"""),196900.0)</f>
        <v>196900</v>
      </c>
      <c r="D3003" s="1">
        <f>IFERROR(__xludf.DUMMYFUNCTION("""COMPUTED_VALUE"""),191500.0)</f>
        <v>191500</v>
      </c>
      <c r="E3003" s="1">
        <f>IFERROR(__xludf.DUMMYFUNCTION("""COMPUTED_VALUE"""),192800.0)</f>
        <v>192800</v>
      </c>
      <c r="F3003" s="1">
        <f>IFERROR(__xludf.DUMMYFUNCTION("""COMPUTED_VALUE"""),1022386.0)</f>
        <v>1022386</v>
      </c>
    </row>
    <row r="3004">
      <c r="A3004" s="2">
        <f>IFERROR(__xludf.DUMMYFUNCTION("""COMPUTED_VALUE"""),45035.64583333333)</f>
        <v>45035.64583</v>
      </c>
      <c r="B3004" s="1">
        <f>IFERROR(__xludf.DUMMYFUNCTION("""COMPUTED_VALUE"""),192400.0)</f>
        <v>192400</v>
      </c>
      <c r="C3004" s="1">
        <f>IFERROR(__xludf.DUMMYFUNCTION("""COMPUTED_VALUE"""),192500.0)</f>
        <v>192500</v>
      </c>
      <c r="D3004" s="1">
        <f>IFERROR(__xludf.DUMMYFUNCTION("""COMPUTED_VALUE"""),191400.0)</f>
        <v>191400</v>
      </c>
      <c r="E3004" s="1">
        <f>IFERROR(__xludf.DUMMYFUNCTION("""COMPUTED_VALUE"""),191400.0)</f>
        <v>191400</v>
      </c>
      <c r="F3004" s="1">
        <f>IFERROR(__xludf.DUMMYFUNCTION("""COMPUTED_VALUE"""),612192.0)</f>
        <v>612192</v>
      </c>
    </row>
    <row r="3005">
      <c r="A3005" s="2">
        <f>IFERROR(__xludf.DUMMYFUNCTION("""COMPUTED_VALUE"""),45036.64583333333)</f>
        <v>45036.64583</v>
      </c>
      <c r="B3005" s="1">
        <f>IFERROR(__xludf.DUMMYFUNCTION("""COMPUTED_VALUE"""),191600.0)</f>
        <v>191600</v>
      </c>
      <c r="C3005" s="1">
        <f>IFERROR(__xludf.DUMMYFUNCTION("""COMPUTED_VALUE"""),192700.0)</f>
        <v>192700</v>
      </c>
      <c r="D3005" s="1">
        <f>IFERROR(__xludf.DUMMYFUNCTION("""COMPUTED_VALUE"""),189900.0)</f>
        <v>189900</v>
      </c>
      <c r="E3005" s="1">
        <f>IFERROR(__xludf.DUMMYFUNCTION("""COMPUTED_VALUE"""),191600.0)</f>
        <v>191600</v>
      </c>
      <c r="F3005" s="1">
        <f>IFERROR(__xludf.DUMMYFUNCTION("""COMPUTED_VALUE"""),581315.0)</f>
        <v>581315</v>
      </c>
    </row>
    <row r="3006">
      <c r="A3006" s="2">
        <f>IFERROR(__xludf.DUMMYFUNCTION("""COMPUTED_VALUE"""),45037.64583333333)</f>
        <v>45037.64583</v>
      </c>
      <c r="B3006" s="1">
        <f>IFERROR(__xludf.DUMMYFUNCTION("""COMPUTED_VALUE"""),191500.0)</f>
        <v>191500</v>
      </c>
      <c r="C3006" s="1">
        <f>IFERROR(__xludf.DUMMYFUNCTION("""COMPUTED_VALUE"""),192100.0)</f>
        <v>192100</v>
      </c>
      <c r="D3006" s="1">
        <f>IFERROR(__xludf.DUMMYFUNCTION("""COMPUTED_VALUE"""),190100.0)</f>
        <v>190100</v>
      </c>
      <c r="E3006" s="1">
        <f>IFERROR(__xludf.DUMMYFUNCTION("""COMPUTED_VALUE"""),190300.0)</f>
        <v>190300</v>
      </c>
      <c r="F3006" s="1">
        <f>IFERROR(__xludf.DUMMYFUNCTION("""COMPUTED_VALUE"""),479007.0)</f>
        <v>479007</v>
      </c>
    </row>
    <row r="3007">
      <c r="A3007" s="2">
        <f>IFERROR(__xludf.DUMMYFUNCTION("""COMPUTED_VALUE"""),45040.64583333333)</f>
        <v>45040.64583</v>
      </c>
      <c r="B3007" s="1">
        <f>IFERROR(__xludf.DUMMYFUNCTION("""COMPUTED_VALUE"""),189000.0)</f>
        <v>189000</v>
      </c>
      <c r="C3007" s="1">
        <f>IFERROR(__xludf.DUMMYFUNCTION("""COMPUTED_VALUE"""),191800.0)</f>
        <v>191800</v>
      </c>
      <c r="D3007" s="1">
        <f>IFERROR(__xludf.DUMMYFUNCTION("""COMPUTED_VALUE"""),188500.0)</f>
        <v>188500</v>
      </c>
      <c r="E3007" s="1">
        <f>IFERROR(__xludf.DUMMYFUNCTION("""COMPUTED_VALUE"""),190000.0)</f>
        <v>190000</v>
      </c>
      <c r="F3007" s="1">
        <f>IFERROR(__xludf.DUMMYFUNCTION("""COMPUTED_VALUE"""),469050.0)</f>
        <v>469050</v>
      </c>
    </row>
    <row r="3008">
      <c r="A3008" s="2">
        <f>IFERROR(__xludf.DUMMYFUNCTION("""COMPUTED_VALUE"""),45041.64583333333)</f>
        <v>45041.64583</v>
      </c>
      <c r="B3008" s="1">
        <f>IFERROR(__xludf.DUMMYFUNCTION("""COMPUTED_VALUE"""),190000.0)</f>
        <v>190000</v>
      </c>
      <c r="C3008" s="1">
        <f>IFERROR(__xludf.DUMMYFUNCTION("""COMPUTED_VALUE"""),191200.0)</f>
        <v>191200</v>
      </c>
      <c r="D3008" s="1">
        <f>IFERROR(__xludf.DUMMYFUNCTION("""COMPUTED_VALUE"""),186000.0)</f>
        <v>186000</v>
      </c>
      <c r="E3008" s="1">
        <f>IFERROR(__xludf.DUMMYFUNCTION("""COMPUTED_VALUE"""),186100.0)</f>
        <v>186100</v>
      </c>
      <c r="F3008" s="1">
        <f>IFERROR(__xludf.DUMMYFUNCTION("""COMPUTED_VALUE"""),778485.0)</f>
        <v>778485</v>
      </c>
    </row>
    <row r="3009">
      <c r="A3009" s="2">
        <f>IFERROR(__xludf.DUMMYFUNCTION("""COMPUTED_VALUE"""),45042.64583333333)</f>
        <v>45042.64583</v>
      </c>
      <c r="B3009" s="1">
        <f>IFERROR(__xludf.DUMMYFUNCTION("""COMPUTED_VALUE"""),185800.0)</f>
        <v>185800</v>
      </c>
      <c r="C3009" s="1">
        <f>IFERROR(__xludf.DUMMYFUNCTION("""COMPUTED_VALUE"""),190900.0)</f>
        <v>190900</v>
      </c>
      <c r="D3009" s="1">
        <f>IFERROR(__xludf.DUMMYFUNCTION("""COMPUTED_VALUE"""),185700.0)</f>
        <v>185700</v>
      </c>
      <c r="E3009" s="1">
        <f>IFERROR(__xludf.DUMMYFUNCTION("""COMPUTED_VALUE"""),188100.0)</f>
        <v>188100</v>
      </c>
      <c r="F3009" s="1">
        <f>IFERROR(__xludf.DUMMYFUNCTION("""COMPUTED_VALUE"""),671910.0)</f>
        <v>671910</v>
      </c>
    </row>
    <row r="3010">
      <c r="A3010" s="2">
        <f>IFERROR(__xludf.DUMMYFUNCTION("""COMPUTED_VALUE"""),45043.64583333333)</f>
        <v>45043.64583</v>
      </c>
      <c r="B3010" s="1">
        <f>IFERROR(__xludf.DUMMYFUNCTION("""COMPUTED_VALUE"""),188000.0)</f>
        <v>188000</v>
      </c>
      <c r="C3010" s="1">
        <f>IFERROR(__xludf.DUMMYFUNCTION("""COMPUTED_VALUE"""),189400.0)</f>
        <v>189400</v>
      </c>
      <c r="D3010" s="1">
        <f>IFERROR(__xludf.DUMMYFUNCTION("""COMPUTED_VALUE"""),186500.0)</f>
        <v>186500</v>
      </c>
      <c r="E3010" s="1">
        <f>IFERROR(__xludf.DUMMYFUNCTION("""COMPUTED_VALUE"""),188200.0)</f>
        <v>188200</v>
      </c>
      <c r="F3010" s="1">
        <f>IFERROR(__xludf.DUMMYFUNCTION("""COMPUTED_VALUE"""),470891.0)</f>
        <v>470891</v>
      </c>
    </row>
    <row r="3011">
      <c r="A3011" s="2">
        <f>IFERROR(__xludf.DUMMYFUNCTION("""COMPUTED_VALUE"""),45044.64583333333)</f>
        <v>45044.64583</v>
      </c>
      <c r="B3011" s="1">
        <f>IFERROR(__xludf.DUMMYFUNCTION("""COMPUTED_VALUE"""),190000.0)</f>
        <v>190000</v>
      </c>
      <c r="C3011" s="1">
        <f>IFERROR(__xludf.DUMMYFUNCTION("""COMPUTED_VALUE"""),193400.0)</f>
        <v>193400</v>
      </c>
      <c r="D3011" s="1">
        <f>IFERROR(__xludf.DUMMYFUNCTION("""COMPUTED_VALUE"""),190000.0)</f>
        <v>190000</v>
      </c>
      <c r="E3011" s="1">
        <f>IFERROR(__xludf.DUMMYFUNCTION("""COMPUTED_VALUE"""),192300.0)</f>
        <v>192300</v>
      </c>
      <c r="F3011" s="1">
        <f>IFERROR(__xludf.DUMMYFUNCTION("""COMPUTED_VALUE"""),902999.0)</f>
        <v>902999</v>
      </c>
    </row>
    <row r="3012">
      <c r="A3012" s="2">
        <f>IFERROR(__xludf.DUMMYFUNCTION("""COMPUTED_VALUE"""),45048.64583333333)</f>
        <v>45048.64583</v>
      </c>
      <c r="B3012" s="1">
        <f>IFERROR(__xludf.DUMMYFUNCTION("""COMPUTED_VALUE"""),192200.0)</f>
        <v>192200</v>
      </c>
      <c r="C3012" s="1">
        <f>IFERROR(__xludf.DUMMYFUNCTION("""COMPUTED_VALUE"""),193200.0)</f>
        <v>193200</v>
      </c>
      <c r="D3012" s="1">
        <f>IFERROR(__xludf.DUMMYFUNCTION("""COMPUTED_VALUE"""),191400.0)</f>
        <v>191400</v>
      </c>
      <c r="E3012" s="1">
        <f>IFERROR(__xludf.DUMMYFUNCTION("""COMPUTED_VALUE"""),193200.0)</f>
        <v>193200</v>
      </c>
      <c r="F3012" s="1">
        <f>IFERROR(__xludf.DUMMYFUNCTION("""COMPUTED_VALUE"""),491178.0)</f>
        <v>491178</v>
      </c>
    </row>
    <row r="3013">
      <c r="A3013" s="2">
        <f>IFERROR(__xludf.DUMMYFUNCTION("""COMPUTED_VALUE"""),45049.64583333333)</f>
        <v>45049.64583</v>
      </c>
      <c r="B3013" s="1">
        <f>IFERROR(__xludf.DUMMYFUNCTION("""COMPUTED_VALUE"""),191800.0)</f>
        <v>191800</v>
      </c>
      <c r="C3013" s="1">
        <f>IFERROR(__xludf.DUMMYFUNCTION("""COMPUTED_VALUE"""),193400.0)</f>
        <v>193400</v>
      </c>
      <c r="D3013" s="1">
        <f>IFERROR(__xludf.DUMMYFUNCTION("""COMPUTED_VALUE"""),191300.0)</f>
        <v>191300</v>
      </c>
      <c r="E3013" s="1">
        <f>IFERROR(__xludf.DUMMYFUNCTION("""COMPUTED_VALUE"""),192600.0)</f>
        <v>192600</v>
      </c>
      <c r="F3013" s="1">
        <f>IFERROR(__xludf.DUMMYFUNCTION("""COMPUTED_VALUE"""),448203.0)</f>
        <v>448203</v>
      </c>
    </row>
    <row r="3014">
      <c r="A3014" s="2">
        <f>IFERROR(__xludf.DUMMYFUNCTION("""COMPUTED_VALUE"""),45050.64583333333)</f>
        <v>45050.64583</v>
      </c>
      <c r="B3014" s="1">
        <f>IFERROR(__xludf.DUMMYFUNCTION("""COMPUTED_VALUE"""),191100.0)</f>
        <v>191100</v>
      </c>
      <c r="C3014" s="1">
        <f>IFERROR(__xludf.DUMMYFUNCTION("""COMPUTED_VALUE"""),197300.0)</f>
        <v>197300</v>
      </c>
      <c r="D3014" s="1">
        <f>IFERROR(__xludf.DUMMYFUNCTION("""COMPUTED_VALUE"""),189000.0)</f>
        <v>189000</v>
      </c>
      <c r="E3014" s="1">
        <f>IFERROR(__xludf.DUMMYFUNCTION("""COMPUTED_VALUE"""),196100.0)</f>
        <v>196100</v>
      </c>
      <c r="F3014" s="1">
        <f>IFERROR(__xludf.DUMMYFUNCTION("""COMPUTED_VALUE"""),900385.0)</f>
        <v>900385</v>
      </c>
    </row>
    <row r="3015">
      <c r="A3015" s="2">
        <f>IFERROR(__xludf.DUMMYFUNCTION("""COMPUTED_VALUE"""),45054.64583333333)</f>
        <v>45054.64583</v>
      </c>
      <c r="B3015" s="1">
        <f>IFERROR(__xludf.DUMMYFUNCTION("""COMPUTED_VALUE"""),200500.0)</f>
        <v>200500</v>
      </c>
      <c r="C3015" s="1">
        <f>IFERROR(__xludf.DUMMYFUNCTION("""COMPUTED_VALUE"""),207500.0)</f>
        <v>207500</v>
      </c>
      <c r="D3015" s="1">
        <f>IFERROR(__xludf.DUMMYFUNCTION("""COMPUTED_VALUE"""),198200.0)</f>
        <v>198200</v>
      </c>
      <c r="E3015" s="1">
        <f>IFERROR(__xludf.DUMMYFUNCTION("""COMPUTED_VALUE"""),207000.0)</f>
        <v>207000</v>
      </c>
      <c r="F3015" s="1">
        <f>IFERROR(__xludf.DUMMYFUNCTION("""COMPUTED_VALUE"""),2034862.0)</f>
        <v>2034862</v>
      </c>
    </row>
    <row r="3016">
      <c r="A3016" s="2">
        <f>IFERROR(__xludf.DUMMYFUNCTION("""COMPUTED_VALUE"""),45055.64583333333)</f>
        <v>45055.64583</v>
      </c>
      <c r="B3016" s="1">
        <f>IFERROR(__xludf.DUMMYFUNCTION("""COMPUTED_VALUE"""),209000.0)</f>
        <v>209000</v>
      </c>
      <c r="C3016" s="1">
        <f>IFERROR(__xludf.DUMMYFUNCTION("""COMPUTED_VALUE"""),214500.0)</f>
        <v>214500</v>
      </c>
      <c r="D3016" s="1">
        <f>IFERROR(__xludf.DUMMYFUNCTION("""COMPUTED_VALUE"""),208500.0)</f>
        <v>208500</v>
      </c>
      <c r="E3016" s="1">
        <f>IFERROR(__xludf.DUMMYFUNCTION("""COMPUTED_VALUE"""),211000.0)</f>
        <v>211000</v>
      </c>
      <c r="F3016" s="1">
        <f>IFERROR(__xludf.DUMMYFUNCTION("""COMPUTED_VALUE"""),1855368.0)</f>
        <v>1855368</v>
      </c>
    </row>
    <row r="3017">
      <c r="A3017" s="2">
        <f>IFERROR(__xludf.DUMMYFUNCTION("""COMPUTED_VALUE"""),45056.64583333333)</f>
        <v>45056.64583</v>
      </c>
      <c r="B3017" s="1">
        <f>IFERROR(__xludf.DUMMYFUNCTION("""COMPUTED_VALUE"""),211000.0)</f>
        <v>211000</v>
      </c>
      <c r="C3017" s="1">
        <f>IFERROR(__xludf.DUMMYFUNCTION("""COMPUTED_VALUE"""),212500.0)</f>
        <v>212500</v>
      </c>
      <c r="D3017" s="1">
        <f>IFERROR(__xludf.DUMMYFUNCTION("""COMPUTED_VALUE"""),206500.0)</f>
        <v>206500</v>
      </c>
      <c r="E3017" s="1">
        <f>IFERROR(__xludf.DUMMYFUNCTION("""COMPUTED_VALUE"""),210000.0)</f>
        <v>210000</v>
      </c>
      <c r="F3017" s="1">
        <f>IFERROR(__xludf.DUMMYFUNCTION("""COMPUTED_VALUE"""),763447.0)</f>
        <v>763447</v>
      </c>
    </row>
    <row r="3018">
      <c r="A3018" s="2">
        <f>IFERROR(__xludf.DUMMYFUNCTION("""COMPUTED_VALUE"""),45057.64583333333)</f>
        <v>45057.64583</v>
      </c>
      <c r="B3018" s="1">
        <f>IFERROR(__xludf.DUMMYFUNCTION("""COMPUTED_VALUE"""),213000.0)</f>
        <v>213000</v>
      </c>
      <c r="C3018" s="1">
        <f>IFERROR(__xludf.DUMMYFUNCTION("""COMPUTED_VALUE"""),216000.0)</f>
        <v>216000</v>
      </c>
      <c r="D3018" s="1">
        <f>IFERROR(__xludf.DUMMYFUNCTION("""COMPUTED_VALUE"""),210500.0)</f>
        <v>210500</v>
      </c>
      <c r="E3018" s="1">
        <f>IFERROR(__xludf.DUMMYFUNCTION("""COMPUTED_VALUE"""),211000.0)</f>
        <v>211000</v>
      </c>
      <c r="F3018" s="1">
        <f>IFERROR(__xludf.DUMMYFUNCTION("""COMPUTED_VALUE"""),825757.0)</f>
        <v>825757</v>
      </c>
    </row>
    <row r="3019">
      <c r="A3019" s="2">
        <f>IFERROR(__xludf.DUMMYFUNCTION("""COMPUTED_VALUE"""),45058.64583333333)</f>
        <v>45058.64583</v>
      </c>
      <c r="B3019" s="1">
        <f>IFERROR(__xludf.DUMMYFUNCTION("""COMPUTED_VALUE"""),212000.0)</f>
        <v>212000</v>
      </c>
      <c r="C3019" s="1">
        <f>IFERROR(__xludf.DUMMYFUNCTION("""COMPUTED_VALUE"""),214000.0)</f>
        <v>214000</v>
      </c>
      <c r="D3019" s="1">
        <f>IFERROR(__xludf.DUMMYFUNCTION("""COMPUTED_VALUE"""),210000.0)</f>
        <v>210000</v>
      </c>
      <c r="E3019" s="1">
        <f>IFERROR(__xludf.DUMMYFUNCTION("""COMPUTED_VALUE"""),213500.0)</f>
        <v>213500</v>
      </c>
      <c r="F3019" s="1">
        <f>IFERROR(__xludf.DUMMYFUNCTION("""COMPUTED_VALUE"""),666880.0)</f>
        <v>666880</v>
      </c>
    </row>
    <row r="3020">
      <c r="A3020" s="2">
        <f>IFERROR(__xludf.DUMMYFUNCTION("""COMPUTED_VALUE"""),45061.64583333333)</f>
        <v>45061.64583</v>
      </c>
      <c r="B3020" s="1">
        <f>IFERROR(__xludf.DUMMYFUNCTION("""COMPUTED_VALUE"""),212000.0)</f>
        <v>212000</v>
      </c>
      <c r="C3020" s="1">
        <f>IFERROR(__xludf.DUMMYFUNCTION("""COMPUTED_VALUE"""),213500.0)</f>
        <v>213500</v>
      </c>
      <c r="D3020" s="1">
        <f>IFERROR(__xludf.DUMMYFUNCTION("""COMPUTED_VALUE"""),207500.0)</f>
        <v>207500</v>
      </c>
      <c r="E3020" s="1">
        <f>IFERROR(__xludf.DUMMYFUNCTION("""COMPUTED_VALUE"""),212000.0)</f>
        <v>212000</v>
      </c>
      <c r="F3020" s="1">
        <f>IFERROR(__xludf.DUMMYFUNCTION("""COMPUTED_VALUE"""),584184.0)</f>
        <v>584184</v>
      </c>
    </row>
    <row r="3021">
      <c r="A3021" s="2">
        <f>IFERROR(__xludf.DUMMYFUNCTION("""COMPUTED_VALUE"""),45062.64583333333)</f>
        <v>45062.64583</v>
      </c>
      <c r="B3021" s="1">
        <f>IFERROR(__xludf.DUMMYFUNCTION("""COMPUTED_VALUE"""),212500.0)</f>
        <v>212500</v>
      </c>
      <c r="C3021" s="1">
        <f>IFERROR(__xludf.DUMMYFUNCTION("""COMPUTED_VALUE"""),213500.0)</f>
        <v>213500</v>
      </c>
      <c r="D3021" s="1">
        <f>IFERROR(__xludf.DUMMYFUNCTION("""COMPUTED_VALUE"""),207000.0)</f>
        <v>207000</v>
      </c>
      <c r="E3021" s="1">
        <f>IFERROR(__xludf.DUMMYFUNCTION("""COMPUTED_VALUE"""),207500.0)</f>
        <v>207500</v>
      </c>
      <c r="F3021" s="1">
        <f>IFERROR(__xludf.DUMMYFUNCTION("""COMPUTED_VALUE"""),528940.0)</f>
        <v>528940</v>
      </c>
    </row>
    <row r="3022">
      <c r="A3022" s="2">
        <f>IFERROR(__xludf.DUMMYFUNCTION("""COMPUTED_VALUE"""),45063.64583333333)</f>
        <v>45063.64583</v>
      </c>
      <c r="B3022" s="1">
        <f>IFERROR(__xludf.DUMMYFUNCTION("""COMPUTED_VALUE"""),207500.0)</f>
        <v>207500</v>
      </c>
      <c r="C3022" s="1">
        <f>IFERROR(__xludf.DUMMYFUNCTION("""COMPUTED_VALUE"""),214000.0)</f>
        <v>214000</v>
      </c>
      <c r="D3022" s="1">
        <f>IFERROR(__xludf.DUMMYFUNCTION("""COMPUTED_VALUE"""),207500.0)</f>
        <v>207500</v>
      </c>
      <c r="E3022" s="1">
        <f>IFERROR(__xludf.DUMMYFUNCTION("""COMPUTED_VALUE"""),213000.0)</f>
        <v>213000</v>
      </c>
      <c r="F3022" s="1">
        <f>IFERROR(__xludf.DUMMYFUNCTION("""COMPUTED_VALUE"""),538104.0)</f>
        <v>538104</v>
      </c>
    </row>
    <row r="3023">
      <c r="A3023" s="2">
        <f>IFERROR(__xludf.DUMMYFUNCTION("""COMPUTED_VALUE"""),45064.64583333333)</f>
        <v>45064.64583</v>
      </c>
      <c r="B3023" s="1">
        <f>IFERROR(__xludf.DUMMYFUNCTION("""COMPUTED_VALUE"""),213500.0)</f>
        <v>213500</v>
      </c>
      <c r="C3023" s="1">
        <f>IFERROR(__xludf.DUMMYFUNCTION("""COMPUTED_VALUE"""),214000.0)</f>
        <v>214000</v>
      </c>
      <c r="D3023" s="1">
        <f>IFERROR(__xludf.DUMMYFUNCTION("""COMPUTED_VALUE"""),210000.0)</f>
        <v>210000</v>
      </c>
      <c r="E3023" s="1">
        <f>IFERROR(__xludf.DUMMYFUNCTION("""COMPUTED_VALUE"""),212500.0)</f>
        <v>212500</v>
      </c>
      <c r="F3023" s="1">
        <f>IFERROR(__xludf.DUMMYFUNCTION("""COMPUTED_VALUE"""),378470.0)</f>
        <v>378470</v>
      </c>
    </row>
    <row r="3024">
      <c r="A3024" s="2">
        <f>IFERROR(__xludf.DUMMYFUNCTION("""COMPUTED_VALUE"""),45065.64583333333)</f>
        <v>45065.64583</v>
      </c>
      <c r="B3024" s="1">
        <f>IFERROR(__xludf.DUMMYFUNCTION("""COMPUTED_VALUE"""),214000.0)</f>
        <v>214000</v>
      </c>
      <c r="C3024" s="1">
        <f>IFERROR(__xludf.DUMMYFUNCTION("""COMPUTED_VALUE"""),217000.0)</f>
        <v>217000</v>
      </c>
      <c r="D3024" s="1">
        <f>IFERROR(__xludf.DUMMYFUNCTION("""COMPUTED_VALUE"""),212500.0)</f>
        <v>212500</v>
      </c>
      <c r="E3024" s="1">
        <f>IFERROR(__xludf.DUMMYFUNCTION("""COMPUTED_VALUE"""),216500.0)</f>
        <v>216500</v>
      </c>
      <c r="F3024" s="1">
        <f>IFERROR(__xludf.DUMMYFUNCTION("""COMPUTED_VALUE"""),870698.0)</f>
        <v>870698</v>
      </c>
    </row>
    <row r="3025">
      <c r="A3025" s="2">
        <f>IFERROR(__xludf.DUMMYFUNCTION("""COMPUTED_VALUE"""),45068.64583333333)</f>
        <v>45068.64583</v>
      </c>
      <c r="B3025" s="1">
        <f>IFERROR(__xludf.DUMMYFUNCTION("""COMPUTED_VALUE"""),215500.0)</f>
        <v>215500</v>
      </c>
      <c r="C3025" s="1">
        <f>IFERROR(__xludf.DUMMYFUNCTION("""COMPUTED_VALUE"""),218000.0)</f>
        <v>218000</v>
      </c>
      <c r="D3025" s="1">
        <f>IFERROR(__xludf.DUMMYFUNCTION("""COMPUTED_VALUE"""),214000.0)</f>
        <v>214000</v>
      </c>
      <c r="E3025" s="1">
        <f>IFERROR(__xludf.DUMMYFUNCTION("""COMPUTED_VALUE"""),215000.0)</f>
        <v>215000</v>
      </c>
      <c r="F3025" s="1">
        <f>IFERROR(__xludf.DUMMYFUNCTION("""COMPUTED_VALUE"""),534887.0)</f>
        <v>534887</v>
      </c>
    </row>
    <row r="3026">
      <c r="A3026" s="2">
        <f>IFERROR(__xludf.DUMMYFUNCTION("""COMPUTED_VALUE"""),45069.64583333333)</f>
        <v>45069.64583</v>
      </c>
      <c r="B3026" s="1">
        <f>IFERROR(__xludf.DUMMYFUNCTION("""COMPUTED_VALUE"""),215500.0)</f>
        <v>215500</v>
      </c>
      <c r="C3026" s="1">
        <f>IFERROR(__xludf.DUMMYFUNCTION("""COMPUTED_VALUE"""),216000.0)</f>
        <v>216000</v>
      </c>
      <c r="D3026" s="1">
        <f>IFERROR(__xludf.DUMMYFUNCTION("""COMPUTED_VALUE"""),211500.0)</f>
        <v>211500</v>
      </c>
      <c r="E3026" s="1">
        <f>IFERROR(__xludf.DUMMYFUNCTION("""COMPUTED_VALUE"""),212000.0)</f>
        <v>212000</v>
      </c>
      <c r="F3026" s="1">
        <f>IFERROR(__xludf.DUMMYFUNCTION("""COMPUTED_VALUE"""),550247.0)</f>
        <v>550247</v>
      </c>
    </row>
    <row r="3027">
      <c r="A3027" s="2">
        <f>IFERROR(__xludf.DUMMYFUNCTION("""COMPUTED_VALUE"""),45070.64583333333)</f>
        <v>45070.64583</v>
      </c>
      <c r="B3027" s="1">
        <f>IFERROR(__xludf.DUMMYFUNCTION("""COMPUTED_VALUE"""),208000.0)</f>
        <v>208000</v>
      </c>
      <c r="C3027" s="1">
        <f>IFERROR(__xludf.DUMMYFUNCTION("""COMPUTED_VALUE"""),209500.0)</f>
        <v>209500</v>
      </c>
      <c r="D3027" s="1">
        <f>IFERROR(__xludf.DUMMYFUNCTION("""COMPUTED_VALUE"""),202500.0)</f>
        <v>202500</v>
      </c>
      <c r="E3027" s="1">
        <f>IFERROR(__xludf.DUMMYFUNCTION("""COMPUTED_VALUE"""),203000.0)</f>
        <v>203000</v>
      </c>
      <c r="F3027" s="1">
        <f>IFERROR(__xludf.DUMMYFUNCTION("""COMPUTED_VALUE"""),1210194.0)</f>
        <v>1210194</v>
      </c>
    </row>
    <row r="3028">
      <c r="A3028" s="2">
        <f>IFERROR(__xludf.DUMMYFUNCTION("""COMPUTED_VALUE"""),45071.64583333333)</f>
        <v>45071.64583</v>
      </c>
      <c r="B3028" s="1">
        <f>IFERROR(__xludf.DUMMYFUNCTION("""COMPUTED_VALUE"""),202500.0)</f>
        <v>202500</v>
      </c>
      <c r="C3028" s="1">
        <f>IFERROR(__xludf.DUMMYFUNCTION("""COMPUTED_VALUE"""),207500.0)</f>
        <v>207500</v>
      </c>
      <c r="D3028" s="1">
        <f>IFERROR(__xludf.DUMMYFUNCTION("""COMPUTED_VALUE"""),202500.0)</f>
        <v>202500</v>
      </c>
      <c r="E3028" s="1">
        <f>IFERROR(__xludf.DUMMYFUNCTION("""COMPUTED_VALUE"""),206000.0)</f>
        <v>206000</v>
      </c>
      <c r="F3028" s="1">
        <f>IFERROR(__xludf.DUMMYFUNCTION("""COMPUTED_VALUE"""),791642.0)</f>
        <v>791642</v>
      </c>
    </row>
    <row r="3029">
      <c r="A3029" s="2">
        <f>IFERROR(__xludf.DUMMYFUNCTION("""COMPUTED_VALUE"""),45072.64583333333)</f>
        <v>45072.64583</v>
      </c>
      <c r="B3029" s="1">
        <f>IFERROR(__xludf.DUMMYFUNCTION("""COMPUTED_VALUE"""),204500.0)</f>
        <v>204500</v>
      </c>
      <c r="C3029" s="1">
        <f>IFERROR(__xludf.DUMMYFUNCTION("""COMPUTED_VALUE"""),207000.0)</f>
        <v>207000</v>
      </c>
      <c r="D3029" s="1">
        <f>IFERROR(__xludf.DUMMYFUNCTION("""COMPUTED_VALUE"""),202500.0)</f>
        <v>202500</v>
      </c>
      <c r="E3029" s="1">
        <f>IFERROR(__xludf.DUMMYFUNCTION("""COMPUTED_VALUE"""),202500.0)</f>
        <v>202500</v>
      </c>
      <c r="F3029" s="1">
        <f>IFERROR(__xludf.DUMMYFUNCTION("""COMPUTED_VALUE"""),505880.0)</f>
        <v>505880</v>
      </c>
    </row>
    <row r="3030">
      <c r="A3030" s="2">
        <f>IFERROR(__xludf.DUMMYFUNCTION("""COMPUTED_VALUE"""),45076.64583333333)</f>
        <v>45076.64583</v>
      </c>
      <c r="B3030" s="1">
        <f>IFERROR(__xludf.DUMMYFUNCTION("""COMPUTED_VALUE"""),205000.0)</f>
        <v>205000</v>
      </c>
      <c r="C3030" s="1">
        <f>IFERROR(__xludf.DUMMYFUNCTION("""COMPUTED_VALUE"""),205000.0)</f>
        <v>205000</v>
      </c>
      <c r="D3030" s="1">
        <f>IFERROR(__xludf.DUMMYFUNCTION("""COMPUTED_VALUE"""),200500.0)</f>
        <v>200500</v>
      </c>
      <c r="E3030" s="1">
        <f>IFERROR(__xludf.DUMMYFUNCTION("""COMPUTED_VALUE"""),201500.0)</f>
        <v>201500</v>
      </c>
      <c r="F3030" s="1">
        <f>IFERROR(__xludf.DUMMYFUNCTION("""COMPUTED_VALUE"""),609318.0)</f>
        <v>609318</v>
      </c>
    </row>
    <row r="3031">
      <c r="A3031" s="2">
        <f>IFERROR(__xludf.DUMMYFUNCTION("""COMPUTED_VALUE"""),45077.64583333333)</f>
        <v>45077.64583</v>
      </c>
      <c r="B3031" s="1">
        <f>IFERROR(__xludf.DUMMYFUNCTION("""COMPUTED_VALUE"""),201500.0)</f>
        <v>201500</v>
      </c>
      <c r="C3031" s="1">
        <f>IFERROR(__xludf.DUMMYFUNCTION("""COMPUTED_VALUE"""),203000.0)</f>
        <v>203000</v>
      </c>
      <c r="D3031" s="1">
        <f>IFERROR(__xludf.DUMMYFUNCTION("""COMPUTED_VALUE"""),199100.0)</f>
        <v>199100</v>
      </c>
      <c r="E3031" s="1">
        <f>IFERROR(__xludf.DUMMYFUNCTION("""COMPUTED_VALUE"""),199500.0)</f>
        <v>199500</v>
      </c>
      <c r="F3031" s="1">
        <f>IFERROR(__xludf.DUMMYFUNCTION("""COMPUTED_VALUE"""),993582.0)</f>
        <v>993582</v>
      </c>
    </row>
    <row r="3032">
      <c r="A3032" s="2">
        <f>IFERROR(__xludf.DUMMYFUNCTION("""COMPUTED_VALUE"""),45078.64583333333)</f>
        <v>45078.64583</v>
      </c>
      <c r="B3032" s="1">
        <f>IFERROR(__xludf.DUMMYFUNCTION("""COMPUTED_VALUE"""),199900.0)</f>
        <v>199900</v>
      </c>
      <c r="C3032" s="1">
        <f>IFERROR(__xludf.DUMMYFUNCTION("""COMPUTED_VALUE"""),204000.0)</f>
        <v>204000</v>
      </c>
      <c r="D3032" s="1">
        <f>IFERROR(__xludf.DUMMYFUNCTION("""COMPUTED_VALUE"""),199900.0)</f>
        <v>199900</v>
      </c>
      <c r="E3032" s="1">
        <f>IFERROR(__xludf.DUMMYFUNCTION("""COMPUTED_VALUE"""),204000.0)</f>
        <v>204000</v>
      </c>
      <c r="F3032" s="1">
        <f>IFERROR(__xludf.DUMMYFUNCTION("""COMPUTED_VALUE"""),547388.0)</f>
        <v>547388</v>
      </c>
    </row>
    <row r="3033">
      <c r="A3033" s="2">
        <f>IFERROR(__xludf.DUMMYFUNCTION("""COMPUTED_VALUE"""),45079.64583333333)</f>
        <v>45079.64583</v>
      </c>
      <c r="B3033" s="1">
        <f>IFERROR(__xludf.DUMMYFUNCTION("""COMPUTED_VALUE"""),204500.0)</f>
        <v>204500</v>
      </c>
      <c r="C3033" s="1">
        <f>IFERROR(__xludf.DUMMYFUNCTION("""COMPUTED_VALUE"""),205000.0)</f>
        <v>205000</v>
      </c>
      <c r="D3033" s="1">
        <f>IFERROR(__xludf.DUMMYFUNCTION("""COMPUTED_VALUE"""),202500.0)</f>
        <v>202500</v>
      </c>
      <c r="E3033" s="1">
        <f>IFERROR(__xludf.DUMMYFUNCTION("""COMPUTED_VALUE"""),204500.0)</f>
        <v>204500</v>
      </c>
      <c r="F3033" s="1">
        <f>IFERROR(__xludf.DUMMYFUNCTION("""COMPUTED_VALUE"""),405330.0)</f>
        <v>405330</v>
      </c>
    </row>
    <row r="3034">
      <c r="A3034" s="2">
        <f>IFERROR(__xludf.DUMMYFUNCTION("""COMPUTED_VALUE"""),45082.64583333333)</f>
        <v>45082.64583</v>
      </c>
      <c r="B3034" s="1">
        <f>IFERROR(__xludf.DUMMYFUNCTION("""COMPUTED_VALUE"""),205500.0)</f>
        <v>205500</v>
      </c>
      <c r="C3034" s="1">
        <f>IFERROR(__xludf.DUMMYFUNCTION("""COMPUTED_VALUE"""),206500.0)</f>
        <v>206500</v>
      </c>
      <c r="D3034" s="1">
        <f>IFERROR(__xludf.DUMMYFUNCTION("""COMPUTED_VALUE"""),204000.0)</f>
        <v>204000</v>
      </c>
      <c r="E3034" s="1">
        <f>IFERROR(__xludf.DUMMYFUNCTION("""COMPUTED_VALUE"""),204500.0)</f>
        <v>204500</v>
      </c>
      <c r="F3034" s="1">
        <f>IFERROR(__xludf.DUMMYFUNCTION("""COMPUTED_VALUE"""),428762.0)</f>
        <v>428762</v>
      </c>
    </row>
    <row r="3035">
      <c r="A3035" s="2">
        <f>IFERROR(__xludf.DUMMYFUNCTION("""COMPUTED_VALUE"""),45084.64583333333)</f>
        <v>45084.64583</v>
      </c>
      <c r="B3035" s="1">
        <f>IFERROR(__xludf.DUMMYFUNCTION("""COMPUTED_VALUE"""),206500.0)</f>
        <v>206500</v>
      </c>
      <c r="C3035" s="1">
        <f>IFERROR(__xludf.DUMMYFUNCTION("""COMPUTED_VALUE"""),208000.0)</f>
        <v>208000</v>
      </c>
      <c r="D3035" s="1">
        <f>IFERROR(__xludf.DUMMYFUNCTION("""COMPUTED_VALUE"""),204000.0)</f>
        <v>204000</v>
      </c>
      <c r="E3035" s="1">
        <f>IFERROR(__xludf.DUMMYFUNCTION("""COMPUTED_VALUE"""),205000.0)</f>
        <v>205000</v>
      </c>
      <c r="F3035" s="1">
        <f>IFERROR(__xludf.DUMMYFUNCTION("""COMPUTED_VALUE"""),553505.0)</f>
        <v>553505</v>
      </c>
    </row>
    <row r="3036">
      <c r="A3036" s="2">
        <f>IFERROR(__xludf.DUMMYFUNCTION("""COMPUTED_VALUE"""),45085.64583333333)</f>
        <v>45085.64583</v>
      </c>
      <c r="B3036" s="1">
        <f>IFERROR(__xludf.DUMMYFUNCTION("""COMPUTED_VALUE"""),203000.0)</f>
        <v>203000</v>
      </c>
      <c r="C3036" s="1">
        <f>IFERROR(__xludf.DUMMYFUNCTION("""COMPUTED_VALUE"""),203500.0)</f>
        <v>203500</v>
      </c>
      <c r="D3036" s="1">
        <f>IFERROR(__xludf.DUMMYFUNCTION("""COMPUTED_VALUE"""),200000.0)</f>
        <v>200000</v>
      </c>
      <c r="E3036" s="1">
        <f>IFERROR(__xludf.DUMMYFUNCTION("""COMPUTED_VALUE"""),200500.0)</f>
        <v>200500</v>
      </c>
      <c r="F3036" s="1">
        <f>IFERROR(__xludf.DUMMYFUNCTION("""COMPUTED_VALUE"""),717690.0)</f>
        <v>717690</v>
      </c>
    </row>
    <row r="3037">
      <c r="A3037" s="2">
        <f>IFERROR(__xludf.DUMMYFUNCTION("""COMPUTED_VALUE"""),45086.64583333333)</f>
        <v>45086.64583</v>
      </c>
      <c r="B3037" s="1">
        <f>IFERROR(__xludf.DUMMYFUNCTION("""COMPUTED_VALUE"""),202000.0)</f>
        <v>202000</v>
      </c>
      <c r="C3037" s="1">
        <f>IFERROR(__xludf.DUMMYFUNCTION("""COMPUTED_VALUE"""),205000.0)</f>
        <v>205000</v>
      </c>
      <c r="D3037" s="1">
        <f>IFERROR(__xludf.DUMMYFUNCTION("""COMPUTED_VALUE"""),200500.0)</f>
        <v>200500</v>
      </c>
      <c r="E3037" s="1">
        <f>IFERROR(__xludf.DUMMYFUNCTION("""COMPUTED_VALUE"""),200500.0)</f>
        <v>200500</v>
      </c>
      <c r="F3037" s="1">
        <f>IFERROR(__xludf.DUMMYFUNCTION("""COMPUTED_VALUE"""),546093.0)</f>
        <v>546093</v>
      </c>
    </row>
    <row r="3038">
      <c r="A3038" s="2">
        <f>IFERROR(__xludf.DUMMYFUNCTION("""COMPUTED_VALUE"""),45089.64583333333)</f>
        <v>45089.64583</v>
      </c>
      <c r="B3038" s="1">
        <f>IFERROR(__xludf.DUMMYFUNCTION("""COMPUTED_VALUE"""),202500.0)</f>
        <v>202500</v>
      </c>
      <c r="C3038" s="1">
        <f>IFERROR(__xludf.DUMMYFUNCTION("""COMPUTED_VALUE"""),203500.0)</f>
        <v>203500</v>
      </c>
      <c r="D3038" s="1">
        <f>IFERROR(__xludf.DUMMYFUNCTION("""COMPUTED_VALUE"""),199700.0)</f>
        <v>199700</v>
      </c>
      <c r="E3038" s="1">
        <f>IFERROR(__xludf.DUMMYFUNCTION("""COMPUTED_VALUE"""),200500.0)</f>
        <v>200500</v>
      </c>
      <c r="F3038" s="1">
        <f>IFERROR(__xludf.DUMMYFUNCTION("""COMPUTED_VALUE"""),417698.0)</f>
        <v>417698</v>
      </c>
    </row>
    <row r="3039">
      <c r="A3039" s="2">
        <f>IFERROR(__xludf.DUMMYFUNCTION("""COMPUTED_VALUE"""),45090.64583333333)</f>
        <v>45090.64583</v>
      </c>
      <c r="B3039" s="1">
        <f>IFERROR(__xludf.DUMMYFUNCTION("""COMPUTED_VALUE"""),202000.0)</f>
        <v>202000</v>
      </c>
      <c r="C3039" s="1">
        <f>IFERROR(__xludf.DUMMYFUNCTION("""COMPUTED_VALUE"""),203000.0)</f>
        <v>203000</v>
      </c>
      <c r="D3039" s="1">
        <f>IFERROR(__xludf.DUMMYFUNCTION("""COMPUTED_VALUE"""),199600.0)</f>
        <v>199600</v>
      </c>
      <c r="E3039" s="1">
        <f>IFERROR(__xludf.DUMMYFUNCTION("""COMPUTED_VALUE"""),201000.0)</f>
        <v>201000</v>
      </c>
      <c r="F3039" s="1">
        <f>IFERROR(__xludf.DUMMYFUNCTION("""COMPUTED_VALUE"""),565013.0)</f>
        <v>565013</v>
      </c>
    </row>
    <row r="3040">
      <c r="A3040" s="2">
        <f>IFERROR(__xludf.DUMMYFUNCTION("""COMPUTED_VALUE"""),45091.64583333333)</f>
        <v>45091.64583</v>
      </c>
      <c r="B3040" s="1">
        <f>IFERROR(__xludf.DUMMYFUNCTION("""COMPUTED_VALUE"""),201000.0)</f>
        <v>201000</v>
      </c>
      <c r="C3040" s="1">
        <f>IFERROR(__xludf.DUMMYFUNCTION("""COMPUTED_VALUE"""),202000.0)</f>
        <v>202000</v>
      </c>
      <c r="D3040" s="1">
        <f>IFERROR(__xludf.DUMMYFUNCTION("""COMPUTED_VALUE"""),198300.0)</f>
        <v>198300</v>
      </c>
      <c r="E3040" s="1">
        <f>IFERROR(__xludf.DUMMYFUNCTION("""COMPUTED_VALUE"""),199200.0)</f>
        <v>199200</v>
      </c>
      <c r="F3040" s="1">
        <f>IFERROR(__xludf.DUMMYFUNCTION("""COMPUTED_VALUE"""),666340.0)</f>
        <v>666340</v>
      </c>
    </row>
    <row r="3041">
      <c r="A3041" s="2">
        <f>IFERROR(__xludf.DUMMYFUNCTION("""COMPUTED_VALUE"""),45092.64583333333)</f>
        <v>45092.64583</v>
      </c>
      <c r="B3041" s="1">
        <f>IFERROR(__xludf.DUMMYFUNCTION("""COMPUTED_VALUE"""),200000.0)</f>
        <v>200000</v>
      </c>
      <c r="C3041" s="1">
        <f>IFERROR(__xludf.DUMMYFUNCTION("""COMPUTED_VALUE"""),202500.0)</f>
        <v>202500</v>
      </c>
      <c r="D3041" s="1">
        <f>IFERROR(__xludf.DUMMYFUNCTION("""COMPUTED_VALUE"""),199900.0)</f>
        <v>199900</v>
      </c>
      <c r="E3041" s="1">
        <f>IFERROR(__xludf.DUMMYFUNCTION("""COMPUTED_VALUE"""),200500.0)</f>
        <v>200500</v>
      </c>
      <c r="F3041" s="1">
        <f>IFERROR(__xludf.DUMMYFUNCTION("""COMPUTED_VALUE"""),557684.0)</f>
        <v>557684</v>
      </c>
    </row>
    <row r="3042">
      <c r="A3042" s="2">
        <f>IFERROR(__xludf.DUMMYFUNCTION("""COMPUTED_VALUE"""),45093.64583333333)</f>
        <v>45093.64583</v>
      </c>
      <c r="B3042" s="1">
        <f>IFERROR(__xludf.DUMMYFUNCTION("""COMPUTED_VALUE"""),202500.0)</f>
        <v>202500</v>
      </c>
      <c r="C3042" s="1">
        <f>IFERROR(__xludf.DUMMYFUNCTION("""COMPUTED_VALUE"""),204500.0)</f>
        <v>204500</v>
      </c>
      <c r="D3042" s="1">
        <f>IFERROR(__xludf.DUMMYFUNCTION("""COMPUTED_VALUE"""),202000.0)</f>
        <v>202000</v>
      </c>
      <c r="E3042" s="1">
        <f>IFERROR(__xludf.DUMMYFUNCTION("""COMPUTED_VALUE"""),202500.0)</f>
        <v>202500</v>
      </c>
      <c r="F3042" s="1">
        <f>IFERROR(__xludf.DUMMYFUNCTION("""COMPUTED_VALUE"""),751013.0)</f>
        <v>751013</v>
      </c>
    </row>
    <row r="3043">
      <c r="A3043" s="2">
        <f>IFERROR(__xludf.DUMMYFUNCTION("""COMPUTED_VALUE"""),45096.64583333333)</f>
        <v>45096.64583</v>
      </c>
      <c r="B3043" s="1">
        <f>IFERROR(__xludf.DUMMYFUNCTION("""COMPUTED_VALUE"""),202500.0)</f>
        <v>202500</v>
      </c>
      <c r="C3043" s="1">
        <f>IFERROR(__xludf.DUMMYFUNCTION("""COMPUTED_VALUE"""),202500.0)</f>
        <v>202500</v>
      </c>
      <c r="D3043" s="1">
        <f>IFERROR(__xludf.DUMMYFUNCTION("""COMPUTED_VALUE"""),198500.0)</f>
        <v>198500</v>
      </c>
      <c r="E3043" s="1">
        <f>IFERROR(__xludf.DUMMYFUNCTION("""COMPUTED_VALUE"""),198600.0)</f>
        <v>198600</v>
      </c>
      <c r="F3043" s="1">
        <f>IFERROR(__xludf.DUMMYFUNCTION("""COMPUTED_VALUE"""),669785.0)</f>
        <v>669785</v>
      </c>
    </row>
    <row r="3044">
      <c r="A3044" s="2">
        <f>IFERROR(__xludf.DUMMYFUNCTION("""COMPUTED_VALUE"""),45097.64583333333)</f>
        <v>45097.64583</v>
      </c>
      <c r="B3044" s="1">
        <f>IFERROR(__xludf.DUMMYFUNCTION("""COMPUTED_VALUE"""),199500.0)</f>
        <v>199500</v>
      </c>
      <c r="C3044" s="1">
        <f>IFERROR(__xludf.DUMMYFUNCTION("""COMPUTED_VALUE"""),201000.0)</f>
        <v>201000</v>
      </c>
      <c r="D3044" s="1">
        <f>IFERROR(__xludf.DUMMYFUNCTION("""COMPUTED_VALUE"""),197900.0)</f>
        <v>197900</v>
      </c>
      <c r="E3044" s="1">
        <f>IFERROR(__xludf.DUMMYFUNCTION("""COMPUTED_VALUE"""),198500.0)</f>
        <v>198500</v>
      </c>
      <c r="F3044" s="1">
        <f>IFERROR(__xludf.DUMMYFUNCTION("""COMPUTED_VALUE"""),437974.0)</f>
        <v>437974</v>
      </c>
    </row>
    <row r="3045">
      <c r="A3045" s="2">
        <f>IFERROR(__xludf.DUMMYFUNCTION("""COMPUTED_VALUE"""),45098.64583333333)</f>
        <v>45098.64583</v>
      </c>
      <c r="B3045" s="1">
        <f>IFERROR(__xludf.DUMMYFUNCTION("""COMPUTED_VALUE"""),199100.0)</f>
        <v>199100</v>
      </c>
      <c r="C3045" s="1">
        <f>IFERROR(__xludf.DUMMYFUNCTION("""COMPUTED_VALUE"""),199200.0)</f>
        <v>199200</v>
      </c>
      <c r="D3045" s="1">
        <f>IFERROR(__xludf.DUMMYFUNCTION("""COMPUTED_VALUE"""),189900.0)</f>
        <v>189900</v>
      </c>
      <c r="E3045" s="1">
        <f>IFERROR(__xludf.DUMMYFUNCTION("""COMPUTED_VALUE"""),189900.0)</f>
        <v>189900</v>
      </c>
      <c r="F3045" s="1">
        <f>IFERROR(__xludf.DUMMYFUNCTION("""COMPUTED_VALUE"""),1358963.0)</f>
        <v>1358963</v>
      </c>
    </row>
    <row r="3046">
      <c r="A3046" s="2">
        <f>IFERROR(__xludf.DUMMYFUNCTION("""COMPUTED_VALUE"""),45099.64583333333)</f>
        <v>45099.64583</v>
      </c>
      <c r="B3046" s="1">
        <f>IFERROR(__xludf.DUMMYFUNCTION("""COMPUTED_VALUE"""),189400.0)</f>
        <v>189400</v>
      </c>
      <c r="C3046" s="1">
        <f>IFERROR(__xludf.DUMMYFUNCTION("""COMPUTED_VALUE"""),193200.0)</f>
        <v>193200</v>
      </c>
      <c r="D3046" s="1">
        <f>IFERROR(__xludf.DUMMYFUNCTION("""COMPUTED_VALUE"""),189300.0)</f>
        <v>189300</v>
      </c>
      <c r="E3046" s="1">
        <f>IFERROR(__xludf.DUMMYFUNCTION("""COMPUTED_VALUE"""),191300.0)</f>
        <v>191300</v>
      </c>
      <c r="F3046" s="1">
        <f>IFERROR(__xludf.DUMMYFUNCTION("""COMPUTED_VALUE"""),580244.0)</f>
        <v>580244</v>
      </c>
    </row>
    <row r="3047">
      <c r="A3047" s="2">
        <f>IFERROR(__xludf.DUMMYFUNCTION("""COMPUTED_VALUE"""),45100.64583333333)</f>
        <v>45100.64583</v>
      </c>
      <c r="B3047" s="1">
        <f>IFERROR(__xludf.DUMMYFUNCTION("""COMPUTED_VALUE"""),191500.0)</f>
        <v>191500</v>
      </c>
      <c r="C3047" s="1">
        <f>IFERROR(__xludf.DUMMYFUNCTION("""COMPUTED_VALUE"""),192000.0)</f>
        <v>192000</v>
      </c>
      <c r="D3047" s="1">
        <f>IFERROR(__xludf.DUMMYFUNCTION("""COMPUTED_VALUE"""),188900.0)</f>
        <v>188900</v>
      </c>
      <c r="E3047" s="1">
        <f>IFERROR(__xludf.DUMMYFUNCTION("""COMPUTED_VALUE"""),188900.0)</f>
        <v>188900</v>
      </c>
      <c r="F3047" s="1">
        <f>IFERROR(__xludf.DUMMYFUNCTION("""COMPUTED_VALUE"""),689964.0)</f>
        <v>689964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IFERROR(__xludf.DUMMYFUNCTION("GOOGLEFINANCE(""035720"",""all"",DATE(2011,1,1),TODAY())"),"Date")</f>
        <v>Date</v>
      </c>
      <c r="B1" s="1" t="str">
        <f>IFERROR(__xludf.DUMMYFUNCTION("""COMPUTED_VALUE"""),"Open")</f>
        <v>Open</v>
      </c>
      <c r="C1" s="1" t="str">
        <f>IFERROR(__xludf.DUMMYFUNCTION("""COMPUTED_VALUE"""),"High")</f>
        <v>High</v>
      </c>
      <c r="D1" s="1" t="str">
        <f>IFERROR(__xludf.DUMMYFUNCTION("""COMPUTED_VALUE"""),"Low")</f>
        <v>Low</v>
      </c>
      <c r="E1" s="1" t="str">
        <f>IFERROR(__xludf.DUMMYFUNCTION("""COMPUTED_VALUE"""),"Close")</f>
        <v>Close</v>
      </c>
      <c r="F1" s="1" t="str">
        <f>IFERROR(__xludf.DUMMYFUNCTION("""COMPUTED_VALUE"""),"Volume")</f>
        <v>Volume</v>
      </c>
    </row>
    <row r="2">
      <c r="A2" s="2">
        <f>IFERROR(__xludf.DUMMYFUNCTION("""COMPUTED_VALUE"""),40546.645833333336)</f>
        <v>40546.64583</v>
      </c>
      <c r="B2" s="1">
        <f>IFERROR(__xludf.DUMMYFUNCTION("""COMPUTED_VALUE"""),15500.0)</f>
        <v>15500</v>
      </c>
      <c r="C2" s="1">
        <f>IFERROR(__xludf.DUMMYFUNCTION("""COMPUTED_VALUE"""),15500.0)</f>
        <v>15500</v>
      </c>
      <c r="D2" s="1">
        <f>IFERROR(__xludf.DUMMYFUNCTION("""COMPUTED_VALUE"""),15220.0)</f>
        <v>15220</v>
      </c>
      <c r="E2" s="1">
        <f>IFERROR(__xludf.DUMMYFUNCTION("""COMPUTED_VALUE"""),15360.0)</f>
        <v>15360</v>
      </c>
      <c r="F2" s="1">
        <f>IFERROR(__xludf.DUMMYFUNCTION("""COMPUTED_VALUE"""),67331.0)</f>
        <v>67331</v>
      </c>
    </row>
    <row r="3">
      <c r="A3" s="2">
        <f>IFERROR(__xludf.DUMMYFUNCTION("""COMPUTED_VALUE"""),40547.645833333336)</f>
        <v>40547.64583</v>
      </c>
      <c r="B3" s="1">
        <f>IFERROR(__xludf.DUMMYFUNCTION("""COMPUTED_VALUE"""),15360.0)</f>
        <v>15360</v>
      </c>
      <c r="C3" s="1">
        <f>IFERROR(__xludf.DUMMYFUNCTION("""COMPUTED_VALUE"""),15880.0)</f>
        <v>15880</v>
      </c>
      <c r="D3" s="1">
        <f>IFERROR(__xludf.DUMMYFUNCTION("""COMPUTED_VALUE"""),15360.0)</f>
        <v>15360</v>
      </c>
      <c r="E3" s="1">
        <f>IFERROR(__xludf.DUMMYFUNCTION("""COMPUTED_VALUE"""),15520.0)</f>
        <v>15520</v>
      </c>
      <c r="F3" s="1">
        <f>IFERROR(__xludf.DUMMYFUNCTION("""COMPUTED_VALUE"""),77414.0)</f>
        <v>77414</v>
      </c>
    </row>
    <row r="4">
      <c r="A4" s="2">
        <f>IFERROR(__xludf.DUMMYFUNCTION("""COMPUTED_VALUE"""),40548.645833333336)</f>
        <v>40548.64583</v>
      </c>
      <c r="B4" s="1">
        <f>IFERROR(__xludf.DUMMYFUNCTION("""COMPUTED_VALUE"""),15560.0)</f>
        <v>15560</v>
      </c>
      <c r="C4" s="1">
        <f>IFERROR(__xludf.DUMMYFUNCTION("""COMPUTED_VALUE"""),15700.0)</f>
        <v>15700</v>
      </c>
      <c r="D4" s="1">
        <f>IFERROR(__xludf.DUMMYFUNCTION("""COMPUTED_VALUE"""),15400.0)</f>
        <v>15400</v>
      </c>
      <c r="E4" s="1">
        <f>IFERROR(__xludf.DUMMYFUNCTION("""COMPUTED_VALUE"""),15600.0)</f>
        <v>15600</v>
      </c>
      <c r="F4" s="1">
        <f>IFERROR(__xludf.DUMMYFUNCTION("""COMPUTED_VALUE"""),55395.0)</f>
        <v>55395</v>
      </c>
    </row>
    <row r="5">
      <c r="A5" s="2">
        <f>IFERROR(__xludf.DUMMYFUNCTION("""COMPUTED_VALUE"""),40549.645833333336)</f>
        <v>40549.64583</v>
      </c>
      <c r="B5" s="1">
        <f>IFERROR(__xludf.DUMMYFUNCTION("""COMPUTED_VALUE"""),15760.0)</f>
        <v>15760</v>
      </c>
      <c r="C5" s="1">
        <f>IFERROR(__xludf.DUMMYFUNCTION("""COMPUTED_VALUE"""),15840.0)</f>
        <v>15840</v>
      </c>
      <c r="D5" s="1">
        <f>IFERROR(__xludf.DUMMYFUNCTION("""COMPUTED_VALUE"""),15520.0)</f>
        <v>15520</v>
      </c>
      <c r="E5" s="1">
        <f>IFERROR(__xludf.DUMMYFUNCTION("""COMPUTED_VALUE"""),15640.0)</f>
        <v>15640</v>
      </c>
      <c r="F5" s="1">
        <f>IFERROR(__xludf.DUMMYFUNCTION("""COMPUTED_VALUE"""),44349.0)</f>
        <v>44349</v>
      </c>
    </row>
    <row r="6">
      <c r="A6" s="2">
        <f>IFERROR(__xludf.DUMMYFUNCTION("""COMPUTED_VALUE"""),40550.645833333336)</f>
        <v>40550.64583</v>
      </c>
      <c r="B6" s="1">
        <f>IFERROR(__xludf.DUMMYFUNCTION("""COMPUTED_VALUE"""),15720.0)</f>
        <v>15720</v>
      </c>
      <c r="C6" s="1">
        <f>IFERROR(__xludf.DUMMYFUNCTION("""COMPUTED_VALUE"""),16100.0)</f>
        <v>16100</v>
      </c>
      <c r="D6" s="1">
        <f>IFERROR(__xludf.DUMMYFUNCTION("""COMPUTED_VALUE"""),15580.0)</f>
        <v>15580</v>
      </c>
      <c r="E6" s="1">
        <f>IFERROR(__xludf.DUMMYFUNCTION("""COMPUTED_VALUE"""),16020.0)</f>
        <v>16020</v>
      </c>
      <c r="F6" s="1">
        <f>IFERROR(__xludf.DUMMYFUNCTION("""COMPUTED_VALUE"""),131764.0)</f>
        <v>131764</v>
      </c>
    </row>
    <row r="7">
      <c r="A7" s="2">
        <f>IFERROR(__xludf.DUMMYFUNCTION("""COMPUTED_VALUE"""),40553.645833333336)</f>
        <v>40553.64583</v>
      </c>
      <c r="B7" s="1">
        <f>IFERROR(__xludf.DUMMYFUNCTION("""COMPUTED_VALUE"""),16140.0)</f>
        <v>16140</v>
      </c>
      <c r="C7" s="1">
        <f>IFERROR(__xludf.DUMMYFUNCTION("""COMPUTED_VALUE"""),16340.0)</f>
        <v>16340</v>
      </c>
      <c r="D7" s="1">
        <f>IFERROR(__xludf.DUMMYFUNCTION("""COMPUTED_VALUE"""),15860.0)</f>
        <v>15860</v>
      </c>
      <c r="E7" s="1">
        <f>IFERROR(__xludf.DUMMYFUNCTION("""COMPUTED_VALUE"""),15860.0)</f>
        <v>15860</v>
      </c>
      <c r="F7" s="1">
        <f>IFERROR(__xludf.DUMMYFUNCTION("""COMPUTED_VALUE"""),57797.0)</f>
        <v>57797</v>
      </c>
    </row>
    <row r="8">
      <c r="A8" s="2">
        <f>IFERROR(__xludf.DUMMYFUNCTION("""COMPUTED_VALUE"""),40554.645833333336)</f>
        <v>40554.64583</v>
      </c>
      <c r="B8" s="1">
        <f>IFERROR(__xludf.DUMMYFUNCTION("""COMPUTED_VALUE"""),15920.0)</f>
        <v>15920</v>
      </c>
      <c r="C8" s="1">
        <f>IFERROR(__xludf.DUMMYFUNCTION("""COMPUTED_VALUE"""),16200.0)</f>
        <v>16200</v>
      </c>
      <c r="D8" s="1">
        <f>IFERROR(__xludf.DUMMYFUNCTION("""COMPUTED_VALUE"""),15640.0)</f>
        <v>15640</v>
      </c>
      <c r="E8" s="1">
        <f>IFERROR(__xludf.DUMMYFUNCTION("""COMPUTED_VALUE"""),16200.0)</f>
        <v>16200</v>
      </c>
      <c r="F8" s="1">
        <f>IFERROR(__xludf.DUMMYFUNCTION("""COMPUTED_VALUE"""),83646.0)</f>
        <v>83646</v>
      </c>
    </row>
    <row r="9">
      <c r="A9" s="2">
        <f>IFERROR(__xludf.DUMMYFUNCTION("""COMPUTED_VALUE"""),40555.645833333336)</f>
        <v>40555.64583</v>
      </c>
      <c r="B9" s="1">
        <f>IFERROR(__xludf.DUMMYFUNCTION("""COMPUTED_VALUE"""),16280.0)</f>
        <v>16280</v>
      </c>
      <c r="C9" s="1">
        <f>IFERROR(__xludf.DUMMYFUNCTION("""COMPUTED_VALUE"""),16280.0)</f>
        <v>16280</v>
      </c>
      <c r="D9" s="1">
        <f>IFERROR(__xludf.DUMMYFUNCTION("""COMPUTED_VALUE"""),15860.0)</f>
        <v>15860</v>
      </c>
      <c r="E9" s="1">
        <f>IFERROR(__xludf.DUMMYFUNCTION("""COMPUTED_VALUE"""),16020.0)</f>
        <v>16020</v>
      </c>
      <c r="F9" s="1">
        <f>IFERROR(__xludf.DUMMYFUNCTION("""COMPUTED_VALUE"""),89226.0)</f>
        <v>89226</v>
      </c>
    </row>
    <row r="10">
      <c r="A10" s="2">
        <f>IFERROR(__xludf.DUMMYFUNCTION("""COMPUTED_VALUE"""),40556.645833333336)</f>
        <v>40556.64583</v>
      </c>
      <c r="B10" s="1">
        <f>IFERROR(__xludf.DUMMYFUNCTION("""COMPUTED_VALUE"""),16020.0)</f>
        <v>16020</v>
      </c>
      <c r="C10" s="1">
        <f>IFERROR(__xludf.DUMMYFUNCTION("""COMPUTED_VALUE"""),16280.0)</f>
        <v>16280</v>
      </c>
      <c r="D10" s="1">
        <f>IFERROR(__xludf.DUMMYFUNCTION("""COMPUTED_VALUE"""),15800.0)</f>
        <v>15800</v>
      </c>
      <c r="E10" s="1">
        <f>IFERROR(__xludf.DUMMYFUNCTION("""COMPUTED_VALUE"""),16240.0)</f>
        <v>16240</v>
      </c>
      <c r="F10" s="1">
        <f>IFERROR(__xludf.DUMMYFUNCTION("""COMPUTED_VALUE"""),109220.0)</f>
        <v>109220</v>
      </c>
    </row>
    <row r="11">
      <c r="A11" s="2">
        <f>IFERROR(__xludf.DUMMYFUNCTION("""COMPUTED_VALUE"""),40557.645833333336)</f>
        <v>40557.64583</v>
      </c>
      <c r="B11" s="1">
        <f>IFERROR(__xludf.DUMMYFUNCTION("""COMPUTED_VALUE"""),16240.0)</f>
        <v>16240</v>
      </c>
      <c r="C11" s="1">
        <f>IFERROR(__xludf.DUMMYFUNCTION("""COMPUTED_VALUE"""),16320.0)</f>
        <v>16320</v>
      </c>
      <c r="D11" s="1">
        <f>IFERROR(__xludf.DUMMYFUNCTION("""COMPUTED_VALUE"""),15920.0)</f>
        <v>15920</v>
      </c>
      <c r="E11" s="1">
        <f>IFERROR(__xludf.DUMMYFUNCTION("""COMPUTED_VALUE"""),16120.0)</f>
        <v>16120</v>
      </c>
      <c r="F11" s="1">
        <f>IFERROR(__xludf.DUMMYFUNCTION("""COMPUTED_VALUE"""),192934.0)</f>
        <v>192934</v>
      </c>
    </row>
    <row r="12">
      <c r="A12" s="2">
        <f>IFERROR(__xludf.DUMMYFUNCTION("""COMPUTED_VALUE"""),40560.645833333336)</f>
        <v>40560.64583</v>
      </c>
      <c r="B12" s="1">
        <f>IFERROR(__xludf.DUMMYFUNCTION("""COMPUTED_VALUE"""),15980.0)</f>
        <v>15980</v>
      </c>
      <c r="C12" s="1">
        <f>IFERROR(__xludf.DUMMYFUNCTION("""COMPUTED_VALUE"""),16200.0)</f>
        <v>16200</v>
      </c>
      <c r="D12" s="1">
        <f>IFERROR(__xludf.DUMMYFUNCTION("""COMPUTED_VALUE"""),15720.0)</f>
        <v>15720</v>
      </c>
      <c r="E12" s="1">
        <f>IFERROR(__xludf.DUMMYFUNCTION("""COMPUTED_VALUE"""),16160.0)</f>
        <v>16160</v>
      </c>
      <c r="F12" s="1">
        <f>IFERROR(__xludf.DUMMYFUNCTION("""COMPUTED_VALUE"""),118091.0)</f>
        <v>118091</v>
      </c>
    </row>
    <row r="13">
      <c r="A13" s="2">
        <f>IFERROR(__xludf.DUMMYFUNCTION("""COMPUTED_VALUE"""),40561.645833333336)</f>
        <v>40561.64583</v>
      </c>
      <c r="B13" s="1">
        <f>IFERROR(__xludf.DUMMYFUNCTION("""COMPUTED_VALUE"""),15980.0)</f>
        <v>15980</v>
      </c>
      <c r="C13" s="1">
        <f>IFERROR(__xludf.DUMMYFUNCTION("""COMPUTED_VALUE"""),16080.0)</f>
        <v>16080</v>
      </c>
      <c r="D13" s="1">
        <f>IFERROR(__xludf.DUMMYFUNCTION("""COMPUTED_VALUE"""),15720.0)</f>
        <v>15720</v>
      </c>
      <c r="E13" s="1">
        <f>IFERROR(__xludf.DUMMYFUNCTION("""COMPUTED_VALUE"""),15720.0)</f>
        <v>15720</v>
      </c>
      <c r="F13" s="1">
        <f>IFERROR(__xludf.DUMMYFUNCTION("""COMPUTED_VALUE"""),76619.0)</f>
        <v>76619</v>
      </c>
    </row>
    <row r="14">
      <c r="A14" s="2">
        <f>IFERROR(__xludf.DUMMYFUNCTION("""COMPUTED_VALUE"""),40562.645833333336)</f>
        <v>40562.64583</v>
      </c>
      <c r="B14" s="1">
        <f>IFERROR(__xludf.DUMMYFUNCTION("""COMPUTED_VALUE"""),15780.0)</f>
        <v>15780</v>
      </c>
      <c r="C14" s="1">
        <f>IFERROR(__xludf.DUMMYFUNCTION("""COMPUTED_VALUE"""),16060.0)</f>
        <v>16060</v>
      </c>
      <c r="D14" s="1">
        <f>IFERROR(__xludf.DUMMYFUNCTION("""COMPUTED_VALUE"""),15460.0)</f>
        <v>15460</v>
      </c>
      <c r="E14" s="1">
        <f>IFERROR(__xludf.DUMMYFUNCTION("""COMPUTED_VALUE"""),16020.0)</f>
        <v>16020</v>
      </c>
      <c r="F14" s="1">
        <f>IFERROR(__xludf.DUMMYFUNCTION("""COMPUTED_VALUE"""),98078.0)</f>
        <v>98078</v>
      </c>
    </row>
    <row r="15">
      <c r="A15" s="2">
        <f>IFERROR(__xludf.DUMMYFUNCTION("""COMPUTED_VALUE"""),40563.645833333336)</f>
        <v>40563.64583</v>
      </c>
      <c r="B15" s="1">
        <f>IFERROR(__xludf.DUMMYFUNCTION("""COMPUTED_VALUE"""),15700.0)</f>
        <v>15700</v>
      </c>
      <c r="C15" s="1">
        <f>IFERROR(__xludf.DUMMYFUNCTION("""COMPUTED_VALUE"""),16020.0)</f>
        <v>16020</v>
      </c>
      <c r="D15" s="1">
        <f>IFERROR(__xludf.DUMMYFUNCTION("""COMPUTED_VALUE"""),15660.0)</f>
        <v>15660</v>
      </c>
      <c r="E15" s="1">
        <f>IFERROR(__xludf.DUMMYFUNCTION("""COMPUTED_VALUE"""),15740.0)</f>
        <v>15740</v>
      </c>
      <c r="F15" s="1">
        <f>IFERROR(__xludf.DUMMYFUNCTION("""COMPUTED_VALUE"""),59617.0)</f>
        <v>59617</v>
      </c>
    </row>
    <row r="16">
      <c r="A16" s="2">
        <f>IFERROR(__xludf.DUMMYFUNCTION("""COMPUTED_VALUE"""),40564.645833333336)</f>
        <v>40564.64583</v>
      </c>
      <c r="B16" s="1">
        <f>IFERROR(__xludf.DUMMYFUNCTION("""COMPUTED_VALUE"""),15740.0)</f>
        <v>15740</v>
      </c>
      <c r="C16" s="1">
        <f>IFERROR(__xludf.DUMMYFUNCTION("""COMPUTED_VALUE"""),15840.0)</f>
        <v>15840</v>
      </c>
      <c r="D16" s="1">
        <f>IFERROR(__xludf.DUMMYFUNCTION("""COMPUTED_VALUE"""),15460.0)</f>
        <v>15460</v>
      </c>
      <c r="E16" s="1">
        <f>IFERROR(__xludf.DUMMYFUNCTION("""COMPUTED_VALUE"""),15740.0)</f>
        <v>15740</v>
      </c>
      <c r="F16" s="1">
        <f>IFERROR(__xludf.DUMMYFUNCTION("""COMPUTED_VALUE"""),75163.0)</f>
        <v>75163</v>
      </c>
    </row>
    <row r="17">
      <c r="A17" s="2">
        <f>IFERROR(__xludf.DUMMYFUNCTION("""COMPUTED_VALUE"""),40567.645833333336)</f>
        <v>40567.64583</v>
      </c>
      <c r="B17" s="1">
        <f>IFERROR(__xludf.DUMMYFUNCTION("""COMPUTED_VALUE"""),15740.0)</f>
        <v>15740</v>
      </c>
      <c r="C17" s="1">
        <f>IFERROR(__xludf.DUMMYFUNCTION("""COMPUTED_VALUE"""),15980.0)</f>
        <v>15980</v>
      </c>
      <c r="D17" s="1">
        <f>IFERROR(__xludf.DUMMYFUNCTION("""COMPUTED_VALUE"""),15600.0)</f>
        <v>15600</v>
      </c>
      <c r="E17" s="1">
        <f>IFERROR(__xludf.DUMMYFUNCTION("""COMPUTED_VALUE"""),15900.0)</f>
        <v>15900</v>
      </c>
      <c r="F17" s="1">
        <f>IFERROR(__xludf.DUMMYFUNCTION("""COMPUTED_VALUE"""),74559.0)</f>
        <v>74559</v>
      </c>
    </row>
    <row r="18">
      <c r="A18" s="2">
        <f>IFERROR(__xludf.DUMMYFUNCTION("""COMPUTED_VALUE"""),40568.645833333336)</f>
        <v>40568.64583</v>
      </c>
      <c r="B18" s="1">
        <f>IFERROR(__xludf.DUMMYFUNCTION("""COMPUTED_VALUE"""),15880.0)</f>
        <v>15880</v>
      </c>
      <c r="C18" s="1">
        <f>IFERROR(__xludf.DUMMYFUNCTION("""COMPUTED_VALUE"""),15980.0)</f>
        <v>15980</v>
      </c>
      <c r="D18" s="1">
        <f>IFERROR(__xludf.DUMMYFUNCTION("""COMPUTED_VALUE"""),15800.0)</f>
        <v>15800</v>
      </c>
      <c r="E18" s="1">
        <f>IFERROR(__xludf.DUMMYFUNCTION("""COMPUTED_VALUE"""),15800.0)</f>
        <v>15800</v>
      </c>
      <c r="F18" s="1">
        <f>IFERROR(__xludf.DUMMYFUNCTION("""COMPUTED_VALUE"""),96376.0)</f>
        <v>96376</v>
      </c>
    </row>
    <row r="19">
      <c r="A19" s="2">
        <f>IFERROR(__xludf.DUMMYFUNCTION("""COMPUTED_VALUE"""),40569.645833333336)</f>
        <v>40569.64583</v>
      </c>
      <c r="B19" s="1">
        <f>IFERROR(__xludf.DUMMYFUNCTION("""COMPUTED_VALUE"""),15880.0)</f>
        <v>15880</v>
      </c>
      <c r="C19" s="1">
        <f>IFERROR(__xludf.DUMMYFUNCTION("""COMPUTED_VALUE"""),16320.0)</f>
        <v>16320</v>
      </c>
      <c r="D19" s="1">
        <f>IFERROR(__xludf.DUMMYFUNCTION("""COMPUTED_VALUE"""),15880.0)</f>
        <v>15880</v>
      </c>
      <c r="E19" s="1">
        <f>IFERROR(__xludf.DUMMYFUNCTION("""COMPUTED_VALUE"""),16280.0)</f>
        <v>16280</v>
      </c>
      <c r="F19" s="1">
        <f>IFERROR(__xludf.DUMMYFUNCTION("""COMPUTED_VALUE"""),124618.0)</f>
        <v>124618</v>
      </c>
    </row>
    <row r="20">
      <c r="A20" s="2">
        <f>IFERROR(__xludf.DUMMYFUNCTION("""COMPUTED_VALUE"""),40570.645833333336)</f>
        <v>40570.64583</v>
      </c>
      <c r="B20" s="1">
        <f>IFERROR(__xludf.DUMMYFUNCTION("""COMPUTED_VALUE"""),16340.0)</f>
        <v>16340</v>
      </c>
      <c r="C20" s="1">
        <f>IFERROR(__xludf.DUMMYFUNCTION("""COMPUTED_VALUE"""),16600.0)</f>
        <v>16600</v>
      </c>
      <c r="D20" s="1">
        <f>IFERROR(__xludf.DUMMYFUNCTION("""COMPUTED_VALUE"""),16120.0)</f>
        <v>16120</v>
      </c>
      <c r="E20" s="1">
        <f>IFERROR(__xludf.DUMMYFUNCTION("""COMPUTED_VALUE"""),16600.0)</f>
        <v>16600</v>
      </c>
      <c r="F20" s="1">
        <f>IFERROR(__xludf.DUMMYFUNCTION("""COMPUTED_VALUE"""),121097.0)</f>
        <v>121097</v>
      </c>
    </row>
    <row r="21">
      <c r="A21" s="2">
        <f>IFERROR(__xludf.DUMMYFUNCTION("""COMPUTED_VALUE"""),40571.645833333336)</f>
        <v>40571.64583</v>
      </c>
      <c r="B21" s="1">
        <f>IFERROR(__xludf.DUMMYFUNCTION("""COMPUTED_VALUE"""),16700.0)</f>
        <v>16700</v>
      </c>
      <c r="C21" s="1">
        <f>IFERROR(__xludf.DUMMYFUNCTION("""COMPUTED_VALUE"""),16940.0)</f>
        <v>16940</v>
      </c>
      <c r="D21" s="1">
        <f>IFERROR(__xludf.DUMMYFUNCTION("""COMPUTED_VALUE"""),16440.0)</f>
        <v>16440</v>
      </c>
      <c r="E21" s="1">
        <f>IFERROR(__xludf.DUMMYFUNCTION("""COMPUTED_VALUE"""),16640.0)</f>
        <v>16640</v>
      </c>
      <c r="F21" s="1">
        <f>IFERROR(__xludf.DUMMYFUNCTION("""COMPUTED_VALUE"""),107170.0)</f>
        <v>107170</v>
      </c>
    </row>
    <row r="22">
      <c r="A22" s="2">
        <f>IFERROR(__xludf.DUMMYFUNCTION("""COMPUTED_VALUE"""),40574.645833333336)</f>
        <v>40574.64583</v>
      </c>
      <c r="B22" s="1">
        <f>IFERROR(__xludf.DUMMYFUNCTION("""COMPUTED_VALUE"""),16440.0)</f>
        <v>16440</v>
      </c>
      <c r="C22" s="1">
        <f>IFERROR(__xludf.DUMMYFUNCTION("""COMPUTED_VALUE"""),16580.0)</f>
        <v>16580</v>
      </c>
      <c r="D22" s="1">
        <f>IFERROR(__xludf.DUMMYFUNCTION("""COMPUTED_VALUE"""),16100.0)</f>
        <v>16100</v>
      </c>
      <c r="E22" s="1">
        <f>IFERROR(__xludf.DUMMYFUNCTION("""COMPUTED_VALUE"""),16120.0)</f>
        <v>16120</v>
      </c>
      <c r="F22" s="1">
        <f>IFERROR(__xludf.DUMMYFUNCTION("""COMPUTED_VALUE"""),78796.0)</f>
        <v>78796</v>
      </c>
    </row>
    <row r="23">
      <c r="A23" s="2">
        <f>IFERROR(__xludf.DUMMYFUNCTION("""COMPUTED_VALUE"""),40575.645833333336)</f>
        <v>40575.64583</v>
      </c>
      <c r="B23" s="1">
        <f>IFERROR(__xludf.DUMMYFUNCTION("""COMPUTED_VALUE"""),16140.0)</f>
        <v>16140</v>
      </c>
      <c r="C23" s="1">
        <f>IFERROR(__xludf.DUMMYFUNCTION("""COMPUTED_VALUE"""),16320.0)</f>
        <v>16320</v>
      </c>
      <c r="D23" s="1">
        <f>IFERROR(__xludf.DUMMYFUNCTION("""COMPUTED_VALUE"""),16020.0)</f>
        <v>16020</v>
      </c>
      <c r="E23" s="1">
        <f>IFERROR(__xludf.DUMMYFUNCTION("""COMPUTED_VALUE"""),16300.0)</f>
        <v>16300</v>
      </c>
      <c r="F23" s="1">
        <f>IFERROR(__xludf.DUMMYFUNCTION("""COMPUTED_VALUE"""),56913.0)</f>
        <v>56913</v>
      </c>
    </row>
    <row r="24">
      <c r="A24" s="2">
        <f>IFERROR(__xludf.DUMMYFUNCTION("""COMPUTED_VALUE"""),40581.645833333336)</f>
        <v>40581.64583</v>
      </c>
      <c r="B24" s="1">
        <f>IFERROR(__xludf.DUMMYFUNCTION("""COMPUTED_VALUE"""),16780.0)</f>
        <v>16780</v>
      </c>
      <c r="C24" s="1">
        <f>IFERROR(__xludf.DUMMYFUNCTION("""COMPUTED_VALUE"""),16780.0)</f>
        <v>16780</v>
      </c>
      <c r="D24" s="1">
        <f>IFERROR(__xludf.DUMMYFUNCTION("""COMPUTED_VALUE"""),16380.0)</f>
        <v>16380</v>
      </c>
      <c r="E24" s="1">
        <f>IFERROR(__xludf.DUMMYFUNCTION("""COMPUTED_VALUE"""),16460.0)</f>
        <v>16460</v>
      </c>
      <c r="F24" s="1">
        <f>IFERROR(__xludf.DUMMYFUNCTION("""COMPUTED_VALUE"""),73402.0)</f>
        <v>73402</v>
      </c>
    </row>
    <row r="25">
      <c r="A25" s="2">
        <f>IFERROR(__xludf.DUMMYFUNCTION("""COMPUTED_VALUE"""),40582.645833333336)</f>
        <v>40582.64583</v>
      </c>
      <c r="B25" s="1">
        <f>IFERROR(__xludf.DUMMYFUNCTION("""COMPUTED_VALUE"""),16460.0)</f>
        <v>16460</v>
      </c>
      <c r="C25" s="1">
        <f>IFERROR(__xludf.DUMMYFUNCTION("""COMPUTED_VALUE"""),16740.0)</f>
        <v>16740</v>
      </c>
      <c r="D25" s="1">
        <f>IFERROR(__xludf.DUMMYFUNCTION("""COMPUTED_VALUE"""),16400.0)</f>
        <v>16400</v>
      </c>
      <c r="E25" s="1">
        <f>IFERROR(__xludf.DUMMYFUNCTION("""COMPUTED_VALUE"""),16600.0)</f>
        <v>16600</v>
      </c>
      <c r="F25" s="1">
        <f>IFERROR(__xludf.DUMMYFUNCTION("""COMPUTED_VALUE"""),71792.0)</f>
        <v>71792</v>
      </c>
    </row>
    <row r="26">
      <c r="A26" s="2">
        <f>IFERROR(__xludf.DUMMYFUNCTION("""COMPUTED_VALUE"""),40583.645833333336)</f>
        <v>40583.64583</v>
      </c>
      <c r="B26" s="1">
        <f>IFERROR(__xludf.DUMMYFUNCTION("""COMPUTED_VALUE"""),16440.0)</f>
        <v>16440</v>
      </c>
      <c r="C26" s="1">
        <f>IFERROR(__xludf.DUMMYFUNCTION("""COMPUTED_VALUE"""),16800.0)</f>
        <v>16800</v>
      </c>
      <c r="D26" s="1">
        <f>IFERROR(__xludf.DUMMYFUNCTION("""COMPUTED_VALUE"""),16260.0)</f>
        <v>16260</v>
      </c>
      <c r="E26" s="1">
        <f>IFERROR(__xludf.DUMMYFUNCTION("""COMPUTED_VALUE"""),16680.0)</f>
        <v>16680</v>
      </c>
      <c r="F26" s="1">
        <f>IFERROR(__xludf.DUMMYFUNCTION("""COMPUTED_VALUE"""),95558.0)</f>
        <v>95558</v>
      </c>
    </row>
    <row r="27">
      <c r="A27" s="2">
        <f>IFERROR(__xludf.DUMMYFUNCTION("""COMPUTED_VALUE"""),40584.645833333336)</f>
        <v>40584.64583</v>
      </c>
      <c r="B27" s="1">
        <f>IFERROR(__xludf.DUMMYFUNCTION("""COMPUTED_VALUE"""),16520.0)</f>
        <v>16520</v>
      </c>
      <c r="C27" s="1">
        <f>IFERROR(__xludf.DUMMYFUNCTION("""COMPUTED_VALUE"""),17080.0)</f>
        <v>17080</v>
      </c>
      <c r="D27" s="1">
        <f>IFERROR(__xludf.DUMMYFUNCTION("""COMPUTED_VALUE"""),16520.0)</f>
        <v>16520</v>
      </c>
      <c r="E27" s="1">
        <f>IFERROR(__xludf.DUMMYFUNCTION("""COMPUTED_VALUE"""),16740.0)</f>
        <v>16740</v>
      </c>
      <c r="F27" s="1">
        <f>IFERROR(__xludf.DUMMYFUNCTION("""COMPUTED_VALUE"""),122962.0)</f>
        <v>122962</v>
      </c>
    </row>
    <row r="28">
      <c r="A28" s="2">
        <f>IFERROR(__xludf.DUMMYFUNCTION("""COMPUTED_VALUE"""),40585.645833333336)</f>
        <v>40585.64583</v>
      </c>
      <c r="B28" s="1">
        <f>IFERROR(__xludf.DUMMYFUNCTION("""COMPUTED_VALUE"""),16820.0)</f>
        <v>16820</v>
      </c>
      <c r="C28" s="1">
        <f>IFERROR(__xludf.DUMMYFUNCTION("""COMPUTED_VALUE"""),17340.0)</f>
        <v>17340</v>
      </c>
      <c r="D28" s="1">
        <f>IFERROR(__xludf.DUMMYFUNCTION("""COMPUTED_VALUE"""),16640.0)</f>
        <v>16640</v>
      </c>
      <c r="E28" s="1">
        <f>IFERROR(__xludf.DUMMYFUNCTION("""COMPUTED_VALUE"""),16780.0)</f>
        <v>16780</v>
      </c>
      <c r="F28" s="1">
        <f>IFERROR(__xludf.DUMMYFUNCTION("""COMPUTED_VALUE"""),237662.0)</f>
        <v>237662</v>
      </c>
    </row>
    <row r="29">
      <c r="A29" s="2">
        <f>IFERROR(__xludf.DUMMYFUNCTION("""COMPUTED_VALUE"""),40588.645833333336)</f>
        <v>40588.64583</v>
      </c>
      <c r="B29" s="1">
        <f>IFERROR(__xludf.DUMMYFUNCTION("""COMPUTED_VALUE"""),16780.0)</f>
        <v>16780</v>
      </c>
      <c r="C29" s="1">
        <f>IFERROR(__xludf.DUMMYFUNCTION("""COMPUTED_VALUE"""),17080.0)</f>
        <v>17080</v>
      </c>
      <c r="D29" s="1">
        <f>IFERROR(__xludf.DUMMYFUNCTION("""COMPUTED_VALUE"""),16700.0)</f>
        <v>16700</v>
      </c>
      <c r="E29" s="1">
        <f>IFERROR(__xludf.DUMMYFUNCTION("""COMPUTED_VALUE"""),17000.0)</f>
        <v>17000</v>
      </c>
      <c r="F29" s="1">
        <f>IFERROR(__xludf.DUMMYFUNCTION("""COMPUTED_VALUE"""),102868.0)</f>
        <v>102868</v>
      </c>
    </row>
    <row r="30">
      <c r="A30" s="2">
        <f>IFERROR(__xludf.DUMMYFUNCTION("""COMPUTED_VALUE"""),40589.645833333336)</f>
        <v>40589.64583</v>
      </c>
      <c r="B30" s="1">
        <f>IFERROR(__xludf.DUMMYFUNCTION("""COMPUTED_VALUE"""),17000.0)</f>
        <v>17000</v>
      </c>
      <c r="C30" s="1">
        <f>IFERROR(__xludf.DUMMYFUNCTION("""COMPUTED_VALUE"""),17360.0)</f>
        <v>17360</v>
      </c>
      <c r="D30" s="1">
        <f>IFERROR(__xludf.DUMMYFUNCTION("""COMPUTED_VALUE"""),16900.0)</f>
        <v>16900</v>
      </c>
      <c r="E30" s="1">
        <f>IFERROR(__xludf.DUMMYFUNCTION("""COMPUTED_VALUE"""),17280.0)</f>
        <v>17280</v>
      </c>
      <c r="F30" s="1">
        <f>IFERROR(__xludf.DUMMYFUNCTION("""COMPUTED_VALUE"""),315111.0)</f>
        <v>315111</v>
      </c>
    </row>
    <row r="31">
      <c r="A31" s="2">
        <f>IFERROR(__xludf.DUMMYFUNCTION("""COMPUTED_VALUE"""),40590.645833333336)</f>
        <v>40590.64583</v>
      </c>
      <c r="B31" s="1">
        <f>IFERROR(__xludf.DUMMYFUNCTION("""COMPUTED_VALUE"""),17440.0)</f>
        <v>17440</v>
      </c>
      <c r="C31" s="1">
        <f>IFERROR(__xludf.DUMMYFUNCTION("""COMPUTED_VALUE"""),17700.0)</f>
        <v>17700</v>
      </c>
      <c r="D31" s="1">
        <f>IFERROR(__xludf.DUMMYFUNCTION("""COMPUTED_VALUE"""),17120.0)</f>
        <v>17120</v>
      </c>
      <c r="E31" s="1">
        <f>IFERROR(__xludf.DUMMYFUNCTION("""COMPUTED_VALUE"""),17240.0)</f>
        <v>17240</v>
      </c>
      <c r="F31" s="1">
        <f>IFERROR(__xludf.DUMMYFUNCTION("""COMPUTED_VALUE"""),127444.0)</f>
        <v>127444</v>
      </c>
    </row>
    <row r="32">
      <c r="A32" s="2">
        <f>IFERROR(__xludf.DUMMYFUNCTION("""COMPUTED_VALUE"""),40591.645833333336)</f>
        <v>40591.64583</v>
      </c>
      <c r="B32" s="1">
        <f>IFERROR(__xludf.DUMMYFUNCTION("""COMPUTED_VALUE"""),17400.0)</f>
        <v>17400</v>
      </c>
      <c r="C32" s="1">
        <f>IFERROR(__xludf.DUMMYFUNCTION("""COMPUTED_VALUE"""),17480.0)</f>
        <v>17480</v>
      </c>
      <c r="D32" s="1">
        <f>IFERROR(__xludf.DUMMYFUNCTION("""COMPUTED_VALUE"""),16600.0)</f>
        <v>16600</v>
      </c>
      <c r="E32" s="1">
        <f>IFERROR(__xludf.DUMMYFUNCTION("""COMPUTED_VALUE"""),17420.0)</f>
        <v>17420</v>
      </c>
      <c r="F32" s="1">
        <f>IFERROR(__xludf.DUMMYFUNCTION("""COMPUTED_VALUE"""),155289.0)</f>
        <v>155289</v>
      </c>
    </row>
    <row r="33">
      <c r="A33" s="2">
        <f>IFERROR(__xludf.DUMMYFUNCTION("""COMPUTED_VALUE"""),40592.645833333336)</f>
        <v>40592.64583</v>
      </c>
      <c r="B33" s="1">
        <f>IFERROR(__xludf.DUMMYFUNCTION("""COMPUTED_VALUE"""),17420.0)</f>
        <v>17420</v>
      </c>
      <c r="C33" s="1">
        <f>IFERROR(__xludf.DUMMYFUNCTION("""COMPUTED_VALUE"""),17840.0)</f>
        <v>17840</v>
      </c>
      <c r="D33" s="1">
        <f>IFERROR(__xludf.DUMMYFUNCTION("""COMPUTED_VALUE"""),17220.0)</f>
        <v>17220</v>
      </c>
      <c r="E33" s="1">
        <f>IFERROR(__xludf.DUMMYFUNCTION("""COMPUTED_VALUE"""),17700.0)</f>
        <v>17700</v>
      </c>
      <c r="F33" s="1">
        <f>IFERROR(__xludf.DUMMYFUNCTION("""COMPUTED_VALUE"""),117350.0)</f>
        <v>117350</v>
      </c>
    </row>
    <row r="34">
      <c r="A34" s="2">
        <f>IFERROR(__xludf.DUMMYFUNCTION("""COMPUTED_VALUE"""),40595.645833333336)</f>
        <v>40595.64583</v>
      </c>
      <c r="B34" s="1">
        <f>IFERROR(__xludf.DUMMYFUNCTION("""COMPUTED_VALUE"""),17700.0)</f>
        <v>17700</v>
      </c>
      <c r="C34" s="1">
        <f>IFERROR(__xludf.DUMMYFUNCTION("""COMPUTED_VALUE"""),18000.0)</f>
        <v>18000</v>
      </c>
      <c r="D34" s="1">
        <f>IFERROR(__xludf.DUMMYFUNCTION("""COMPUTED_VALUE"""),17600.0)</f>
        <v>17600</v>
      </c>
      <c r="E34" s="1">
        <f>IFERROR(__xludf.DUMMYFUNCTION("""COMPUTED_VALUE"""),17900.0)</f>
        <v>17900</v>
      </c>
      <c r="F34" s="1">
        <f>IFERROR(__xludf.DUMMYFUNCTION("""COMPUTED_VALUE"""),191054.0)</f>
        <v>191054</v>
      </c>
    </row>
    <row r="35">
      <c r="A35" s="2">
        <f>IFERROR(__xludf.DUMMYFUNCTION("""COMPUTED_VALUE"""),40596.645833333336)</f>
        <v>40596.64583</v>
      </c>
      <c r="B35" s="1">
        <f>IFERROR(__xludf.DUMMYFUNCTION("""COMPUTED_VALUE"""),17800.0)</f>
        <v>17800</v>
      </c>
      <c r="C35" s="1">
        <f>IFERROR(__xludf.DUMMYFUNCTION("""COMPUTED_VALUE"""),18020.0)</f>
        <v>18020</v>
      </c>
      <c r="D35" s="1">
        <f>IFERROR(__xludf.DUMMYFUNCTION("""COMPUTED_VALUE"""),17640.0)</f>
        <v>17640</v>
      </c>
      <c r="E35" s="1">
        <f>IFERROR(__xludf.DUMMYFUNCTION("""COMPUTED_VALUE"""),17880.0)</f>
        <v>17880</v>
      </c>
      <c r="F35" s="1">
        <f>IFERROR(__xludf.DUMMYFUNCTION("""COMPUTED_VALUE"""),49246.0)</f>
        <v>49246</v>
      </c>
    </row>
    <row r="36">
      <c r="A36" s="2">
        <f>IFERROR(__xludf.DUMMYFUNCTION("""COMPUTED_VALUE"""),40597.645833333336)</f>
        <v>40597.64583</v>
      </c>
      <c r="B36" s="1">
        <f>IFERROR(__xludf.DUMMYFUNCTION("""COMPUTED_VALUE"""),17860.0)</f>
        <v>17860</v>
      </c>
      <c r="C36" s="1">
        <f>IFERROR(__xludf.DUMMYFUNCTION("""COMPUTED_VALUE"""),18000.0)</f>
        <v>18000</v>
      </c>
      <c r="D36" s="1">
        <f>IFERROR(__xludf.DUMMYFUNCTION("""COMPUTED_VALUE"""),17520.0)</f>
        <v>17520</v>
      </c>
      <c r="E36" s="1">
        <f>IFERROR(__xludf.DUMMYFUNCTION("""COMPUTED_VALUE"""),17900.0)</f>
        <v>17900</v>
      </c>
      <c r="F36" s="1">
        <f>IFERROR(__xludf.DUMMYFUNCTION("""COMPUTED_VALUE"""),123410.0)</f>
        <v>123410</v>
      </c>
    </row>
    <row r="37">
      <c r="A37" s="2">
        <f>IFERROR(__xludf.DUMMYFUNCTION("""COMPUTED_VALUE"""),40598.645833333336)</f>
        <v>40598.64583</v>
      </c>
      <c r="B37" s="1">
        <f>IFERROR(__xludf.DUMMYFUNCTION("""COMPUTED_VALUE"""),17900.0)</f>
        <v>17900</v>
      </c>
      <c r="C37" s="1">
        <f>IFERROR(__xludf.DUMMYFUNCTION("""COMPUTED_VALUE"""),18960.0)</f>
        <v>18960</v>
      </c>
      <c r="D37" s="1">
        <f>IFERROR(__xludf.DUMMYFUNCTION("""COMPUTED_VALUE"""),17800.0)</f>
        <v>17800</v>
      </c>
      <c r="E37" s="1">
        <f>IFERROR(__xludf.DUMMYFUNCTION("""COMPUTED_VALUE"""),18580.0)</f>
        <v>18580</v>
      </c>
      <c r="F37" s="1">
        <f>IFERROR(__xludf.DUMMYFUNCTION("""COMPUTED_VALUE"""),260848.0)</f>
        <v>260848</v>
      </c>
    </row>
    <row r="38">
      <c r="A38" s="2">
        <f>IFERROR(__xludf.DUMMYFUNCTION("""COMPUTED_VALUE"""),40599.645833333336)</f>
        <v>40599.64583</v>
      </c>
      <c r="B38" s="1">
        <f>IFERROR(__xludf.DUMMYFUNCTION("""COMPUTED_VALUE"""),18800.0)</f>
        <v>18800</v>
      </c>
      <c r="C38" s="1">
        <f>IFERROR(__xludf.DUMMYFUNCTION("""COMPUTED_VALUE"""),19900.0)</f>
        <v>19900</v>
      </c>
      <c r="D38" s="1">
        <f>IFERROR(__xludf.DUMMYFUNCTION("""COMPUTED_VALUE"""),18580.0)</f>
        <v>18580</v>
      </c>
      <c r="E38" s="1">
        <f>IFERROR(__xludf.DUMMYFUNCTION("""COMPUTED_VALUE"""),19560.0)</f>
        <v>19560</v>
      </c>
      <c r="F38" s="1">
        <f>IFERROR(__xludf.DUMMYFUNCTION("""COMPUTED_VALUE"""),205972.0)</f>
        <v>205972</v>
      </c>
    </row>
    <row r="39">
      <c r="A39" s="2">
        <f>IFERROR(__xludf.DUMMYFUNCTION("""COMPUTED_VALUE"""),40602.645833333336)</f>
        <v>40602.64583</v>
      </c>
      <c r="B39" s="1">
        <f>IFERROR(__xludf.DUMMYFUNCTION("""COMPUTED_VALUE"""),19800.0)</f>
        <v>19800</v>
      </c>
      <c r="C39" s="1">
        <f>IFERROR(__xludf.DUMMYFUNCTION("""COMPUTED_VALUE"""),19980.0)</f>
        <v>19980</v>
      </c>
      <c r="D39" s="1">
        <f>IFERROR(__xludf.DUMMYFUNCTION("""COMPUTED_VALUE"""),19000.0)</f>
        <v>19000</v>
      </c>
      <c r="E39" s="1">
        <f>IFERROR(__xludf.DUMMYFUNCTION("""COMPUTED_VALUE"""),19920.0)</f>
        <v>19920</v>
      </c>
      <c r="F39" s="1">
        <f>IFERROR(__xludf.DUMMYFUNCTION("""COMPUTED_VALUE"""),260076.0)</f>
        <v>260076</v>
      </c>
    </row>
    <row r="40">
      <c r="A40" s="2">
        <f>IFERROR(__xludf.DUMMYFUNCTION("""COMPUTED_VALUE"""),40604.645833333336)</f>
        <v>40604.64583</v>
      </c>
      <c r="B40" s="1">
        <f>IFERROR(__xludf.DUMMYFUNCTION("""COMPUTED_VALUE"""),19620.0)</f>
        <v>19620</v>
      </c>
      <c r="C40" s="1">
        <f>IFERROR(__xludf.DUMMYFUNCTION("""COMPUTED_VALUE"""),19920.0)</f>
        <v>19920</v>
      </c>
      <c r="D40" s="1">
        <f>IFERROR(__xludf.DUMMYFUNCTION("""COMPUTED_VALUE"""),18720.0)</f>
        <v>18720</v>
      </c>
      <c r="E40" s="1">
        <f>IFERROR(__xludf.DUMMYFUNCTION("""COMPUTED_VALUE"""),19160.0)</f>
        <v>19160</v>
      </c>
      <c r="F40" s="1">
        <f>IFERROR(__xludf.DUMMYFUNCTION("""COMPUTED_VALUE"""),244513.0)</f>
        <v>244513</v>
      </c>
    </row>
    <row r="41">
      <c r="A41" s="2">
        <f>IFERROR(__xludf.DUMMYFUNCTION("""COMPUTED_VALUE"""),40605.645833333336)</f>
        <v>40605.64583</v>
      </c>
      <c r="B41" s="1">
        <f>IFERROR(__xludf.DUMMYFUNCTION("""COMPUTED_VALUE"""),19080.0)</f>
        <v>19080</v>
      </c>
      <c r="C41" s="1">
        <f>IFERROR(__xludf.DUMMYFUNCTION("""COMPUTED_VALUE"""),19720.0)</f>
        <v>19720</v>
      </c>
      <c r="D41" s="1">
        <f>IFERROR(__xludf.DUMMYFUNCTION("""COMPUTED_VALUE"""),18760.0)</f>
        <v>18760</v>
      </c>
      <c r="E41" s="1">
        <f>IFERROR(__xludf.DUMMYFUNCTION("""COMPUTED_VALUE"""),19700.0)</f>
        <v>19700</v>
      </c>
      <c r="F41" s="1">
        <f>IFERROR(__xludf.DUMMYFUNCTION("""COMPUTED_VALUE"""),191668.0)</f>
        <v>191668</v>
      </c>
    </row>
    <row r="42">
      <c r="A42" s="2">
        <f>IFERROR(__xludf.DUMMYFUNCTION("""COMPUTED_VALUE"""),40606.645833333336)</f>
        <v>40606.64583</v>
      </c>
      <c r="B42" s="1">
        <f>IFERROR(__xludf.DUMMYFUNCTION("""COMPUTED_VALUE"""),19700.0)</f>
        <v>19700</v>
      </c>
      <c r="C42" s="1">
        <f>IFERROR(__xludf.DUMMYFUNCTION("""COMPUTED_VALUE"""),19700.0)</f>
        <v>19700</v>
      </c>
      <c r="D42" s="1">
        <f>IFERROR(__xludf.DUMMYFUNCTION("""COMPUTED_VALUE"""),18880.0)</f>
        <v>18880</v>
      </c>
      <c r="E42" s="1">
        <f>IFERROR(__xludf.DUMMYFUNCTION("""COMPUTED_VALUE"""),18920.0)</f>
        <v>18920</v>
      </c>
      <c r="F42" s="1">
        <f>IFERROR(__xludf.DUMMYFUNCTION("""COMPUTED_VALUE"""),200171.0)</f>
        <v>200171</v>
      </c>
    </row>
    <row r="43">
      <c r="A43" s="2">
        <f>IFERROR(__xludf.DUMMYFUNCTION("""COMPUTED_VALUE"""),40609.645833333336)</f>
        <v>40609.64583</v>
      </c>
      <c r="B43" s="1">
        <f>IFERROR(__xludf.DUMMYFUNCTION("""COMPUTED_VALUE"""),18820.0)</f>
        <v>18820</v>
      </c>
      <c r="C43" s="1">
        <f>IFERROR(__xludf.DUMMYFUNCTION("""COMPUTED_VALUE"""),19100.0)</f>
        <v>19100</v>
      </c>
      <c r="D43" s="1">
        <f>IFERROR(__xludf.DUMMYFUNCTION("""COMPUTED_VALUE"""),18520.0)</f>
        <v>18520</v>
      </c>
      <c r="E43" s="1">
        <f>IFERROR(__xludf.DUMMYFUNCTION("""COMPUTED_VALUE"""),18520.0)</f>
        <v>18520</v>
      </c>
      <c r="F43" s="1">
        <f>IFERROR(__xludf.DUMMYFUNCTION("""COMPUTED_VALUE"""),122015.0)</f>
        <v>122015</v>
      </c>
    </row>
    <row r="44">
      <c r="A44" s="2">
        <f>IFERROR(__xludf.DUMMYFUNCTION("""COMPUTED_VALUE"""),40610.645833333336)</f>
        <v>40610.64583</v>
      </c>
      <c r="B44" s="1">
        <f>IFERROR(__xludf.DUMMYFUNCTION("""COMPUTED_VALUE"""),18660.0)</f>
        <v>18660</v>
      </c>
      <c r="C44" s="1">
        <f>IFERROR(__xludf.DUMMYFUNCTION("""COMPUTED_VALUE"""),19120.0)</f>
        <v>19120</v>
      </c>
      <c r="D44" s="1">
        <f>IFERROR(__xludf.DUMMYFUNCTION("""COMPUTED_VALUE"""),18500.0)</f>
        <v>18500</v>
      </c>
      <c r="E44" s="1">
        <f>IFERROR(__xludf.DUMMYFUNCTION("""COMPUTED_VALUE"""),19080.0)</f>
        <v>19080</v>
      </c>
      <c r="F44" s="1">
        <f>IFERROR(__xludf.DUMMYFUNCTION("""COMPUTED_VALUE"""),100000.0)</f>
        <v>100000</v>
      </c>
    </row>
    <row r="45">
      <c r="A45" s="2">
        <f>IFERROR(__xludf.DUMMYFUNCTION("""COMPUTED_VALUE"""),40611.645833333336)</f>
        <v>40611.64583</v>
      </c>
      <c r="B45" s="1">
        <f>IFERROR(__xludf.DUMMYFUNCTION("""COMPUTED_VALUE"""),19100.0)</f>
        <v>19100</v>
      </c>
      <c r="C45" s="1">
        <f>IFERROR(__xludf.DUMMYFUNCTION("""COMPUTED_VALUE"""),19460.0)</f>
        <v>19460</v>
      </c>
      <c r="D45" s="1">
        <f>IFERROR(__xludf.DUMMYFUNCTION("""COMPUTED_VALUE"""),18840.0)</f>
        <v>18840</v>
      </c>
      <c r="E45" s="1">
        <f>IFERROR(__xludf.DUMMYFUNCTION("""COMPUTED_VALUE"""),19400.0)</f>
        <v>19400</v>
      </c>
      <c r="F45" s="1">
        <f>IFERROR(__xludf.DUMMYFUNCTION("""COMPUTED_VALUE"""),61052.0)</f>
        <v>61052</v>
      </c>
    </row>
    <row r="46">
      <c r="A46" s="2">
        <f>IFERROR(__xludf.DUMMYFUNCTION("""COMPUTED_VALUE"""),40612.645833333336)</f>
        <v>40612.64583</v>
      </c>
      <c r="B46" s="1">
        <f>IFERROR(__xludf.DUMMYFUNCTION("""COMPUTED_VALUE"""),19500.0)</f>
        <v>19500</v>
      </c>
      <c r="C46" s="1">
        <f>IFERROR(__xludf.DUMMYFUNCTION("""COMPUTED_VALUE"""),19520.0)</f>
        <v>19520</v>
      </c>
      <c r="D46" s="1">
        <f>IFERROR(__xludf.DUMMYFUNCTION("""COMPUTED_VALUE"""),18480.0)</f>
        <v>18480</v>
      </c>
      <c r="E46" s="1">
        <f>IFERROR(__xludf.DUMMYFUNCTION("""COMPUTED_VALUE"""),18980.0)</f>
        <v>18980</v>
      </c>
      <c r="F46" s="1">
        <f>IFERROR(__xludf.DUMMYFUNCTION("""COMPUTED_VALUE"""),120743.0)</f>
        <v>120743</v>
      </c>
    </row>
    <row r="47">
      <c r="A47" s="2">
        <f>IFERROR(__xludf.DUMMYFUNCTION("""COMPUTED_VALUE"""),40613.645833333336)</f>
        <v>40613.64583</v>
      </c>
      <c r="B47" s="1">
        <f>IFERROR(__xludf.DUMMYFUNCTION("""COMPUTED_VALUE"""),18780.0)</f>
        <v>18780</v>
      </c>
      <c r="C47" s="1">
        <f>IFERROR(__xludf.DUMMYFUNCTION("""COMPUTED_VALUE"""),18780.0)</f>
        <v>18780</v>
      </c>
      <c r="D47" s="1">
        <f>IFERROR(__xludf.DUMMYFUNCTION("""COMPUTED_VALUE"""),18240.0)</f>
        <v>18240</v>
      </c>
      <c r="E47" s="1">
        <f>IFERROR(__xludf.DUMMYFUNCTION("""COMPUTED_VALUE"""),18500.0)</f>
        <v>18500</v>
      </c>
      <c r="F47" s="1">
        <f>IFERROR(__xludf.DUMMYFUNCTION("""COMPUTED_VALUE"""),96587.0)</f>
        <v>96587</v>
      </c>
    </row>
    <row r="48">
      <c r="A48" s="2">
        <f>IFERROR(__xludf.DUMMYFUNCTION("""COMPUTED_VALUE"""),40616.645833333336)</f>
        <v>40616.64583</v>
      </c>
      <c r="B48" s="1">
        <f>IFERROR(__xludf.DUMMYFUNCTION("""COMPUTED_VALUE"""),18300.0)</f>
        <v>18300</v>
      </c>
      <c r="C48" s="1">
        <f>IFERROR(__xludf.DUMMYFUNCTION("""COMPUTED_VALUE"""),18580.0)</f>
        <v>18580</v>
      </c>
      <c r="D48" s="1">
        <f>IFERROR(__xludf.DUMMYFUNCTION("""COMPUTED_VALUE"""),17520.0)</f>
        <v>17520</v>
      </c>
      <c r="E48" s="1">
        <f>IFERROR(__xludf.DUMMYFUNCTION("""COMPUTED_VALUE"""),18200.0)</f>
        <v>18200</v>
      </c>
      <c r="F48" s="1">
        <f>IFERROR(__xludf.DUMMYFUNCTION("""COMPUTED_VALUE"""),118980.0)</f>
        <v>118980</v>
      </c>
    </row>
    <row r="49">
      <c r="A49" s="2">
        <f>IFERROR(__xludf.DUMMYFUNCTION("""COMPUTED_VALUE"""),40617.645833333336)</f>
        <v>40617.64583</v>
      </c>
      <c r="B49" s="1">
        <f>IFERROR(__xludf.DUMMYFUNCTION("""COMPUTED_VALUE"""),18200.0)</f>
        <v>18200</v>
      </c>
      <c r="C49" s="1">
        <f>IFERROR(__xludf.DUMMYFUNCTION("""COMPUTED_VALUE"""),18820.0)</f>
        <v>18820</v>
      </c>
      <c r="D49" s="1">
        <f>IFERROR(__xludf.DUMMYFUNCTION("""COMPUTED_VALUE"""),17200.0)</f>
        <v>17200</v>
      </c>
      <c r="E49" s="1">
        <f>IFERROR(__xludf.DUMMYFUNCTION("""COMPUTED_VALUE"""),18000.0)</f>
        <v>18000</v>
      </c>
      <c r="F49" s="1">
        <f>IFERROR(__xludf.DUMMYFUNCTION("""COMPUTED_VALUE"""),142000.0)</f>
        <v>142000</v>
      </c>
    </row>
    <row r="50">
      <c r="A50" s="2">
        <f>IFERROR(__xludf.DUMMYFUNCTION("""COMPUTED_VALUE"""),40618.645833333336)</f>
        <v>40618.64583</v>
      </c>
      <c r="B50" s="1">
        <f>IFERROR(__xludf.DUMMYFUNCTION("""COMPUTED_VALUE"""),18100.0)</f>
        <v>18100</v>
      </c>
      <c r="C50" s="1">
        <f>IFERROR(__xludf.DUMMYFUNCTION("""COMPUTED_VALUE"""),18480.0)</f>
        <v>18480</v>
      </c>
      <c r="D50" s="1">
        <f>IFERROR(__xludf.DUMMYFUNCTION("""COMPUTED_VALUE"""),17840.0)</f>
        <v>17840</v>
      </c>
      <c r="E50" s="1">
        <f>IFERROR(__xludf.DUMMYFUNCTION("""COMPUTED_VALUE"""),18040.0)</f>
        <v>18040</v>
      </c>
      <c r="F50" s="1">
        <f>IFERROR(__xludf.DUMMYFUNCTION("""COMPUTED_VALUE"""),121129.0)</f>
        <v>121129</v>
      </c>
    </row>
    <row r="51">
      <c r="A51" s="2">
        <f>IFERROR(__xludf.DUMMYFUNCTION("""COMPUTED_VALUE"""),40619.645833333336)</f>
        <v>40619.64583</v>
      </c>
      <c r="B51" s="1">
        <f>IFERROR(__xludf.DUMMYFUNCTION("""COMPUTED_VALUE"""),17600.0)</f>
        <v>17600</v>
      </c>
      <c r="C51" s="1">
        <f>IFERROR(__xludf.DUMMYFUNCTION("""COMPUTED_VALUE"""),18160.0)</f>
        <v>18160</v>
      </c>
      <c r="D51" s="1">
        <f>IFERROR(__xludf.DUMMYFUNCTION("""COMPUTED_VALUE"""),17540.0)</f>
        <v>17540</v>
      </c>
      <c r="E51" s="1">
        <f>IFERROR(__xludf.DUMMYFUNCTION("""COMPUTED_VALUE"""),18140.0)</f>
        <v>18140</v>
      </c>
      <c r="F51" s="1">
        <f>IFERROR(__xludf.DUMMYFUNCTION("""COMPUTED_VALUE"""),59451.0)</f>
        <v>59451</v>
      </c>
    </row>
    <row r="52">
      <c r="A52" s="2">
        <f>IFERROR(__xludf.DUMMYFUNCTION("""COMPUTED_VALUE"""),40620.645833333336)</f>
        <v>40620.64583</v>
      </c>
      <c r="B52" s="1">
        <f>IFERROR(__xludf.DUMMYFUNCTION("""COMPUTED_VALUE"""),18160.0)</f>
        <v>18160</v>
      </c>
      <c r="C52" s="1">
        <f>IFERROR(__xludf.DUMMYFUNCTION("""COMPUTED_VALUE"""),18540.0)</f>
        <v>18540</v>
      </c>
      <c r="D52" s="1">
        <f>IFERROR(__xludf.DUMMYFUNCTION("""COMPUTED_VALUE"""),18120.0)</f>
        <v>18120</v>
      </c>
      <c r="E52" s="1">
        <f>IFERROR(__xludf.DUMMYFUNCTION("""COMPUTED_VALUE"""),18200.0)</f>
        <v>18200</v>
      </c>
      <c r="F52" s="1">
        <f>IFERROR(__xludf.DUMMYFUNCTION("""COMPUTED_VALUE"""),109999.0)</f>
        <v>109999</v>
      </c>
    </row>
    <row r="53">
      <c r="A53" s="2">
        <f>IFERROR(__xludf.DUMMYFUNCTION("""COMPUTED_VALUE"""),40623.645833333336)</f>
        <v>40623.64583</v>
      </c>
      <c r="B53" s="1">
        <f>IFERROR(__xludf.DUMMYFUNCTION("""COMPUTED_VALUE"""),18240.0)</f>
        <v>18240</v>
      </c>
      <c r="C53" s="1">
        <f>IFERROR(__xludf.DUMMYFUNCTION("""COMPUTED_VALUE"""),18340.0)</f>
        <v>18340</v>
      </c>
      <c r="D53" s="1">
        <f>IFERROR(__xludf.DUMMYFUNCTION("""COMPUTED_VALUE"""),17780.0)</f>
        <v>17780</v>
      </c>
      <c r="E53" s="1">
        <f>IFERROR(__xludf.DUMMYFUNCTION("""COMPUTED_VALUE"""),18080.0)</f>
        <v>18080</v>
      </c>
      <c r="F53" s="1">
        <f>IFERROR(__xludf.DUMMYFUNCTION("""COMPUTED_VALUE"""),113659.0)</f>
        <v>113659</v>
      </c>
    </row>
    <row r="54">
      <c r="A54" s="2">
        <f>IFERROR(__xludf.DUMMYFUNCTION("""COMPUTED_VALUE"""),40624.645833333336)</f>
        <v>40624.64583</v>
      </c>
      <c r="B54" s="1">
        <f>IFERROR(__xludf.DUMMYFUNCTION("""COMPUTED_VALUE"""),18180.0)</f>
        <v>18180</v>
      </c>
      <c r="C54" s="1">
        <f>IFERROR(__xludf.DUMMYFUNCTION("""COMPUTED_VALUE"""),18400.0)</f>
        <v>18400</v>
      </c>
      <c r="D54" s="1">
        <f>IFERROR(__xludf.DUMMYFUNCTION("""COMPUTED_VALUE"""),17920.0)</f>
        <v>17920</v>
      </c>
      <c r="E54" s="1">
        <f>IFERROR(__xludf.DUMMYFUNCTION("""COMPUTED_VALUE"""),18400.0)</f>
        <v>18400</v>
      </c>
      <c r="F54" s="1">
        <f>IFERROR(__xludf.DUMMYFUNCTION("""COMPUTED_VALUE"""),88299.0)</f>
        <v>88299</v>
      </c>
    </row>
    <row r="55">
      <c r="A55" s="2">
        <f>IFERROR(__xludf.DUMMYFUNCTION("""COMPUTED_VALUE"""),40625.645833333336)</f>
        <v>40625.64583</v>
      </c>
      <c r="B55" s="1">
        <f>IFERROR(__xludf.DUMMYFUNCTION("""COMPUTED_VALUE"""),18480.0)</f>
        <v>18480</v>
      </c>
      <c r="C55" s="1">
        <f>IFERROR(__xludf.DUMMYFUNCTION("""COMPUTED_VALUE"""),19340.0)</f>
        <v>19340</v>
      </c>
      <c r="D55" s="1">
        <f>IFERROR(__xludf.DUMMYFUNCTION("""COMPUTED_VALUE"""),18320.0)</f>
        <v>18320</v>
      </c>
      <c r="E55" s="1">
        <f>IFERROR(__xludf.DUMMYFUNCTION("""COMPUTED_VALUE"""),19160.0)</f>
        <v>19160</v>
      </c>
      <c r="F55" s="1">
        <f>IFERROR(__xludf.DUMMYFUNCTION("""COMPUTED_VALUE"""),114634.0)</f>
        <v>114634</v>
      </c>
    </row>
    <row r="56">
      <c r="A56" s="2">
        <f>IFERROR(__xludf.DUMMYFUNCTION("""COMPUTED_VALUE"""),40626.645833333336)</f>
        <v>40626.64583</v>
      </c>
      <c r="B56" s="1">
        <f>IFERROR(__xludf.DUMMYFUNCTION("""COMPUTED_VALUE"""),19200.0)</f>
        <v>19200</v>
      </c>
      <c r="C56" s="1">
        <f>IFERROR(__xludf.DUMMYFUNCTION("""COMPUTED_VALUE"""),19500.0)</f>
        <v>19500</v>
      </c>
      <c r="D56" s="1">
        <f>IFERROR(__xludf.DUMMYFUNCTION("""COMPUTED_VALUE"""),18920.0)</f>
        <v>18920</v>
      </c>
      <c r="E56" s="1">
        <f>IFERROR(__xludf.DUMMYFUNCTION("""COMPUTED_VALUE"""),19480.0)</f>
        <v>19480</v>
      </c>
      <c r="F56" s="1">
        <f>IFERROR(__xludf.DUMMYFUNCTION("""COMPUTED_VALUE"""),188036.0)</f>
        <v>188036</v>
      </c>
    </row>
    <row r="57">
      <c r="A57" s="2">
        <f>IFERROR(__xludf.DUMMYFUNCTION("""COMPUTED_VALUE"""),40627.645833333336)</f>
        <v>40627.64583</v>
      </c>
      <c r="B57" s="1">
        <f>IFERROR(__xludf.DUMMYFUNCTION("""COMPUTED_VALUE"""),19640.0)</f>
        <v>19640</v>
      </c>
      <c r="C57" s="1">
        <f>IFERROR(__xludf.DUMMYFUNCTION("""COMPUTED_VALUE"""),19640.0)</f>
        <v>19640</v>
      </c>
      <c r="D57" s="1">
        <f>IFERROR(__xludf.DUMMYFUNCTION("""COMPUTED_VALUE"""),19060.0)</f>
        <v>19060</v>
      </c>
      <c r="E57" s="1">
        <f>IFERROR(__xludf.DUMMYFUNCTION("""COMPUTED_VALUE"""),19360.0)</f>
        <v>19360</v>
      </c>
      <c r="F57" s="1">
        <f>IFERROR(__xludf.DUMMYFUNCTION("""COMPUTED_VALUE"""),72883.0)</f>
        <v>72883</v>
      </c>
    </row>
    <row r="58">
      <c r="A58" s="2">
        <f>IFERROR(__xludf.DUMMYFUNCTION("""COMPUTED_VALUE"""),40630.645833333336)</f>
        <v>40630.64583</v>
      </c>
      <c r="B58" s="1">
        <f>IFERROR(__xludf.DUMMYFUNCTION("""COMPUTED_VALUE"""),19360.0)</f>
        <v>19360</v>
      </c>
      <c r="C58" s="1">
        <f>IFERROR(__xludf.DUMMYFUNCTION("""COMPUTED_VALUE"""),19760.0)</f>
        <v>19760</v>
      </c>
      <c r="D58" s="1">
        <f>IFERROR(__xludf.DUMMYFUNCTION("""COMPUTED_VALUE"""),19140.0)</f>
        <v>19140</v>
      </c>
      <c r="E58" s="1">
        <f>IFERROR(__xludf.DUMMYFUNCTION("""COMPUTED_VALUE"""),19760.0)</f>
        <v>19760</v>
      </c>
      <c r="F58" s="1">
        <f>IFERROR(__xludf.DUMMYFUNCTION("""COMPUTED_VALUE"""),107132.0)</f>
        <v>107132</v>
      </c>
    </row>
    <row r="59">
      <c r="A59" s="2">
        <f>IFERROR(__xludf.DUMMYFUNCTION("""COMPUTED_VALUE"""),40631.645833333336)</f>
        <v>40631.64583</v>
      </c>
      <c r="B59" s="1">
        <f>IFERROR(__xludf.DUMMYFUNCTION("""COMPUTED_VALUE"""),19740.0)</f>
        <v>19740</v>
      </c>
      <c r="C59" s="1">
        <f>IFERROR(__xludf.DUMMYFUNCTION("""COMPUTED_VALUE"""),20180.0)</f>
        <v>20180</v>
      </c>
      <c r="D59" s="1">
        <f>IFERROR(__xludf.DUMMYFUNCTION("""COMPUTED_VALUE"""),19660.0)</f>
        <v>19660</v>
      </c>
      <c r="E59" s="1">
        <f>IFERROR(__xludf.DUMMYFUNCTION("""COMPUTED_VALUE"""),19660.0)</f>
        <v>19660</v>
      </c>
      <c r="F59" s="1">
        <f>IFERROR(__xludf.DUMMYFUNCTION("""COMPUTED_VALUE"""),182238.0)</f>
        <v>182238</v>
      </c>
    </row>
    <row r="60">
      <c r="A60" s="2">
        <f>IFERROR(__xludf.DUMMYFUNCTION("""COMPUTED_VALUE"""),40632.645833333336)</f>
        <v>40632.64583</v>
      </c>
      <c r="B60" s="1">
        <f>IFERROR(__xludf.DUMMYFUNCTION("""COMPUTED_VALUE"""),19780.0)</f>
        <v>19780</v>
      </c>
      <c r="C60" s="1">
        <f>IFERROR(__xludf.DUMMYFUNCTION("""COMPUTED_VALUE"""),20060.0)</f>
        <v>20060</v>
      </c>
      <c r="D60" s="1">
        <f>IFERROR(__xludf.DUMMYFUNCTION("""COMPUTED_VALUE"""),19600.0)</f>
        <v>19600</v>
      </c>
      <c r="E60" s="1">
        <f>IFERROR(__xludf.DUMMYFUNCTION("""COMPUTED_VALUE"""),19960.0)</f>
        <v>19960</v>
      </c>
      <c r="F60" s="1">
        <f>IFERROR(__xludf.DUMMYFUNCTION("""COMPUTED_VALUE"""),84545.0)</f>
        <v>84545</v>
      </c>
    </row>
    <row r="61">
      <c r="A61" s="2">
        <f>IFERROR(__xludf.DUMMYFUNCTION("""COMPUTED_VALUE"""),40633.645833333336)</f>
        <v>40633.64583</v>
      </c>
      <c r="B61" s="1">
        <f>IFERROR(__xludf.DUMMYFUNCTION("""COMPUTED_VALUE"""),20180.0)</f>
        <v>20180</v>
      </c>
      <c r="C61" s="1">
        <f>IFERROR(__xludf.DUMMYFUNCTION("""COMPUTED_VALUE"""),20180.0)</f>
        <v>20180</v>
      </c>
      <c r="D61" s="1">
        <f>IFERROR(__xludf.DUMMYFUNCTION("""COMPUTED_VALUE"""),19600.0)</f>
        <v>19600</v>
      </c>
      <c r="E61" s="1">
        <f>IFERROR(__xludf.DUMMYFUNCTION("""COMPUTED_VALUE"""),19600.0)</f>
        <v>19600</v>
      </c>
      <c r="F61" s="1">
        <f>IFERROR(__xludf.DUMMYFUNCTION("""COMPUTED_VALUE"""),53688.0)</f>
        <v>53688</v>
      </c>
    </row>
    <row r="62">
      <c r="A62" s="2">
        <f>IFERROR(__xludf.DUMMYFUNCTION("""COMPUTED_VALUE"""),40634.645833333336)</f>
        <v>40634.64583</v>
      </c>
      <c r="B62" s="1">
        <f>IFERROR(__xludf.DUMMYFUNCTION("""COMPUTED_VALUE"""),19560.0)</f>
        <v>19560</v>
      </c>
      <c r="C62" s="1">
        <f>IFERROR(__xludf.DUMMYFUNCTION("""COMPUTED_VALUE"""),19940.0)</f>
        <v>19940</v>
      </c>
      <c r="D62" s="1">
        <f>IFERROR(__xludf.DUMMYFUNCTION("""COMPUTED_VALUE"""),19440.0)</f>
        <v>19440</v>
      </c>
      <c r="E62" s="1">
        <f>IFERROR(__xludf.DUMMYFUNCTION("""COMPUTED_VALUE"""),19860.0)</f>
        <v>19860</v>
      </c>
      <c r="F62" s="1">
        <f>IFERROR(__xludf.DUMMYFUNCTION("""COMPUTED_VALUE"""),90344.0)</f>
        <v>90344</v>
      </c>
    </row>
    <row r="63">
      <c r="A63" s="2">
        <f>IFERROR(__xludf.DUMMYFUNCTION("""COMPUTED_VALUE"""),40637.645833333336)</f>
        <v>40637.64583</v>
      </c>
      <c r="B63" s="1">
        <f>IFERROR(__xludf.DUMMYFUNCTION("""COMPUTED_VALUE"""),19960.0)</f>
        <v>19960</v>
      </c>
      <c r="C63" s="1">
        <f>IFERROR(__xludf.DUMMYFUNCTION("""COMPUTED_VALUE"""),20260.0)</f>
        <v>20260</v>
      </c>
      <c r="D63" s="1">
        <f>IFERROR(__xludf.DUMMYFUNCTION("""COMPUTED_VALUE"""),19480.0)</f>
        <v>19480</v>
      </c>
      <c r="E63" s="1">
        <f>IFERROR(__xludf.DUMMYFUNCTION("""COMPUTED_VALUE"""),19760.0)</f>
        <v>19760</v>
      </c>
      <c r="F63" s="1">
        <f>IFERROR(__xludf.DUMMYFUNCTION("""COMPUTED_VALUE"""),99818.0)</f>
        <v>99818</v>
      </c>
    </row>
    <row r="64">
      <c r="A64" s="2">
        <f>IFERROR(__xludf.DUMMYFUNCTION("""COMPUTED_VALUE"""),40638.645833333336)</f>
        <v>40638.64583</v>
      </c>
      <c r="B64" s="1">
        <f>IFERROR(__xludf.DUMMYFUNCTION("""COMPUTED_VALUE"""),19640.0)</f>
        <v>19640</v>
      </c>
      <c r="C64" s="1">
        <f>IFERROR(__xludf.DUMMYFUNCTION("""COMPUTED_VALUE"""),20000.0)</f>
        <v>20000</v>
      </c>
      <c r="D64" s="1">
        <f>IFERROR(__xludf.DUMMYFUNCTION("""COMPUTED_VALUE"""),19500.0)</f>
        <v>19500</v>
      </c>
      <c r="E64" s="1">
        <f>IFERROR(__xludf.DUMMYFUNCTION("""COMPUTED_VALUE"""),19960.0)</f>
        <v>19960</v>
      </c>
      <c r="F64" s="1">
        <f>IFERROR(__xludf.DUMMYFUNCTION("""COMPUTED_VALUE"""),62846.0)</f>
        <v>62846</v>
      </c>
    </row>
    <row r="65">
      <c r="A65" s="2">
        <f>IFERROR(__xludf.DUMMYFUNCTION("""COMPUTED_VALUE"""),40639.645833333336)</f>
        <v>40639.64583</v>
      </c>
      <c r="B65" s="1">
        <f>IFERROR(__xludf.DUMMYFUNCTION("""COMPUTED_VALUE"""),19860.0)</f>
        <v>19860</v>
      </c>
      <c r="C65" s="1">
        <f>IFERROR(__xludf.DUMMYFUNCTION("""COMPUTED_VALUE"""),19960.0)</f>
        <v>19960</v>
      </c>
      <c r="D65" s="1">
        <f>IFERROR(__xludf.DUMMYFUNCTION("""COMPUTED_VALUE"""),19640.0)</f>
        <v>19640</v>
      </c>
      <c r="E65" s="1">
        <f>IFERROR(__xludf.DUMMYFUNCTION("""COMPUTED_VALUE"""),19640.0)</f>
        <v>19640</v>
      </c>
      <c r="F65" s="1">
        <f>IFERROR(__xludf.DUMMYFUNCTION("""COMPUTED_VALUE"""),40897.0)</f>
        <v>40897</v>
      </c>
    </row>
    <row r="66">
      <c r="A66" s="2">
        <f>IFERROR(__xludf.DUMMYFUNCTION("""COMPUTED_VALUE"""),40640.645833333336)</f>
        <v>40640.64583</v>
      </c>
      <c r="B66" s="1">
        <f>IFERROR(__xludf.DUMMYFUNCTION("""COMPUTED_VALUE"""),19720.0)</f>
        <v>19720</v>
      </c>
      <c r="C66" s="1">
        <f>IFERROR(__xludf.DUMMYFUNCTION("""COMPUTED_VALUE"""),20160.0)</f>
        <v>20160</v>
      </c>
      <c r="D66" s="1">
        <f>IFERROR(__xludf.DUMMYFUNCTION("""COMPUTED_VALUE"""),19600.0)</f>
        <v>19600</v>
      </c>
      <c r="E66" s="1">
        <f>IFERROR(__xludf.DUMMYFUNCTION("""COMPUTED_VALUE"""),19780.0)</f>
        <v>19780</v>
      </c>
      <c r="F66" s="1">
        <f>IFERROR(__xludf.DUMMYFUNCTION("""COMPUTED_VALUE"""),94719.0)</f>
        <v>94719</v>
      </c>
    </row>
    <row r="67">
      <c r="A67" s="2">
        <f>IFERROR(__xludf.DUMMYFUNCTION("""COMPUTED_VALUE"""),40641.645833333336)</f>
        <v>40641.64583</v>
      </c>
      <c r="B67" s="1">
        <f>IFERROR(__xludf.DUMMYFUNCTION("""COMPUTED_VALUE"""),19860.0)</f>
        <v>19860</v>
      </c>
      <c r="C67" s="1">
        <f>IFERROR(__xludf.DUMMYFUNCTION("""COMPUTED_VALUE"""),19940.0)</f>
        <v>19940</v>
      </c>
      <c r="D67" s="1">
        <f>IFERROR(__xludf.DUMMYFUNCTION("""COMPUTED_VALUE"""),19620.0)</f>
        <v>19620</v>
      </c>
      <c r="E67" s="1">
        <f>IFERROR(__xludf.DUMMYFUNCTION("""COMPUTED_VALUE"""),19700.0)</f>
        <v>19700</v>
      </c>
      <c r="F67" s="1">
        <f>IFERROR(__xludf.DUMMYFUNCTION("""COMPUTED_VALUE"""),91177.0)</f>
        <v>91177</v>
      </c>
    </row>
    <row r="68">
      <c r="A68" s="2">
        <f>IFERROR(__xludf.DUMMYFUNCTION("""COMPUTED_VALUE"""),40644.645833333336)</f>
        <v>40644.64583</v>
      </c>
      <c r="B68" s="1">
        <f>IFERROR(__xludf.DUMMYFUNCTION("""COMPUTED_VALUE"""),19820.0)</f>
        <v>19820</v>
      </c>
      <c r="C68" s="1">
        <f>IFERROR(__xludf.DUMMYFUNCTION("""COMPUTED_VALUE"""),20160.0)</f>
        <v>20160</v>
      </c>
      <c r="D68" s="1">
        <f>IFERROR(__xludf.DUMMYFUNCTION("""COMPUTED_VALUE"""),19540.0)</f>
        <v>19540</v>
      </c>
      <c r="E68" s="1">
        <f>IFERROR(__xludf.DUMMYFUNCTION("""COMPUTED_VALUE"""),19600.0)</f>
        <v>19600</v>
      </c>
      <c r="F68" s="1">
        <f>IFERROR(__xludf.DUMMYFUNCTION("""COMPUTED_VALUE"""),81740.0)</f>
        <v>81740</v>
      </c>
    </row>
    <row r="69">
      <c r="A69" s="2">
        <f>IFERROR(__xludf.DUMMYFUNCTION("""COMPUTED_VALUE"""),40645.645833333336)</f>
        <v>40645.64583</v>
      </c>
      <c r="B69" s="1">
        <f>IFERROR(__xludf.DUMMYFUNCTION("""COMPUTED_VALUE"""),19600.0)</f>
        <v>19600</v>
      </c>
      <c r="C69" s="1">
        <f>IFERROR(__xludf.DUMMYFUNCTION("""COMPUTED_VALUE"""),19780.0)</f>
        <v>19780</v>
      </c>
      <c r="D69" s="1">
        <f>IFERROR(__xludf.DUMMYFUNCTION("""COMPUTED_VALUE"""),18920.0)</f>
        <v>18920</v>
      </c>
      <c r="E69" s="1">
        <f>IFERROR(__xludf.DUMMYFUNCTION("""COMPUTED_VALUE"""),19600.0)</f>
        <v>19600</v>
      </c>
      <c r="F69" s="1">
        <f>IFERROR(__xludf.DUMMYFUNCTION("""COMPUTED_VALUE"""),144545.0)</f>
        <v>144545</v>
      </c>
    </row>
    <row r="70">
      <c r="A70" s="2">
        <f>IFERROR(__xludf.DUMMYFUNCTION("""COMPUTED_VALUE"""),40646.645833333336)</f>
        <v>40646.64583</v>
      </c>
      <c r="B70" s="1">
        <f>IFERROR(__xludf.DUMMYFUNCTION("""COMPUTED_VALUE"""),19700.0)</f>
        <v>19700</v>
      </c>
      <c r="C70" s="1">
        <f>IFERROR(__xludf.DUMMYFUNCTION("""COMPUTED_VALUE"""),19780.0)</f>
        <v>19780</v>
      </c>
      <c r="D70" s="1">
        <f>IFERROR(__xludf.DUMMYFUNCTION("""COMPUTED_VALUE"""),19220.0)</f>
        <v>19220</v>
      </c>
      <c r="E70" s="1">
        <f>IFERROR(__xludf.DUMMYFUNCTION("""COMPUTED_VALUE"""),19760.0)</f>
        <v>19760</v>
      </c>
      <c r="F70" s="1">
        <f>IFERROR(__xludf.DUMMYFUNCTION("""COMPUTED_VALUE"""),102522.0)</f>
        <v>102522</v>
      </c>
    </row>
    <row r="71">
      <c r="A71" s="2">
        <f>IFERROR(__xludf.DUMMYFUNCTION("""COMPUTED_VALUE"""),40647.645833333336)</f>
        <v>40647.64583</v>
      </c>
      <c r="B71" s="1">
        <f>IFERROR(__xludf.DUMMYFUNCTION("""COMPUTED_VALUE"""),19540.0)</f>
        <v>19540</v>
      </c>
      <c r="C71" s="1">
        <f>IFERROR(__xludf.DUMMYFUNCTION("""COMPUTED_VALUE"""),20780.0)</f>
        <v>20780</v>
      </c>
      <c r="D71" s="1">
        <f>IFERROR(__xludf.DUMMYFUNCTION("""COMPUTED_VALUE"""),19540.0)</f>
        <v>19540</v>
      </c>
      <c r="E71" s="1">
        <f>IFERROR(__xludf.DUMMYFUNCTION("""COMPUTED_VALUE"""),20780.0)</f>
        <v>20780</v>
      </c>
      <c r="F71" s="1">
        <f>IFERROR(__xludf.DUMMYFUNCTION("""COMPUTED_VALUE"""),269170.0)</f>
        <v>269170</v>
      </c>
    </row>
    <row r="72">
      <c r="A72" s="2">
        <f>IFERROR(__xludf.DUMMYFUNCTION("""COMPUTED_VALUE"""),40648.645833333336)</f>
        <v>40648.64583</v>
      </c>
      <c r="B72" s="1">
        <f>IFERROR(__xludf.DUMMYFUNCTION("""COMPUTED_VALUE"""),21060.0)</f>
        <v>21060</v>
      </c>
      <c r="C72" s="1">
        <f>IFERROR(__xludf.DUMMYFUNCTION("""COMPUTED_VALUE"""),22000.0)</f>
        <v>22000</v>
      </c>
      <c r="D72" s="1">
        <f>IFERROR(__xludf.DUMMYFUNCTION("""COMPUTED_VALUE"""),20860.0)</f>
        <v>20860</v>
      </c>
      <c r="E72" s="1">
        <f>IFERROR(__xludf.DUMMYFUNCTION("""COMPUTED_VALUE"""),21720.0)</f>
        <v>21720</v>
      </c>
      <c r="F72" s="1">
        <f>IFERROR(__xludf.DUMMYFUNCTION("""COMPUTED_VALUE"""),283642.0)</f>
        <v>283642</v>
      </c>
    </row>
    <row r="73">
      <c r="A73" s="2">
        <f>IFERROR(__xludf.DUMMYFUNCTION("""COMPUTED_VALUE"""),40651.645833333336)</f>
        <v>40651.64583</v>
      </c>
      <c r="B73" s="1">
        <f>IFERROR(__xludf.DUMMYFUNCTION("""COMPUTED_VALUE"""),21400.0)</f>
        <v>21400</v>
      </c>
      <c r="C73" s="1">
        <f>IFERROR(__xludf.DUMMYFUNCTION("""COMPUTED_VALUE"""),21660.0)</f>
        <v>21660</v>
      </c>
      <c r="D73" s="1">
        <f>IFERROR(__xludf.DUMMYFUNCTION("""COMPUTED_VALUE"""),21080.0)</f>
        <v>21080</v>
      </c>
      <c r="E73" s="1">
        <f>IFERROR(__xludf.DUMMYFUNCTION("""COMPUTED_VALUE"""),21320.0)</f>
        <v>21320</v>
      </c>
      <c r="F73" s="1">
        <f>IFERROR(__xludf.DUMMYFUNCTION("""COMPUTED_VALUE"""),73060.0)</f>
        <v>73060</v>
      </c>
    </row>
    <row r="74">
      <c r="A74" s="2">
        <f>IFERROR(__xludf.DUMMYFUNCTION("""COMPUTED_VALUE"""),40652.645833333336)</f>
        <v>40652.64583</v>
      </c>
      <c r="B74" s="1">
        <f>IFERROR(__xludf.DUMMYFUNCTION("""COMPUTED_VALUE"""),21320.0)</f>
        <v>21320</v>
      </c>
      <c r="C74" s="1">
        <f>IFERROR(__xludf.DUMMYFUNCTION("""COMPUTED_VALUE"""),22000.0)</f>
        <v>22000</v>
      </c>
      <c r="D74" s="1">
        <f>IFERROR(__xludf.DUMMYFUNCTION("""COMPUTED_VALUE"""),21080.0)</f>
        <v>21080</v>
      </c>
      <c r="E74" s="1">
        <f>IFERROR(__xludf.DUMMYFUNCTION("""COMPUTED_VALUE"""),21740.0)</f>
        <v>21740</v>
      </c>
      <c r="F74" s="1">
        <f>IFERROR(__xludf.DUMMYFUNCTION("""COMPUTED_VALUE"""),119357.0)</f>
        <v>119357</v>
      </c>
    </row>
    <row r="75">
      <c r="A75" s="2">
        <f>IFERROR(__xludf.DUMMYFUNCTION("""COMPUTED_VALUE"""),40653.645833333336)</f>
        <v>40653.64583</v>
      </c>
      <c r="B75" s="1">
        <f>IFERROR(__xludf.DUMMYFUNCTION("""COMPUTED_VALUE"""),21940.0)</f>
        <v>21940</v>
      </c>
      <c r="C75" s="1">
        <f>IFERROR(__xludf.DUMMYFUNCTION("""COMPUTED_VALUE"""),22000.0)</f>
        <v>22000</v>
      </c>
      <c r="D75" s="1">
        <f>IFERROR(__xludf.DUMMYFUNCTION("""COMPUTED_VALUE"""),21440.0)</f>
        <v>21440</v>
      </c>
      <c r="E75" s="1">
        <f>IFERROR(__xludf.DUMMYFUNCTION("""COMPUTED_VALUE"""),21800.0)</f>
        <v>21800</v>
      </c>
      <c r="F75" s="1">
        <f>IFERROR(__xludf.DUMMYFUNCTION("""COMPUTED_VALUE"""),69021.0)</f>
        <v>69021</v>
      </c>
    </row>
    <row r="76">
      <c r="A76" s="2">
        <f>IFERROR(__xludf.DUMMYFUNCTION("""COMPUTED_VALUE"""),40654.645833333336)</f>
        <v>40654.64583</v>
      </c>
      <c r="B76" s="1">
        <f>IFERROR(__xludf.DUMMYFUNCTION("""COMPUTED_VALUE"""),21760.0)</f>
        <v>21760</v>
      </c>
      <c r="C76" s="1">
        <f>IFERROR(__xludf.DUMMYFUNCTION("""COMPUTED_VALUE"""),21900.0)</f>
        <v>21900</v>
      </c>
      <c r="D76" s="1">
        <f>IFERROR(__xludf.DUMMYFUNCTION("""COMPUTED_VALUE"""),20860.0)</f>
        <v>20860</v>
      </c>
      <c r="E76" s="1">
        <f>IFERROR(__xludf.DUMMYFUNCTION("""COMPUTED_VALUE"""),21900.0)</f>
        <v>21900</v>
      </c>
      <c r="F76" s="1">
        <f>IFERROR(__xludf.DUMMYFUNCTION("""COMPUTED_VALUE"""),208532.0)</f>
        <v>208532</v>
      </c>
    </row>
    <row r="77">
      <c r="A77" s="2">
        <f>IFERROR(__xludf.DUMMYFUNCTION("""COMPUTED_VALUE"""),40655.645833333336)</f>
        <v>40655.64583</v>
      </c>
      <c r="B77" s="1">
        <f>IFERROR(__xludf.DUMMYFUNCTION("""COMPUTED_VALUE"""),21900.0)</f>
        <v>21900</v>
      </c>
      <c r="C77" s="1">
        <f>IFERROR(__xludf.DUMMYFUNCTION("""COMPUTED_VALUE"""),21900.0)</f>
        <v>21900</v>
      </c>
      <c r="D77" s="1">
        <f>IFERROR(__xludf.DUMMYFUNCTION("""COMPUTED_VALUE"""),21040.0)</f>
        <v>21040</v>
      </c>
      <c r="E77" s="1">
        <f>IFERROR(__xludf.DUMMYFUNCTION("""COMPUTED_VALUE"""),21040.0)</f>
        <v>21040</v>
      </c>
      <c r="F77" s="1">
        <f>IFERROR(__xludf.DUMMYFUNCTION("""COMPUTED_VALUE"""),123770.0)</f>
        <v>123770</v>
      </c>
    </row>
    <row r="78">
      <c r="A78" s="2">
        <f>IFERROR(__xludf.DUMMYFUNCTION("""COMPUTED_VALUE"""),40658.645833333336)</f>
        <v>40658.64583</v>
      </c>
      <c r="B78" s="1">
        <f>IFERROR(__xludf.DUMMYFUNCTION("""COMPUTED_VALUE"""),20900.0)</f>
        <v>20900</v>
      </c>
      <c r="C78" s="1">
        <f>IFERROR(__xludf.DUMMYFUNCTION("""COMPUTED_VALUE"""),21180.0)</f>
        <v>21180</v>
      </c>
      <c r="D78" s="1">
        <f>IFERROR(__xludf.DUMMYFUNCTION("""COMPUTED_VALUE"""),20620.0)</f>
        <v>20620</v>
      </c>
      <c r="E78" s="1">
        <f>IFERROR(__xludf.DUMMYFUNCTION("""COMPUTED_VALUE"""),21000.0)</f>
        <v>21000</v>
      </c>
      <c r="F78" s="1">
        <f>IFERROR(__xludf.DUMMYFUNCTION("""COMPUTED_VALUE"""),83619.0)</f>
        <v>83619</v>
      </c>
    </row>
    <row r="79">
      <c r="A79" s="2">
        <f>IFERROR(__xludf.DUMMYFUNCTION("""COMPUTED_VALUE"""),40659.645833333336)</f>
        <v>40659.64583</v>
      </c>
      <c r="B79" s="1">
        <f>IFERROR(__xludf.DUMMYFUNCTION("""COMPUTED_VALUE"""),21000.0)</f>
        <v>21000</v>
      </c>
      <c r="C79" s="1">
        <f>IFERROR(__xludf.DUMMYFUNCTION("""COMPUTED_VALUE"""),21380.0)</f>
        <v>21380</v>
      </c>
      <c r="D79" s="1">
        <f>IFERROR(__xludf.DUMMYFUNCTION("""COMPUTED_VALUE"""),20700.0)</f>
        <v>20700</v>
      </c>
      <c r="E79" s="1">
        <f>IFERROR(__xludf.DUMMYFUNCTION("""COMPUTED_VALUE"""),21240.0)</f>
        <v>21240</v>
      </c>
      <c r="F79" s="1">
        <f>IFERROR(__xludf.DUMMYFUNCTION("""COMPUTED_VALUE"""),97977.0)</f>
        <v>97977</v>
      </c>
    </row>
    <row r="80">
      <c r="A80" s="2">
        <f>IFERROR(__xludf.DUMMYFUNCTION("""COMPUTED_VALUE"""),40660.645833333336)</f>
        <v>40660.64583</v>
      </c>
      <c r="B80" s="1">
        <f>IFERROR(__xludf.DUMMYFUNCTION("""COMPUTED_VALUE"""),21420.0)</f>
        <v>21420</v>
      </c>
      <c r="C80" s="1">
        <f>IFERROR(__xludf.DUMMYFUNCTION("""COMPUTED_VALUE"""),21480.0)</f>
        <v>21480</v>
      </c>
      <c r="D80" s="1">
        <f>IFERROR(__xludf.DUMMYFUNCTION("""COMPUTED_VALUE"""),20740.0)</f>
        <v>20740</v>
      </c>
      <c r="E80" s="1">
        <f>IFERROR(__xludf.DUMMYFUNCTION("""COMPUTED_VALUE"""),21040.0)</f>
        <v>21040</v>
      </c>
      <c r="F80" s="1">
        <f>IFERROR(__xludf.DUMMYFUNCTION("""COMPUTED_VALUE"""),156336.0)</f>
        <v>156336</v>
      </c>
    </row>
    <row r="81">
      <c r="A81" s="2">
        <f>IFERROR(__xludf.DUMMYFUNCTION("""COMPUTED_VALUE"""),40661.645833333336)</f>
        <v>40661.64583</v>
      </c>
      <c r="B81" s="1">
        <f>IFERROR(__xludf.DUMMYFUNCTION("""COMPUTED_VALUE"""),21260.0)</f>
        <v>21260</v>
      </c>
      <c r="C81" s="1">
        <f>IFERROR(__xludf.DUMMYFUNCTION("""COMPUTED_VALUE"""),22020.0)</f>
        <v>22020</v>
      </c>
      <c r="D81" s="1">
        <f>IFERROR(__xludf.DUMMYFUNCTION("""COMPUTED_VALUE"""),21200.0)</f>
        <v>21200</v>
      </c>
      <c r="E81" s="1">
        <f>IFERROR(__xludf.DUMMYFUNCTION("""COMPUTED_VALUE"""),21340.0)</f>
        <v>21340</v>
      </c>
      <c r="F81" s="1">
        <f>IFERROR(__xludf.DUMMYFUNCTION("""COMPUTED_VALUE"""),155422.0)</f>
        <v>155422</v>
      </c>
    </row>
    <row r="82">
      <c r="A82" s="2">
        <f>IFERROR(__xludf.DUMMYFUNCTION("""COMPUTED_VALUE"""),40662.645833333336)</f>
        <v>40662.64583</v>
      </c>
      <c r="B82" s="1">
        <f>IFERROR(__xludf.DUMMYFUNCTION("""COMPUTED_VALUE"""),21400.0)</f>
        <v>21400</v>
      </c>
      <c r="C82" s="1">
        <f>IFERROR(__xludf.DUMMYFUNCTION("""COMPUTED_VALUE"""),22000.0)</f>
        <v>22000</v>
      </c>
      <c r="D82" s="1">
        <f>IFERROR(__xludf.DUMMYFUNCTION("""COMPUTED_VALUE"""),21000.0)</f>
        <v>21000</v>
      </c>
      <c r="E82" s="1">
        <f>IFERROR(__xludf.DUMMYFUNCTION("""COMPUTED_VALUE"""),21960.0)</f>
        <v>21960</v>
      </c>
      <c r="F82" s="1">
        <f>IFERROR(__xludf.DUMMYFUNCTION("""COMPUTED_VALUE"""),105679.0)</f>
        <v>105679</v>
      </c>
    </row>
    <row r="83">
      <c r="A83" s="2">
        <f>IFERROR(__xludf.DUMMYFUNCTION("""COMPUTED_VALUE"""),40665.645833333336)</f>
        <v>40665.64583</v>
      </c>
      <c r="B83" s="1">
        <f>IFERROR(__xludf.DUMMYFUNCTION("""COMPUTED_VALUE"""),21920.0)</f>
        <v>21920</v>
      </c>
      <c r="C83" s="1">
        <f>IFERROR(__xludf.DUMMYFUNCTION("""COMPUTED_VALUE"""),22580.0)</f>
        <v>22580</v>
      </c>
      <c r="D83" s="1">
        <f>IFERROR(__xludf.DUMMYFUNCTION("""COMPUTED_VALUE"""),21420.0)</f>
        <v>21420</v>
      </c>
      <c r="E83" s="1">
        <f>IFERROR(__xludf.DUMMYFUNCTION("""COMPUTED_VALUE"""),22540.0)</f>
        <v>22540</v>
      </c>
      <c r="F83" s="1">
        <f>IFERROR(__xludf.DUMMYFUNCTION("""COMPUTED_VALUE"""),92439.0)</f>
        <v>92439</v>
      </c>
    </row>
    <row r="84">
      <c r="A84" s="2">
        <f>IFERROR(__xludf.DUMMYFUNCTION("""COMPUTED_VALUE"""),40666.645833333336)</f>
        <v>40666.64583</v>
      </c>
      <c r="B84" s="1">
        <f>IFERROR(__xludf.DUMMYFUNCTION("""COMPUTED_VALUE"""),22320.0)</f>
        <v>22320</v>
      </c>
      <c r="C84" s="1">
        <f>IFERROR(__xludf.DUMMYFUNCTION("""COMPUTED_VALUE"""),22740.0)</f>
        <v>22740</v>
      </c>
      <c r="D84" s="1">
        <f>IFERROR(__xludf.DUMMYFUNCTION("""COMPUTED_VALUE"""),21740.0)</f>
        <v>21740</v>
      </c>
      <c r="E84" s="1">
        <f>IFERROR(__xludf.DUMMYFUNCTION("""COMPUTED_VALUE"""),21740.0)</f>
        <v>21740</v>
      </c>
      <c r="F84" s="1">
        <f>IFERROR(__xludf.DUMMYFUNCTION("""COMPUTED_VALUE"""),73892.0)</f>
        <v>73892</v>
      </c>
    </row>
    <row r="85">
      <c r="A85" s="2">
        <f>IFERROR(__xludf.DUMMYFUNCTION("""COMPUTED_VALUE"""),40667.645833333336)</f>
        <v>40667.64583</v>
      </c>
      <c r="B85" s="1">
        <f>IFERROR(__xludf.DUMMYFUNCTION("""COMPUTED_VALUE"""),21620.0)</f>
        <v>21620</v>
      </c>
      <c r="C85" s="1">
        <f>IFERROR(__xludf.DUMMYFUNCTION("""COMPUTED_VALUE"""),22060.0)</f>
        <v>22060</v>
      </c>
      <c r="D85" s="1">
        <f>IFERROR(__xludf.DUMMYFUNCTION("""COMPUTED_VALUE"""),21320.0)</f>
        <v>21320</v>
      </c>
      <c r="E85" s="1">
        <f>IFERROR(__xludf.DUMMYFUNCTION("""COMPUTED_VALUE"""),21740.0)</f>
        <v>21740</v>
      </c>
      <c r="F85" s="1">
        <f>IFERROR(__xludf.DUMMYFUNCTION("""COMPUTED_VALUE"""),62131.0)</f>
        <v>62131</v>
      </c>
    </row>
    <row r="86">
      <c r="A86" s="2">
        <f>IFERROR(__xludf.DUMMYFUNCTION("""COMPUTED_VALUE"""),40669.645833333336)</f>
        <v>40669.64583</v>
      </c>
      <c r="B86" s="1">
        <f>IFERROR(__xludf.DUMMYFUNCTION("""COMPUTED_VALUE"""),21400.0)</f>
        <v>21400</v>
      </c>
      <c r="C86" s="1">
        <f>IFERROR(__xludf.DUMMYFUNCTION("""COMPUTED_VALUE"""),21560.0)</f>
        <v>21560</v>
      </c>
      <c r="D86" s="1">
        <f>IFERROR(__xludf.DUMMYFUNCTION("""COMPUTED_VALUE"""),20860.0)</f>
        <v>20860</v>
      </c>
      <c r="E86" s="1">
        <f>IFERROR(__xludf.DUMMYFUNCTION("""COMPUTED_VALUE"""),21200.0)</f>
        <v>21200</v>
      </c>
      <c r="F86" s="1">
        <f>IFERROR(__xludf.DUMMYFUNCTION("""COMPUTED_VALUE"""),100789.0)</f>
        <v>100789</v>
      </c>
    </row>
    <row r="87">
      <c r="A87" s="2">
        <f>IFERROR(__xludf.DUMMYFUNCTION("""COMPUTED_VALUE"""),40672.645833333336)</f>
        <v>40672.64583</v>
      </c>
      <c r="B87" s="1">
        <f>IFERROR(__xludf.DUMMYFUNCTION("""COMPUTED_VALUE"""),21200.0)</f>
        <v>21200</v>
      </c>
      <c r="C87" s="1">
        <f>IFERROR(__xludf.DUMMYFUNCTION("""COMPUTED_VALUE"""),21280.0)</f>
        <v>21280</v>
      </c>
      <c r="D87" s="1">
        <f>IFERROR(__xludf.DUMMYFUNCTION("""COMPUTED_VALUE"""),20420.0)</f>
        <v>20420</v>
      </c>
      <c r="E87" s="1">
        <f>IFERROR(__xludf.DUMMYFUNCTION("""COMPUTED_VALUE"""),20500.0)</f>
        <v>20500</v>
      </c>
      <c r="F87" s="1">
        <f>IFERROR(__xludf.DUMMYFUNCTION("""COMPUTED_VALUE"""),83641.0)</f>
        <v>83641</v>
      </c>
    </row>
    <row r="88">
      <c r="A88" s="2">
        <f>IFERROR(__xludf.DUMMYFUNCTION("""COMPUTED_VALUE"""),40674.645833333336)</f>
        <v>40674.64583</v>
      </c>
      <c r="B88" s="1">
        <f>IFERROR(__xludf.DUMMYFUNCTION("""COMPUTED_VALUE"""),20620.0)</f>
        <v>20620</v>
      </c>
      <c r="C88" s="1">
        <f>IFERROR(__xludf.DUMMYFUNCTION("""COMPUTED_VALUE"""),20760.0)</f>
        <v>20760</v>
      </c>
      <c r="D88" s="1">
        <f>IFERROR(__xludf.DUMMYFUNCTION("""COMPUTED_VALUE"""),20380.0)</f>
        <v>20380</v>
      </c>
      <c r="E88" s="1">
        <f>IFERROR(__xludf.DUMMYFUNCTION("""COMPUTED_VALUE"""),20420.0)</f>
        <v>20420</v>
      </c>
      <c r="F88" s="1">
        <f>IFERROR(__xludf.DUMMYFUNCTION("""COMPUTED_VALUE"""),52733.0)</f>
        <v>52733</v>
      </c>
    </row>
    <row r="89">
      <c r="A89" s="2">
        <f>IFERROR(__xludf.DUMMYFUNCTION("""COMPUTED_VALUE"""),40675.645833333336)</f>
        <v>40675.64583</v>
      </c>
      <c r="B89" s="1">
        <f>IFERROR(__xludf.DUMMYFUNCTION("""COMPUTED_VALUE"""),20380.0)</f>
        <v>20380</v>
      </c>
      <c r="C89" s="1">
        <f>IFERROR(__xludf.DUMMYFUNCTION("""COMPUTED_VALUE"""),20560.0)</f>
        <v>20560</v>
      </c>
      <c r="D89" s="1">
        <f>IFERROR(__xludf.DUMMYFUNCTION("""COMPUTED_VALUE"""),19980.0)</f>
        <v>19980</v>
      </c>
      <c r="E89" s="1">
        <f>IFERROR(__xludf.DUMMYFUNCTION("""COMPUTED_VALUE"""),20300.0)</f>
        <v>20300</v>
      </c>
      <c r="F89" s="1">
        <f>IFERROR(__xludf.DUMMYFUNCTION("""COMPUTED_VALUE"""),77233.0)</f>
        <v>77233</v>
      </c>
    </row>
    <row r="90">
      <c r="A90" s="2">
        <f>IFERROR(__xludf.DUMMYFUNCTION("""COMPUTED_VALUE"""),40676.645833333336)</f>
        <v>40676.64583</v>
      </c>
      <c r="B90" s="1">
        <f>IFERROR(__xludf.DUMMYFUNCTION("""COMPUTED_VALUE"""),20540.0)</f>
        <v>20540</v>
      </c>
      <c r="C90" s="1">
        <f>IFERROR(__xludf.DUMMYFUNCTION("""COMPUTED_VALUE"""),20900.0)</f>
        <v>20900</v>
      </c>
      <c r="D90" s="1">
        <f>IFERROR(__xludf.DUMMYFUNCTION("""COMPUTED_VALUE"""),20140.0)</f>
        <v>20140</v>
      </c>
      <c r="E90" s="1">
        <f>IFERROR(__xludf.DUMMYFUNCTION("""COMPUTED_VALUE"""),20660.0)</f>
        <v>20660</v>
      </c>
      <c r="F90" s="1">
        <f>IFERROR(__xludf.DUMMYFUNCTION("""COMPUTED_VALUE"""),50780.0)</f>
        <v>50780</v>
      </c>
    </row>
    <row r="91">
      <c r="A91" s="2">
        <f>IFERROR(__xludf.DUMMYFUNCTION("""COMPUTED_VALUE"""),40679.645833333336)</f>
        <v>40679.64583</v>
      </c>
      <c r="B91" s="1">
        <f>IFERROR(__xludf.DUMMYFUNCTION("""COMPUTED_VALUE"""),20680.0)</f>
        <v>20680</v>
      </c>
      <c r="C91" s="1">
        <f>IFERROR(__xludf.DUMMYFUNCTION("""COMPUTED_VALUE"""),20900.0)</f>
        <v>20900</v>
      </c>
      <c r="D91" s="1">
        <f>IFERROR(__xludf.DUMMYFUNCTION("""COMPUTED_VALUE"""),20400.0)</f>
        <v>20400</v>
      </c>
      <c r="E91" s="1">
        <f>IFERROR(__xludf.DUMMYFUNCTION("""COMPUTED_VALUE"""),20760.0)</f>
        <v>20760</v>
      </c>
      <c r="F91" s="1">
        <f>IFERROR(__xludf.DUMMYFUNCTION("""COMPUTED_VALUE"""),87294.0)</f>
        <v>87294</v>
      </c>
    </row>
    <row r="92">
      <c r="A92" s="2">
        <f>IFERROR(__xludf.DUMMYFUNCTION("""COMPUTED_VALUE"""),40680.645833333336)</f>
        <v>40680.64583</v>
      </c>
      <c r="B92" s="1">
        <f>IFERROR(__xludf.DUMMYFUNCTION("""COMPUTED_VALUE"""),20700.0)</f>
        <v>20700</v>
      </c>
      <c r="C92" s="1">
        <f>IFERROR(__xludf.DUMMYFUNCTION("""COMPUTED_VALUE"""),21020.0)</f>
        <v>21020</v>
      </c>
      <c r="D92" s="1">
        <f>IFERROR(__xludf.DUMMYFUNCTION("""COMPUTED_VALUE"""),20560.0)</f>
        <v>20560</v>
      </c>
      <c r="E92" s="1">
        <f>IFERROR(__xludf.DUMMYFUNCTION("""COMPUTED_VALUE"""),20820.0)</f>
        <v>20820</v>
      </c>
      <c r="F92" s="1">
        <f>IFERROR(__xludf.DUMMYFUNCTION("""COMPUTED_VALUE"""),112389.0)</f>
        <v>112389</v>
      </c>
    </row>
    <row r="93">
      <c r="A93" s="2">
        <f>IFERROR(__xludf.DUMMYFUNCTION("""COMPUTED_VALUE"""),40681.645833333336)</f>
        <v>40681.64583</v>
      </c>
      <c r="B93" s="1">
        <f>IFERROR(__xludf.DUMMYFUNCTION("""COMPUTED_VALUE"""),20860.0)</f>
        <v>20860</v>
      </c>
      <c r="C93" s="1">
        <f>IFERROR(__xludf.DUMMYFUNCTION("""COMPUTED_VALUE"""),21060.0)</f>
        <v>21060</v>
      </c>
      <c r="D93" s="1">
        <f>IFERROR(__xludf.DUMMYFUNCTION("""COMPUTED_VALUE"""),20340.0)</f>
        <v>20340</v>
      </c>
      <c r="E93" s="1">
        <f>IFERROR(__xludf.DUMMYFUNCTION("""COMPUTED_VALUE"""),20600.0)</f>
        <v>20600</v>
      </c>
      <c r="F93" s="1">
        <f>IFERROR(__xludf.DUMMYFUNCTION("""COMPUTED_VALUE"""),78912.0)</f>
        <v>78912</v>
      </c>
    </row>
    <row r="94">
      <c r="A94" s="2">
        <f>IFERROR(__xludf.DUMMYFUNCTION("""COMPUTED_VALUE"""),40682.645833333336)</f>
        <v>40682.64583</v>
      </c>
      <c r="B94" s="1">
        <f>IFERROR(__xludf.DUMMYFUNCTION("""COMPUTED_VALUE"""),20600.0)</f>
        <v>20600</v>
      </c>
      <c r="C94" s="1">
        <f>IFERROR(__xludf.DUMMYFUNCTION("""COMPUTED_VALUE"""),20700.0)</f>
        <v>20700</v>
      </c>
      <c r="D94" s="1">
        <f>IFERROR(__xludf.DUMMYFUNCTION("""COMPUTED_VALUE"""),20160.0)</f>
        <v>20160</v>
      </c>
      <c r="E94" s="1">
        <f>IFERROR(__xludf.DUMMYFUNCTION("""COMPUTED_VALUE"""),20400.0)</f>
        <v>20400</v>
      </c>
      <c r="F94" s="1">
        <f>IFERROR(__xludf.DUMMYFUNCTION("""COMPUTED_VALUE"""),52680.0)</f>
        <v>52680</v>
      </c>
    </row>
    <row r="95">
      <c r="A95" s="2">
        <f>IFERROR(__xludf.DUMMYFUNCTION("""COMPUTED_VALUE"""),40683.645833333336)</f>
        <v>40683.64583</v>
      </c>
      <c r="B95" s="1">
        <f>IFERROR(__xludf.DUMMYFUNCTION("""COMPUTED_VALUE"""),20440.0)</f>
        <v>20440</v>
      </c>
      <c r="C95" s="1">
        <f>IFERROR(__xludf.DUMMYFUNCTION("""COMPUTED_VALUE"""),20560.0)</f>
        <v>20560</v>
      </c>
      <c r="D95" s="1">
        <f>IFERROR(__xludf.DUMMYFUNCTION("""COMPUTED_VALUE"""),20040.0)</f>
        <v>20040</v>
      </c>
      <c r="E95" s="1">
        <f>IFERROR(__xludf.DUMMYFUNCTION("""COMPUTED_VALUE"""),20180.0)</f>
        <v>20180</v>
      </c>
      <c r="F95" s="1">
        <f>IFERROR(__xludf.DUMMYFUNCTION("""COMPUTED_VALUE"""),35194.0)</f>
        <v>35194</v>
      </c>
    </row>
    <row r="96">
      <c r="A96" s="2">
        <f>IFERROR(__xludf.DUMMYFUNCTION("""COMPUTED_VALUE"""),40686.645833333336)</f>
        <v>40686.64583</v>
      </c>
      <c r="B96" s="1">
        <f>IFERROR(__xludf.DUMMYFUNCTION("""COMPUTED_VALUE"""),20260.0)</f>
        <v>20260</v>
      </c>
      <c r="C96" s="1">
        <f>IFERROR(__xludf.DUMMYFUNCTION("""COMPUTED_VALUE"""),20900.0)</f>
        <v>20900</v>
      </c>
      <c r="D96" s="1">
        <f>IFERROR(__xludf.DUMMYFUNCTION("""COMPUTED_VALUE"""),20060.0)</f>
        <v>20060</v>
      </c>
      <c r="E96" s="1">
        <f>IFERROR(__xludf.DUMMYFUNCTION("""COMPUTED_VALUE"""),20340.0)</f>
        <v>20340</v>
      </c>
      <c r="F96" s="1">
        <f>IFERROR(__xludf.DUMMYFUNCTION("""COMPUTED_VALUE"""),106345.0)</f>
        <v>106345</v>
      </c>
    </row>
    <row r="97">
      <c r="A97" s="2">
        <f>IFERROR(__xludf.DUMMYFUNCTION("""COMPUTED_VALUE"""),40687.645833333336)</f>
        <v>40687.64583</v>
      </c>
      <c r="B97" s="1">
        <f>IFERROR(__xludf.DUMMYFUNCTION("""COMPUTED_VALUE"""),20200.0)</f>
        <v>20200</v>
      </c>
      <c r="C97" s="1">
        <f>IFERROR(__xludf.DUMMYFUNCTION("""COMPUTED_VALUE"""),20400.0)</f>
        <v>20400</v>
      </c>
      <c r="D97" s="1">
        <f>IFERROR(__xludf.DUMMYFUNCTION("""COMPUTED_VALUE"""),19960.0)</f>
        <v>19960</v>
      </c>
      <c r="E97" s="1">
        <f>IFERROR(__xludf.DUMMYFUNCTION("""COMPUTED_VALUE"""),20000.0)</f>
        <v>20000</v>
      </c>
      <c r="F97" s="1">
        <f>IFERROR(__xludf.DUMMYFUNCTION("""COMPUTED_VALUE"""),141617.0)</f>
        <v>141617</v>
      </c>
    </row>
    <row r="98">
      <c r="A98" s="2">
        <f>IFERROR(__xludf.DUMMYFUNCTION("""COMPUTED_VALUE"""),40688.645833333336)</f>
        <v>40688.64583</v>
      </c>
      <c r="B98" s="1">
        <f>IFERROR(__xludf.DUMMYFUNCTION("""COMPUTED_VALUE"""),20000.0)</f>
        <v>20000</v>
      </c>
      <c r="C98" s="1">
        <f>IFERROR(__xludf.DUMMYFUNCTION("""COMPUTED_VALUE"""),20140.0)</f>
        <v>20140</v>
      </c>
      <c r="D98" s="1">
        <f>IFERROR(__xludf.DUMMYFUNCTION("""COMPUTED_VALUE"""),19860.0)</f>
        <v>19860</v>
      </c>
      <c r="E98" s="1">
        <f>IFERROR(__xludf.DUMMYFUNCTION("""COMPUTED_VALUE"""),20100.0)</f>
        <v>20100</v>
      </c>
      <c r="F98" s="1">
        <f>IFERROR(__xludf.DUMMYFUNCTION("""COMPUTED_VALUE"""),77994.0)</f>
        <v>77994</v>
      </c>
    </row>
    <row r="99">
      <c r="A99" s="2">
        <f>IFERROR(__xludf.DUMMYFUNCTION("""COMPUTED_VALUE"""),40689.645833333336)</f>
        <v>40689.64583</v>
      </c>
      <c r="B99" s="1">
        <f>IFERROR(__xludf.DUMMYFUNCTION("""COMPUTED_VALUE"""),20340.0)</f>
        <v>20340</v>
      </c>
      <c r="C99" s="1">
        <f>IFERROR(__xludf.DUMMYFUNCTION("""COMPUTED_VALUE"""),20520.0)</f>
        <v>20520</v>
      </c>
      <c r="D99" s="1">
        <f>IFERROR(__xludf.DUMMYFUNCTION("""COMPUTED_VALUE"""),20020.0)</f>
        <v>20020</v>
      </c>
      <c r="E99" s="1">
        <f>IFERROR(__xludf.DUMMYFUNCTION("""COMPUTED_VALUE"""),20400.0)</f>
        <v>20400</v>
      </c>
      <c r="F99" s="1">
        <f>IFERROR(__xludf.DUMMYFUNCTION("""COMPUTED_VALUE"""),40112.0)</f>
        <v>40112</v>
      </c>
    </row>
    <row r="100">
      <c r="A100" s="2">
        <f>IFERROR(__xludf.DUMMYFUNCTION("""COMPUTED_VALUE"""),40690.645833333336)</f>
        <v>40690.64583</v>
      </c>
      <c r="B100" s="1">
        <f>IFERROR(__xludf.DUMMYFUNCTION("""COMPUTED_VALUE"""),20300.0)</f>
        <v>20300</v>
      </c>
      <c r="C100" s="1">
        <f>IFERROR(__xludf.DUMMYFUNCTION("""COMPUTED_VALUE"""),20620.0)</f>
        <v>20620</v>
      </c>
      <c r="D100" s="1">
        <f>IFERROR(__xludf.DUMMYFUNCTION("""COMPUTED_VALUE"""),20260.0)</f>
        <v>20260</v>
      </c>
      <c r="E100" s="1">
        <f>IFERROR(__xludf.DUMMYFUNCTION("""COMPUTED_VALUE"""),20380.0)</f>
        <v>20380</v>
      </c>
      <c r="F100" s="1">
        <f>IFERROR(__xludf.DUMMYFUNCTION("""COMPUTED_VALUE"""),29963.0)</f>
        <v>29963</v>
      </c>
    </row>
    <row r="101">
      <c r="A101" s="2">
        <f>IFERROR(__xludf.DUMMYFUNCTION("""COMPUTED_VALUE"""),40693.645833333336)</f>
        <v>40693.64583</v>
      </c>
      <c r="B101" s="1">
        <f>IFERROR(__xludf.DUMMYFUNCTION("""COMPUTED_VALUE"""),20380.0)</f>
        <v>20380</v>
      </c>
      <c r="C101" s="1">
        <f>IFERROR(__xludf.DUMMYFUNCTION("""COMPUTED_VALUE"""),20660.0)</f>
        <v>20660</v>
      </c>
      <c r="D101" s="1">
        <f>IFERROR(__xludf.DUMMYFUNCTION("""COMPUTED_VALUE"""),20320.0)</f>
        <v>20320</v>
      </c>
      <c r="E101" s="1">
        <f>IFERROR(__xludf.DUMMYFUNCTION("""COMPUTED_VALUE"""),20380.0)</f>
        <v>20380</v>
      </c>
      <c r="F101" s="1">
        <f>IFERROR(__xludf.DUMMYFUNCTION("""COMPUTED_VALUE"""),16324.0)</f>
        <v>16324</v>
      </c>
    </row>
    <row r="102">
      <c r="A102" s="2">
        <f>IFERROR(__xludf.DUMMYFUNCTION("""COMPUTED_VALUE"""),40694.645833333336)</f>
        <v>40694.64583</v>
      </c>
      <c r="B102" s="1">
        <f>IFERROR(__xludf.DUMMYFUNCTION("""COMPUTED_VALUE"""),20440.0)</f>
        <v>20440</v>
      </c>
      <c r="C102" s="1">
        <f>IFERROR(__xludf.DUMMYFUNCTION("""COMPUTED_VALUE"""),21160.0)</f>
        <v>21160</v>
      </c>
      <c r="D102" s="1">
        <f>IFERROR(__xludf.DUMMYFUNCTION("""COMPUTED_VALUE"""),20400.0)</f>
        <v>20400</v>
      </c>
      <c r="E102" s="1">
        <f>IFERROR(__xludf.DUMMYFUNCTION("""COMPUTED_VALUE"""),20960.0)</f>
        <v>20960</v>
      </c>
      <c r="F102" s="1">
        <f>IFERROR(__xludf.DUMMYFUNCTION("""COMPUTED_VALUE"""),70646.0)</f>
        <v>70646</v>
      </c>
    </row>
    <row r="103">
      <c r="A103" s="2">
        <f>IFERROR(__xludf.DUMMYFUNCTION("""COMPUTED_VALUE"""),40695.645833333336)</f>
        <v>40695.64583</v>
      </c>
      <c r="B103" s="1">
        <f>IFERROR(__xludf.DUMMYFUNCTION("""COMPUTED_VALUE"""),21040.0)</f>
        <v>21040</v>
      </c>
      <c r="C103" s="1">
        <f>IFERROR(__xludf.DUMMYFUNCTION("""COMPUTED_VALUE"""),21560.0)</f>
        <v>21560</v>
      </c>
      <c r="D103" s="1">
        <f>IFERROR(__xludf.DUMMYFUNCTION("""COMPUTED_VALUE"""),20960.0)</f>
        <v>20960</v>
      </c>
      <c r="E103" s="1">
        <f>IFERROR(__xludf.DUMMYFUNCTION("""COMPUTED_VALUE"""),21400.0)</f>
        <v>21400</v>
      </c>
      <c r="F103" s="1">
        <f>IFERROR(__xludf.DUMMYFUNCTION("""COMPUTED_VALUE"""),39005.0)</f>
        <v>39005</v>
      </c>
    </row>
    <row r="104">
      <c r="A104" s="2">
        <f>IFERROR(__xludf.DUMMYFUNCTION("""COMPUTED_VALUE"""),40696.645833333336)</f>
        <v>40696.64583</v>
      </c>
      <c r="B104" s="1">
        <f>IFERROR(__xludf.DUMMYFUNCTION("""COMPUTED_VALUE"""),20980.0)</f>
        <v>20980</v>
      </c>
      <c r="C104" s="1">
        <f>IFERROR(__xludf.DUMMYFUNCTION("""COMPUTED_VALUE"""),22080.0)</f>
        <v>22080</v>
      </c>
      <c r="D104" s="1">
        <f>IFERROR(__xludf.DUMMYFUNCTION("""COMPUTED_VALUE"""),20840.0)</f>
        <v>20840</v>
      </c>
      <c r="E104" s="1">
        <f>IFERROR(__xludf.DUMMYFUNCTION("""COMPUTED_VALUE"""),21800.0)</f>
        <v>21800</v>
      </c>
      <c r="F104" s="1">
        <f>IFERROR(__xludf.DUMMYFUNCTION("""COMPUTED_VALUE"""),68850.0)</f>
        <v>68850</v>
      </c>
    </row>
    <row r="105">
      <c r="A105" s="2">
        <f>IFERROR(__xludf.DUMMYFUNCTION("""COMPUTED_VALUE"""),40697.645833333336)</f>
        <v>40697.64583</v>
      </c>
      <c r="B105" s="1">
        <f>IFERROR(__xludf.DUMMYFUNCTION("""COMPUTED_VALUE"""),22140.0)</f>
        <v>22140</v>
      </c>
      <c r="C105" s="1">
        <f>IFERROR(__xludf.DUMMYFUNCTION("""COMPUTED_VALUE"""),22540.0)</f>
        <v>22540</v>
      </c>
      <c r="D105" s="1">
        <f>IFERROR(__xludf.DUMMYFUNCTION("""COMPUTED_VALUE"""),22100.0)</f>
        <v>22100</v>
      </c>
      <c r="E105" s="1">
        <f>IFERROR(__xludf.DUMMYFUNCTION("""COMPUTED_VALUE"""),22380.0)</f>
        <v>22380</v>
      </c>
      <c r="F105" s="1">
        <f>IFERROR(__xludf.DUMMYFUNCTION("""COMPUTED_VALUE"""),61858.0)</f>
        <v>61858</v>
      </c>
    </row>
    <row r="106">
      <c r="A106" s="2">
        <f>IFERROR(__xludf.DUMMYFUNCTION("""COMPUTED_VALUE"""),40701.645833333336)</f>
        <v>40701.64583</v>
      </c>
      <c r="B106" s="1">
        <f>IFERROR(__xludf.DUMMYFUNCTION("""COMPUTED_VALUE"""),22280.0)</f>
        <v>22280</v>
      </c>
      <c r="C106" s="1">
        <f>IFERROR(__xludf.DUMMYFUNCTION("""COMPUTED_VALUE"""),22940.0)</f>
        <v>22940</v>
      </c>
      <c r="D106" s="1">
        <f>IFERROR(__xludf.DUMMYFUNCTION("""COMPUTED_VALUE"""),22180.0)</f>
        <v>22180</v>
      </c>
      <c r="E106" s="1">
        <f>IFERROR(__xludf.DUMMYFUNCTION("""COMPUTED_VALUE"""),22920.0)</f>
        <v>22920</v>
      </c>
      <c r="F106" s="1">
        <f>IFERROR(__xludf.DUMMYFUNCTION("""COMPUTED_VALUE"""),64092.0)</f>
        <v>64092</v>
      </c>
    </row>
    <row r="107">
      <c r="A107" s="2">
        <f>IFERROR(__xludf.DUMMYFUNCTION("""COMPUTED_VALUE"""),40702.645833333336)</f>
        <v>40702.64583</v>
      </c>
      <c r="B107" s="1">
        <f>IFERROR(__xludf.DUMMYFUNCTION("""COMPUTED_VALUE"""),22600.0)</f>
        <v>22600</v>
      </c>
      <c r="C107" s="1">
        <f>IFERROR(__xludf.DUMMYFUNCTION("""COMPUTED_VALUE"""),22980.0)</f>
        <v>22980</v>
      </c>
      <c r="D107" s="1">
        <f>IFERROR(__xludf.DUMMYFUNCTION("""COMPUTED_VALUE"""),22420.0)</f>
        <v>22420</v>
      </c>
      <c r="E107" s="1">
        <f>IFERROR(__xludf.DUMMYFUNCTION("""COMPUTED_VALUE"""),22920.0)</f>
        <v>22920</v>
      </c>
      <c r="F107" s="1">
        <f>IFERROR(__xludf.DUMMYFUNCTION("""COMPUTED_VALUE"""),30713.0)</f>
        <v>30713</v>
      </c>
    </row>
    <row r="108">
      <c r="A108" s="2">
        <f>IFERROR(__xludf.DUMMYFUNCTION("""COMPUTED_VALUE"""),40703.645833333336)</f>
        <v>40703.64583</v>
      </c>
      <c r="B108" s="1">
        <f>IFERROR(__xludf.DUMMYFUNCTION("""COMPUTED_VALUE"""),22920.0)</f>
        <v>22920</v>
      </c>
      <c r="C108" s="1">
        <f>IFERROR(__xludf.DUMMYFUNCTION("""COMPUTED_VALUE"""),22940.0)</f>
        <v>22940</v>
      </c>
      <c r="D108" s="1">
        <f>IFERROR(__xludf.DUMMYFUNCTION("""COMPUTED_VALUE"""),22600.0)</f>
        <v>22600</v>
      </c>
      <c r="E108" s="1">
        <f>IFERROR(__xludf.DUMMYFUNCTION("""COMPUTED_VALUE"""),22600.0)</f>
        <v>22600</v>
      </c>
      <c r="F108" s="1">
        <f>IFERROR(__xludf.DUMMYFUNCTION("""COMPUTED_VALUE"""),37073.0)</f>
        <v>37073</v>
      </c>
    </row>
    <row r="109">
      <c r="A109" s="2">
        <f>IFERROR(__xludf.DUMMYFUNCTION("""COMPUTED_VALUE"""),40704.645833333336)</f>
        <v>40704.64583</v>
      </c>
      <c r="B109" s="1">
        <f>IFERROR(__xludf.DUMMYFUNCTION("""COMPUTED_VALUE"""),22880.0)</f>
        <v>22880</v>
      </c>
      <c r="C109" s="1">
        <f>IFERROR(__xludf.DUMMYFUNCTION("""COMPUTED_VALUE"""),23200.0)</f>
        <v>23200</v>
      </c>
      <c r="D109" s="1">
        <f>IFERROR(__xludf.DUMMYFUNCTION("""COMPUTED_VALUE"""),22140.0)</f>
        <v>22140</v>
      </c>
      <c r="E109" s="1">
        <f>IFERROR(__xludf.DUMMYFUNCTION("""COMPUTED_VALUE"""),22440.0)</f>
        <v>22440</v>
      </c>
      <c r="F109" s="1">
        <f>IFERROR(__xludf.DUMMYFUNCTION("""COMPUTED_VALUE"""),66672.0)</f>
        <v>66672</v>
      </c>
    </row>
    <row r="110">
      <c r="A110" s="2">
        <f>IFERROR(__xludf.DUMMYFUNCTION("""COMPUTED_VALUE"""),40707.645833333336)</f>
        <v>40707.64583</v>
      </c>
      <c r="B110" s="1">
        <f>IFERROR(__xludf.DUMMYFUNCTION("""COMPUTED_VALUE"""),22440.0)</f>
        <v>22440</v>
      </c>
      <c r="C110" s="1">
        <f>IFERROR(__xludf.DUMMYFUNCTION("""COMPUTED_VALUE"""),23060.0)</f>
        <v>23060</v>
      </c>
      <c r="D110" s="1">
        <f>IFERROR(__xludf.DUMMYFUNCTION("""COMPUTED_VALUE"""),22140.0)</f>
        <v>22140</v>
      </c>
      <c r="E110" s="1">
        <f>IFERROR(__xludf.DUMMYFUNCTION("""COMPUTED_VALUE"""),22560.0)</f>
        <v>22560</v>
      </c>
      <c r="F110" s="1">
        <f>IFERROR(__xludf.DUMMYFUNCTION("""COMPUTED_VALUE"""),25791.0)</f>
        <v>25791</v>
      </c>
    </row>
    <row r="111">
      <c r="A111" s="2">
        <f>IFERROR(__xludf.DUMMYFUNCTION("""COMPUTED_VALUE"""),40708.645833333336)</f>
        <v>40708.64583</v>
      </c>
      <c r="B111" s="1">
        <f>IFERROR(__xludf.DUMMYFUNCTION("""COMPUTED_VALUE"""),22780.0)</f>
        <v>22780</v>
      </c>
      <c r="C111" s="1">
        <f>IFERROR(__xludf.DUMMYFUNCTION("""COMPUTED_VALUE"""),22780.0)</f>
        <v>22780</v>
      </c>
      <c r="D111" s="1">
        <f>IFERROR(__xludf.DUMMYFUNCTION("""COMPUTED_VALUE"""),22200.0)</f>
        <v>22200</v>
      </c>
      <c r="E111" s="1">
        <f>IFERROR(__xludf.DUMMYFUNCTION("""COMPUTED_VALUE"""),22220.0)</f>
        <v>22220</v>
      </c>
      <c r="F111" s="1">
        <f>IFERROR(__xludf.DUMMYFUNCTION("""COMPUTED_VALUE"""),56467.0)</f>
        <v>56467</v>
      </c>
    </row>
    <row r="112">
      <c r="A112" s="2">
        <f>IFERROR(__xludf.DUMMYFUNCTION("""COMPUTED_VALUE"""),40709.645833333336)</f>
        <v>40709.64583</v>
      </c>
      <c r="B112" s="1">
        <f>IFERROR(__xludf.DUMMYFUNCTION("""COMPUTED_VALUE"""),22220.0)</f>
        <v>22220</v>
      </c>
      <c r="C112" s="1">
        <f>IFERROR(__xludf.DUMMYFUNCTION("""COMPUTED_VALUE"""),22600.0)</f>
        <v>22600</v>
      </c>
      <c r="D112" s="1">
        <f>IFERROR(__xludf.DUMMYFUNCTION("""COMPUTED_VALUE"""),21640.0)</f>
        <v>21640</v>
      </c>
      <c r="E112" s="1">
        <f>IFERROR(__xludf.DUMMYFUNCTION("""COMPUTED_VALUE"""),22580.0)</f>
        <v>22580</v>
      </c>
      <c r="F112" s="1">
        <f>IFERROR(__xludf.DUMMYFUNCTION("""COMPUTED_VALUE"""),106520.0)</f>
        <v>106520</v>
      </c>
    </row>
    <row r="113">
      <c r="A113" s="2">
        <f>IFERROR(__xludf.DUMMYFUNCTION("""COMPUTED_VALUE"""),40710.645833333336)</f>
        <v>40710.64583</v>
      </c>
      <c r="B113" s="1">
        <f>IFERROR(__xludf.DUMMYFUNCTION("""COMPUTED_VALUE"""),22460.0)</f>
        <v>22460</v>
      </c>
      <c r="C113" s="1">
        <f>IFERROR(__xludf.DUMMYFUNCTION("""COMPUTED_VALUE"""),23100.0)</f>
        <v>23100</v>
      </c>
      <c r="D113" s="1">
        <f>IFERROR(__xludf.DUMMYFUNCTION("""COMPUTED_VALUE"""),22120.0)</f>
        <v>22120</v>
      </c>
      <c r="E113" s="1">
        <f>IFERROR(__xludf.DUMMYFUNCTION("""COMPUTED_VALUE"""),22700.0)</f>
        <v>22700</v>
      </c>
      <c r="F113" s="1">
        <f>IFERROR(__xludf.DUMMYFUNCTION("""COMPUTED_VALUE"""),46580.0)</f>
        <v>46580</v>
      </c>
    </row>
    <row r="114">
      <c r="A114" s="2">
        <f>IFERROR(__xludf.DUMMYFUNCTION("""COMPUTED_VALUE"""),40711.645833333336)</f>
        <v>40711.64583</v>
      </c>
      <c r="B114" s="1">
        <f>IFERROR(__xludf.DUMMYFUNCTION("""COMPUTED_VALUE"""),22600.0)</f>
        <v>22600</v>
      </c>
      <c r="C114" s="1">
        <f>IFERROR(__xludf.DUMMYFUNCTION("""COMPUTED_VALUE"""),22880.0)</f>
        <v>22880</v>
      </c>
      <c r="D114" s="1">
        <f>IFERROR(__xludf.DUMMYFUNCTION("""COMPUTED_VALUE"""),22200.0)</f>
        <v>22200</v>
      </c>
      <c r="E114" s="1">
        <f>IFERROR(__xludf.DUMMYFUNCTION("""COMPUTED_VALUE"""),22760.0)</f>
        <v>22760</v>
      </c>
      <c r="F114" s="1">
        <f>IFERROR(__xludf.DUMMYFUNCTION("""COMPUTED_VALUE"""),39277.0)</f>
        <v>39277</v>
      </c>
    </row>
    <row r="115">
      <c r="A115" s="2">
        <f>IFERROR(__xludf.DUMMYFUNCTION("""COMPUTED_VALUE"""),40714.645833333336)</f>
        <v>40714.64583</v>
      </c>
      <c r="B115" s="1">
        <f>IFERROR(__xludf.DUMMYFUNCTION("""COMPUTED_VALUE"""),22900.0)</f>
        <v>22900</v>
      </c>
      <c r="C115" s="1">
        <f>IFERROR(__xludf.DUMMYFUNCTION("""COMPUTED_VALUE"""),22900.0)</f>
        <v>22900</v>
      </c>
      <c r="D115" s="1">
        <f>IFERROR(__xludf.DUMMYFUNCTION("""COMPUTED_VALUE"""),22420.0)</f>
        <v>22420</v>
      </c>
      <c r="E115" s="1">
        <f>IFERROR(__xludf.DUMMYFUNCTION("""COMPUTED_VALUE"""),22500.0)</f>
        <v>22500</v>
      </c>
      <c r="F115" s="1">
        <f>IFERROR(__xludf.DUMMYFUNCTION("""COMPUTED_VALUE"""),15108.0)</f>
        <v>15108</v>
      </c>
    </row>
    <row r="116">
      <c r="A116" s="2">
        <f>IFERROR(__xludf.DUMMYFUNCTION("""COMPUTED_VALUE"""),40715.645833333336)</f>
        <v>40715.64583</v>
      </c>
      <c r="B116" s="1">
        <f>IFERROR(__xludf.DUMMYFUNCTION("""COMPUTED_VALUE"""),22500.0)</f>
        <v>22500</v>
      </c>
      <c r="C116" s="1">
        <f>IFERROR(__xludf.DUMMYFUNCTION("""COMPUTED_VALUE"""),22860.0)</f>
        <v>22860</v>
      </c>
      <c r="D116" s="1">
        <f>IFERROR(__xludf.DUMMYFUNCTION("""COMPUTED_VALUE"""),22160.0)</f>
        <v>22160</v>
      </c>
      <c r="E116" s="1">
        <f>IFERROR(__xludf.DUMMYFUNCTION("""COMPUTED_VALUE"""),22660.0)</f>
        <v>22660</v>
      </c>
      <c r="F116" s="1">
        <f>IFERROR(__xludf.DUMMYFUNCTION("""COMPUTED_VALUE"""),28846.0)</f>
        <v>28846</v>
      </c>
    </row>
    <row r="117">
      <c r="A117" s="2">
        <f>IFERROR(__xludf.DUMMYFUNCTION("""COMPUTED_VALUE"""),40716.645833333336)</f>
        <v>40716.64583</v>
      </c>
      <c r="B117" s="1">
        <f>IFERROR(__xludf.DUMMYFUNCTION("""COMPUTED_VALUE"""),22720.0)</f>
        <v>22720</v>
      </c>
      <c r="C117" s="1">
        <f>IFERROR(__xludf.DUMMYFUNCTION("""COMPUTED_VALUE"""),23280.0)</f>
        <v>23280</v>
      </c>
      <c r="D117" s="1">
        <f>IFERROR(__xludf.DUMMYFUNCTION("""COMPUTED_VALUE"""),22600.0)</f>
        <v>22600</v>
      </c>
      <c r="E117" s="1">
        <f>IFERROR(__xludf.DUMMYFUNCTION("""COMPUTED_VALUE"""),23120.0)</f>
        <v>23120</v>
      </c>
      <c r="F117" s="1">
        <f>IFERROR(__xludf.DUMMYFUNCTION("""COMPUTED_VALUE"""),41783.0)</f>
        <v>41783</v>
      </c>
    </row>
    <row r="118">
      <c r="A118" s="2">
        <f>IFERROR(__xludf.DUMMYFUNCTION("""COMPUTED_VALUE"""),40717.645833333336)</f>
        <v>40717.64583</v>
      </c>
      <c r="B118" s="1">
        <f>IFERROR(__xludf.DUMMYFUNCTION("""COMPUTED_VALUE"""),23080.0)</f>
        <v>23080</v>
      </c>
      <c r="C118" s="1">
        <f>IFERROR(__xludf.DUMMYFUNCTION("""COMPUTED_VALUE"""),23080.0)</f>
        <v>23080</v>
      </c>
      <c r="D118" s="1">
        <f>IFERROR(__xludf.DUMMYFUNCTION("""COMPUTED_VALUE"""),22500.0)</f>
        <v>22500</v>
      </c>
      <c r="E118" s="1">
        <f>IFERROR(__xludf.DUMMYFUNCTION("""COMPUTED_VALUE"""),22500.0)</f>
        <v>22500</v>
      </c>
      <c r="F118" s="1">
        <f>IFERROR(__xludf.DUMMYFUNCTION("""COMPUTED_VALUE"""),45212.0)</f>
        <v>45212</v>
      </c>
    </row>
    <row r="119">
      <c r="A119" s="2">
        <f>IFERROR(__xludf.DUMMYFUNCTION("""COMPUTED_VALUE"""),40718.645833333336)</f>
        <v>40718.64583</v>
      </c>
      <c r="B119" s="1">
        <f>IFERROR(__xludf.DUMMYFUNCTION("""COMPUTED_VALUE"""),22680.0)</f>
        <v>22680</v>
      </c>
      <c r="C119" s="1">
        <f>IFERROR(__xludf.DUMMYFUNCTION("""COMPUTED_VALUE"""),22880.0)</f>
        <v>22880</v>
      </c>
      <c r="D119" s="1">
        <f>IFERROR(__xludf.DUMMYFUNCTION("""COMPUTED_VALUE"""),22460.0)</f>
        <v>22460</v>
      </c>
      <c r="E119" s="1">
        <f>IFERROR(__xludf.DUMMYFUNCTION("""COMPUTED_VALUE"""),22740.0)</f>
        <v>22740</v>
      </c>
      <c r="F119" s="1">
        <f>IFERROR(__xludf.DUMMYFUNCTION("""COMPUTED_VALUE"""),29411.0)</f>
        <v>29411</v>
      </c>
    </row>
    <row r="120">
      <c r="A120" s="2">
        <f>IFERROR(__xludf.DUMMYFUNCTION("""COMPUTED_VALUE"""),40721.645833333336)</f>
        <v>40721.64583</v>
      </c>
      <c r="B120" s="1">
        <f>IFERROR(__xludf.DUMMYFUNCTION("""COMPUTED_VALUE"""),22400.0)</f>
        <v>22400</v>
      </c>
      <c r="C120" s="1">
        <f>IFERROR(__xludf.DUMMYFUNCTION("""COMPUTED_VALUE"""),22500.0)</f>
        <v>22500</v>
      </c>
      <c r="D120" s="1">
        <f>IFERROR(__xludf.DUMMYFUNCTION("""COMPUTED_VALUE"""),22120.0)</f>
        <v>22120</v>
      </c>
      <c r="E120" s="1">
        <f>IFERROR(__xludf.DUMMYFUNCTION("""COMPUTED_VALUE"""),22120.0)</f>
        <v>22120</v>
      </c>
      <c r="F120" s="1">
        <f>IFERROR(__xludf.DUMMYFUNCTION("""COMPUTED_VALUE"""),34282.0)</f>
        <v>34282</v>
      </c>
    </row>
    <row r="121">
      <c r="A121" s="2">
        <f>IFERROR(__xludf.DUMMYFUNCTION("""COMPUTED_VALUE"""),40722.645833333336)</f>
        <v>40722.64583</v>
      </c>
      <c r="B121" s="1">
        <f>IFERROR(__xludf.DUMMYFUNCTION("""COMPUTED_VALUE"""),22160.0)</f>
        <v>22160</v>
      </c>
      <c r="C121" s="1">
        <f>IFERROR(__xludf.DUMMYFUNCTION("""COMPUTED_VALUE"""),22300.0)</f>
        <v>22300</v>
      </c>
      <c r="D121" s="1">
        <f>IFERROR(__xludf.DUMMYFUNCTION("""COMPUTED_VALUE"""),21720.0)</f>
        <v>21720</v>
      </c>
      <c r="E121" s="1">
        <f>IFERROR(__xludf.DUMMYFUNCTION("""COMPUTED_VALUE"""),22000.0)</f>
        <v>22000</v>
      </c>
      <c r="F121" s="1">
        <f>IFERROR(__xludf.DUMMYFUNCTION("""COMPUTED_VALUE"""),72311.0)</f>
        <v>72311</v>
      </c>
    </row>
    <row r="122">
      <c r="A122" s="2">
        <f>IFERROR(__xludf.DUMMYFUNCTION("""COMPUTED_VALUE"""),40723.645833333336)</f>
        <v>40723.64583</v>
      </c>
      <c r="B122" s="1">
        <f>IFERROR(__xludf.DUMMYFUNCTION("""COMPUTED_VALUE"""),22100.0)</f>
        <v>22100</v>
      </c>
      <c r="C122" s="1">
        <f>IFERROR(__xludf.DUMMYFUNCTION("""COMPUTED_VALUE"""),22300.0)</f>
        <v>22300</v>
      </c>
      <c r="D122" s="1">
        <f>IFERROR(__xludf.DUMMYFUNCTION("""COMPUTED_VALUE"""),21920.0)</f>
        <v>21920</v>
      </c>
      <c r="E122" s="1">
        <f>IFERROR(__xludf.DUMMYFUNCTION("""COMPUTED_VALUE"""),22100.0)</f>
        <v>22100</v>
      </c>
      <c r="F122" s="1">
        <f>IFERROR(__xludf.DUMMYFUNCTION("""COMPUTED_VALUE"""),83158.0)</f>
        <v>83158</v>
      </c>
    </row>
    <row r="123">
      <c r="A123" s="2">
        <f>IFERROR(__xludf.DUMMYFUNCTION("""COMPUTED_VALUE"""),40724.645833333336)</f>
        <v>40724.64583</v>
      </c>
      <c r="B123" s="1">
        <f>IFERROR(__xludf.DUMMYFUNCTION("""COMPUTED_VALUE"""),22300.0)</f>
        <v>22300</v>
      </c>
      <c r="C123" s="1">
        <f>IFERROR(__xludf.DUMMYFUNCTION("""COMPUTED_VALUE"""),22400.0)</f>
        <v>22400</v>
      </c>
      <c r="D123" s="1">
        <f>IFERROR(__xludf.DUMMYFUNCTION("""COMPUTED_VALUE"""),22160.0)</f>
        <v>22160</v>
      </c>
      <c r="E123" s="1">
        <f>IFERROR(__xludf.DUMMYFUNCTION("""COMPUTED_VALUE"""),22200.0)</f>
        <v>22200</v>
      </c>
      <c r="F123" s="1">
        <f>IFERROR(__xludf.DUMMYFUNCTION("""COMPUTED_VALUE"""),48712.0)</f>
        <v>48712</v>
      </c>
    </row>
    <row r="124">
      <c r="A124" s="2">
        <f>IFERROR(__xludf.DUMMYFUNCTION("""COMPUTED_VALUE"""),40725.645833333336)</f>
        <v>40725.64583</v>
      </c>
      <c r="B124" s="1">
        <f>IFERROR(__xludf.DUMMYFUNCTION("""COMPUTED_VALUE"""),22240.0)</f>
        <v>22240</v>
      </c>
      <c r="C124" s="1">
        <f>IFERROR(__xludf.DUMMYFUNCTION("""COMPUTED_VALUE"""),22360.0)</f>
        <v>22360</v>
      </c>
      <c r="D124" s="1">
        <f>IFERROR(__xludf.DUMMYFUNCTION("""COMPUTED_VALUE"""),21900.0)</f>
        <v>21900</v>
      </c>
      <c r="E124" s="1">
        <f>IFERROR(__xludf.DUMMYFUNCTION("""COMPUTED_VALUE"""),22020.0)</f>
        <v>22020</v>
      </c>
      <c r="F124" s="1">
        <f>IFERROR(__xludf.DUMMYFUNCTION("""COMPUTED_VALUE"""),103268.0)</f>
        <v>103268</v>
      </c>
    </row>
    <row r="125">
      <c r="A125" s="2">
        <f>IFERROR(__xludf.DUMMYFUNCTION("""COMPUTED_VALUE"""),40728.645833333336)</f>
        <v>40728.64583</v>
      </c>
      <c r="B125" s="1">
        <f>IFERROR(__xludf.DUMMYFUNCTION("""COMPUTED_VALUE"""),22360.0)</f>
        <v>22360</v>
      </c>
      <c r="C125" s="1">
        <f>IFERROR(__xludf.DUMMYFUNCTION("""COMPUTED_VALUE"""),22400.0)</f>
        <v>22400</v>
      </c>
      <c r="D125" s="1">
        <f>IFERROR(__xludf.DUMMYFUNCTION("""COMPUTED_VALUE"""),22200.0)</f>
        <v>22200</v>
      </c>
      <c r="E125" s="1">
        <f>IFERROR(__xludf.DUMMYFUNCTION("""COMPUTED_VALUE"""),22400.0)</f>
        <v>22400</v>
      </c>
      <c r="F125" s="1">
        <f>IFERROR(__xludf.DUMMYFUNCTION("""COMPUTED_VALUE"""),194867.0)</f>
        <v>194867</v>
      </c>
    </row>
    <row r="126">
      <c r="A126" s="2">
        <f>IFERROR(__xludf.DUMMYFUNCTION("""COMPUTED_VALUE"""),40729.645833333336)</f>
        <v>40729.64583</v>
      </c>
      <c r="B126" s="1">
        <f>IFERROR(__xludf.DUMMYFUNCTION("""COMPUTED_VALUE"""),22400.0)</f>
        <v>22400</v>
      </c>
      <c r="C126" s="1">
        <f>IFERROR(__xludf.DUMMYFUNCTION("""COMPUTED_VALUE"""),22400.0)</f>
        <v>22400</v>
      </c>
      <c r="D126" s="1">
        <f>IFERROR(__xludf.DUMMYFUNCTION("""COMPUTED_VALUE"""),22260.0)</f>
        <v>22260</v>
      </c>
      <c r="E126" s="1">
        <f>IFERROR(__xludf.DUMMYFUNCTION("""COMPUTED_VALUE"""),22400.0)</f>
        <v>22400</v>
      </c>
      <c r="F126" s="1">
        <f>IFERROR(__xludf.DUMMYFUNCTION("""COMPUTED_VALUE"""),69617.0)</f>
        <v>69617</v>
      </c>
    </row>
    <row r="127">
      <c r="A127" s="2">
        <f>IFERROR(__xludf.DUMMYFUNCTION("""COMPUTED_VALUE"""),40730.645833333336)</f>
        <v>40730.64583</v>
      </c>
      <c r="B127" s="1">
        <f>IFERROR(__xludf.DUMMYFUNCTION("""COMPUTED_VALUE"""),22380.0)</f>
        <v>22380</v>
      </c>
      <c r="C127" s="1">
        <f>IFERROR(__xludf.DUMMYFUNCTION("""COMPUTED_VALUE"""),22420.0)</f>
        <v>22420</v>
      </c>
      <c r="D127" s="1">
        <f>IFERROR(__xludf.DUMMYFUNCTION("""COMPUTED_VALUE"""),22160.0)</f>
        <v>22160</v>
      </c>
      <c r="E127" s="1">
        <f>IFERROR(__xludf.DUMMYFUNCTION("""COMPUTED_VALUE"""),22340.0)</f>
        <v>22340</v>
      </c>
      <c r="F127" s="1">
        <f>IFERROR(__xludf.DUMMYFUNCTION("""COMPUTED_VALUE"""),67278.0)</f>
        <v>67278</v>
      </c>
    </row>
    <row r="128">
      <c r="A128" s="2">
        <f>IFERROR(__xludf.DUMMYFUNCTION("""COMPUTED_VALUE"""),40731.645833333336)</f>
        <v>40731.64583</v>
      </c>
      <c r="B128" s="1">
        <f>IFERROR(__xludf.DUMMYFUNCTION("""COMPUTED_VALUE"""),22340.0)</f>
        <v>22340</v>
      </c>
      <c r="C128" s="1">
        <f>IFERROR(__xludf.DUMMYFUNCTION("""COMPUTED_VALUE"""),22900.0)</f>
        <v>22900</v>
      </c>
      <c r="D128" s="1">
        <f>IFERROR(__xludf.DUMMYFUNCTION("""COMPUTED_VALUE"""),22320.0)</f>
        <v>22320</v>
      </c>
      <c r="E128" s="1">
        <f>IFERROR(__xludf.DUMMYFUNCTION("""COMPUTED_VALUE"""),22400.0)</f>
        <v>22400</v>
      </c>
      <c r="F128" s="1">
        <f>IFERROR(__xludf.DUMMYFUNCTION("""COMPUTED_VALUE"""),123555.0)</f>
        <v>123555</v>
      </c>
    </row>
    <row r="129">
      <c r="A129" s="2">
        <f>IFERROR(__xludf.DUMMYFUNCTION("""COMPUTED_VALUE"""),40732.645833333336)</f>
        <v>40732.64583</v>
      </c>
      <c r="B129" s="1">
        <f>IFERROR(__xludf.DUMMYFUNCTION("""COMPUTED_VALUE"""),22380.0)</f>
        <v>22380</v>
      </c>
      <c r="C129" s="1">
        <f>IFERROR(__xludf.DUMMYFUNCTION("""COMPUTED_VALUE"""),23400.0)</f>
        <v>23400</v>
      </c>
      <c r="D129" s="1">
        <f>IFERROR(__xludf.DUMMYFUNCTION("""COMPUTED_VALUE"""),22300.0)</f>
        <v>22300</v>
      </c>
      <c r="E129" s="1">
        <f>IFERROR(__xludf.DUMMYFUNCTION("""COMPUTED_VALUE"""),23400.0)</f>
        <v>23400</v>
      </c>
      <c r="F129" s="1">
        <f>IFERROR(__xludf.DUMMYFUNCTION("""COMPUTED_VALUE"""),290897.0)</f>
        <v>290897</v>
      </c>
    </row>
    <row r="130">
      <c r="A130" s="2">
        <f>IFERROR(__xludf.DUMMYFUNCTION("""COMPUTED_VALUE"""),40735.645833333336)</f>
        <v>40735.64583</v>
      </c>
      <c r="B130" s="1">
        <f>IFERROR(__xludf.DUMMYFUNCTION("""COMPUTED_VALUE"""),23240.0)</f>
        <v>23240</v>
      </c>
      <c r="C130" s="1">
        <f>IFERROR(__xludf.DUMMYFUNCTION("""COMPUTED_VALUE"""),24180.0)</f>
        <v>24180</v>
      </c>
      <c r="D130" s="1">
        <f>IFERROR(__xludf.DUMMYFUNCTION("""COMPUTED_VALUE"""),23180.0)</f>
        <v>23180</v>
      </c>
      <c r="E130" s="1">
        <f>IFERROR(__xludf.DUMMYFUNCTION("""COMPUTED_VALUE"""),24080.0)</f>
        <v>24080</v>
      </c>
      <c r="F130" s="1">
        <f>IFERROR(__xludf.DUMMYFUNCTION("""COMPUTED_VALUE"""),144485.0)</f>
        <v>144485</v>
      </c>
    </row>
    <row r="131">
      <c r="A131" s="2">
        <f>IFERROR(__xludf.DUMMYFUNCTION("""COMPUTED_VALUE"""),40736.645833333336)</f>
        <v>40736.64583</v>
      </c>
      <c r="B131" s="1">
        <f>IFERROR(__xludf.DUMMYFUNCTION("""COMPUTED_VALUE"""),23900.0)</f>
        <v>23900</v>
      </c>
      <c r="C131" s="1">
        <f>IFERROR(__xludf.DUMMYFUNCTION("""COMPUTED_VALUE"""),24320.0)</f>
        <v>24320</v>
      </c>
      <c r="D131" s="1">
        <f>IFERROR(__xludf.DUMMYFUNCTION("""COMPUTED_VALUE"""),23500.0)</f>
        <v>23500</v>
      </c>
      <c r="E131" s="1">
        <f>IFERROR(__xludf.DUMMYFUNCTION("""COMPUTED_VALUE"""),23500.0)</f>
        <v>23500</v>
      </c>
      <c r="F131" s="1">
        <f>IFERROR(__xludf.DUMMYFUNCTION("""COMPUTED_VALUE"""),289835.0)</f>
        <v>289835</v>
      </c>
    </row>
    <row r="132">
      <c r="A132" s="2">
        <f>IFERROR(__xludf.DUMMYFUNCTION("""COMPUTED_VALUE"""),40737.645833333336)</f>
        <v>40737.64583</v>
      </c>
      <c r="B132" s="1">
        <f>IFERROR(__xludf.DUMMYFUNCTION("""COMPUTED_VALUE"""),23500.0)</f>
        <v>23500</v>
      </c>
      <c r="C132" s="1">
        <f>IFERROR(__xludf.DUMMYFUNCTION("""COMPUTED_VALUE"""),25580.0)</f>
        <v>25580</v>
      </c>
      <c r="D132" s="1">
        <f>IFERROR(__xludf.DUMMYFUNCTION("""COMPUTED_VALUE"""),23440.0)</f>
        <v>23440</v>
      </c>
      <c r="E132" s="1">
        <f>IFERROR(__xludf.DUMMYFUNCTION("""COMPUTED_VALUE"""),25260.0)</f>
        <v>25260</v>
      </c>
      <c r="F132" s="1">
        <f>IFERROR(__xludf.DUMMYFUNCTION("""COMPUTED_VALUE"""),217554.0)</f>
        <v>217554</v>
      </c>
    </row>
    <row r="133">
      <c r="A133" s="2">
        <f>IFERROR(__xludf.DUMMYFUNCTION("""COMPUTED_VALUE"""),40738.645833333336)</f>
        <v>40738.64583</v>
      </c>
      <c r="B133" s="1">
        <f>IFERROR(__xludf.DUMMYFUNCTION("""COMPUTED_VALUE"""),25260.0)</f>
        <v>25260</v>
      </c>
      <c r="C133" s="1">
        <f>IFERROR(__xludf.DUMMYFUNCTION("""COMPUTED_VALUE"""),25280.0)</f>
        <v>25280</v>
      </c>
      <c r="D133" s="1">
        <f>IFERROR(__xludf.DUMMYFUNCTION("""COMPUTED_VALUE"""),24520.0)</f>
        <v>24520</v>
      </c>
      <c r="E133" s="1">
        <f>IFERROR(__xludf.DUMMYFUNCTION("""COMPUTED_VALUE"""),24600.0)</f>
        <v>24600</v>
      </c>
      <c r="F133" s="1">
        <f>IFERROR(__xludf.DUMMYFUNCTION("""COMPUTED_VALUE"""),145248.0)</f>
        <v>145248</v>
      </c>
    </row>
    <row r="134">
      <c r="A134" s="2">
        <f>IFERROR(__xludf.DUMMYFUNCTION("""COMPUTED_VALUE"""),40739.645833333336)</f>
        <v>40739.64583</v>
      </c>
      <c r="B134" s="1">
        <f>IFERROR(__xludf.DUMMYFUNCTION("""COMPUTED_VALUE"""),25000.0)</f>
        <v>25000</v>
      </c>
      <c r="C134" s="1">
        <f>IFERROR(__xludf.DUMMYFUNCTION("""COMPUTED_VALUE"""),25980.0)</f>
        <v>25980</v>
      </c>
      <c r="D134" s="1">
        <f>IFERROR(__xludf.DUMMYFUNCTION("""COMPUTED_VALUE"""),23980.0)</f>
        <v>23980</v>
      </c>
      <c r="E134" s="1">
        <f>IFERROR(__xludf.DUMMYFUNCTION("""COMPUTED_VALUE"""),24500.0)</f>
        <v>24500</v>
      </c>
      <c r="F134" s="1">
        <f>IFERROR(__xludf.DUMMYFUNCTION("""COMPUTED_VALUE"""),203331.0)</f>
        <v>203331</v>
      </c>
    </row>
    <row r="135">
      <c r="A135" s="2">
        <f>IFERROR(__xludf.DUMMYFUNCTION("""COMPUTED_VALUE"""),40742.645833333336)</f>
        <v>40742.64583</v>
      </c>
      <c r="B135" s="1">
        <f>IFERROR(__xludf.DUMMYFUNCTION("""COMPUTED_VALUE"""),24600.0)</f>
        <v>24600</v>
      </c>
      <c r="C135" s="1">
        <f>IFERROR(__xludf.DUMMYFUNCTION("""COMPUTED_VALUE"""),25600.0)</f>
        <v>25600</v>
      </c>
      <c r="D135" s="1">
        <f>IFERROR(__xludf.DUMMYFUNCTION("""COMPUTED_VALUE"""),24280.0)</f>
        <v>24280</v>
      </c>
      <c r="E135" s="1">
        <f>IFERROR(__xludf.DUMMYFUNCTION("""COMPUTED_VALUE"""),25420.0)</f>
        <v>25420</v>
      </c>
      <c r="F135" s="1">
        <f>IFERROR(__xludf.DUMMYFUNCTION("""COMPUTED_VALUE"""),155068.0)</f>
        <v>155068</v>
      </c>
    </row>
    <row r="136">
      <c r="A136" s="2">
        <f>IFERROR(__xludf.DUMMYFUNCTION("""COMPUTED_VALUE"""),40743.645833333336)</f>
        <v>40743.64583</v>
      </c>
      <c r="B136" s="1">
        <f>IFERROR(__xludf.DUMMYFUNCTION("""COMPUTED_VALUE"""),25420.0)</f>
        <v>25420</v>
      </c>
      <c r="C136" s="1">
        <f>IFERROR(__xludf.DUMMYFUNCTION("""COMPUTED_VALUE"""),26640.0)</f>
        <v>26640</v>
      </c>
      <c r="D136" s="1">
        <f>IFERROR(__xludf.DUMMYFUNCTION("""COMPUTED_VALUE"""),25320.0)</f>
        <v>25320</v>
      </c>
      <c r="E136" s="1">
        <f>IFERROR(__xludf.DUMMYFUNCTION("""COMPUTED_VALUE"""),26360.0)</f>
        <v>26360</v>
      </c>
      <c r="F136" s="1">
        <f>IFERROR(__xludf.DUMMYFUNCTION("""COMPUTED_VALUE"""),323793.0)</f>
        <v>323793</v>
      </c>
    </row>
    <row r="137">
      <c r="A137" s="2">
        <f>IFERROR(__xludf.DUMMYFUNCTION("""COMPUTED_VALUE"""),40744.645833333336)</f>
        <v>40744.64583</v>
      </c>
      <c r="B137" s="1">
        <f>IFERROR(__xludf.DUMMYFUNCTION("""COMPUTED_VALUE"""),26940.0)</f>
        <v>26940</v>
      </c>
      <c r="C137" s="1">
        <f>IFERROR(__xludf.DUMMYFUNCTION("""COMPUTED_VALUE"""),28000.0)</f>
        <v>28000</v>
      </c>
      <c r="D137" s="1">
        <f>IFERROR(__xludf.DUMMYFUNCTION("""COMPUTED_VALUE"""),26240.0)</f>
        <v>26240</v>
      </c>
      <c r="E137" s="1">
        <f>IFERROR(__xludf.DUMMYFUNCTION("""COMPUTED_VALUE"""),27200.0)</f>
        <v>27200</v>
      </c>
      <c r="F137" s="1">
        <f>IFERROR(__xludf.DUMMYFUNCTION("""COMPUTED_VALUE"""),222678.0)</f>
        <v>222678</v>
      </c>
    </row>
    <row r="138">
      <c r="A138" s="2">
        <f>IFERROR(__xludf.DUMMYFUNCTION("""COMPUTED_VALUE"""),40745.645833333336)</f>
        <v>40745.64583</v>
      </c>
      <c r="B138" s="1">
        <f>IFERROR(__xludf.DUMMYFUNCTION("""COMPUTED_VALUE"""),27200.0)</f>
        <v>27200</v>
      </c>
      <c r="C138" s="1">
        <f>IFERROR(__xludf.DUMMYFUNCTION("""COMPUTED_VALUE"""),27780.0)</f>
        <v>27780</v>
      </c>
      <c r="D138" s="1">
        <f>IFERROR(__xludf.DUMMYFUNCTION("""COMPUTED_VALUE"""),26960.0)</f>
        <v>26960</v>
      </c>
      <c r="E138" s="1">
        <f>IFERROR(__xludf.DUMMYFUNCTION("""COMPUTED_VALUE"""),27400.0)</f>
        <v>27400</v>
      </c>
      <c r="F138" s="1">
        <f>IFERROR(__xludf.DUMMYFUNCTION("""COMPUTED_VALUE"""),112264.0)</f>
        <v>112264</v>
      </c>
    </row>
    <row r="139">
      <c r="A139" s="2">
        <f>IFERROR(__xludf.DUMMYFUNCTION("""COMPUTED_VALUE"""),40746.645833333336)</f>
        <v>40746.64583</v>
      </c>
      <c r="B139" s="1">
        <f>IFERROR(__xludf.DUMMYFUNCTION("""COMPUTED_VALUE"""),27200.0)</f>
        <v>27200</v>
      </c>
      <c r="C139" s="1">
        <f>IFERROR(__xludf.DUMMYFUNCTION("""COMPUTED_VALUE"""),28560.0)</f>
        <v>28560</v>
      </c>
      <c r="D139" s="1">
        <f>IFERROR(__xludf.DUMMYFUNCTION("""COMPUTED_VALUE"""),27040.0)</f>
        <v>27040</v>
      </c>
      <c r="E139" s="1">
        <f>IFERROR(__xludf.DUMMYFUNCTION("""COMPUTED_VALUE"""),27720.0)</f>
        <v>27720</v>
      </c>
      <c r="F139" s="1">
        <f>IFERROR(__xludf.DUMMYFUNCTION("""COMPUTED_VALUE"""),100840.0)</f>
        <v>100840</v>
      </c>
    </row>
    <row r="140">
      <c r="A140" s="2">
        <f>IFERROR(__xludf.DUMMYFUNCTION("""COMPUTED_VALUE"""),40749.645833333336)</f>
        <v>40749.64583</v>
      </c>
      <c r="B140" s="1">
        <f>IFERROR(__xludf.DUMMYFUNCTION("""COMPUTED_VALUE"""),27720.0)</f>
        <v>27720</v>
      </c>
      <c r="C140" s="1">
        <f>IFERROR(__xludf.DUMMYFUNCTION("""COMPUTED_VALUE"""),28000.0)</f>
        <v>28000</v>
      </c>
      <c r="D140" s="1">
        <f>IFERROR(__xludf.DUMMYFUNCTION("""COMPUTED_VALUE"""),27700.0)</f>
        <v>27700</v>
      </c>
      <c r="E140" s="1">
        <f>IFERROR(__xludf.DUMMYFUNCTION("""COMPUTED_VALUE"""),27720.0)</f>
        <v>27720</v>
      </c>
      <c r="F140" s="1">
        <f>IFERROR(__xludf.DUMMYFUNCTION("""COMPUTED_VALUE"""),126583.0)</f>
        <v>126583</v>
      </c>
    </row>
    <row r="141">
      <c r="A141" s="2">
        <f>IFERROR(__xludf.DUMMYFUNCTION("""COMPUTED_VALUE"""),40750.645833333336)</f>
        <v>40750.64583</v>
      </c>
      <c r="B141" s="1">
        <f>IFERROR(__xludf.DUMMYFUNCTION("""COMPUTED_VALUE"""),27900.0)</f>
        <v>27900</v>
      </c>
      <c r="C141" s="1">
        <f>IFERROR(__xludf.DUMMYFUNCTION("""COMPUTED_VALUE"""),28680.0)</f>
        <v>28680</v>
      </c>
      <c r="D141" s="1">
        <f>IFERROR(__xludf.DUMMYFUNCTION("""COMPUTED_VALUE"""),27400.0)</f>
        <v>27400</v>
      </c>
      <c r="E141" s="1">
        <f>IFERROR(__xludf.DUMMYFUNCTION("""COMPUTED_VALUE"""),28500.0)</f>
        <v>28500</v>
      </c>
      <c r="F141" s="1">
        <f>IFERROR(__xludf.DUMMYFUNCTION("""COMPUTED_VALUE"""),92057.0)</f>
        <v>92057</v>
      </c>
    </row>
    <row r="142">
      <c r="A142" s="2">
        <f>IFERROR(__xludf.DUMMYFUNCTION("""COMPUTED_VALUE"""),40751.645833333336)</f>
        <v>40751.64583</v>
      </c>
      <c r="B142" s="1">
        <f>IFERROR(__xludf.DUMMYFUNCTION("""COMPUTED_VALUE"""),27400.0)</f>
        <v>27400</v>
      </c>
      <c r="C142" s="1">
        <f>IFERROR(__xludf.DUMMYFUNCTION("""COMPUTED_VALUE"""),28780.0)</f>
        <v>28780</v>
      </c>
      <c r="D142" s="1">
        <f>IFERROR(__xludf.DUMMYFUNCTION("""COMPUTED_VALUE"""),26600.0)</f>
        <v>26600</v>
      </c>
      <c r="E142" s="1">
        <f>IFERROR(__xludf.DUMMYFUNCTION("""COMPUTED_VALUE"""),28400.0)</f>
        <v>28400</v>
      </c>
      <c r="F142" s="1">
        <f>IFERROR(__xludf.DUMMYFUNCTION("""COMPUTED_VALUE"""),230683.0)</f>
        <v>230683</v>
      </c>
    </row>
    <row r="143">
      <c r="A143" s="2">
        <f>IFERROR(__xludf.DUMMYFUNCTION("""COMPUTED_VALUE"""),40752.645833333336)</f>
        <v>40752.64583</v>
      </c>
      <c r="B143" s="1">
        <f>IFERROR(__xludf.DUMMYFUNCTION("""COMPUTED_VALUE"""),28000.0)</f>
        <v>28000</v>
      </c>
      <c r="C143" s="1">
        <f>IFERROR(__xludf.DUMMYFUNCTION("""COMPUTED_VALUE"""),28020.0)</f>
        <v>28020</v>
      </c>
      <c r="D143" s="1">
        <f>IFERROR(__xludf.DUMMYFUNCTION("""COMPUTED_VALUE"""),26940.0)</f>
        <v>26940</v>
      </c>
      <c r="E143" s="1">
        <f>IFERROR(__xludf.DUMMYFUNCTION("""COMPUTED_VALUE"""),27000.0)</f>
        <v>27000</v>
      </c>
      <c r="F143" s="1">
        <f>IFERROR(__xludf.DUMMYFUNCTION("""COMPUTED_VALUE"""),150344.0)</f>
        <v>150344</v>
      </c>
    </row>
    <row r="144">
      <c r="A144" s="2">
        <f>IFERROR(__xludf.DUMMYFUNCTION("""COMPUTED_VALUE"""),40753.645833333336)</f>
        <v>40753.64583</v>
      </c>
      <c r="B144" s="1">
        <f>IFERROR(__xludf.DUMMYFUNCTION("""COMPUTED_VALUE"""),27000.0)</f>
        <v>27000</v>
      </c>
      <c r="C144" s="1">
        <f>IFERROR(__xludf.DUMMYFUNCTION("""COMPUTED_VALUE"""),27180.0)</f>
        <v>27180</v>
      </c>
      <c r="D144" s="1">
        <f>IFERROR(__xludf.DUMMYFUNCTION("""COMPUTED_VALUE"""),26240.0)</f>
        <v>26240</v>
      </c>
      <c r="E144" s="1">
        <f>IFERROR(__xludf.DUMMYFUNCTION("""COMPUTED_VALUE"""),26400.0)</f>
        <v>26400</v>
      </c>
      <c r="F144" s="1">
        <f>IFERROR(__xludf.DUMMYFUNCTION("""COMPUTED_VALUE"""),122311.0)</f>
        <v>122311</v>
      </c>
    </row>
    <row r="145">
      <c r="A145" s="2">
        <f>IFERROR(__xludf.DUMMYFUNCTION("""COMPUTED_VALUE"""),40756.645833333336)</f>
        <v>40756.64583</v>
      </c>
      <c r="B145" s="1">
        <f>IFERROR(__xludf.DUMMYFUNCTION("""COMPUTED_VALUE"""),26640.0)</f>
        <v>26640</v>
      </c>
      <c r="C145" s="1">
        <f>IFERROR(__xludf.DUMMYFUNCTION("""COMPUTED_VALUE"""),26980.0)</f>
        <v>26980</v>
      </c>
      <c r="D145" s="1">
        <f>IFERROR(__xludf.DUMMYFUNCTION("""COMPUTED_VALUE"""),26300.0)</f>
        <v>26300</v>
      </c>
      <c r="E145" s="1">
        <f>IFERROR(__xludf.DUMMYFUNCTION("""COMPUTED_VALUE"""),26680.0)</f>
        <v>26680</v>
      </c>
      <c r="F145" s="1">
        <f>IFERROR(__xludf.DUMMYFUNCTION("""COMPUTED_VALUE"""),71304.0)</f>
        <v>71304</v>
      </c>
    </row>
    <row r="146">
      <c r="A146" s="2">
        <f>IFERROR(__xludf.DUMMYFUNCTION("""COMPUTED_VALUE"""),40757.645833333336)</f>
        <v>40757.64583</v>
      </c>
      <c r="B146" s="1">
        <f>IFERROR(__xludf.DUMMYFUNCTION("""COMPUTED_VALUE"""),26700.0)</f>
        <v>26700</v>
      </c>
      <c r="C146" s="1">
        <f>IFERROR(__xludf.DUMMYFUNCTION("""COMPUTED_VALUE"""),27180.0)</f>
        <v>27180</v>
      </c>
      <c r="D146" s="1">
        <f>IFERROR(__xludf.DUMMYFUNCTION("""COMPUTED_VALUE"""),25720.0)</f>
        <v>25720</v>
      </c>
      <c r="E146" s="1">
        <f>IFERROR(__xludf.DUMMYFUNCTION("""COMPUTED_VALUE"""),26000.0)</f>
        <v>26000</v>
      </c>
      <c r="F146" s="1">
        <f>IFERROR(__xludf.DUMMYFUNCTION("""COMPUTED_VALUE"""),139415.0)</f>
        <v>139415</v>
      </c>
    </row>
    <row r="147">
      <c r="A147" s="2">
        <f>IFERROR(__xludf.DUMMYFUNCTION("""COMPUTED_VALUE"""),40758.645833333336)</f>
        <v>40758.64583</v>
      </c>
      <c r="B147" s="1">
        <f>IFERROR(__xludf.DUMMYFUNCTION("""COMPUTED_VALUE"""),25700.0)</f>
        <v>25700</v>
      </c>
      <c r="C147" s="1">
        <f>IFERROR(__xludf.DUMMYFUNCTION("""COMPUTED_VALUE"""),27140.0)</f>
        <v>27140</v>
      </c>
      <c r="D147" s="1">
        <f>IFERROR(__xludf.DUMMYFUNCTION("""COMPUTED_VALUE"""),25400.0)</f>
        <v>25400</v>
      </c>
      <c r="E147" s="1">
        <f>IFERROR(__xludf.DUMMYFUNCTION("""COMPUTED_VALUE"""),26780.0)</f>
        <v>26780</v>
      </c>
      <c r="F147" s="1">
        <f>IFERROR(__xludf.DUMMYFUNCTION("""COMPUTED_VALUE"""),83438.0)</f>
        <v>83438</v>
      </c>
    </row>
    <row r="148">
      <c r="A148" s="2">
        <f>IFERROR(__xludf.DUMMYFUNCTION("""COMPUTED_VALUE"""),40759.645833333336)</f>
        <v>40759.64583</v>
      </c>
      <c r="B148" s="1">
        <f>IFERROR(__xludf.DUMMYFUNCTION("""COMPUTED_VALUE"""),27120.0)</f>
        <v>27120</v>
      </c>
      <c r="C148" s="1">
        <f>IFERROR(__xludf.DUMMYFUNCTION("""COMPUTED_VALUE"""),28160.0)</f>
        <v>28160</v>
      </c>
      <c r="D148" s="1">
        <f>IFERROR(__xludf.DUMMYFUNCTION("""COMPUTED_VALUE"""),26540.0)</f>
        <v>26540</v>
      </c>
      <c r="E148" s="1">
        <f>IFERROR(__xludf.DUMMYFUNCTION("""COMPUTED_VALUE"""),27500.0)</f>
        <v>27500</v>
      </c>
      <c r="F148" s="1">
        <f>IFERROR(__xludf.DUMMYFUNCTION("""COMPUTED_VALUE"""),141804.0)</f>
        <v>141804</v>
      </c>
    </row>
    <row r="149">
      <c r="A149" s="2">
        <f>IFERROR(__xludf.DUMMYFUNCTION("""COMPUTED_VALUE"""),40760.645833333336)</f>
        <v>40760.64583</v>
      </c>
      <c r="B149" s="1">
        <f>IFERROR(__xludf.DUMMYFUNCTION("""COMPUTED_VALUE"""),26220.0)</f>
        <v>26220</v>
      </c>
      <c r="C149" s="1">
        <f>IFERROR(__xludf.DUMMYFUNCTION("""COMPUTED_VALUE"""),27920.0)</f>
        <v>27920</v>
      </c>
      <c r="D149" s="1">
        <f>IFERROR(__xludf.DUMMYFUNCTION("""COMPUTED_VALUE"""),25540.0)</f>
        <v>25540</v>
      </c>
      <c r="E149" s="1">
        <f>IFERROR(__xludf.DUMMYFUNCTION("""COMPUTED_VALUE"""),26980.0)</f>
        <v>26980</v>
      </c>
      <c r="F149" s="1">
        <f>IFERROR(__xludf.DUMMYFUNCTION("""COMPUTED_VALUE"""),238598.0)</f>
        <v>238598</v>
      </c>
    </row>
    <row r="150">
      <c r="A150" s="2">
        <f>IFERROR(__xludf.DUMMYFUNCTION("""COMPUTED_VALUE"""),40763.645833333336)</f>
        <v>40763.64583</v>
      </c>
      <c r="B150" s="1">
        <f>IFERROR(__xludf.DUMMYFUNCTION("""COMPUTED_VALUE"""),26220.0)</f>
        <v>26220</v>
      </c>
      <c r="C150" s="1">
        <f>IFERROR(__xludf.DUMMYFUNCTION("""COMPUTED_VALUE"""),26600.0)</f>
        <v>26600</v>
      </c>
      <c r="D150" s="1">
        <f>IFERROR(__xludf.DUMMYFUNCTION("""COMPUTED_VALUE"""),24580.0)</f>
        <v>24580</v>
      </c>
      <c r="E150" s="1">
        <f>IFERROR(__xludf.DUMMYFUNCTION("""COMPUTED_VALUE"""),26160.0)</f>
        <v>26160</v>
      </c>
      <c r="F150" s="1">
        <f>IFERROR(__xludf.DUMMYFUNCTION("""COMPUTED_VALUE"""),167723.0)</f>
        <v>167723</v>
      </c>
    </row>
    <row r="151">
      <c r="A151" s="2">
        <f>IFERROR(__xludf.DUMMYFUNCTION("""COMPUTED_VALUE"""),40764.645833333336)</f>
        <v>40764.64583</v>
      </c>
      <c r="B151" s="1">
        <f>IFERROR(__xludf.DUMMYFUNCTION("""COMPUTED_VALUE"""),25140.0)</f>
        <v>25140</v>
      </c>
      <c r="C151" s="1">
        <f>IFERROR(__xludf.DUMMYFUNCTION("""COMPUTED_VALUE"""),25940.0)</f>
        <v>25940</v>
      </c>
      <c r="D151" s="1">
        <f>IFERROR(__xludf.DUMMYFUNCTION("""COMPUTED_VALUE"""),23180.0)</f>
        <v>23180</v>
      </c>
      <c r="E151" s="1">
        <f>IFERROR(__xludf.DUMMYFUNCTION("""COMPUTED_VALUE"""),25160.0)</f>
        <v>25160</v>
      </c>
      <c r="F151" s="1">
        <f>IFERROR(__xludf.DUMMYFUNCTION("""COMPUTED_VALUE"""),119258.0)</f>
        <v>119258</v>
      </c>
    </row>
    <row r="152">
      <c r="A152" s="2">
        <f>IFERROR(__xludf.DUMMYFUNCTION("""COMPUTED_VALUE"""),40765.645833333336)</f>
        <v>40765.64583</v>
      </c>
      <c r="B152" s="1">
        <f>IFERROR(__xludf.DUMMYFUNCTION("""COMPUTED_VALUE"""),26100.0)</f>
        <v>26100</v>
      </c>
      <c r="C152" s="1">
        <f>IFERROR(__xludf.DUMMYFUNCTION("""COMPUTED_VALUE"""),26400.0)</f>
        <v>26400</v>
      </c>
      <c r="D152" s="1">
        <f>IFERROR(__xludf.DUMMYFUNCTION("""COMPUTED_VALUE"""),25600.0)</f>
        <v>25600</v>
      </c>
      <c r="E152" s="1">
        <f>IFERROR(__xludf.DUMMYFUNCTION("""COMPUTED_VALUE"""),25600.0)</f>
        <v>25600</v>
      </c>
      <c r="F152" s="1">
        <f>IFERROR(__xludf.DUMMYFUNCTION("""COMPUTED_VALUE"""),179632.0)</f>
        <v>179632</v>
      </c>
    </row>
    <row r="153">
      <c r="A153" s="2">
        <f>IFERROR(__xludf.DUMMYFUNCTION("""COMPUTED_VALUE"""),40766.645833333336)</f>
        <v>40766.64583</v>
      </c>
      <c r="B153" s="1">
        <f>IFERROR(__xludf.DUMMYFUNCTION("""COMPUTED_VALUE"""),24500.0)</f>
        <v>24500</v>
      </c>
      <c r="C153" s="1">
        <f>IFERROR(__xludf.DUMMYFUNCTION("""COMPUTED_VALUE"""),28000.0)</f>
        <v>28000</v>
      </c>
      <c r="D153" s="1">
        <f>IFERROR(__xludf.DUMMYFUNCTION("""COMPUTED_VALUE"""),24500.0)</f>
        <v>24500</v>
      </c>
      <c r="E153" s="1">
        <f>IFERROR(__xludf.DUMMYFUNCTION("""COMPUTED_VALUE"""),27000.0)</f>
        <v>27000</v>
      </c>
      <c r="F153" s="1">
        <f>IFERROR(__xludf.DUMMYFUNCTION("""COMPUTED_VALUE"""),135142.0)</f>
        <v>135142</v>
      </c>
    </row>
    <row r="154">
      <c r="A154" s="2">
        <f>IFERROR(__xludf.DUMMYFUNCTION("""COMPUTED_VALUE"""),40767.645833333336)</f>
        <v>40767.64583</v>
      </c>
      <c r="B154" s="1">
        <f>IFERROR(__xludf.DUMMYFUNCTION("""COMPUTED_VALUE"""),27000.0)</f>
        <v>27000</v>
      </c>
      <c r="C154" s="1">
        <f>IFERROR(__xludf.DUMMYFUNCTION("""COMPUTED_VALUE"""),27600.0)</f>
        <v>27600</v>
      </c>
      <c r="D154" s="1">
        <f>IFERROR(__xludf.DUMMYFUNCTION("""COMPUTED_VALUE"""),25220.0)</f>
        <v>25220</v>
      </c>
      <c r="E154" s="1">
        <f>IFERROR(__xludf.DUMMYFUNCTION("""COMPUTED_VALUE"""),25880.0)</f>
        <v>25880</v>
      </c>
      <c r="F154" s="1">
        <f>IFERROR(__xludf.DUMMYFUNCTION("""COMPUTED_VALUE"""),342513.0)</f>
        <v>342513</v>
      </c>
    </row>
    <row r="155">
      <c r="A155" s="2">
        <f>IFERROR(__xludf.DUMMYFUNCTION("""COMPUTED_VALUE"""),40771.645833333336)</f>
        <v>40771.64583</v>
      </c>
      <c r="B155" s="1">
        <f>IFERROR(__xludf.DUMMYFUNCTION("""COMPUTED_VALUE"""),25400.0)</f>
        <v>25400</v>
      </c>
      <c r="C155" s="1">
        <f>IFERROR(__xludf.DUMMYFUNCTION("""COMPUTED_VALUE"""),25600.0)</f>
        <v>25600</v>
      </c>
      <c r="D155" s="1">
        <f>IFERROR(__xludf.DUMMYFUNCTION("""COMPUTED_VALUE"""),23640.0)</f>
        <v>23640</v>
      </c>
      <c r="E155" s="1">
        <f>IFERROR(__xludf.DUMMYFUNCTION("""COMPUTED_VALUE"""),23800.0)</f>
        <v>23800</v>
      </c>
      <c r="F155" s="1">
        <f>IFERROR(__xludf.DUMMYFUNCTION("""COMPUTED_VALUE"""),1199445.0)</f>
        <v>1199445</v>
      </c>
    </row>
    <row r="156">
      <c r="A156" s="2">
        <f>IFERROR(__xludf.DUMMYFUNCTION("""COMPUTED_VALUE"""),40772.645833333336)</f>
        <v>40772.64583</v>
      </c>
      <c r="B156" s="1">
        <f>IFERROR(__xludf.DUMMYFUNCTION("""COMPUTED_VALUE"""),23540.0)</f>
        <v>23540</v>
      </c>
      <c r="C156" s="1">
        <f>IFERROR(__xludf.DUMMYFUNCTION("""COMPUTED_VALUE"""),24700.0)</f>
        <v>24700</v>
      </c>
      <c r="D156" s="1">
        <f>IFERROR(__xludf.DUMMYFUNCTION("""COMPUTED_VALUE"""),22360.0)</f>
        <v>22360</v>
      </c>
      <c r="E156" s="1">
        <f>IFERROR(__xludf.DUMMYFUNCTION("""COMPUTED_VALUE"""),24700.0)</f>
        <v>24700</v>
      </c>
      <c r="F156" s="1">
        <f>IFERROR(__xludf.DUMMYFUNCTION("""COMPUTED_VALUE"""),1254954.0)</f>
        <v>1254954</v>
      </c>
    </row>
    <row r="157">
      <c r="A157" s="2">
        <f>IFERROR(__xludf.DUMMYFUNCTION("""COMPUTED_VALUE"""),40773.645833333336)</f>
        <v>40773.64583</v>
      </c>
      <c r="B157" s="1">
        <f>IFERROR(__xludf.DUMMYFUNCTION("""COMPUTED_VALUE"""),24720.0)</f>
        <v>24720</v>
      </c>
      <c r="C157" s="1">
        <f>IFERROR(__xludf.DUMMYFUNCTION("""COMPUTED_VALUE"""),26040.0)</f>
        <v>26040</v>
      </c>
      <c r="D157" s="1">
        <f>IFERROR(__xludf.DUMMYFUNCTION("""COMPUTED_VALUE"""),24180.0)</f>
        <v>24180</v>
      </c>
      <c r="E157" s="1">
        <f>IFERROR(__xludf.DUMMYFUNCTION("""COMPUTED_VALUE"""),25500.0)</f>
        <v>25500</v>
      </c>
      <c r="F157" s="1">
        <f>IFERROR(__xludf.DUMMYFUNCTION("""COMPUTED_VALUE"""),668554.0)</f>
        <v>668554</v>
      </c>
    </row>
    <row r="158">
      <c r="A158" s="2">
        <f>IFERROR(__xludf.DUMMYFUNCTION("""COMPUTED_VALUE"""),40774.645833333336)</f>
        <v>40774.64583</v>
      </c>
      <c r="B158" s="1">
        <f>IFERROR(__xludf.DUMMYFUNCTION("""COMPUTED_VALUE"""),24600.0)</f>
        <v>24600</v>
      </c>
      <c r="C158" s="1">
        <f>IFERROR(__xludf.DUMMYFUNCTION("""COMPUTED_VALUE"""),25880.0)</f>
        <v>25880</v>
      </c>
      <c r="D158" s="1">
        <f>IFERROR(__xludf.DUMMYFUNCTION("""COMPUTED_VALUE"""),24320.0)</f>
        <v>24320</v>
      </c>
      <c r="E158" s="1">
        <f>IFERROR(__xludf.DUMMYFUNCTION("""COMPUTED_VALUE"""),24960.0)</f>
        <v>24960</v>
      </c>
      <c r="F158" s="1">
        <f>IFERROR(__xludf.DUMMYFUNCTION("""COMPUTED_VALUE"""),376430.0)</f>
        <v>376430</v>
      </c>
    </row>
    <row r="159">
      <c r="A159" s="2">
        <f>IFERROR(__xludf.DUMMYFUNCTION("""COMPUTED_VALUE"""),40777.645833333336)</f>
        <v>40777.64583</v>
      </c>
      <c r="B159" s="1">
        <f>IFERROR(__xludf.DUMMYFUNCTION("""COMPUTED_VALUE"""),25600.0)</f>
        <v>25600</v>
      </c>
      <c r="C159" s="1">
        <f>IFERROR(__xludf.DUMMYFUNCTION("""COMPUTED_VALUE"""),25620.0)</f>
        <v>25620</v>
      </c>
      <c r="D159" s="1">
        <f>IFERROR(__xludf.DUMMYFUNCTION("""COMPUTED_VALUE"""),22980.0)</f>
        <v>22980</v>
      </c>
      <c r="E159" s="1">
        <f>IFERROR(__xludf.DUMMYFUNCTION("""COMPUTED_VALUE"""),24500.0)</f>
        <v>24500</v>
      </c>
      <c r="F159" s="1">
        <f>IFERROR(__xludf.DUMMYFUNCTION("""COMPUTED_VALUE"""),312768.0)</f>
        <v>312768</v>
      </c>
    </row>
    <row r="160">
      <c r="A160" s="2">
        <f>IFERROR(__xludf.DUMMYFUNCTION("""COMPUTED_VALUE"""),40778.645833333336)</f>
        <v>40778.64583</v>
      </c>
      <c r="B160" s="1">
        <f>IFERROR(__xludf.DUMMYFUNCTION("""COMPUTED_VALUE"""),24540.0)</f>
        <v>24540</v>
      </c>
      <c r="C160" s="1">
        <f>IFERROR(__xludf.DUMMYFUNCTION("""COMPUTED_VALUE"""),25000.0)</f>
        <v>25000</v>
      </c>
      <c r="D160" s="1">
        <f>IFERROR(__xludf.DUMMYFUNCTION("""COMPUTED_VALUE"""),23800.0)</f>
        <v>23800</v>
      </c>
      <c r="E160" s="1">
        <f>IFERROR(__xludf.DUMMYFUNCTION("""COMPUTED_VALUE"""),24160.0)</f>
        <v>24160</v>
      </c>
      <c r="F160" s="1">
        <f>IFERROR(__xludf.DUMMYFUNCTION("""COMPUTED_VALUE"""),209664.0)</f>
        <v>209664</v>
      </c>
    </row>
    <row r="161">
      <c r="A161" s="2">
        <f>IFERROR(__xludf.DUMMYFUNCTION("""COMPUTED_VALUE"""),40779.645833333336)</f>
        <v>40779.64583</v>
      </c>
      <c r="B161" s="1">
        <f>IFERROR(__xludf.DUMMYFUNCTION("""COMPUTED_VALUE"""),24180.0)</f>
        <v>24180</v>
      </c>
      <c r="C161" s="1">
        <f>IFERROR(__xludf.DUMMYFUNCTION("""COMPUTED_VALUE"""),24620.0)</f>
        <v>24620</v>
      </c>
      <c r="D161" s="1">
        <f>IFERROR(__xludf.DUMMYFUNCTION("""COMPUTED_VALUE"""),23220.0)</f>
        <v>23220</v>
      </c>
      <c r="E161" s="1">
        <f>IFERROR(__xludf.DUMMYFUNCTION("""COMPUTED_VALUE"""),23320.0)</f>
        <v>23320</v>
      </c>
      <c r="F161" s="1">
        <f>IFERROR(__xludf.DUMMYFUNCTION("""COMPUTED_VALUE"""),181358.0)</f>
        <v>181358</v>
      </c>
    </row>
    <row r="162">
      <c r="A162" s="2">
        <f>IFERROR(__xludf.DUMMYFUNCTION("""COMPUTED_VALUE"""),40780.645833333336)</f>
        <v>40780.64583</v>
      </c>
      <c r="B162" s="1">
        <f>IFERROR(__xludf.DUMMYFUNCTION("""COMPUTED_VALUE"""),23540.0)</f>
        <v>23540</v>
      </c>
      <c r="C162" s="1">
        <f>IFERROR(__xludf.DUMMYFUNCTION("""COMPUTED_VALUE"""),24140.0)</f>
        <v>24140</v>
      </c>
      <c r="D162" s="1">
        <f>IFERROR(__xludf.DUMMYFUNCTION("""COMPUTED_VALUE"""),23360.0)</f>
        <v>23360</v>
      </c>
      <c r="E162" s="1">
        <f>IFERROR(__xludf.DUMMYFUNCTION("""COMPUTED_VALUE"""),23780.0)</f>
        <v>23780</v>
      </c>
      <c r="F162" s="1">
        <f>IFERROR(__xludf.DUMMYFUNCTION("""COMPUTED_VALUE"""),173709.0)</f>
        <v>173709</v>
      </c>
    </row>
    <row r="163">
      <c r="A163" s="2">
        <f>IFERROR(__xludf.DUMMYFUNCTION("""COMPUTED_VALUE"""),40781.645833333336)</f>
        <v>40781.64583</v>
      </c>
      <c r="B163" s="1">
        <f>IFERROR(__xludf.DUMMYFUNCTION("""COMPUTED_VALUE"""),23780.0)</f>
        <v>23780</v>
      </c>
      <c r="C163" s="1">
        <f>IFERROR(__xludf.DUMMYFUNCTION("""COMPUTED_VALUE"""),24480.0)</f>
        <v>24480</v>
      </c>
      <c r="D163" s="1">
        <f>IFERROR(__xludf.DUMMYFUNCTION("""COMPUTED_VALUE"""),23060.0)</f>
        <v>23060</v>
      </c>
      <c r="E163" s="1">
        <f>IFERROR(__xludf.DUMMYFUNCTION("""COMPUTED_VALUE"""),23800.0)</f>
        <v>23800</v>
      </c>
      <c r="F163" s="1">
        <f>IFERROR(__xludf.DUMMYFUNCTION("""COMPUTED_VALUE"""),149929.0)</f>
        <v>149929</v>
      </c>
    </row>
    <row r="164">
      <c r="A164" s="2">
        <f>IFERROR(__xludf.DUMMYFUNCTION("""COMPUTED_VALUE"""),40784.645833333336)</f>
        <v>40784.64583</v>
      </c>
      <c r="B164" s="1">
        <f>IFERROR(__xludf.DUMMYFUNCTION("""COMPUTED_VALUE"""),24200.0)</f>
        <v>24200</v>
      </c>
      <c r="C164" s="1">
        <f>IFERROR(__xludf.DUMMYFUNCTION("""COMPUTED_VALUE"""),24260.0)</f>
        <v>24260</v>
      </c>
      <c r="D164" s="1">
        <f>IFERROR(__xludf.DUMMYFUNCTION("""COMPUTED_VALUE"""),23460.0)</f>
        <v>23460</v>
      </c>
      <c r="E164" s="1">
        <f>IFERROR(__xludf.DUMMYFUNCTION("""COMPUTED_VALUE"""),23880.0)</f>
        <v>23880</v>
      </c>
      <c r="F164" s="1">
        <f>IFERROR(__xludf.DUMMYFUNCTION("""COMPUTED_VALUE"""),140984.0)</f>
        <v>140984</v>
      </c>
    </row>
    <row r="165">
      <c r="A165" s="2">
        <f>IFERROR(__xludf.DUMMYFUNCTION("""COMPUTED_VALUE"""),40785.645833333336)</f>
        <v>40785.64583</v>
      </c>
      <c r="B165" s="1">
        <f>IFERROR(__xludf.DUMMYFUNCTION("""COMPUTED_VALUE"""),24020.0)</f>
        <v>24020</v>
      </c>
      <c r="C165" s="1">
        <f>IFERROR(__xludf.DUMMYFUNCTION("""COMPUTED_VALUE"""),24980.0)</f>
        <v>24980</v>
      </c>
      <c r="D165" s="1">
        <f>IFERROR(__xludf.DUMMYFUNCTION("""COMPUTED_VALUE"""),23760.0)</f>
        <v>23760</v>
      </c>
      <c r="E165" s="1">
        <f>IFERROR(__xludf.DUMMYFUNCTION("""COMPUTED_VALUE"""),24840.0)</f>
        <v>24840</v>
      </c>
      <c r="F165" s="1">
        <f>IFERROR(__xludf.DUMMYFUNCTION("""COMPUTED_VALUE"""),180354.0)</f>
        <v>180354</v>
      </c>
    </row>
    <row r="166">
      <c r="A166" s="2">
        <f>IFERROR(__xludf.DUMMYFUNCTION("""COMPUTED_VALUE"""),40786.645833333336)</f>
        <v>40786.64583</v>
      </c>
      <c r="B166" s="1">
        <f>IFERROR(__xludf.DUMMYFUNCTION("""COMPUTED_VALUE"""),24780.0)</f>
        <v>24780</v>
      </c>
      <c r="C166" s="1">
        <f>IFERROR(__xludf.DUMMYFUNCTION("""COMPUTED_VALUE"""),25940.0)</f>
        <v>25940</v>
      </c>
      <c r="D166" s="1">
        <f>IFERROR(__xludf.DUMMYFUNCTION("""COMPUTED_VALUE"""),24560.0)</f>
        <v>24560</v>
      </c>
      <c r="E166" s="1">
        <f>IFERROR(__xludf.DUMMYFUNCTION("""COMPUTED_VALUE"""),25400.0)</f>
        <v>25400</v>
      </c>
      <c r="F166" s="1">
        <f>IFERROR(__xludf.DUMMYFUNCTION("""COMPUTED_VALUE"""),356122.0)</f>
        <v>356122</v>
      </c>
    </row>
    <row r="167">
      <c r="A167" s="2">
        <f>IFERROR(__xludf.DUMMYFUNCTION("""COMPUTED_VALUE"""),40787.645833333336)</f>
        <v>40787.64583</v>
      </c>
      <c r="B167" s="1">
        <f>IFERROR(__xludf.DUMMYFUNCTION("""COMPUTED_VALUE"""),25600.0)</f>
        <v>25600</v>
      </c>
      <c r="C167" s="1">
        <f>IFERROR(__xludf.DUMMYFUNCTION("""COMPUTED_VALUE"""),25940.0)</f>
        <v>25940</v>
      </c>
      <c r="D167" s="1">
        <f>IFERROR(__xludf.DUMMYFUNCTION("""COMPUTED_VALUE"""),25200.0)</f>
        <v>25200</v>
      </c>
      <c r="E167" s="1">
        <f>IFERROR(__xludf.DUMMYFUNCTION("""COMPUTED_VALUE"""),25600.0)</f>
        <v>25600</v>
      </c>
      <c r="F167" s="1">
        <f>IFERROR(__xludf.DUMMYFUNCTION("""COMPUTED_VALUE"""),206042.0)</f>
        <v>206042</v>
      </c>
    </row>
    <row r="168">
      <c r="A168" s="2">
        <f>IFERROR(__xludf.DUMMYFUNCTION("""COMPUTED_VALUE"""),40788.645833333336)</f>
        <v>40788.64583</v>
      </c>
      <c r="B168" s="1">
        <f>IFERROR(__xludf.DUMMYFUNCTION("""COMPUTED_VALUE"""),25800.0)</f>
        <v>25800</v>
      </c>
      <c r="C168" s="1">
        <f>IFERROR(__xludf.DUMMYFUNCTION("""COMPUTED_VALUE"""),26900.0)</f>
        <v>26900</v>
      </c>
      <c r="D168" s="1">
        <f>IFERROR(__xludf.DUMMYFUNCTION("""COMPUTED_VALUE"""),25500.0)</f>
        <v>25500</v>
      </c>
      <c r="E168" s="1">
        <f>IFERROR(__xludf.DUMMYFUNCTION("""COMPUTED_VALUE"""),26900.0)</f>
        <v>26900</v>
      </c>
      <c r="F168" s="1">
        <f>IFERROR(__xludf.DUMMYFUNCTION("""COMPUTED_VALUE"""),314764.0)</f>
        <v>314764</v>
      </c>
    </row>
    <row r="169">
      <c r="A169" s="2">
        <f>IFERROR(__xludf.DUMMYFUNCTION("""COMPUTED_VALUE"""),40791.645833333336)</f>
        <v>40791.64583</v>
      </c>
      <c r="B169" s="1">
        <f>IFERROR(__xludf.DUMMYFUNCTION("""COMPUTED_VALUE"""),26480.0)</f>
        <v>26480</v>
      </c>
      <c r="C169" s="1">
        <f>IFERROR(__xludf.DUMMYFUNCTION("""COMPUTED_VALUE"""),27300.0)</f>
        <v>27300</v>
      </c>
      <c r="D169" s="1">
        <f>IFERROR(__xludf.DUMMYFUNCTION("""COMPUTED_VALUE"""),26200.0)</f>
        <v>26200</v>
      </c>
      <c r="E169" s="1">
        <f>IFERROR(__xludf.DUMMYFUNCTION("""COMPUTED_VALUE"""),26760.0)</f>
        <v>26760</v>
      </c>
      <c r="F169" s="1">
        <f>IFERROR(__xludf.DUMMYFUNCTION("""COMPUTED_VALUE"""),198086.0)</f>
        <v>198086</v>
      </c>
    </row>
    <row r="170">
      <c r="A170" s="2">
        <f>IFERROR(__xludf.DUMMYFUNCTION("""COMPUTED_VALUE"""),40792.645833333336)</f>
        <v>40792.64583</v>
      </c>
      <c r="B170" s="1">
        <f>IFERROR(__xludf.DUMMYFUNCTION("""COMPUTED_VALUE"""),26600.0)</f>
        <v>26600</v>
      </c>
      <c r="C170" s="1">
        <f>IFERROR(__xludf.DUMMYFUNCTION("""COMPUTED_VALUE"""),27560.0)</f>
        <v>27560</v>
      </c>
      <c r="D170" s="1">
        <f>IFERROR(__xludf.DUMMYFUNCTION("""COMPUTED_VALUE"""),26000.0)</f>
        <v>26000</v>
      </c>
      <c r="E170" s="1">
        <f>IFERROR(__xludf.DUMMYFUNCTION("""COMPUTED_VALUE"""),26800.0)</f>
        <v>26800</v>
      </c>
      <c r="F170" s="1">
        <f>IFERROR(__xludf.DUMMYFUNCTION("""COMPUTED_VALUE"""),193648.0)</f>
        <v>193648</v>
      </c>
    </row>
    <row r="171">
      <c r="A171" s="2">
        <f>IFERROR(__xludf.DUMMYFUNCTION("""COMPUTED_VALUE"""),40793.645833333336)</f>
        <v>40793.64583</v>
      </c>
      <c r="B171" s="1">
        <f>IFERROR(__xludf.DUMMYFUNCTION("""COMPUTED_VALUE"""),27400.0)</f>
        <v>27400</v>
      </c>
      <c r="C171" s="1">
        <f>IFERROR(__xludf.DUMMYFUNCTION("""COMPUTED_VALUE"""),28080.0)</f>
        <v>28080</v>
      </c>
      <c r="D171" s="1">
        <f>IFERROR(__xludf.DUMMYFUNCTION("""COMPUTED_VALUE"""),26900.0)</f>
        <v>26900</v>
      </c>
      <c r="E171" s="1">
        <f>IFERROR(__xludf.DUMMYFUNCTION("""COMPUTED_VALUE"""),27360.0)</f>
        <v>27360</v>
      </c>
      <c r="F171" s="1">
        <f>IFERROR(__xludf.DUMMYFUNCTION("""COMPUTED_VALUE"""),160673.0)</f>
        <v>160673</v>
      </c>
    </row>
    <row r="172">
      <c r="A172" s="2">
        <f>IFERROR(__xludf.DUMMYFUNCTION("""COMPUTED_VALUE"""),40794.645833333336)</f>
        <v>40794.64583</v>
      </c>
      <c r="B172" s="1">
        <f>IFERROR(__xludf.DUMMYFUNCTION("""COMPUTED_VALUE"""),27600.0)</f>
        <v>27600</v>
      </c>
      <c r="C172" s="1">
        <f>IFERROR(__xludf.DUMMYFUNCTION("""COMPUTED_VALUE"""),27600.0)</f>
        <v>27600</v>
      </c>
      <c r="D172" s="1">
        <f>IFERROR(__xludf.DUMMYFUNCTION("""COMPUTED_VALUE"""),26100.0)</f>
        <v>26100</v>
      </c>
      <c r="E172" s="1">
        <f>IFERROR(__xludf.DUMMYFUNCTION("""COMPUTED_VALUE"""),27200.0)</f>
        <v>27200</v>
      </c>
      <c r="F172" s="1">
        <f>IFERROR(__xludf.DUMMYFUNCTION("""COMPUTED_VALUE"""),206680.0)</f>
        <v>206680</v>
      </c>
    </row>
    <row r="173">
      <c r="A173" s="2">
        <f>IFERROR(__xludf.DUMMYFUNCTION("""COMPUTED_VALUE"""),40795.645833333336)</f>
        <v>40795.64583</v>
      </c>
      <c r="B173" s="1">
        <f>IFERROR(__xludf.DUMMYFUNCTION("""COMPUTED_VALUE"""),26960.0)</f>
        <v>26960</v>
      </c>
      <c r="C173" s="1">
        <f>IFERROR(__xludf.DUMMYFUNCTION("""COMPUTED_VALUE"""),27200.0)</f>
        <v>27200</v>
      </c>
      <c r="D173" s="1">
        <f>IFERROR(__xludf.DUMMYFUNCTION("""COMPUTED_VALUE"""),25700.0)</f>
        <v>25700</v>
      </c>
      <c r="E173" s="1">
        <f>IFERROR(__xludf.DUMMYFUNCTION("""COMPUTED_VALUE"""),25700.0)</f>
        <v>25700</v>
      </c>
      <c r="F173" s="1">
        <f>IFERROR(__xludf.DUMMYFUNCTION("""COMPUTED_VALUE"""),108768.0)</f>
        <v>108768</v>
      </c>
    </row>
    <row r="174">
      <c r="A174" s="2">
        <f>IFERROR(__xludf.DUMMYFUNCTION("""COMPUTED_VALUE"""),40800.645833333336)</f>
        <v>40800.64583</v>
      </c>
      <c r="B174" s="1">
        <f>IFERROR(__xludf.DUMMYFUNCTION("""COMPUTED_VALUE"""),25680.0)</f>
        <v>25680</v>
      </c>
      <c r="C174" s="1">
        <f>IFERROR(__xludf.DUMMYFUNCTION("""COMPUTED_VALUE"""),26280.0)</f>
        <v>26280</v>
      </c>
      <c r="D174" s="1">
        <f>IFERROR(__xludf.DUMMYFUNCTION("""COMPUTED_VALUE"""),25400.0)</f>
        <v>25400</v>
      </c>
      <c r="E174" s="1">
        <f>IFERROR(__xludf.DUMMYFUNCTION("""COMPUTED_VALUE"""),25540.0)</f>
        <v>25540</v>
      </c>
      <c r="F174" s="1">
        <f>IFERROR(__xludf.DUMMYFUNCTION("""COMPUTED_VALUE"""),108384.0)</f>
        <v>108384</v>
      </c>
    </row>
    <row r="175">
      <c r="A175" s="2">
        <f>IFERROR(__xludf.DUMMYFUNCTION("""COMPUTED_VALUE"""),40801.645833333336)</f>
        <v>40801.64583</v>
      </c>
      <c r="B175" s="1">
        <f>IFERROR(__xludf.DUMMYFUNCTION("""COMPUTED_VALUE"""),26340.0)</f>
        <v>26340</v>
      </c>
      <c r="C175" s="1">
        <f>IFERROR(__xludf.DUMMYFUNCTION("""COMPUTED_VALUE"""),26600.0)</f>
        <v>26600</v>
      </c>
      <c r="D175" s="1">
        <f>IFERROR(__xludf.DUMMYFUNCTION("""COMPUTED_VALUE"""),25500.0)</f>
        <v>25500</v>
      </c>
      <c r="E175" s="1">
        <f>IFERROR(__xludf.DUMMYFUNCTION("""COMPUTED_VALUE"""),26280.0)</f>
        <v>26280</v>
      </c>
      <c r="F175" s="1">
        <f>IFERROR(__xludf.DUMMYFUNCTION("""COMPUTED_VALUE"""),83038.0)</f>
        <v>83038</v>
      </c>
    </row>
    <row r="176">
      <c r="A176" s="2">
        <f>IFERROR(__xludf.DUMMYFUNCTION("""COMPUTED_VALUE"""),40802.645833333336)</f>
        <v>40802.64583</v>
      </c>
      <c r="B176" s="1">
        <f>IFERROR(__xludf.DUMMYFUNCTION("""COMPUTED_VALUE"""),26540.0)</f>
        <v>26540</v>
      </c>
      <c r="C176" s="1">
        <f>IFERROR(__xludf.DUMMYFUNCTION("""COMPUTED_VALUE"""),27060.0)</f>
        <v>27060</v>
      </c>
      <c r="D176" s="1">
        <f>IFERROR(__xludf.DUMMYFUNCTION("""COMPUTED_VALUE"""),26400.0)</f>
        <v>26400</v>
      </c>
      <c r="E176" s="1">
        <f>IFERROR(__xludf.DUMMYFUNCTION("""COMPUTED_VALUE"""),26500.0)</f>
        <v>26500</v>
      </c>
      <c r="F176" s="1">
        <f>IFERROR(__xludf.DUMMYFUNCTION("""COMPUTED_VALUE"""),91812.0)</f>
        <v>91812</v>
      </c>
    </row>
    <row r="177">
      <c r="A177" s="2">
        <f>IFERROR(__xludf.DUMMYFUNCTION("""COMPUTED_VALUE"""),40805.645833333336)</f>
        <v>40805.64583</v>
      </c>
      <c r="B177" s="1">
        <f>IFERROR(__xludf.DUMMYFUNCTION("""COMPUTED_VALUE"""),26220.0)</f>
        <v>26220</v>
      </c>
      <c r="C177" s="1">
        <f>IFERROR(__xludf.DUMMYFUNCTION("""COMPUTED_VALUE"""),26780.0)</f>
        <v>26780</v>
      </c>
      <c r="D177" s="1">
        <f>IFERROR(__xludf.DUMMYFUNCTION("""COMPUTED_VALUE"""),26020.0)</f>
        <v>26020</v>
      </c>
      <c r="E177" s="1">
        <f>IFERROR(__xludf.DUMMYFUNCTION("""COMPUTED_VALUE"""),26020.0)</f>
        <v>26020</v>
      </c>
      <c r="F177" s="1">
        <f>IFERROR(__xludf.DUMMYFUNCTION("""COMPUTED_VALUE"""),53389.0)</f>
        <v>53389</v>
      </c>
    </row>
    <row r="178">
      <c r="A178" s="2">
        <f>IFERROR(__xludf.DUMMYFUNCTION("""COMPUTED_VALUE"""),40806.645833333336)</f>
        <v>40806.64583</v>
      </c>
      <c r="B178" s="1">
        <f>IFERROR(__xludf.DUMMYFUNCTION("""COMPUTED_VALUE"""),26000.0)</f>
        <v>26000</v>
      </c>
      <c r="C178" s="1">
        <f>IFERROR(__xludf.DUMMYFUNCTION("""COMPUTED_VALUE"""),27160.0)</f>
        <v>27160</v>
      </c>
      <c r="D178" s="1">
        <f>IFERROR(__xludf.DUMMYFUNCTION("""COMPUTED_VALUE"""),25800.0)</f>
        <v>25800</v>
      </c>
      <c r="E178" s="1">
        <f>IFERROR(__xludf.DUMMYFUNCTION("""COMPUTED_VALUE"""),26700.0)</f>
        <v>26700</v>
      </c>
      <c r="F178" s="1">
        <f>IFERROR(__xludf.DUMMYFUNCTION("""COMPUTED_VALUE"""),130011.0)</f>
        <v>130011</v>
      </c>
    </row>
    <row r="179">
      <c r="A179" s="2">
        <f>IFERROR(__xludf.DUMMYFUNCTION("""COMPUTED_VALUE"""),40807.645833333336)</f>
        <v>40807.64583</v>
      </c>
      <c r="B179" s="1">
        <f>IFERROR(__xludf.DUMMYFUNCTION("""COMPUTED_VALUE"""),26980.0)</f>
        <v>26980</v>
      </c>
      <c r="C179" s="1">
        <f>IFERROR(__xludf.DUMMYFUNCTION("""COMPUTED_VALUE"""),29300.0)</f>
        <v>29300</v>
      </c>
      <c r="D179" s="1">
        <f>IFERROR(__xludf.DUMMYFUNCTION("""COMPUTED_VALUE"""),26820.0)</f>
        <v>26820</v>
      </c>
      <c r="E179" s="1">
        <f>IFERROR(__xludf.DUMMYFUNCTION("""COMPUTED_VALUE"""),29300.0)</f>
        <v>29300</v>
      </c>
      <c r="F179" s="1">
        <f>IFERROR(__xludf.DUMMYFUNCTION("""COMPUTED_VALUE"""),181482.0)</f>
        <v>181482</v>
      </c>
    </row>
    <row r="180">
      <c r="A180" s="2">
        <f>IFERROR(__xludf.DUMMYFUNCTION("""COMPUTED_VALUE"""),40808.645833333336)</f>
        <v>40808.64583</v>
      </c>
      <c r="B180" s="1">
        <f>IFERROR(__xludf.DUMMYFUNCTION("""COMPUTED_VALUE"""),28900.0)</f>
        <v>28900</v>
      </c>
      <c r="C180" s="1">
        <f>IFERROR(__xludf.DUMMYFUNCTION("""COMPUTED_VALUE"""),29860.0)</f>
        <v>29860</v>
      </c>
      <c r="D180" s="1">
        <f>IFERROR(__xludf.DUMMYFUNCTION("""COMPUTED_VALUE"""),27800.0)</f>
        <v>27800</v>
      </c>
      <c r="E180" s="1">
        <f>IFERROR(__xludf.DUMMYFUNCTION("""COMPUTED_VALUE"""),28600.0)</f>
        <v>28600</v>
      </c>
      <c r="F180" s="1">
        <f>IFERROR(__xludf.DUMMYFUNCTION("""COMPUTED_VALUE"""),195883.0)</f>
        <v>195883</v>
      </c>
    </row>
    <row r="181">
      <c r="A181" s="2">
        <f>IFERROR(__xludf.DUMMYFUNCTION("""COMPUTED_VALUE"""),40809.645833333336)</f>
        <v>40809.64583</v>
      </c>
      <c r="B181" s="1">
        <f>IFERROR(__xludf.DUMMYFUNCTION("""COMPUTED_VALUE"""),27900.0)</f>
        <v>27900</v>
      </c>
      <c r="C181" s="1">
        <f>IFERROR(__xludf.DUMMYFUNCTION("""COMPUTED_VALUE"""),28400.0)</f>
        <v>28400</v>
      </c>
      <c r="D181" s="1">
        <f>IFERROR(__xludf.DUMMYFUNCTION("""COMPUTED_VALUE"""),27380.0)</f>
        <v>27380</v>
      </c>
      <c r="E181" s="1">
        <f>IFERROR(__xludf.DUMMYFUNCTION("""COMPUTED_VALUE"""),27380.0)</f>
        <v>27380</v>
      </c>
      <c r="F181" s="1">
        <f>IFERROR(__xludf.DUMMYFUNCTION("""COMPUTED_VALUE"""),98646.0)</f>
        <v>98646</v>
      </c>
    </row>
    <row r="182">
      <c r="A182" s="2">
        <f>IFERROR(__xludf.DUMMYFUNCTION("""COMPUTED_VALUE"""),40812.645833333336)</f>
        <v>40812.64583</v>
      </c>
      <c r="B182" s="1">
        <f>IFERROR(__xludf.DUMMYFUNCTION("""COMPUTED_VALUE"""),27400.0)</f>
        <v>27400</v>
      </c>
      <c r="C182" s="1">
        <f>IFERROR(__xludf.DUMMYFUNCTION("""COMPUTED_VALUE"""),27780.0)</f>
        <v>27780</v>
      </c>
      <c r="D182" s="1">
        <f>IFERROR(__xludf.DUMMYFUNCTION("""COMPUTED_VALUE"""),25660.0)</f>
        <v>25660</v>
      </c>
      <c r="E182" s="1">
        <f>IFERROR(__xludf.DUMMYFUNCTION("""COMPUTED_VALUE"""),26540.0)</f>
        <v>26540</v>
      </c>
      <c r="F182" s="1">
        <f>IFERROR(__xludf.DUMMYFUNCTION("""COMPUTED_VALUE"""),91863.0)</f>
        <v>91863</v>
      </c>
    </row>
    <row r="183">
      <c r="A183" s="2">
        <f>IFERROR(__xludf.DUMMYFUNCTION("""COMPUTED_VALUE"""),40813.645833333336)</f>
        <v>40813.64583</v>
      </c>
      <c r="B183" s="1">
        <f>IFERROR(__xludf.DUMMYFUNCTION("""COMPUTED_VALUE"""),27000.0)</f>
        <v>27000</v>
      </c>
      <c r="C183" s="1">
        <f>IFERROR(__xludf.DUMMYFUNCTION("""COMPUTED_VALUE"""),28300.0)</f>
        <v>28300</v>
      </c>
      <c r="D183" s="1">
        <f>IFERROR(__xludf.DUMMYFUNCTION("""COMPUTED_VALUE"""),26900.0)</f>
        <v>26900</v>
      </c>
      <c r="E183" s="1">
        <f>IFERROR(__xludf.DUMMYFUNCTION("""COMPUTED_VALUE"""),28000.0)</f>
        <v>28000</v>
      </c>
      <c r="F183" s="1">
        <f>IFERROR(__xludf.DUMMYFUNCTION("""COMPUTED_VALUE"""),71521.0)</f>
        <v>71521</v>
      </c>
    </row>
    <row r="184">
      <c r="A184" s="2">
        <f>IFERROR(__xludf.DUMMYFUNCTION("""COMPUTED_VALUE"""),40814.645833333336)</f>
        <v>40814.64583</v>
      </c>
      <c r="B184" s="1">
        <f>IFERROR(__xludf.DUMMYFUNCTION("""COMPUTED_VALUE"""),28560.0)</f>
        <v>28560</v>
      </c>
      <c r="C184" s="1">
        <f>IFERROR(__xludf.DUMMYFUNCTION("""COMPUTED_VALUE"""),28800.0)</f>
        <v>28800</v>
      </c>
      <c r="D184" s="1">
        <f>IFERROR(__xludf.DUMMYFUNCTION("""COMPUTED_VALUE"""),27220.0)</f>
        <v>27220</v>
      </c>
      <c r="E184" s="1">
        <f>IFERROR(__xludf.DUMMYFUNCTION("""COMPUTED_VALUE"""),27820.0)</f>
        <v>27820</v>
      </c>
      <c r="F184" s="1">
        <f>IFERROR(__xludf.DUMMYFUNCTION("""COMPUTED_VALUE"""),77374.0)</f>
        <v>77374</v>
      </c>
    </row>
    <row r="185">
      <c r="A185" s="2">
        <f>IFERROR(__xludf.DUMMYFUNCTION("""COMPUTED_VALUE"""),40815.645833333336)</f>
        <v>40815.64583</v>
      </c>
      <c r="B185" s="1">
        <f>IFERROR(__xludf.DUMMYFUNCTION("""COMPUTED_VALUE"""),27620.0)</f>
        <v>27620</v>
      </c>
      <c r="C185" s="1">
        <f>IFERROR(__xludf.DUMMYFUNCTION("""COMPUTED_VALUE"""),28640.0)</f>
        <v>28640</v>
      </c>
      <c r="D185" s="1">
        <f>IFERROR(__xludf.DUMMYFUNCTION("""COMPUTED_VALUE"""),27140.0)</f>
        <v>27140</v>
      </c>
      <c r="E185" s="1">
        <f>IFERROR(__xludf.DUMMYFUNCTION("""COMPUTED_VALUE"""),28640.0)</f>
        <v>28640</v>
      </c>
      <c r="F185" s="1">
        <f>IFERROR(__xludf.DUMMYFUNCTION("""COMPUTED_VALUE"""),68780.0)</f>
        <v>68780</v>
      </c>
    </row>
    <row r="186">
      <c r="A186" s="2">
        <f>IFERROR(__xludf.DUMMYFUNCTION("""COMPUTED_VALUE"""),40816.645833333336)</f>
        <v>40816.64583</v>
      </c>
      <c r="B186" s="1">
        <f>IFERROR(__xludf.DUMMYFUNCTION("""COMPUTED_VALUE"""),28600.0)</f>
        <v>28600</v>
      </c>
      <c r="C186" s="1">
        <f>IFERROR(__xludf.DUMMYFUNCTION("""COMPUTED_VALUE"""),29660.0)</f>
        <v>29660</v>
      </c>
      <c r="D186" s="1">
        <f>IFERROR(__xludf.DUMMYFUNCTION("""COMPUTED_VALUE"""),28100.0)</f>
        <v>28100</v>
      </c>
      <c r="E186" s="1">
        <f>IFERROR(__xludf.DUMMYFUNCTION("""COMPUTED_VALUE"""),28680.0)</f>
        <v>28680</v>
      </c>
      <c r="F186" s="1">
        <f>IFERROR(__xludf.DUMMYFUNCTION("""COMPUTED_VALUE"""),62998.0)</f>
        <v>62998</v>
      </c>
    </row>
    <row r="187">
      <c r="A187" s="2">
        <f>IFERROR(__xludf.DUMMYFUNCTION("""COMPUTED_VALUE"""),40820.645833333336)</f>
        <v>40820.64583</v>
      </c>
      <c r="B187" s="1">
        <f>IFERROR(__xludf.DUMMYFUNCTION("""COMPUTED_VALUE"""),27600.0)</f>
        <v>27600</v>
      </c>
      <c r="C187" s="1">
        <f>IFERROR(__xludf.DUMMYFUNCTION("""COMPUTED_VALUE"""),27960.0)</f>
        <v>27960</v>
      </c>
      <c r="D187" s="1">
        <f>IFERROR(__xludf.DUMMYFUNCTION("""COMPUTED_VALUE"""),26080.0)</f>
        <v>26080</v>
      </c>
      <c r="E187" s="1">
        <f>IFERROR(__xludf.DUMMYFUNCTION("""COMPUTED_VALUE"""),26800.0)</f>
        <v>26800</v>
      </c>
      <c r="F187" s="1">
        <f>IFERROR(__xludf.DUMMYFUNCTION("""COMPUTED_VALUE"""),254658.0)</f>
        <v>254658</v>
      </c>
    </row>
    <row r="188">
      <c r="A188" s="2">
        <f>IFERROR(__xludf.DUMMYFUNCTION("""COMPUTED_VALUE"""),40821.645833333336)</f>
        <v>40821.64583</v>
      </c>
      <c r="B188" s="1">
        <f>IFERROR(__xludf.DUMMYFUNCTION("""COMPUTED_VALUE"""),27000.0)</f>
        <v>27000</v>
      </c>
      <c r="C188" s="1">
        <f>IFERROR(__xludf.DUMMYFUNCTION("""COMPUTED_VALUE"""),27000.0)</f>
        <v>27000</v>
      </c>
      <c r="D188" s="1">
        <f>IFERROR(__xludf.DUMMYFUNCTION("""COMPUTED_VALUE"""),25160.0)</f>
        <v>25160</v>
      </c>
      <c r="E188" s="1">
        <f>IFERROR(__xludf.DUMMYFUNCTION("""COMPUTED_VALUE"""),25160.0)</f>
        <v>25160</v>
      </c>
      <c r="F188" s="1">
        <f>IFERROR(__xludf.DUMMYFUNCTION("""COMPUTED_VALUE"""),173055.0)</f>
        <v>173055</v>
      </c>
    </row>
    <row r="189">
      <c r="A189" s="2">
        <f>IFERROR(__xludf.DUMMYFUNCTION("""COMPUTED_VALUE"""),40822.645833333336)</f>
        <v>40822.64583</v>
      </c>
      <c r="B189" s="1">
        <f>IFERROR(__xludf.DUMMYFUNCTION("""COMPUTED_VALUE"""),25800.0)</f>
        <v>25800</v>
      </c>
      <c r="C189" s="1">
        <f>IFERROR(__xludf.DUMMYFUNCTION("""COMPUTED_VALUE"""),27220.0)</f>
        <v>27220</v>
      </c>
      <c r="D189" s="1">
        <f>IFERROR(__xludf.DUMMYFUNCTION("""COMPUTED_VALUE"""),25780.0)</f>
        <v>25780</v>
      </c>
      <c r="E189" s="1">
        <f>IFERROR(__xludf.DUMMYFUNCTION("""COMPUTED_VALUE"""),26400.0)</f>
        <v>26400</v>
      </c>
      <c r="F189" s="1">
        <f>IFERROR(__xludf.DUMMYFUNCTION("""COMPUTED_VALUE"""),167955.0)</f>
        <v>167955</v>
      </c>
    </row>
    <row r="190">
      <c r="A190" s="2">
        <f>IFERROR(__xludf.DUMMYFUNCTION("""COMPUTED_VALUE"""),40823.645833333336)</f>
        <v>40823.64583</v>
      </c>
      <c r="B190" s="1">
        <f>IFERROR(__xludf.DUMMYFUNCTION("""COMPUTED_VALUE"""),27000.0)</f>
        <v>27000</v>
      </c>
      <c r="C190" s="1">
        <f>IFERROR(__xludf.DUMMYFUNCTION("""COMPUTED_VALUE"""),27100.0)</f>
        <v>27100</v>
      </c>
      <c r="D190" s="1">
        <f>IFERROR(__xludf.DUMMYFUNCTION("""COMPUTED_VALUE"""),25000.0)</f>
        <v>25000</v>
      </c>
      <c r="E190" s="1">
        <f>IFERROR(__xludf.DUMMYFUNCTION("""COMPUTED_VALUE"""),25080.0)</f>
        <v>25080</v>
      </c>
      <c r="F190" s="1">
        <f>IFERROR(__xludf.DUMMYFUNCTION("""COMPUTED_VALUE"""),191175.0)</f>
        <v>191175</v>
      </c>
    </row>
    <row r="191">
      <c r="A191" s="2">
        <f>IFERROR(__xludf.DUMMYFUNCTION("""COMPUTED_VALUE"""),40826.645833333336)</f>
        <v>40826.64583</v>
      </c>
      <c r="B191" s="1">
        <f>IFERROR(__xludf.DUMMYFUNCTION("""COMPUTED_VALUE"""),25100.0)</f>
        <v>25100</v>
      </c>
      <c r="C191" s="1">
        <f>IFERROR(__xludf.DUMMYFUNCTION("""COMPUTED_VALUE"""),26000.0)</f>
        <v>26000</v>
      </c>
      <c r="D191" s="1">
        <f>IFERROR(__xludf.DUMMYFUNCTION("""COMPUTED_VALUE"""),25000.0)</f>
        <v>25000</v>
      </c>
      <c r="E191" s="1">
        <f>IFERROR(__xludf.DUMMYFUNCTION("""COMPUTED_VALUE"""),25800.0)</f>
        <v>25800</v>
      </c>
      <c r="F191" s="1">
        <f>IFERROR(__xludf.DUMMYFUNCTION("""COMPUTED_VALUE"""),106825.0)</f>
        <v>106825</v>
      </c>
    </row>
    <row r="192">
      <c r="A192" s="2">
        <f>IFERROR(__xludf.DUMMYFUNCTION("""COMPUTED_VALUE"""),40827.645833333336)</f>
        <v>40827.64583</v>
      </c>
      <c r="B192" s="1">
        <f>IFERROR(__xludf.DUMMYFUNCTION("""COMPUTED_VALUE"""),26600.0)</f>
        <v>26600</v>
      </c>
      <c r="C192" s="1">
        <f>IFERROR(__xludf.DUMMYFUNCTION("""COMPUTED_VALUE"""),26600.0)</f>
        <v>26600</v>
      </c>
      <c r="D192" s="1">
        <f>IFERROR(__xludf.DUMMYFUNCTION("""COMPUTED_VALUE"""),25320.0)</f>
        <v>25320</v>
      </c>
      <c r="E192" s="1">
        <f>IFERROR(__xludf.DUMMYFUNCTION("""COMPUTED_VALUE"""),25400.0)</f>
        <v>25400</v>
      </c>
      <c r="F192" s="1">
        <f>IFERROR(__xludf.DUMMYFUNCTION("""COMPUTED_VALUE"""),136226.0)</f>
        <v>136226</v>
      </c>
    </row>
    <row r="193">
      <c r="A193" s="2">
        <f>IFERROR(__xludf.DUMMYFUNCTION("""COMPUTED_VALUE"""),40828.645833333336)</f>
        <v>40828.64583</v>
      </c>
      <c r="B193" s="1">
        <f>IFERROR(__xludf.DUMMYFUNCTION("""COMPUTED_VALUE"""),25420.0)</f>
        <v>25420</v>
      </c>
      <c r="C193" s="1">
        <f>IFERROR(__xludf.DUMMYFUNCTION("""COMPUTED_VALUE"""),26520.0)</f>
        <v>26520</v>
      </c>
      <c r="D193" s="1">
        <f>IFERROR(__xludf.DUMMYFUNCTION("""COMPUTED_VALUE"""),25180.0)</f>
        <v>25180</v>
      </c>
      <c r="E193" s="1">
        <f>IFERROR(__xludf.DUMMYFUNCTION("""COMPUTED_VALUE"""),26480.0)</f>
        <v>26480</v>
      </c>
      <c r="F193" s="1">
        <f>IFERROR(__xludf.DUMMYFUNCTION("""COMPUTED_VALUE"""),164094.0)</f>
        <v>164094</v>
      </c>
    </row>
    <row r="194">
      <c r="A194" s="2">
        <f>IFERROR(__xludf.DUMMYFUNCTION("""COMPUTED_VALUE"""),40829.645833333336)</f>
        <v>40829.64583</v>
      </c>
      <c r="B194" s="1">
        <f>IFERROR(__xludf.DUMMYFUNCTION("""COMPUTED_VALUE"""),26540.0)</f>
        <v>26540</v>
      </c>
      <c r="C194" s="1">
        <f>IFERROR(__xludf.DUMMYFUNCTION("""COMPUTED_VALUE"""),27960.0)</f>
        <v>27960</v>
      </c>
      <c r="D194" s="1">
        <f>IFERROR(__xludf.DUMMYFUNCTION("""COMPUTED_VALUE"""),26540.0)</f>
        <v>26540</v>
      </c>
      <c r="E194" s="1">
        <f>IFERROR(__xludf.DUMMYFUNCTION("""COMPUTED_VALUE"""),27000.0)</f>
        <v>27000</v>
      </c>
      <c r="F194" s="1">
        <f>IFERROR(__xludf.DUMMYFUNCTION("""COMPUTED_VALUE"""),187687.0)</f>
        <v>187687</v>
      </c>
    </row>
    <row r="195">
      <c r="A195" s="2">
        <f>IFERROR(__xludf.DUMMYFUNCTION("""COMPUTED_VALUE"""),40830.645833333336)</f>
        <v>40830.64583</v>
      </c>
      <c r="B195" s="1">
        <f>IFERROR(__xludf.DUMMYFUNCTION("""COMPUTED_VALUE"""),27460.0)</f>
        <v>27460</v>
      </c>
      <c r="C195" s="1">
        <f>IFERROR(__xludf.DUMMYFUNCTION("""COMPUTED_VALUE"""),28280.0)</f>
        <v>28280</v>
      </c>
      <c r="D195" s="1">
        <f>IFERROR(__xludf.DUMMYFUNCTION("""COMPUTED_VALUE"""),27040.0)</f>
        <v>27040</v>
      </c>
      <c r="E195" s="1">
        <f>IFERROR(__xludf.DUMMYFUNCTION("""COMPUTED_VALUE"""),28200.0)</f>
        <v>28200</v>
      </c>
      <c r="F195" s="1">
        <f>IFERROR(__xludf.DUMMYFUNCTION("""COMPUTED_VALUE"""),136419.0)</f>
        <v>136419</v>
      </c>
    </row>
    <row r="196">
      <c r="A196" s="2">
        <f>IFERROR(__xludf.DUMMYFUNCTION("""COMPUTED_VALUE"""),40833.645833333336)</f>
        <v>40833.64583</v>
      </c>
      <c r="B196" s="1">
        <f>IFERROR(__xludf.DUMMYFUNCTION("""COMPUTED_VALUE"""),28600.0)</f>
        <v>28600</v>
      </c>
      <c r="C196" s="1">
        <f>IFERROR(__xludf.DUMMYFUNCTION("""COMPUTED_VALUE"""),28740.0)</f>
        <v>28740</v>
      </c>
      <c r="D196" s="1">
        <f>IFERROR(__xludf.DUMMYFUNCTION("""COMPUTED_VALUE"""),27920.0)</f>
        <v>27920</v>
      </c>
      <c r="E196" s="1">
        <f>IFERROR(__xludf.DUMMYFUNCTION("""COMPUTED_VALUE"""),27920.0)</f>
        <v>27920</v>
      </c>
      <c r="F196" s="1">
        <f>IFERROR(__xludf.DUMMYFUNCTION("""COMPUTED_VALUE"""),140580.0)</f>
        <v>140580</v>
      </c>
    </row>
    <row r="197">
      <c r="A197" s="2">
        <f>IFERROR(__xludf.DUMMYFUNCTION("""COMPUTED_VALUE"""),40834.645833333336)</f>
        <v>40834.64583</v>
      </c>
      <c r="B197" s="1">
        <f>IFERROR(__xludf.DUMMYFUNCTION("""COMPUTED_VALUE"""),27580.0)</f>
        <v>27580</v>
      </c>
      <c r="C197" s="1">
        <f>IFERROR(__xludf.DUMMYFUNCTION("""COMPUTED_VALUE"""),29600.0)</f>
        <v>29600</v>
      </c>
      <c r="D197" s="1">
        <f>IFERROR(__xludf.DUMMYFUNCTION("""COMPUTED_VALUE"""),27520.0)</f>
        <v>27520</v>
      </c>
      <c r="E197" s="1">
        <f>IFERROR(__xludf.DUMMYFUNCTION("""COMPUTED_VALUE"""),29200.0)</f>
        <v>29200</v>
      </c>
      <c r="F197" s="1">
        <f>IFERROR(__xludf.DUMMYFUNCTION("""COMPUTED_VALUE"""),218789.0)</f>
        <v>218789</v>
      </c>
    </row>
    <row r="198">
      <c r="A198" s="2">
        <f>IFERROR(__xludf.DUMMYFUNCTION("""COMPUTED_VALUE"""),40835.645833333336)</f>
        <v>40835.64583</v>
      </c>
      <c r="B198" s="1">
        <f>IFERROR(__xludf.DUMMYFUNCTION("""COMPUTED_VALUE"""),29500.0)</f>
        <v>29500</v>
      </c>
      <c r="C198" s="1">
        <f>IFERROR(__xludf.DUMMYFUNCTION("""COMPUTED_VALUE"""),30400.0)</f>
        <v>30400</v>
      </c>
      <c r="D198" s="1">
        <f>IFERROR(__xludf.DUMMYFUNCTION("""COMPUTED_VALUE"""),29100.0)</f>
        <v>29100</v>
      </c>
      <c r="E198" s="1">
        <f>IFERROR(__xludf.DUMMYFUNCTION("""COMPUTED_VALUE"""),29240.0)</f>
        <v>29240</v>
      </c>
      <c r="F198" s="1">
        <f>IFERROR(__xludf.DUMMYFUNCTION("""COMPUTED_VALUE"""),145810.0)</f>
        <v>145810</v>
      </c>
    </row>
    <row r="199">
      <c r="A199" s="2">
        <f>IFERROR(__xludf.DUMMYFUNCTION("""COMPUTED_VALUE"""),40836.645833333336)</f>
        <v>40836.64583</v>
      </c>
      <c r="B199" s="1">
        <f>IFERROR(__xludf.DUMMYFUNCTION("""COMPUTED_VALUE"""),29240.0)</f>
        <v>29240</v>
      </c>
      <c r="C199" s="1">
        <f>IFERROR(__xludf.DUMMYFUNCTION("""COMPUTED_VALUE"""),29240.0)</f>
        <v>29240</v>
      </c>
      <c r="D199" s="1">
        <f>IFERROR(__xludf.DUMMYFUNCTION("""COMPUTED_VALUE"""),28140.0)</f>
        <v>28140</v>
      </c>
      <c r="E199" s="1">
        <f>IFERROR(__xludf.DUMMYFUNCTION("""COMPUTED_VALUE"""),28700.0)</f>
        <v>28700</v>
      </c>
      <c r="F199" s="1">
        <f>IFERROR(__xludf.DUMMYFUNCTION("""COMPUTED_VALUE"""),89637.0)</f>
        <v>89637</v>
      </c>
    </row>
    <row r="200">
      <c r="A200" s="2">
        <f>IFERROR(__xludf.DUMMYFUNCTION("""COMPUTED_VALUE"""),40837.645833333336)</f>
        <v>40837.64583</v>
      </c>
      <c r="B200" s="1">
        <f>IFERROR(__xludf.DUMMYFUNCTION("""COMPUTED_VALUE"""),29200.0)</f>
        <v>29200</v>
      </c>
      <c r="C200" s="1">
        <f>IFERROR(__xludf.DUMMYFUNCTION("""COMPUTED_VALUE"""),30380.0)</f>
        <v>30380</v>
      </c>
      <c r="D200" s="1">
        <f>IFERROR(__xludf.DUMMYFUNCTION("""COMPUTED_VALUE"""),28780.0)</f>
        <v>28780</v>
      </c>
      <c r="E200" s="1">
        <f>IFERROR(__xludf.DUMMYFUNCTION("""COMPUTED_VALUE"""),29600.0)</f>
        <v>29600</v>
      </c>
      <c r="F200" s="1">
        <f>IFERROR(__xludf.DUMMYFUNCTION("""COMPUTED_VALUE"""),155773.0)</f>
        <v>155773</v>
      </c>
    </row>
    <row r="201">
      <c r="A201" s="2">
        <f>IFERROR(__xludf.DUMMYFUNCTION("""COMPUTED_VALUE"""),40840.645833333336)</f>
        <v>40840.64583</v>
      </c>
      <c r="B201" s="1">
        <f>IFERROR(__xludf.DUMMYFUNCTION("""COMPUTED_VALUE"""),29700.0)</f>
        <v>29700</v>
      </c>
      <c r="C201" s="1">
        <f>IFERROR(__xludf.DUMMYFUNCTION("""COMPUTED_VALUE"""),29780.0)</f>
        <v>29780</v>
      </c>
      <c r="D201" s="1">
        <f>IFERROR(__xludf.DUMMYFUNCTION("""COMPUTED_VALUE"""),28880.0)</f>
        <v>28880</v>
      </c>
      <c r="E201" s="1">
        <f>IFERROR(__xludf.DUMMYFUNCTION("""COMPUTED_VALUE"""),29600.0)</f>
        <v>29600</v>
      </c>
      <c r="F201" s="1">
        <f>IFERROR(__xludf.DUMMYFUNCTION("""COMPUTED_VALUE"""),93724.0)</f>
        <v>93724</v>
      </c>
    </row>
    <row r="202">
      <c r="A202" s="2">
        <f>IFERROR(__xludf.DUMMYFUNCTION("""COMPUTED_VALUE"""),40841.645833333336)</f>
        <v>40841.64583</v>
      </c>
      <c r="B202" s="1">
        <f>IFERROR(__xludf.DUMMYFUNCTION("""COMPUTED_VALUE"""),29560.0)</f>
        <v>29560</v>
      </c>
      <c r="C202" s="1">
        <f>IFERROR(__xludf.DUMMYFUNCTION("""COMPUTED_VALUE"""),29680.0)</f>
        <v>29680</v>
      </c>
      <c r="D202" s="1">
        <f>IFERROR(__xludf.DUMMYFUNCTION("""COMPUTED_VALUE"""),28220.0)</f>
        <v>28220</v>
      </c>
      <c r="E202" s="1">
        <f>IFERROR(__xludf.DUMMYFUNCTION("""COMPUTED_VALUE"""),29180.0)</f>
        <v>29180</v>
      </c>
      <c r="F202" s="1">
        <f>IFERROR(__xludf.DUMMYFUNCTION("""COMPUTED_VALUE"""),188841.0)</f>
        <v>188841</v>
      </c>
    </row>
    <row r="203">
      <c r="A203" s="2">
        <f>IFERROR(__xludf.DUMMYFUNCTION("""COMPUTED_VALUE"""),40842.645833333336)</f>
        <v>40842.64583</v>
      </c>
      <c r="B203" s="1">
        <f>IFERROR(__xludf.DUMMYFUNCTION("""COMPUTED_VALUE"""),28840.0)</f>
        <v>28840</v>
      </c>
      <c r="C203" s="1">
        <f>IFERROR(__xludf.DUMMYFUNCTION("""COMPUTED_VALUE"""),29760.0)</f>
        <v>29760</v>
      </c>
      <c r="D203" s="1">
        <f>IFERROR(__xludf.DUMMYFUNCTION("""COMPUTED_VALUE"""),28800.0)</f>
        <v>28800</v>
      </c>
      <c r="E203" s="1">
        <f>IFERROR(__xludf.DUMMYFUNCTION("""COMPUTED_VALUE"""),29380.0)</f>
        <v>29380</v>
      </c>
      <c r="F203" s="1">
        <f>IFERROR(__xludf.DUMMYFUNCTION("""COMPUTED_VALUE"""),53309.0)</f>
        <v>53309</v>
      </c>
    </row>
    <row r="204">
      <c r="A204" s="2">
        <f>IFERROR(__xludf.DUMMYFUNCTION("""COMPUTED_VALUE"""),40843.645833333336)</f>
        <v>40843.64583</v>
      </c>
      <c r="B204" s="1">
        <f>IFERROR(__xludf.DUMMYFUNCTION("""COMPUTED_VALUE"""),29120.0)</f>
        <v>29120</v>
      </c>
      <c r="C204" s="1">
        <f>IFERROR(__xludf.DUMMYFUNCTION("""COMPUTED_VALUE"""),29380.0)</f>
        <v>29380</v>
      </c>
      <c r="D204" s="1">
        <f>IFERROR(__xludf.DUMMYFUNCTION("""COMPUTED_VALUE"""),27920.0)</f>
        <v>27920</v>
      </c>
      <c r="E204" s="1">
        <f>IFERROR(__xludf.DUMMYFUNCTION("""COMPUTED_VALUE"""),27920.0)</f>
        <v>27920</v>
      </c>
      <c r="F204" s="1">
        <f>IFERROR(__xludf.DUMMYFUNCTION("""COMPUTED_VALUE"""),213887.0)</f>
        <v>213887</v>
      </c>
    </row>
    <row r="205">
      <c r="A205" s="2">
        <f>IFERROR(__xludf.DUMMYFUNCTION("""COMPUTED_VALUE"""),40844.645833333336)</f>
        <v>40844.64583</v>
      </c>
      <c r="B205" s="1">
        <f>IFERROR(__xludf.DUMMYFUNCTION("""COMPUTED_VALUE"""),27900.0)</f>
        <v>27900</v>
      </c>
      <c r="C205" s="1">
        <f>IFERROR(__xludf.DUMMYFUNCTION("""COMPUTED_VALUE"""),28120.0)</f>
        <v>28120</v>
      </c>
      <c r="D205" s="1">
        <f>IFERROR(__xludf.DUMMYFUNCTION("""COMPUTED_VALUE"""),26060.0)</f>
        <v>26060</v>
      </c>
      <c r="E205" s="1">
        <f>IFERROR(__xludf.DUMMYFUNCTION("""COMPUTED_VALUE"""),26840.0)</f>
        <v>26840</v>
      </c>
      <c r="F205" s="1">
        <f>IFERROR(__xludf.DUMMYFUNCTION("""COMPUTED_VALUE"""),362913.0)</f>
        <v>362913</v>
      </c>
    </row>
    <row r="206">
      <c r="A206" s="2">
        <f>IFERROR(__xludf.DUMMYFUNCTION("""COMPUTED_VALUE"""),40847.645833333336)</f>
        <v>40847.64583</v>
      </c>
      <c r="B206" s="1">
        <f>IFERROR(__xludf.DUMMYFUNCTION("""COMPUTED_VALUE"""),26980.0)</f>
        <v>26980</v>
      </c>
      <c r="C206" s="1">
        <f>IFERROR(__xludf.DUMMYFUNCTION("""COMPUTED_VALUE"""),27280.0)</f>
        <v>27280</v>
      </c>
      <c r="D206" s="1">
        <f>IFERROR(__xludf.DUMMYFUNCTION("""COMPUTED_VALUE"""),26300.0)</f>
        <v>26300</v>
      </c>
      <c r="E206" s="1">
        <f>IFERROR(__xludf.DUMMYFUNCTION("""COMPUTED_VALUE"""),27180.0)</f>
        <v>27180</v>
      </c>
      <c r="F206" s="1">
        <f>IFERROR(__xludf.DUMMYFUNCTION("""COMPUTED_VALUE"""),199418.0)</f>
        <v>199418</v>
      </c>
    </row>
    <row r="207">
      <c r="A207" s="2">
        <f>IFERROR(__xludf.DUMMYFUNCTION("""COMPUTED_VALUE"""),40848.645833333336)</f>
        <v>40848.64583</v>
      </c>
      <c r="B207" s="1">
        <f>IFERROR(__xludf.DUMMYFUNCTION("""COMPUTED_VALUE"""),27000.0)</f>
        <v>27000</v>
      </c>
      <c r="C207" s="1">
        <f>IFERROR(__xludf.DUMMYFUNCTION("""COMPUTED_VALUE"""),27320.0)</f>
        <v>27320</v>
      </c>
      <c r="D207" s="1">
        <f>IFERROR(__xludf.DUMMYFUNCTION("""COMPUTED_VALUE"""),26040.0)</f>
        <v>26040</v>
      </c>
      <c r="E207" s="1">
        <f>IFERROR(__xludf.DUMMYFUNCTION("""COMPUTED_VALUE"""),26040.0)</f>
        <v>26040</v>
      </c>
      <c r="F207" s="1">
        <f>IFERROR(__xludf.DUMMYFUNCTION("""COMPUTED_VALUE"""),181482.0)</f>
        <v>181482</v>
      </c>
    </row>
    <row r="208">
      <c r="A208" s="2">
        <f>IFERROR(__xludf.DUMMYFUNCTION("""COMPUTED_VALUE"""),40849.645833333336)</f>
        <v>40849.64583</v>
      </c>
      <c r="B208" s="1">
        <f>IFERROR(__xludf.DUMMYFUNCTION("""COMPUTED_VALUE"""),25500.0)</f>
        <v>25500</v>
      </c>
      <c r="C208" s="1">
        <f>IFERROR(__xludf.DUMMYFUNCTION("""COMPUTED_VALUE"""),26740.0)</f>
        <v>26740</v>
      </c>
      <c r="D208" s="1">
        <f>IFERROR(__xludf.DUMMYFUNCTION("""COMPUTED_VALUE"""),25500.0)</f>
        <v>25500</v>
      </c>
      <c r="E208" s="1">
        <f>IFERROR(__xludf.DUMMYFUNCTION("""COMPUTED_VALUE"""),26700.0)</f>
        <v>26700</v>
      </c>
      <c r="F208" s="1">
        <f>IFERROR(__xludf.DUMMYFUNCTION("""COMPUTED_VALUE"""),233044.0)</f>
        <v>233044</v>
      </c>
    </row>
    <row r="209">
      <c r="A209" s="2">
        <f>IFERROR(__xludf.DUMMYFUNCTION("""COMPUTED_VALUE"""),40850.645833333336)</f>
        <v>40850.64583</v>
      </c>
      <c r="B209" s="1">
        <f>IFERROR(__xludf.DUMMYFUNCTION("""COMPUTED_VALUE"""),26700.0)</f>
        <v>26700</v>
      </c>
      <c r="C209" s="1">
        <f>IFERROR(__xludf.DUMMYFUNCTION("""COMPUTED_VALUE"""),27000.0)</f>
        <v>27000</v>
      </c>
      <c r="D209" s="1">
        <f>IFERROR(__xludf.DUMMYFUNCTION("""COMPUTED_VALUE"""),26000.0)</f>
        <v>26000</v>
      </c>
      <c r="E209" s="1">
        <f>IFERROR(__xludf.DUMMYFUNCTION("""COMPUTED_VALUE"""),26000.0)</f>
        <v>26000</v>
      </c>
      <c r="F209" s="1">
        <f>IFERROR(__xludf.DUMMYFUNCTION("""COMPUTED_VALUE"""),88617.0)</f>
        <v>88617</v>
      </c>
    </row>
    <row r="210">
      <c r="A210" s="2">
        <f>IFERROR(__xludf.DUMMYFUNCTION("""COMPUTED_VALUE"""),40851.645833333336)</f>
        <v>40851.64583</v>
      </c>
      <c r="B210" s="1">
        <f>IFERROR(__xludf.DUMMYFUNCTION("""COMPUTED_VALUE"""),26300.0)</f>
        <v>26300</v>
      </c>
      <c r="C210" s="1">
        <f>IFERROR(__xludf.DUMMYFUNCTION("""COMPUTED_VALUE"""),26600.0)</f>
        <v>26600</v>
      </c>
      <c r="D210" s="1">
        <f>IFERROR(__xludf.DUMMYFUNCTION("""COMPUTED_VALUE"""),26180.0)</f>
        <v>26180</v>
      </c>
      <c r="E210" s="1">
        <f>IFERROR(__xludf.DUMMYFUNCTION("""COMPUTED_VALUE"""),26380.0)</f>
        <v>26380</v>
      </c>
      <c r="F210" s="1">
        <f>IFERROR(__xludf.DUMMYFUNCTION("""COMPUTED_VALUE"""),115687.0)</f>
        <v>115687</v>
      </c>
    </row>
    <row r="211">
      <c r="A211" s="2">
        <f>IFERROR(__xludf.DUMMYFUNCTION("""COMPUTED_VALUE"""),40854.645833333336)</f>
        <v>40854.64583</v>
      </c>
      <c r="B211" s="1">
        <f>IFERROR(__xludf.DUMMYFUNCTION("""COMPUTED_VALUE"""),27420.0)</f>
        <v>27420</v>
      </c>
      <c r="C211" s="1">
        <f>IFERROR(__xludf.DUMMYFUNCTION("""COMPUTED_VALUE"""),28240.0)</f>
        <v>28240</v>
      </c>
      <c r="D211" s="1">
        <f>IFERROR(__xludf.DUMMYFUNCTION("""COMPUTED_VALUE"""),26660.0)</f>
        <v>26660</v>
      </c>
      <c r="E211" s="1">
        <f>IFERROR(__xludf.DUMMYFUNCTION("""COMPUTED_VALUE"""),27040.0)</f>
        <v>27040</v>
      </c>
      <c r="F211" s="1">
        <f>IFERROR(__xludf.DUMMYFUNCTION("""COMPUTED_VALUE"""),491838.0)</f>
        <v>491838</v>
      </c>
    </row>
    <row r="212">
      <c r="A212" s="2">
        <f>IFERROR(__xludf.DUMMYFUNCTION("""COMPUTED_VALUE"""),40855.645833333336)</f>
        <v>40855.64583</v>
      </c>
      <c r="B212" s="1">
        <f>IFERROR(__xludf.DUMMYFUNCTION("""COMPUTED_VALUE"""),27340.0)</f>
        <v>27340</v>
      </c>
      <c r="C212" s="1">
        <f>IFERROR(__xludf.DUMMYFUNCTION("""COMPUTED_VALUE"""),27380.0)</f>
        <v>27380</v>
      </c>
      <c r="D212" s="1">
        <f>IFERROR(__xludf.DUMMYFUNCTION("""COMPUTED_VALUE"""),26380.0)</f>
        <v>26380</v>
      </c>
      <c r="E212" s="1">
        <f>IFERROR(__xludf.DUMMYFUNCTION("""COMPUTED_VALUE"""),26860.0)</f>
        <v>26860</v>
      </c>
      <c r="F212" s="1">
        <f>IFERROR(__xludf.DUMMYFUNCTION("""COMPUTED_VALUE"""),143927.0)</f>
        <v>143927</v>
      </c>
    </row>
    <row r="213">
      <c r="A213" s="2">
        <f>IFERROR(__xludf.DUMMYFUNCTION("""COMPUTED_VALUE"""),40856.645833333336)</f>
        <v>40856.64583</v>
      </c>
      <c r="B213" s="1">
        <f>IFERROR(__xludf.DUMMYFUNCTION("""COMPUTED_VALUE"""),27020.0)</f>
        <v>27020</v>
      </c>
      <c r="C213" s="1">
        <f>IFERROR(__xludf.DUMMYFUNCTION("""COMPUTED_VALUE"""),28800.0)</f>
        <v>28800</v>
      </c>
      <c r="D213" s="1">
        <f>IFERROR(__xludf.DUMMYFUNCTION("""COMPUTED_VALUE"""),26620.0)</f>
        <v>26620</v>
      </c>
      <c r="E213" s="1">
        <f>IFERROR(__xludf.DUMMYFUNCTION("""COMPUTED_VALUE"""),28700.0)</f>
        <v>28700</v>
      </c>
      <c r="F213" s="1">
        <f>IFERROR(__xludf.DUMMYFUNCTION("""COMPUTED_VALUE"""),225384.0)</f>
        <v>225384</v>
      </c>
    </row>
    <row r="214">
      <c r="A214" s="2">
        <f>IFERROR(__xludf.DUMMYFUNCTION("""COMPUTED_VALUE"""),40857.645833333336)</f>
        <v>40857.64583</v>
      </c>
      <c r="B214" s="1">
        <f>IFERROR(__xludf.DUMMYFUNCTION("""COMPUTED_VALUE"""),28300.0)</f>
        <v>28300</v>
      </c>
      <c r="C214" s="1">
        <f>IFERROR(__xludf.DUMMYFUNCTION("""COMPUTED_VALUE"""),28820.0)</f>
        <v>28820</v>
      </c>
      <c r="D214" s="1">
        <f>IFERROR(__xludf.DUMMYFUNCTION("""COMPUTED_VALUE"""),27560.0)</f>
        <v>27560</v>
      </c>
      <c r="E214" s="1">
        <f>IFERROR(__xludf.DUMMYFUNCTION("""COMPUTED_VALUE"""),28260.0)</f>
        <v>28260</v>
      </c>
      <c r="F214" s="1">
        <f>IFERROR(__xludf.DUMMYFUNCTION("""COMPUTED_VALUE"""),204720.0)</f>
        <v>204720</v>
      </c>
    </row>
    <row r="215">
      <c r="A215" s="2">
        <f>IFERROR(__xludf.DUMMYFUNCTION("""COMPUTED_VALUE"""),40858.645833333336)</f>
        <v>40858.64583</v>
      </c>
      <c r="B215" s="1">
        <f>IFERROR(__xludf.DUMMYFUNCTION("""COMPUTED_VALUE"""),28700.0)</f>
        <v>28700</v>
      </c>
      <c r="C215" s="1">
        <f>IFERROR(__xludf.DUMMYFUNCTION("""COMPUTED_VALUE"""),28780.0)</f>
        <v>28780</v>
      </c>
      <c r="D215" s="1">
        <f>IFERROR(__xludf.DUMMYFUNCTION("""COMPUTED_VALUE"""),27840.0)</f>
        <v>27840</v>
      </c>
      <c r="E215" s="1">
        <f>IFERROR(__xludf.DUMMYFUNCTION("""COMPUTED_VALUE"""),28440.0)</f>
        <v>28440</v>
      </c>
      <c r="F215" s="1">
        <f>IFERROR(__xludf.DUMMYFUNCTION("""COMPUTED_VALUE"""),82243.0)</f>
        <v>82243</v>
      </c>
    </row>
    <row r="216">
      <c r="A216" s="2">
        <f>IFERROR(__xludf.DUMMYFUNCTION("""COMPUTED_VALUE"""),40861.645833333336)</f>
        <v>40861.64583</v>
      </c>
      <c r="B216" s="1">
        <f>IFERROR(__xludf.DUMMYFUNCTION("""COMPUTED_VALUE"""),28500.0)</f>
        <v>28500</v>
      </c>
      <c r="C216" s="1">
        <f>IFERROR(__xludf.DUMMYFUNCTION("""COMPUTED_VALUE"""),28720.0)</f>
        <v>28720</v>
      </c>
      <c r="D216" s="1">
        <f>IFERROR(__xludf.DUMMYFUNCTION("""COMPUTED_VALUE"""),28000.0)</f>
        <v>28000</v>
      </c>
      <c r="E216" s="1">
        <f>IFERROR(__xludf.DUMMYFUNCTION("""COMPUTED_VALUE"""),28380.0)</f>
        <v>28380</v>
      </c>
      <c r="F216" s="1">
        <f>IFERROR(__xludf.DUMMYFUNCTION("""COMPUTED_VALUE"""),126360.0)</f>
        <v>126360</v>
      </c>
    </row>
    <row r="217">
      <c r="A217" s="2">
        <f>IFERROR(__xludf.DUMMYFUNCTION("""COMPUTED_VALUE"""),40862.645833333336)</f>
        <v>40862.64583</v>
      </c>
      <c r="B217" s="1">
        <f>IFERROR(__xludf.DUMMYFUNCTION("""COMPUTED_VALUE"""),28160.0)</f>
        <v>28160</v>
      </c>
      <c r="C217" s="1">
        <f>IFERROR(__xludf.DUMMYFUNCTION("""COMPUTED_VALUE"""),28600.0)</f>
        <v>28600</v>
      </c>
      <c r="D217" s="1">
        <f>IFERROR(__xludf.DUMMYFUNCTION("""COMPUTED_VALUE"""),27540.0)</f>
        <v>27540</v>
      </c>
      <c r="E217" s="1">
        <f>IFERROR(__xludf.DUMMYFUNCTION("""COMPUTED_VALUE"""),27540.0)</f>
        <v>27540</v>
      </c>
      <c r="F217" s="1">
        <f>IFERROR(__xludf.DUMMYFUNCTION("""COMPUTED_VALUE"""),93284.0)</f>
        <v>93284</v>
      </c>
    </row>
    <row r="218">
      <c r="A218" s="2">
        <f>IFERROR(__xludf.DUMMYFUNCTION("""COMPUTED_VALUE"""),40863.645833333336)</f>
        <v>40863.64583</v>
      </c>
      <c r="B218" s="1">
        <f>IFERROR(__xludf.DUMMYFUNCTION("""COMPUTED_VALUE"""),27540.0)</f>
        <v>27540</v>
      </c>
      <c r="C218" s="1">
        <f>IFERROR(__xludf.DUMMYFUNCTION("""COMPUTED_VALUE"""),28440.0)</f>
        <v>28440</v>
      </c>
      <c r="D218" s="1">
        <f>IFERROR(__xludf.DUMMYFUNCTION("""COMPUTED_VALUE"""),27360.0)</f>
        <v>27360</v>
      </c>
      <c r="E218" s="1">
        <f>IFERROR(__xludf.DUMMYFUNCTION("""COMPUTED_VALUE"""),27640.0)</f>
        <v>27640</v>
      </c>
      <c r="F218" s="1">
        <f>IFERROR(__xludf.DUMMYFUNCTION("""COMPUTED_VALUE"""),88194.0)</f>
        <v>88194</v>
      </c>
    </row>
    <row r="219">
      <c r="A219" s="2">
        <f>IFERROR(__xludf.DUMMYFUNCTION("""COMPUTED_VALUE"""),40864.645833333336)</f>
        <v>40864.64583</v>
      </c>
      <c r="B219" s="1">
        <f>IFERROR(__xludf.DUMMYFUNCTION("""COMPUTED_VALUE"""),27840.0)</f>
        <v>27840</v>
      </c>
      <c r="C219" s="1">
        <f>IFERROR(__xludf.DUMMYFUNCTION("""COMPUTED_VALUE"""),28440.0)</f>
        <v>28440</v>
      </c>
      <c r="D219" s="1">
        <f>IFERROR(__xludf.DUMMYFUNCTION("""COMPUTED_VALUE"""),27840.0)</f>
        <v>27840</v>
      </c>
      <c r="E219" s="1">
        <f>IFERROR(__xludf.DUMMYFUNCTION("""COMPUTED_VALUE"""),28340.0)</f>
        <v>28340</v>
      </c>
      <c r="F219" s="1">
        <f>IFERROR(__xludf.DUMMYFUNCTION("""COMPUTED_VALUE"""),46921.0)</f>
        <v>46921</v>
      </c>
    </row>
    <row r="220">
      <c r="A220" s="2">
        <f>IFERROR(__xludf.DUMMYFUNCTION("""COMPUTED_VALUE"""),40865.645833333336)</f>
        <v>40865.64583</v>
      </c>
      <c r="B220" s="1">
        <f>IFERROR(__xludf.DUMMYFUNCTION("""COMPUTED_VALUE"""),28200.0)</f>
        <v>28200</v>
      </c>
      <c r="C220" s="1">
        <f>IFERROR(__xludf.DUMMYFUNCTION("""COMPUTED_VALUE"""),28400.0)</f>
        <v>28400</v>
      </c>
      <c r="D220" s="1">
        <f>IFERROR(__xludf.DUMMYFUNCTION("""COMPUTED_VALUE"""),27560.0)</f>
        <v>27560</v>
      </c>
      <c r="E220" s="1">
        <f>IFERROR(__xludf.DUMMYFUNCTION("""COMPUTED_VALUE"""),27940.0)</f>
        <v>27940</v>
      </c>
      <c r="F220" s="1">
        <f>IFERROR(__xludf.DUMMYFUNCTION("""COMPUTED_VALUE"""),57972.0)</f>
        <v>57972</v>
      </c>
    </row>
    <row r="221">
      <c r="A221" s="2">
        <f>IFERROR(__xludf.DUMMYFUNCTION("""COMPUTED_VALUE"""),40868.645833333336)</f>
        <v>40868.64583</v>
      </c>
      <c r="B221" s="1">
        <f>IFERROR(__xludf.DUMMYFUNCTION("""COMPUTED_VALUE"""),27840.0)</f>
        <v>27840</v>
      </c>
      <c r="C221" s="1">
        <f>IFERROR(__xludf.DUMMYFUNCTION("""COMPUTED_VALUE"""),28140.0)</f>
        <v>28140</v>
      </c>
      <c r="D221" s="1">
        <f>IFERROR(__xludf.DUMMYFUNCTION("""COMPUTED_VALUE"""),27160.0)</f>
        <v>27160</v>
      </c>
      <c r="E221" s="1">
        <f>IFERROR(__xludf.DUMMYFUNCTION("""COMPUTED_VALUE"""),27680.0)</f>
        <v>27680</v>
      </c>
      <c r="F221" s="1">
        <f>IFERROR(__xludf.DUMMYFUNCTION("""COMPUTED_VALUE"""),54513.0)</f>
        <v>54513</v>
      </c>
    </row>
    <row r="222">
      <c r="A222" s="2">
        <f>IFERROR(__xludf.DUMMYFUNCTION("""COMPUTED_VALUE"""),40869.645833333336)</f>
        <v>40869.64583</v>
      </c>
      <c r="B222" s="1">
        <f>IFERROR(__xludf.DUMMYFUNCTION("""COMPUTED_VALUE"""),27380.0)</f>
        <v>27380</v>
      </c>
      <c r="C222" s="1">
        <f>IFERROR(__xludf.DUMMYFUNCTION("""COMPUTED_VALUE"""),28400.0)</f>
        <v>28400</v>
      </c>
      <c r="D222" s="1">
        <f>IFERROR(__xludf.DUMMYFUNCTION("""COMPUTED_VALUE"""),27320.0)</f>
        <v>27320</v>
      </c>
      <c r="E222" s="1">
        <f>IFERROR(__xludf.DUMMYFUNCTION("""COMPUTED_VALUE"""),28340.0)</f>
        <v>28340</v>
      </c>
      <c r="F222" s="1">
        <f>IFERROR(__xludf.DUMMYFUNCTION("""COMPUTED_VALUE"""),68316.0)</f>
        <v>68316</v>
      </c>
    </row>
    <row r="223">
      <c r="A223" s="2">
        <f>IFERROR(__xludf.DUMMYFUNCTION("""COMPUTED_VALUE"""),40870.645833333336)</f>
        <v>40870.64583</v>
      </c>
      <c r="B223" s="1">
        <f>IFERROR(__xludf.DUMMYFUNCTION("""COMPUTED_VALUE"""),28360.0)</f>
        <v>28360</v>
      </c>
      <c r="C223" s="1">
        <f>IFERROR(__xludf.DUMMYFUNCTION("""COMPUTED_VALUE"""),28540.0)</f>
        <v>28540</v>
      </c>
      <c r="D223" s="1">
        <f>IFERROR(__xludf.DUMMYFUNCTION("""COMPUTED_VALUE"""),27920.0)</f>
        <v>27920</v>
      </c>
      <c r="E223" s="1">
        <f>IFERROR(__xludf.DUMMYFUNCTION("""COMPUTED_VALUE"""),28300.0)</f>
        <v>28300</v>
      </c>
      <c r="F223" s="1">
        <f>IFERROR(__xludf.DUMMYFUNCTION("""COMPUTED_VALUE"""),48700.0)</f>
        <v>48700</v>
      </c>
    </row>
    <row r="224">
      <c r="A224" s="2">
        <f>IFERROR(__xludf.DUMMYFUNCTION("""COMPUTED_VALUE"""),40871.645833333336)</f>
        <v>40871.64583</v>
      </c>
      <c r="B224" s="1">
        <f>IFERROR(__xludf.DUMMYFUNCTION("""COMPUTED_VALUE"""),28300.0)</f>
        <v>28300</v>
      </c>
      <c r="C224" s="1">
        <f>IFERROR(__xludf.DUMMYFUNCTION("""COMPUTED_VALUE"""),28860.0)</f>
        <v>28860</v>
      </c>
      <c r="D224" s="1">
        <f>IFERROR(__xludf.DUMMYFUNCTION("""COMPUTED_VALUE"""),27920.0)</f>
        <v>27920</v>
      </c>
      <c r="E224" s="1">
        <f>IFERROR(__xludf.DUMMYFUNCTION("""COMPUTED_VALUE"""),28740.0)</f>
        <v>28740</v>
      </c>
      <c r="F224" s="1">
        <f>IFERROR(__xludf.DUMMYFUNCTION("""COMPUTED_VALUE"""),51817.0)</f>
        <v>51817</v>
      </c>
    </row>
    <row r="225">
      <c r="A225" s="2">
        <f>IFERROR(__xludf.DUMMYFUNCTION("""COMPUTED_VALUE"""),40872.645833333336)</f>
        <v>40872.64583</v>
      </c>
      <c r="B225" s="1">
        <f>IFERROR(__xludf.DUMMYFUNCTION("""COMPUTED_VALUE"""),28540.0)</f>
        <v>28540</v>
      </c>
      <c r="C225" s="1">
        <f>IFERROR(__xludf.DUMMYFUNCTION("""COMPUTED_VALUE"""),28740.0)</f>
        <v>28740</v>
      </c>
      <c r="D225" s="1">
        <f>IFERROR(__xludf.DUMMYFUNCTION("""COMPUTED_VALUE"""),28000.0)</f>
        <v>28000</v>
      </c>
      <c r="E225" s="1">
        <f>IFERROR(__xludf.DUMMYFUNCTION("""COMPUTED_VALUE"""),28540.0)</f>
        <v>28540</v>
      </c>
      <c r="F225" s="1">
        <f>IFERROR(__xludf.DUMMYFUNCTION("""COMPUTED_VALUE"""),39440.0)</f>
        <v>39440</v>
      </c>
    </row>
    <row r="226">
      <c r="A226" s="2">
        <f>IFERROR(__xludf.DUMMYFUNCTION("""COMPUTED_VALUE"""),40875.645833333336)</f>
        <v>40875.64583</v>
      </c>
      <c r="B226" s="1">
        <f>IFERROR(__xludf.DUMMYFUNCTION("""COMPUTED_VALUE"""),28860.0)</f>
        <v>28860</v>
      </c>
      <c r="C226" s="1">
        <f>IFERROR(__xludf.DUMMYFUNCTION("""COMPUTED_VALUE"""),29580.0)</f>
        <v>29580</v>
      </c>
      <c r="D226" s="1">
        <f>IFERROR(__xludf.DUMMYFUNCTION("""COMPUTED_VALUE"""),28340.0)</f>
        <v>28340</v>
      </c>
      <c r="E226" s="1">
        <f>IFERROR(__xludf.DUMMYFUNCTION("""COMPUTED_VALUE"""),29400.0)</f>
        <v>29400</v>
      </c>
      <c r="F226" s="1">
        <f>IFERROR(__xludf.DUMMYFUNCTION("""COMPUTED_VALUE"""),59585.0)</f>
        <v>59585</v>
      </c>
    </row>
    <row r="227">
      <c r="A227" s="2">
        <f>IFERROR(__xludf.DUMMYFUNCTION("""COMPUTED_VALUE"""),40876.645833333336)</f>
        <v>40876.64583</v>
      </c>
      <c r="B227" s="1">
        <f>IFERROR(__xludf.DUMMYFUNCTION("""COMPUTED_VALUE"""),29440.0)</f>
        <v>29440</v>
      </c>
      <c r="C227" s="1">
        <f>IFERROR(__xludf.DUMMYFUNCTION("""COMPUTED_VALUE"""),29640.0)</f>
        <v>29640</v>
      </c>
      <c r="D227" s="1">
        <f>IFERROR(__xludf.DUMMYFUNCTION("""COMPUTED_VALUE"""),29100.0)</f>
        <v>29100</v>
      </c>
      <c r="E227" s="1">
        <f>IFERROR(__xludf.DUMMYFUNCTION("""COMPUTED_VALUE"""),29260.0)</f>
        <v>29260</v>
      </c>
      <c r="F227" s="1">
        <f>IFERROR(__xludf.DUMMYFUNCTION("""COMPUTED_VALUE"""),62927.0)</f>
        <v>62927</v>
      </c>
    </row>
    <row r="228">
      <c r="A228" s="2">
        <f>IFERROR(__xludf.DUMMYFUNCTION("""COMPUTED_VALUE"""),40877.645833333336)</f>
        <v>40877.64583</v>
      </c>
      <c r="B228" s="1">
        <f>IFERROR(__xludf.DUMMYFUNCTION("""COMPUTED_VALUE"""),29260.0)</f>
        <v>29260</v>
      </c>
      <c r="C228" s="1">
        <f>IFERROR(__xludf.DUMMYFUNCTION("""COMPUTED_VALUE"""),30020.0)</f>
        <v>30020</v>
      </c>
      <c r="D228" s="1">
        <f>IFERROR(__xludf.DUMMYFUNCTION("""COMPUTED_VALUE"""),29060.0)</f>
        <v>29060</v>
      </c>
      <c r="E228" s="1">
        <f>IFERROR(__xludf.DUMMYFUNCTION("""COMPUTED_VALUE"""),29200.0)</f>
        <v>29200</v>
      </c>
      <c r="F228" s="1">
        <f>IFERROR(__xludf.DUMMYFUNCTION("""COMPUTED_VALUE"""),114846.0)</f>
        <v>114846</v>
      </c>
    </row>
    <row r="229">
      <c r="A229" s="2">
        <f>IFERROR(__xludf.DUMMYFUNCTION("""COMPUTED_VALUE"""),40878.645833333336)</f>
        <v>40878.64583</v>
      </c>
      <c r="B229" s="1">
        <f>IFERROR(__xludf.DUMMYFUNCTION("""COMPUTED_VALUE"""),29700.0)</f>
        <v>29700</v>
      </c>
      <c r="C229" s="1">
        <f>IFERROR(__xludf.DUMMYFUNCTION("""COMPUTED_VALUE"""),30000.0)</f>
        <v>30000</v>
      </c>
      <c r="D229" s="1">
        <f>IFERROR(__xludf.DUMMYFUNCTION("""COMPUTED_VALUE"""),27500.0)</f>
        <v>27500</v>
      </c>
      <c r="E229" s="1">
        <f>IFERROR(__xludf.DUMMYFUNCTION("""COMPUTED_VALUE"""),27760.0)</f>
        <v>27760</v>
      </c>
      <c r="F229" s="1">
        <f>IFERROR(__xludf.DUMMYFUNCTION("""COMPUTED_VALUE"""),278953.0)</f>
        <v>278953</v>
      </c>
    </row>
    <row r="230">
      <c r="A230" s="2">
        <f>IFERROR(__xludf.DUMMYFUNCTION("""COMPUTED_VALUE"""),40879.645833333336)</f>
        <v>40879.64583</v>
      </c>
      <c r="B230" s="1">
        <f>IFERROR(__xludf.DUMMYFUNCTION("""COMPUTED_VALUE"""),27700.0)</f>
        <v>27700</v>
      </c>
      <c r="C230" s="1">
        <f>IFERROR(__xludf.DUMMYFUNCTION("""COMPUTED_VALUE"""),28140.0)</f>
        <v>28140</v>
      </c>
      <c r="D230" s="1">
        <f>IFERROR(__xludf.DUMMYFUNCTION("""COMPUTED_VALUE"""),27700.0)</f>
        <v>27700</v>
      </c>
      <c r="E230" s="1">
        <f>IFERROR(__xludf.DUMMYFUNCTION("""COMPUTED_VALUE"""),27900.0)</f>
        <v>27900</v>
      </c>
      <c r="F230" s="1">
        <f>IFERROR(__xludf.DUMMYFUNCTION("""COMPUTED_VALUE"""),83128.0)</f>
        <v>83128</v>
      </c>
    </row>
    <row r="231">
      <c r="A231" s="2">
        <f>IFERROR(__xludf.DUMMYFUNCTION("""COMPUTED_VALUE"""),40882.645833333336)</f>
        <v>40882.64583</v>
      </c>
      <c r="B231" s="1">
        <f>IFERROR(__xludf.DUMMYFUNCTION("""COMPUTED_VALUE"""),28100.0)</f>
        <v>28100</v>
      </c>
      <c r="C231" s="1">
        <f>IFERROR(__xludf.DUMMYFUNCTION("""COMPUTED_VALUE"""),28200.0)</f>
        <v>28200</v>
      </c>
      <c r="D231" s="1">
        <f>IFERROR(__xludf.DUMMYFUNCTION("""COMPUTED_VALUE"""),27720.0)</f>
        <v>27720</v>
      </c>
      <c r="E231" s="1">
        <f>IFERROR(__xludf.DUMMYFUNCTION("""COMPUTED_VALUE"""),28200.0)</f>
        <v>28200</v>
      </c>
      <c r="F231" s="1">
        <f>IFERROR(__xludf.DUMMYFUNCTION("""COMPUTED_VALUE"""),75451.0)</f>
        <v>75451</v>
      </c>
    </row>
    <row r="232">
      <c r="A232" s="2">
        <f>IFERROR(__xludf.DUMMYFUNCTION("""COMPUTED_VALUE"""),40883.645833333336)</f>
        <v>40883.64583</v>
      </c>
      <c r="B232" s="1">
        <f>IFERROR(__xludf.DUMMYFUNCTION("""COMPUTED_VALUE"""),28160.0)</f>
        <v>28160</v>
      </c>
      <c r="C232" s="1">
        <f>IFERROR(__xludf.DUMMYFUNCTION("""COMPUTED_VALUE"""),28160.0)</f>
        <v>28160</v>
      </c>
      <c r="D232" s="1">
        <f>IFERROR(__xludf.DUMMYFUNCTION("""COMPUTED_VALUE"""),27560.0)</f>
        <v>27560</v>
      </c>
      <c r="E232" s="1">
        <f>IFERROR(__xludf.DUMMYFUNCTION("""COMPUTED_VALUE"""),27600.0)</f>
        <v>27600</v>
      </c>
      <c r="F232" s="1">
        <f>IFERROR(__xludf.DUMMYFUNCTION("""COMPUTED_VALUE"""),55191.0)</f>
        <v>55191</v>
      </c>
    </row>
    <row r="233">
      <c r="A233" s="2">
        <f>IFERROR(__xludf.DUMMYFUNCTION("""COMPUTED_VALUE"""),40884.645833333336)</f>
        <v>40884.64583</v>
      </c>
      <c r="B233" s="1">
        <f>IFERROR(__xludf.DUMMYFUNCTION("""COMPUTED_VALUE"""),27800.0)</f>
        <v>27800</v>
      </c>
      <c r="C233" s="1">
        <f>IFERROR(__xludf.DUMMYFUNCTION("""COMPUTED_VALUE"""),27800.0)</f>
        <v>27800</v>
      </c>
      <c r="D233" s="1">
        <f>IFERROR(__xludf.DUMMYFUNCTION("""COMPUTED_VALUE"""),27120.0)</f>
        <v>27120</v>
      </c>
      <c r="E233" s="1">
        <f>IFERROR(__xludf.DUMMYFUNCTION("""COMPUTED_VALUE"""),27320.0)</f>
        <v>27320</v>
      </c>
      <c r="F233" s="1">
        <f>IFERROR(__xludf.DUMMYFUNCTION("""COMPUTED_VALUE"""),70428.0)</f>
        <v>70428</v>
      </c>
    </row>
    <row r="234">
      <c r="A234" s="2">
        <f>IFERROR(__xludf.DUMMYFUNCTION("""COMPUTED_VALUE"""),40885.645833333336)</f>
        <v>40885.64583</v>
      </c>
      <c r="B234" s="1">
        <f>IFERROR(__xludf.DUMMYFUNCTION("""COMPUTED_VALUE"""),27400.0)</f>
        <v>27400</v>
      </c>
      <c r="C234" s="1">
        <f>IFERROR(__xludf.DUMMYFUNCTION("""COMPUTED_VALUE"""),27480.0)</f>
        <v>27480</v>
      </c>
      <c r="D234" s="1">
        <f>IFERROR(__xludf.DUMMYFUNCTION("""COMPUTED_VALUE"""),26640.0)</f>
        <v>26640</v>
      </c>
      <c r="E234" s="1">
        <f>IFERROR(__xludf.DUMMYFUNCTION("""COMPUTED_VALUE"""),27040.0)</f>
        <v>27040</v>
      </c>
      <c r="F234" s="1">
        <f>IFERROR(__xludf.DUMMYFUNCTION("""COMPUTED_VALUE"""),85541.0)</f>
        <v>85541</v>
      </c>
    </row>
    <row r="235">
      <c r="A235" s="2">
        <f>IFERROR(__xludf.DUMMYFUNCTION("""COMPUTED_VALUE"""),40886.645833333336)</f>
        <v>40886.64583</v>
      </c>
      <c r="B235" s="1">
        <f>IFERROR(__xludf.DUMMYFUNCTION("""COMPUTED_VALUE"""),26840.0)</f>
        <v>26840</v>
      </c>
      <c r="C235" s="1">
        <f>IFERROR(__xludf.DUMMYFUNCTION("""COMPUTED_VALUE"""),27060.0)</f>
        <v>27060</v>
      </c>
      <c r="D235" s="1">
        <f>IFERROR(__xludf.DUMMYFUNCTION("""COMPUTED_VALUE"""),26400.0)</f>
        <v>26400</v>
      </c>
      <c r="E235" s="1">
        <f>IFERROR(__xludf.DUMMYFUNCTION("""COMPUTED_VALUE"""),26640.0)</f>
        <v>26640</v>
      </c>
      <c r="F235" s="1">
        <f>IFERROR(__xludf.DUMMYFUNCTION("""COMPUTED_VALUE"""),79419.0)</f>
        <v>79419</v>
      </c>
    </row>
    <row r="236">
      <c r="A236" s="2">
        <f>IFERROR(__xludf.DUMMYFUNCTION("""COMPUTED_VALUE"""),40889.645833333336)</f>
        <v>40889.64583</v>
      </c>
      <c r="B236" s="1">
        <f>IFERROR(__xludf.DUMMYFUNCTION("""COMPUTED_VALUE"""),26800.0)</f>
        <v>26800</v>
      </c>
      <c r="C236" s="1">
        <f>IFERROR(__xludf.DUMMYFUNCTION("""COMPUTED_VALUE"""),27680.0)</f>
        <v>27680</v>
      </c>
      <c r="D236" s="1">
        <f>IFERROR(__xludf.DUMMYFUNCTION("""COMPUTED_VALUE"""),26640.0)</f>
        <v>26640</v>
      </c>
      <c r="E236" s="1">
        <f>IFERROR(__xludf.DUMMYFUNCTION("""COMPUTED_VALUE"""),27600.0)</f>
        <v>27600</v>
      </c>
      <c r="F236" s="1">
        <f>IFERROR(__xludf.DUMMYFUNCTION("""COMPUTED_VALUE"""),62570.0)</f>
        <v>62570</v>
      </c>
    </row>
    <row r="237">
      <c r="A237" s="2">
        <f>IFERROR(__xludf.DUMMYFUNCTION("""COMPUTED_VALUE"""),40890.645833333336)</f>
        <v>40890.64583</v>
      </c>
      <c r="B237" s="1">
        <f>IFERROR(__xludf.DUMMYFUNCTION("""COMPUTED_VALUE"""),27240.0)</f>
        <v>27240</v>
      </c>
      <c r="C237" s="1">
        <f>IFERROR(__xludf.DUMMYFUNCTION("""COMPUTED_VALUE"""),27600.0)</f>
        <v>27600</v>
      </c>
      <c r="D237" s="1">
        <f>IFERROR(__xludf.DUMMYFUNCTION("""COMPUTED_VALUE"""),26820.0)</f>
        <v>26820</v>
      </c>
      <c r="E237" s="1">
        <f>IFERROR(__xludf.DUMMYFUNCTION("""COMPUTED_VALUE"""),26820.0)</f>
        <v>26820</v>
      </c>
      <c r="F237" s="1">
        <f>IFERROR(__xludf.DUMMYFUNCTION("""COMPUTED_VALUE"""),34557.0)</f>
        <v>34557</v>
      </c>
    </row>
    <row r="238">
      <c r="A238" s="2">
        <f>IFERROR(__xludf.DUMMYFUNCTION("""COMPUTED_VALUE"""),40891.645833333336)</f>
        <v>40891.64583</v>
      </c>
      <c r="B238" s="1">
        <f>IFERROR(__xludf.DUMMYFUNCTION("""COMPUTED_VALUE"""),26820.0)</f>
        <v>26820</v>
      </c>
      <c r="C238" s="1">
        <f>IFERROR(__xludf.DUMMYFUNCTION("""COMPUTED_VALUE"""),27180.0)</f>
        <v>27180</v>
      </c>
      <c r="D238" s="1">
        <f>IFERROR(__xludf.DUMMYFUNCTION("""COMPUTED_VALUE"""),26700.0)</f>
        <v>26700</v>
      </c>
      <c r="E238" s="1">
        <f>IFERROR(__xludf.DUMMYFUNCTION("""COMPUTED_VALUE"""),26960.0)</f>
        <v>26960</v>
      </c>
      <c r="F238" s="1">
        <f>IFERROR(__xludf.DUMMYFUNCTION("""COMPUTED_VALUE"""),50165.0)</f>
        <v>50165</v>
      </c>
    </row>
    <row r="239">
      <c r="A239" s="2">
        <f>IFERROR(__xludf.DUMMYFUNCTION("""COMPUTED_VALUE"""),40892.645833333336)</f>
        <v>40892.64583</v>
      </c>
      <c r="B239" s="1">
        <f>IFERROR(__xludf.DUMMYFUNCTION("""COMPUTED_VALUE"""),26760.0)</f>
        <v>26760</v>
      </c>
      <c r="C239" s="1">
        <f>IFERROR(__xludf.DUMMYFUNCTION("""COMPUTED_VALUE"""),26840.0)</f>
        <v>26840</v>
      </c>
      <c r="D239" s="1">
        <f>IFERROR(__xludf.DUMMYFUNCTION("""COMPUTED_VALUE"""),26460.0)</f>
        <v>26460</v>
      </c>
      <c r="E239" s="1">
        <f>IFERROR(__xludf.DUMMYFUNCTION("""COMPUTED_VALUE"""),26560.0)</f>
        <v>26560</v>
      </c>
      <c r="F239" s="1">
        <f>IFERROR(__xludf.DUMMYFUNCTION("""COMPUTED_VALUE"""),60094.0)</f>
        <v>60094</v>
      </c>
    </row>
    <row r="240">
      <c r="A240" s="2">
        <f>IFERROR(__xludf.DUMMYFUNCTION("""COMPUTED_VALUE"""),40893.645833333336)</f>
        <v>40893.64583</v>
      </c>
      <c r="B240" s="1">
        <f>IFERROR(__xludf.DUMMYFUNCTION("""COMPUTED_VALUE"""),26860.0)</f>
        <v>26860</v>
      </c>
      <c r="C240" s="1">
        <f>IFERROR(__xludf.DUMMYFUNCTION("""COMPUTED_VALUE"""),27380.0)</f>
        <v>27380</v>
      </c>
      <c r="D240" s="1">
        <f>IFERROR(__xludf.DUMMYFUNCTION("""COMPUTED_VALUE"""),26540.0)</f>
        <v>26540</v>
      </c>
      <c r="E240" s="1">
        <f>IFERROR(__xludf.DUMMYFUNCTION("""COMPUTED_VALUE"""),27340.0)</f>
        <v>27340</v>
      </c>
      <c r="F240" s="1">
        <f>IFERROR(__xludf.DUMMYFUNCTION("""COMPUTED_VALUE"""),56361.0)</f>
        <v>56361</v>
      </c>
    </row>
    <row r="241">
      <c r="A241" s="2">
        <f>IFERROR(__xludf.DUMMYFUNCTION("""COMPUTED_VALUE"""),40896.645833333336)</f>
        <v>40896.64583</v>
      </c>
      <c r="B241" s="1">
        <f>IFERROR(__xludf.DUMMYFUNCTION("""COMPUTED_VALUE"""),27320.0)</f>
        <v>27320</v>
      </c>
      <c r="C241" s="1">
        <f>IFERROR(__xludf.DUMMYFUNCTION("""COMPUTED_VALUE"""),27320.0)</f>
        <v>27320</v>
      </c>
      <c r="D241" s="1">
        <f>IFERROR(__xludf.DUMMYFUNCTION("""COMPUTED_VALUE"""),24020.0)</f>
        <v>24020</v>
      </c>
      <c r="E241" s="1">
        <f>IFERROR(__xludf.DUMMYFUNCTION("""COMPUTED_VALUE"""),26500.0)</f>
        <v>26500</v>
      </c>
      <c r="F241" s="1">
        <f>IFERROR(__xludf.DUMMYFUNCTION("""COMPUTED_VALUE"""),123138.0)</f>
        <v>123138</v>
      </c>
    </row>
    <row r="242">
      <c r="A242" s="2">
        <f>IFERROR(__xludf.DUMMYFUNCTION("""COMPUTED_VALUE"""),40897.645833333336)</f>
        <v>40897.64583</v>
      </c>
      <c r="B242" s="1">
        <f>IFERROR(__xludf.DUMMYFUNCTION("""COMPUTED_VALUE"""),26420.0)</f>
        <v>26420</v>
      </c>
      <c r="C242" s="1">
        <f>IFERROR(__xludf.DUMMYFUNCTION("""COMPUTED_VALUE"""),26440.0)</f>
        <v>26440</v>
      </c>
      <c r="D242" s="1">
        <f>IFERROR(__xludf.DUMMYFUNCTION("""COMPUTED_VALUE"""),24860.0)</f>
        <v>24860</v>
      </c>
      <c r="E242" s="1">
        <f>IFERROR(__xludf.DUMMYFUNCTION("""COMPUTED_VALUE"""),25640.0)</f>
        <v>25640</v>
      </c>
      <c r="F242" s="1">
        <f>IFERROR(__xludf.DUMMYFUNCTION("""COMPUTED_VALUE"""),245541.0)</f>
        <v>245541</v>
      </c>
    </row>
    <row r="243">
      <c r="A243" s="2">
        <f>IFERROR(__xludf.DUMMYFUNCTION("""COMPUTED_VALUE"""),40898.645833333336)</f>
        <v>40898.64583</v>
      </c>
      <c r="B243" s="1">
        <f>IFERROR(__xludf.DUMMYFUNCTION("""COMPUTED_VALUE"""),26000.0)</f>
        <v>26000</v>
      </c>
      <c r="C243" s="1">
        <f>IFERROR(__xludf.DUMMYFUNCTION("""COMPUTED_VALUE"""),26200.0)</f>
        <v>26200</v>
      </c>
      <c r="D243" s="1">
        <f>IFERROR(__xludf.DUMMYFUNCTION("""COMPUTED_VALUE"""),25360.0)</f>
        <v>25360</v>
      </c>
      <c r="E243" s="1">
        <f>IFERROR(__xludf.DUMMYFUNCTION("""COMPUTED_VALUE"""),25740.0)</f>
        <v>25740</v>
      </c>
      <c r="F243" s="1">
        <f>IFERROR(__xludf.DUMMYFUNCTION("""COMPUTED_VALUE"""),107626.0)</f>
        <v>107626</v>
      </c>
    </row>
    <row r="244">
      <c r="A244" s="2">
        <f>IFERROR(__xludf.DUMMYFUNCTION("""COMPUTED_VALUE"""),40899.645833333336)</f>
        <v>40899.64583</v>
      </c>
      <c r="B244" s="1">
        <f>IFERROR(__xludf.DUMMYFUNCTION("""COMPUTED_VALUE"""),25800.0)</f>
        <v>25800</v>
      </c>
      <c r="C244" s="1">
        <f>IFERROR(__xludf.DUMMYFUNCTION("""COMPUTED_VALUE"""),25900.0)</f>
        <v>25900</v>
      </c>
      <c r="D244" s="1">
        <f>IFERROR(__xludf.DUMMYFUNCTION("""COMPUTED_VALUE"""),25160.0)</f>
        <v>25160</v>
      </c>
      <c r="E244" s="1">
        <f>IFERROR(__xludf.DUMMYFUNCTION("""COMPUTED_VALUE"""),25660.0)</f>
        <v>25660</v>
      </c>
      <c r="F244" s="1">
        <f>IFERROR(__xludf.DUMMYFUNCTION("""COMPUTED_VALUE"""),82182.0)</f>
        <v>82182</v>
      </c>
    </row>
    <row r="245">
      <c r="A245" s="2">
        <f>IFERROR(__xludf.DUMMYFUNCTION("""COMPUTED_VALUE"""),40900.645833333336)</f>
        <v>40900.64583</v>
      </c>
      <c r="B245" s="1">
        <f>IFERROR(__xludf.DUMMYFUNCTION("""COMPUTED_VALUE"""),25320.0)</f>
        <v>25320</v>
      </c>
      <c r="C245" s="1">
        <f>IFERROR(__xludf.DUMMYFUNCTION("""COMPUTED_VALUE"""),25880.0)</f>
        <v>25880</v>
      </c>
      <c r="D245" s="1">
        <f>IFERROR(__xludf.DUMMYFUNCTION("""COMPUTED_VALUE"""),25220.0)</f>
        <v>25220</v>
      </c>
      <c r="E245" s="1">
        <f>IFERROR(__xludf.DUMMYFUNCTION("""COMPUTED_VALUE"""),25560.0)</f>
        <v>25560</v>
      </c>
      <c r="F245" s="1">
        <f>IFERROR(__xludf.DUMMYFUNCTION("""COMPUTED_VALUE"""),129719.0)</f>
        <v>129719</v>
      </c>
    </row>
    <row r="246">
      <c r="A246" s="2">
        <f>IFERROR(__xludf.DUMMYFUNCTION("""COMPUTED_VALUE"""),40903.645833333336)</f>
        <v>40903.64583</v>
      </c>
      <c r="B246" s="1">
        <f>IFERROR(__xludf.DUMMYFUNCTION("""COMPUTED_VALUE"""),25620.0)</f>
        <v>25620</v>
      </c>
      <c r="C246" s="1">
        <f>IFERROR(__xludf.DUMMYFUNCTION("""COMPUTED_VALUE"""),25800.0)</f>
        <v>25800</v>
      </c>
      <c r="D246" s="1">
        <f>IFERROR(__xludf.DUMMYFUNCTION("""COMPUTED_VALUE"""),25200.0)</f>
        <v>25200</v>
      </c>
      <c r="E246" s="1">
        <f>IFERROR(__xludf.DUMMYFUNCTION("""COMPUTED_VALUE"""),25200.0)</f>
        <v>25200</v>
      </c>
      <c r="F246" s="1">
        <f>IFERROR(__xludf.DUMMYFUNCTION("""COMPUTED_VALUE"""),61604.0)</f>
        <v>61604</v>
      </c>
    </row>
    <row r="247">
      <c r="A247" s="2">
        <f>IFERROR(__xludf.DUMMYFUNCTION("""COMPUTED_VALUE"""),40904.645833333336)</f>
        <v>40904.64583</v>
      </c>
      <c r="B247" s="1">
        <f>IFERROR(__xludf.DUMMYFUNCTION("""COMPUTED_VALUE"""),25200.0)</f>
        <v>25200</v>
      </c>
      <c r="C247" s="1">
        <f>IFERROR(__xludf.DUMMYFUNCTION("""COMPUTED_VALUE"""),25200.0)</f>
        <v>25200</v>
      </c>
      <c r="D247" s="1">
        <f>IFERROR(__xludf.DUMMYFUNCTION("""COMPUTED_VALUE"""),24020.0)</f>
        <v>24020</v>
      </c>
      <c r="E247" s="1">
        <f>IFERROR(__xludf.DUMMYFUNCTION("""COMPUTED_VALUE"""),24720.0)</f>
        <v>24720</v>
      </c>
      <c r="F247" s="1">
        <f>IFERROR(__xludf.DUMMYFUNCTION("""COMPUTED_VALUE"""),131149.0)</f>
        <v>131149</v>
      </c>
    </row>
    <row r="248">
      <c r="A248" s="2">
        <f>IFERROR(__xludf.DUMMYFUNCTION("""COMPUTED_VALUE"""),40905.645833333336)</f>
        <v>40905.64583</v>
      </c>
      <c r="B248" s="1">
        <f>IFERROR(__xludf.DUMMYFUNCTION("""COMPUTED_VALUE"""),24420.0)</f>
        <v>24420</v>
      </c>
      <c r="C248" s="1">
        <f>IFERROR(__xludf.DUMMYFUNCTION("""COMPUTED_VALUE"""),24960.0)</f>
        <v>24960</v>
      </c>
      <c r="D248" s="1">
        <f>IFERROR(__xludf.DUMMYFUNCTION("""COMPUTED_VALUE"""),24260.0)</f>
        <v>24260</v>
      </c>
      <c r="E248" s="1">
        <f>IFERROR(__xludf.DUMMYFUNCTION("""COMPUTED_VALUE"""),24320.0)</f>
        <v>24320</v>
      </c>
      <c r="F248" s="1">
        <f>IFERROR(__xludf.DUMMYFUNCTION("""COMPUTED_VALUE"""),59392.0)</f>
        <v>59392</v>
      </c>
    </row>
    <row r="249">
      <c r="A249" s="2">
        <f>IFERROR(__xludf.DUMMYFUNCTION("""COMPUTED_VALUE"""),40906.645833333336)</f>
        <v>40906.64583</v>
      </c>
      <c r="B249" s="1">
        <f>IFERROR(__xludf.DUMMYFUNCTION("""COMPUTED_VALUE"""),24200.0)</f>
        <v>24200</v>
      </c>
      <c r="C249" s="1">
        <f>IFERROR(__xludf.DUMMYFUNCTION("""COMPUTED_VALUE"""),24540.0)</f>
        <v>24540</v>
      </c>
      <c r="D249" s="1">
        <f>IFERROR(__xludf.DUMMYFUNCTION("""COMPUTED_VALUE"""),23900.0)</f>
        <v>23900</v>
      </c>
      <c r="E249" s="1">
        <f>IFERROR(__xludf.DUMMYFUNCTION("""COMPUTED_VALUE"""),24000.0)</f>
        <v>24000</v>
      </c>
      <c r="F249" s="1">
        <f>IFERROR(__xludf.DUMMYFUNCTION("""COMPUTED_VALUE"""),97935.0)</f>
        <v>97935</v>
      </c>
    </row>
    <row r="250">
      <c r="A250" s="2">
        <f>IFERROR(__xludf.DUMMYFUNCTION("""COMPUTED_VALUE"""),40910.645833333336)</f>
        <v>40910.64583</v>
      </c>
      <c r="B250" s="1">
        <f>IFERROR(__xludf.DUMMYFUNCTION("""COMPUTED_VALUE"""),24200.0)</f>
        <v>24200</v>
      </c>
      <c r="C250" s="1">
        <f>IFERROR(__xludf.DUMMYFUNCTION("""COMPUTED_VALUE"""),24900.0)</f>
        <v>24900</v>
      </c>
      <c r="D250" s="1">
        <f>IFERROR(__xludf.DUMMYFUNCTION("""COMPUTED_VALUE"""),24000.0)</f>
        <v>24000</v>
      </c>
      <c r="E250" s="1">
        <f>IFERROR(__xludf.DUMMYFUNCTION("""COMPUTED_VALUE"""),24740.0)</f>
        <v>24740</v>
      </c>
      <c r="F250" s="1">
        <f>IFERROR(__xludf.DUMMYFUNCTION("""COMPUTED_VALUE"""),95400.0)</f>
        <v>95400</v>
      </c>
    </row>
    <row r="251">
      <c r="A251" s="2">
        <f>IFERROR(__xludf.DUMMYFUNCTION("""COMPUTED_VALUE"""),40911.645833333336)</f>
        <v>40911.64583</v>
      </c>
      <c r="B251" s="1">
        <f>IFERROR(__xludf.DUMMYFUNCTION("""COMPUTED_VALUE"""),24800.0)</f>
        <v>24800</v>
      </c>
      <c r="C251" s="1">
        <f>IFERROR(__xludf.DUMMYFUNCTION("""COMPUTED_VALUE"""),25460.0)</f>
        <v>25460</v>
      </c>
      <c r="D251" s="1">
        <f>IFERROR(__xludf.DUMMYFUNCTION("""COMPUTED_VALUE"""),24640.0)</f>
        <v>24640</v>
      </c>
      <c r="E251" s="1">
        <f>IFERROR(__xludf.DUMMYFUNCTION("""COMPUTED_VALUE"""),25420.0)</f>
        <v>25420</v>
      </c>
      <c r="F251" s="1">
        <f>IFERROR(__xludf.DUMMYFUNCTION("""COMPUTED_VALUE"""),104816.0)</f>
        <v>104816</v>
      </c>
    </row>
    <row r="252">
      <c r="A252" s="2">
        <f>IFERROR(__xludf.DUMMYFUNCTION("""COMPUTED_VALUE"""),40912.645833333336)</f>
        <v>40912.64583</v>
      </c>
      <c r="B252" s="1">
        <f>IFERROR(__xludf.DUMMYFUNCTION("""COMPUTED_VALUE"""),25420.0)</f>
        <v>25420</v>
      </c>
      <c r="C252" s="1">
        <f>IFERROR(__xludf.DUMMYFUNCTION("""COMPUTED_VALUE"""),25420.0)</f>
        <v>25420</v>
      </c>
      <c r="D252" s="1">
        <f>IFERROR(__xludf.DUMMYFUNCTION("""COMPUTED_VALUE"""),24840.0)</f>
        <v>24840</v>
      </c>
      <c r="E252" s="1">
        <f>IFERROR(__xludf.DUMMYFUNCTION("""COMPUTED_VALUE"""),24900.0)</f>
        <v>24900</v>
      </c>
      <c r="F252" s="1">
        <f>IFERROR(__xludf.DUMMYFUNCTION("""COMPUTED_VALUE"""),93483.0)</f>
        <v>93483</v>
      </c>
    </row>
    <row r="253">
      <c r="A253" s="2">
        <f>IFERROR(__xludf.DUMMYFUNCTION("""COMPUTED_VALUE"""),40913.645833333336)</f>
        <v>40913.64583</v>
      </c>
      <c r="B253" s="1">
        <f>IFERROR(__xludf.DUMMYFUNCTION("""COMPUTED_VALUE"""),25180.0)</f>
        <v>25180</v>
      </c>
      <c r="C253" s="1">
        <f>IFERROR(__xludf.DUMMYFUNCTION("""COMPUTED_VALUE"""),25660.0)</f>
        <v>25660</v>
      </c>
      <c r="D253" s="1">
        <f>IFERROR(__xludf.DUMMYFUNCTION("""COMPUTED_VALUE"""),24960.0)</f>
        <v>24960</v>
      </c>
      <c r="E253" s="1">
        <f>IFERROR(__xludf.DUMMYFUNCTION("""COMPUTED_VALUE"""),25120.0)</f>
        <v>25120</v>
      </c>
      <c r="F253" s="1">
        <f>IFERROR(__xludf.DUMMYFUNCTION("""COMPUTED_VALUE"""),76075.0)</f>
        <v>76075</v>
      </c>
    </row>
    <row r="254">
      <c r="A254" s="2">
        <f>IFERROR(__xludf.DUMMYFUNCTION("""COMPUTED_VALUE"""),40914.645833333336)</f>
        <v>40914.64583</v>
      </c>
      <c r="B254" s="1">
        <f>IFERROR(__xludf.DUMMYFUNCTION("""COMPUTED_VALUE"""),25200.0)</f>
        <v>25200</v>
      </c>
      <c r="C254" s="1">
        <f>IFERROR(__xludf.DUMMYFUNCTION("""COMPUTED_VALUE"""),25480.0)</f>
        <v>25480</v>
      </c>
      <c r="D254" s="1">
        <f>IFERROR(__xludf.DUMMYFUNCTION("""COMPUTED_VALUE"""),24400.0)</f>
        <v>24400</v>
      </c>
      <c r="E254" s="1">
        <f>IFERROR(__xludf.DUMMYFUNCTION("""COMPUTED_VALUE"""),24400.0)</f>
        <v>24400</v>
      </c>
      <c r="F254" s="1">
        <f>IFERROR(__xludf.DUMMYFUNCTION("""COMPUTED_VALUE"""),45994.0)</f>
        <v>45994</v>
      </c>
    </row>
    <row r="255">
      <c r="A255" s="2">
        <f>IFERROR(__xludf.DUMMYFUNCTION("""COMPUTED_VALUE"""),40917.645833333336)</f>
        <v>40917.64583</v>
      </c>
      <c r="B255" s="1">
        <f>IFERROR(__xludf.DUMMYFUNCTION("""COMPUTED_VALUE"""),24400.0)</f>
        <v>24400</v>
      </c>
      <c r="C255" s="1">
        <f>IFERROR(__xludf.DUMMYFUNCTION("""COMPUTED_VALUE"""),25180.0)</f>
        <v>25180</v>
      </c>
      <c r="D255" s="1">
        <f>IFERROR(__xludf.DUMMYFUNCTION("""COMPUTED_VALUE"""),24080.0)</f>
        <v>24080</v>
      </c>
      <c r="E255" s="1">
        <f>IFERROR(__xludf.DUMMYFUNCTION("""COMPUTED_VALUE"""),25040.0)</f>
        <v>25040</v>
      </c>
      <c r="F255" s="1">
        <f>IFERROR(__xludf.DUMMYFUNCTION("""COMPUTED_VALUE"""),83688.0)</f>
        <v>83688</v>
      </c>
    </row>
    <row r="256">
      <c r="A256" s="2">
        <f>IFERROR(__xludf.DUMMYFUNCTION("""COMPUTED_VALUE"""),40918.645833333336)</f>
        <v>40918.64583</v>
      </c>
      <c r="B256" s="1">
        <f>IFERROR(__xludf.DUMMYFUNCTION("""COMPUTED_VALUE"""),25300.0)</f>
        <v>25300</v>
      </c>
      <c r="C256" s="1">
        <f>IFERROR(__xludf.DUMMYFUNCTION("""COMPUTED_VALUE"""),26280.0)</f>
        <v>26280</v>
      </c>
      <c r="D256" s="1">
        <f>IFERROR(__xludf.DUMMYFUNCTION("""COMPUTED_VALUE"""),25300.0)</f>
        <v>25300</v>
      </c>
      <c r="E256" s="1">
        <f>IFERROR(__xludf.DUMMYFUNCTION("""COMPUTED_VALUE"""),26280.0)</f>
        <v>26280</v>
      </c>
      <c r="F256" s="1">
        <f>IFERROR(__xludf.DUMMYFUNCTION("""COMPUTED_VALUE"""),156498.0)</f>
        <v>156498</v>
      </c>
    </row>
    <row r="257">
      <c r="A257" s="2">
        <f>IFERROR(__xludf.DUMMYFUNCTION("""COMPUTED_VALUE"""),40919.645833333336)</f>
        <v>40919.64583</v>
      </c>
      <c r="B257" s="1">
        <f>IFERROR(__xludf.DUMMYFUNCTION("""COMPUTED_VALUE"""),26260.0)</f>
        <v>26260</v>
      </c>
      <c r="C257" s="1">
        <f>IFERROR(__xludf.DUMMYFUNCTION("""COMPUTED_VALUE"""),26740.0)</f>
        <v>26740</v>
      </c>
      <c r="D257" s="1">
        <f>IFERROR(__xludf.DUMMYFUNCTION("""COMPUTED_VALUE"""),25720.0)</f>
        <v>25720</v>
      </c>
      <c r="E257" s="1">
        <f>IFERROR(__xludf.DUMMYFUNCTION("""COMPUTED_VALUE"""),26400.0)</f>
        <v>26400</v>
      </c>
      <c r="F257" s="1">
        <f>IFERROR(__xludf.DUMMYFUNCTION("""COMPUTED_VALUE"""),84018.0)</f>
        <v>84018</v>
      </c>
    </row>
    <row r="258">
      <c r="A258" s="2">
        <f>IFERROR(__xludf.DUMMYFUNCTION("""COMPUTED_VALUE"""),40920.645833333336)</f>
        <v>40920.64583</v>
      </c>
      <c r="B258" s="1">
        <f>IFERROR(__xludf.DUMMYFUNCTION("""COMPUTED_VALUE"""),26220.0)</f>
        <v>26220</v>
      </c>
      <c r="C258" s="1">
        <f>IFERROR(__xludf.DUMMYFUNCTION("""COMPUTED_VALUE"""),26260.0)</f>
        <v>26260</v>
      </c>
      <c r="D258" s="1">
        <f>IFERROR(__xludf.DUMMYFUNCTION("""COMPUTED_VALUE"""),25860.0)</f>
        <v>25860</v>
      </c>
      <c r="E258" s="1">
        <f>IFERROR(__xludf.DUMMYFUNCTION("""COMPUTED_VALUE"""),25900.0)</f>
        <v>25900</v>
      </c>
      <c r="F258" s="1">
        <f>IFERROR(__xludf.DUMMYFUNCTION("""COMPUTED_VALUE"""),68543.0)</f>
        <v>68543</v>
      </c>
    </row>
    <row r="259">
      <c r="A259" s="2">
        <f>IFERROR(__xludf.DUMMYFUNCTION("""COMPUTED_VALUE"""),40921.645833333336)</f>
        <v>40921.64583</v>
      </c>
      <c r="B259" s="1">
        <f>IFERROR(__xludf.DUMMYFUNCTION("""COMPUTED_VALUE"""),25740.0)</f>
        <v>25740</v>
      </c>
      <c r="C259" s="1">
        <f>IFERROR(__xludf.DUMMYFUNCTION("""COMPUTED_VALUE"""),25840.0)</f>
        <v>25840</v>
      </c>
      <c r="D259" s="1">
        <f>IFERROR(__xludf.DUMMYFUNCTION("""COMPUTED_VALUE"""),25000.0)</f>
        <v>25000</v>
      </c>
      <c r="E259" s="1">
        <f>IFERROR(__xludf.DUMMYFUNCTION("""COMPUTED_VALUE"""),25060.0)</f>
        <v>25060</v>
      </c>
      <c r="F259" s="1">
        <f>IFERROR(__xludf.DUMMYFUNCTION("""COMPUTED_VALUE"""),124283.0)</f>
        <v>124283</v>
      </c>
    </row>
    <row r="260">
      <c r="A260" s="2">
        <f>IFERROR(__xludf.DUMMYFUNCTION("""COMPUTED_VALUE"""),40924.645833333336)</f>
        <v>40924.64583</v>
      </c>
      <c r="B260" s="1">
        <f>IFERROR(__xludf.DUMMYFUNCTION("""COMPUTED_VALUE"""),25080.0)</f>
        <v>25080</v>
      </c>
      <c r="C260" s="1">
        <f>IFERROR(__xludf.DUMMYFUNCTION("""COMPUTED_VALUE"""),26000.0)</f>
        <v>26000</v>
      </c>
      <c r="D260" s="1">
        <f>IFERROR(__xludf.DUMMYFUNCTION("""COMPUTED_VALUE"""),25080.0)</f>
        <v>25080</v>
      </c>
      <c r="E260" s="1">
        <f>IFERROR(__xludf.DUMMYFUNCTION("""COMPUTED_VALUE"""),25840.0)</f>
        <v>25840</v>
      </c>
      <c r="F260" s="1">
        <f>IFERROR(__xludf.DUMMYFUNCTION("""COMPUTED_VALUE"""),77021.0)</f>
        <v>77021</v>
      </c>
    </row>
    <row r="261">
      <c r="A261" s="2">
        <f>IFERROR(__xludf.DUMMYFUNCTION("""COMPUTED_VALUE"""),40925.645833333336)</f>
        <v>40925.64583</v>
      </c>
      <c r="B261" s="1">
        <f>IFERROR(__xludf.DUMMYFUNCTION("""COMPUTED_VALUE"""),26300.0)</f>
        <v>26300</v>
      </c>
      <c r="C261" s="1">
        <f>IFERROR(__xludf.DUMMYFUNCTION("""COMPUTED_VALUE"""),26600.0)</f>
        <v>26600</v>
      </c>
      <c r="D261" s="1">
        <f>IFERROR(__xludf.DUMMYFUNCTION("""COMPUTED_VALUE"""),26040.0)</f>
        <v>26040</v>
      </c>
      <c r="E261" s="1">
        <f>IFERROR(__xludf.DUMMYFUNCTION("""COMPUTED_VALUE"""),26500.0)</f>
        <v>26500</v>
      </c>
      <c r="F261" s="1">
        <f>IFERROR(__xludf.DUMMYFUNCTION("""COMPUTED_VALUE"""),63533.0)</f>
        <v>63533</v>
      </c>
    </row>
    <row r="262">
      <c r="A262" s="2">
        <f>IFERROR(__xludf.DUMMYFUNCTION("""COMPUTED_VALUE"""),40926.645833333336)</f>
        <v>40926.64583</v>
      </c>
      <c r="B262" s="1">
        <f>IFERROR(__xludf.DUMMYFUNCTION("""COMPUTED_VALUE"""),26560.0)</f>
        <v>26560</v>
      </c>
      <c r="C262" s="1">
        <f>IFERROR(__xludf.DUMMYFUNCTION("""COMPUTED_VALUE"""),26560.0)</f>
        <v>26560</v>
      </c>
      <c r="D262" s="1">
        <f>IFERROR(__xludf.DUMMYFUNCTION("""COMPUTED_VALUE"""),25860.0)</f>
        <v>25860</v>
      </c>
      <c r="E262" s="1">
        <f>IFERROR(__xludf.DUMMYFUNCTION("""COMPUTED_VALUE"""),26200.0)</f>
        <v>26200</v>
      </c>
      <c r="F262" s="1">
        <f>IFERROR(__xludf.DUMMYFUNCTION("""COMPUTED_VALUE"""),67617.0)</f>
        <v>67617</v>
      </c>
    </row>
    <row r="263">
      <c r="A263" s="2">
        <f>IFERROR(__xludf.DUMMYFUNCTION("""COMPUTED_VALUE"""),40927.645833333336)</f>
        <v>40927.64583</v>
      </c>
      <c r="B263" s="1">
        <f>IFERROR(__xludf.DUMMYFUNCTION("""COMPUTED_VALUE"""),26540.0)</f>
        <v>26540</v>
      </c>
      <c r="C263" s="1">
        <f>IFERROR(__xludf.DUMMYFUNCTION("""COMPUTED_VALUE"""),26560.0)</f>
        <v>26560</v>
      </c>
      <c r="D263" s="1">
        <f>IFERROR(__xludf.DUMMYFUNCTION("""COMPUTED_VALUE"""),25860.0)</f>
        <v>25860</v>
      </c>
      <c r="E263" s="1">
        <f>IFERROR(__xludf.DUMMYFUNCTION("""COMPUTED_VALUE"""),26200.0)</f>
        <v>26200</v>
      </c>
      <c r="F263" s="1">
        <f>IFERROR(__xludf.DUMMYFUNCTION("""COMPUTED_VALUE"""),70103.0)</f>
        <v>70103</v>
      </c>
    </row>
    <row r="264">
      <c r="A264" s="2">
        <f>IFERROR(__xludf.DUMMYFUNCTION("""COMPUTED_VALUE"""),40928.645833333336)</f>
        <v>40928.64583</v>
      </c>
      <c r="B264" s="1">
        <f>IFERROR(__xludf.DUMMYFUNCTION("""COMPUTED_VALUE"""),26460.0)</f>
        <v>26460</v>
      </c>
      <c r="C264" s="1">
        <f>IFERROR(__xludf.DUMMYFUNCTION("""COMPUTED_VALUE"""),26460.0)</f>
        <v>26460</v>
      </c>
      <c r="D264" s="1">
        <f>IFERROR(__xludf.DUMMYFUNCTION("""COMPUTED_VALUE"""),25400.0)</f>
        <v>25400</v>
      </c>
      <c r="E264" s="1">
        <f>IFERROR(__xludf.DUMMYFUNCTION("""COMPUTED_VALUE"""),25580.0)</f>
        <v>25580</v>
      </c>
      <c r="F264" s="1">
        <f>IFERROR(__xludf.DUMMYFUNCTION("""COMPUTED_VALUE"""),138467.0)</f>
        <v>138467</v>
      </c>
    </row>
    <row r="265">
      <c r="A265" s="2">
        <f>IFERROR(__xludf.DUMMYFUNCTION("""COMPUTED_VALUE"""),40933.645833333336)</f>
        <v>40933.64583</v>
      </c>
      <c r="B265" s="1">
        <f>IFERROR(__xludf.DUMMYFUNCTION("""COMPUTED_VALUE"""),25700.0)</f>
        <v>25700</v>
      </c>
      <c r="C265" s="1">
        <f>IFERROR(__xludf.DUMMYFUNCTION("""COMPUTED_VALUE"""),25700.0)</f>
        <v>25700</v>
      </c>
      <c r="D265" s="1">
        <f>IFERROR(__xludf.DUMMYFUNCTION("""COMPUTED_VALUE"""),25120.0)</f>
        <v>25120</v>
      </c>
      <c r="E265" s="1">
        <f>IFERROR(__xludf.DUMMYFUNCTION("""COMPUTED_VALUE"""),25140.0)</f>
        <v>25140</v>
      </c>
      <c r="F265" s="1">
        <f>IFERROR(__xludf.DUMMYFUNCTION("""COMPUTED_VALUE"""),132316.0)</f>
        <v>132316</v>
      </c>
    </row>
    <row r="266">
      <c r="A266" s="2">
        <f>IFERROR(__xludf.DUMMYFUNCTION("""COMPUTED_VALUE"""),40934.645833333336)</f>
        <v>40934.64583</v>
      </c>
      <c r="B266" s="1">
        <f>IFERROR(__xludf.DUMMYFUNCTION("""COMPUTED_VALUE"""),25160.0)</f>
        <v>25160</v>
      </c>
      <c r="C266" s="1">
        <f>IFERROR(__xludf.DUMMYFUNCTION("""COMPUTED_VALUE"""),25740.0)</f>
        <v>25740</v>
      </c>
      <c r="D266" s="1">
        <f>IFERROR(__xludf.DUMMYFUNCTION("""COMPUTED_VALUE"""),25160.0)</f>
        <v>25160</v>
      </c>
      <c r="E266" s="1">
        <f>IFERROR(__xludf.DUMMYFUNCTION("""COMPUTED_VALUE"""),25500.0)</f>
        <v>25500</v>
      </c>
      <c r="F266" s="1">
        <f>IFERROR(__xludf.DUMMYFUNCTION("""COMPUTED_VALUE"""),60237.0)</f>
        <v>60237</v>
      </c>
    </row>
    <row r="267">
      <c r="A267" s="2">
        <f>IFERROR(__xludf.DUMMYFUNCTION("""COMPUTED_VALUE"""),40935.645833333336)</f>
        <v>40935.64583</v>
      </c>
      <c r="B267" s="1">
        <f>IFERROR(__xludf.DUMMYFUNCTION("""COMPUTED_VALUE"""),25400.0)</f>
        <v>25400</v>
      </c>
      <c r="C267" s="1">
        <f>IFERROR(__xludf.DUMMYFUNCTION("""COMPUTED_VALUE"""),26120.0)</f>
        <v>26120</v>
      </c>
      <c r="D267" s="1">
        <f>IFERROR(__xludf.DUMMYFUNCTION("""COMPUTED_VALUE"""),25380.0)</f>
        <v>25380</v>
      </c>
      <c r="E267" s="1">
        <f>IFERROR(__xludf.DUMMYFUNCTION("""COMPUTED_VALUE"""),25800.0)</f>
        <v>25800</v>
      </c>
      <c r="F267" s="1">
        <f>IFERROR(__xludf.DUMMYFUNCTION("""COMPUTED_VALUE"""),82865.0)</f>
        <v>82865</v>
      </c>
    </row>
    <row r="268">
      <c r="A268" s="2">
        <f>IFERROR(__xludf.DUMMYFUNCTION("""COMPUTED_VALUE"""),40938.645833333336)</f>
        <v>40938.64583</v>
      </c>
      <c r="B268" s="1">
        <f>IFERROR(__xludf.DUMMYFUNCTION("""COMPUTED_VALUE"""),25820.0)</f>
        <v>25820</v>
      </c>
      <c r="C268" s="1">
        <f>IFERROR(__xludf.DUMMYFUNCTION("""COMPUTED_VALUE"""),26460.0)</f>
        <v>26460</v>
      </c>
      <c r="D268" s="1">
        <f>IFERROR(__xludf.DUMMYFUNCTION("""COMPUTED_VALUE"""),25820.0)</f>
        <v>25820</v>
      </c>
      <c r="E268" s="1">
        <f>IFERROR(__xludf.DUMMYFUNCTION("""COMPUTED_VALUE"""),26240.0)</f>
        <v>26240</v>
      </c>
      <c r="F268" s="1">
        <f>IFERROR(__xludf.DUMMYFUNCTION("""COMPUTED_VALUE"""),97996.0)</f>
        <v>97996</v>
      </c>
    </row>
    <row r="269">
      <c r="A269" s="2">
        <f>IFERROR(__xludf.DUMMYFUNCTION("""COMPUTED_VALUE"""),40939.645833333336)</f>
        <v>40939.64583</v>
      </c>
      <c r="B269" s="1">
        <f>IFERROR(__xludf.DUMMYFUNCTION("""COMPUTED_VALUE"""),26240.0)</f>
        <v>26240</v>
      </c>
      <c r="C269" s="1">
        <f>IFERROR(__xludf.DUMMYFUNCTION("""COMPUTED_VALUE"""),26600.0)</f>
        <v>26600</v>
      </c>
      <c r="D269" s="1">
        <f>IFERROR(__xludf.DUMMYFUNCTION("""COMPUTED_VALUE"""),25920.0)</f>
        <v>25920</v>
      </c>
      <c r="E269" s="1">
        <f>IFERROR(__xludf.DUMMYFUNCTION("""COMPUTED_VALUE"""),26380.0)</f>
        <v>26380</v>
      </c>
      <c r="F269" s="1">
        <f>IFERROR(__xludf.DUMMYFUNCTION("""COMPUTED_VALUE"""),143029.0)</f>
        <v>143029</v>
      </c>
    </row>
    <row r="270">
      <c r="A270" s="2">
        <f>IFERROR(__xludf.DUMMYFUNCTION("""COMPUTED_VALUE"""),40940.645833333336)</f>
        <v>40940.64583</v>
      </c>
      <c r="B270" s="1">
        <f>IFERROR(__xludf.DUMMYFUNCTION("""COMPUTED_VALUE"""),26140.0)</f>
        <v>26140</v>
      </c>
      <c r="C270" s="1">
        <f>IFERROR(__xludf.DUMMYFUNCTION("""COMPUTED_VALUE"""),26320.0)</f>
        <v>26320</v>
      </c>
      <c r="D270" s="1">
        <f>IFERROR(__xludf.DUMMYFUNCTION("""COMPUTED_VALUE"""),25740.0)</f>
        <v>25740</v>
      </c>
      <c r="E270" s="1">
        <f>IFERROR(__xludf.DUMMYFUNCTION("""COMPUTED_VALUE"""),25840.0)</f>
        <v>25840</v>
      </c>
      <c r="F270" s="1">
        <f>IFERROR(__xludf.DUMMYFUNCTION("""COMPUTED_VALUE"""),60793.0)</f>
        <v>60793</v>
      </c>
    </row>
    <row r="271">
      <c r="A271" s="2">
        <f>IFERROR(__xludf.DUMMYFUNCTION("""COMPUTED_VALUE"""),40941.645833333336)</f>
        <v>40941.64583</v>
      </c>
      <c r="B271" s="1">
        <f>IFERROR(__xludf.DUMMYFUNCTION("""COMPUTED_VALUE"""),26000.0)</f>
        <v>26000</v>
      </c>
      <c r="C271" s="1">
        <f>IFERROR(__xludf.DUMMYFUNCTION("""COMPUTED_VALUE"""),26000.0)</f>
        <v>26000</v>
      </c>
      <c r="D271" s="1">
        <f>IFERROR(__xludf.DUMMYFUNCTION("""COMPUTED_VALUE"""),24660.0)</f>
        <v>24660</v>
      </c>
      <c r="E271" s="1">
        <f>IFERROR(__xludf.DUMMYFUNCTION("""COMPUTED_VALUE"""),24820.0)</f>
        <v>24820</v>
      </c>
      <c r="F271" s="1">
        <f>IFERROR(__xludf.DUMMYFUNCTION("""COMPUTED_VALUE"""),248971.0)</f>
        <v>248971</v>
      </c>
    </row>
    <row r="272">
      <c r="A272" s="2">
        <f>IFERROR(__xludf.DUMMYFUNCTION("""COMPUTED_VALUE"""),40942.645833333336)</f>
        <v>40942.64583</v>
      </c>
      <c r="B272" s="1">
        <f>IFERROR(__xludf.DUMMYFUNCTION("""COMPUTED_VALUE"""),24920.0)</f>
        <v>24920</v>
      </c>
      <c r="C272" s="1">
        <f>IFERROR(__xludf.DUMMYFUNCTION("""COMPUTED_VALUE"""),25080.0)</f>
        <v>25080</v>
      </c>
      <c r="D272" s="1">
        <f>IFERROR(__xludf.DUMMYFUNCTION("""COMPUTED_VALUE"""),24180.0)</f>
        <v>24180</v>
      </c>
      <c r="E272" s="1">
        <f>IFERROR(__xludf.DUMMYFUNCTION("""COMPUTED_VALUE"""),24460.0)</f>
        <v>24460</v>
      </c>
      <c r="F272" s="1">
        <f>IFERROR(__xludf.DUMMYFUNCTION("""COMPUTED_VALUE"""),202666.0)</f>
        <v>202666</v>
      </c>
    </row>
    <row r="273">
      <c r="A273" s="2">
        <f>IFERROR(__xludf.DUMMYFUNCTION("""COMPUTED_VALUE"""),40945.645833333336)</f>
        <v>40945.64583</v>
      </c>
      <c r="B273" s="1">
        <f>IFERROR(__xludf.DUMMYFUNCTION("""COMPUTED_VALUE"""),24600.0)</f>
        <v>24600</v>
      </c>
      <c r="C273" s="1">
        <f>IFERROR(__xludf.DUMMYFUNCTION("""COMPUTED_VALUE"""),24600.0)</f>
        <v>24600</v>
      </c>
      <c r="D273" s="1">
        <f>IFERROR(__xludf.DUMMYFUNCTION("""COMPUTED_VALUE"""),22820.0)</f>
        <v>22820</v>
      </c>
      <c r="E273" s="1">
        <f>IFERROR(__xludf.DUMMYFUNCTION("""COMPUTED_VALUE"""),22900.0)</f>
        <v>22900</v>
      </c>
      <c r="F273" s="1">
        <f>IFERROR(__xludf.DUMMYFUNCTION("""COMPUTED_VALUE"""),365345.0)</f>
        <v>365345</v>
      </c>
    </row>
    <row r="274">
      <c r="A274" s="2">
        <f>IFERROR(__xludf.DUMMYFUNCTION("""COMPUTED_VALUE"""),40946.645833333336)</f>
        <v>40946.64583</v>
      </c>
      <c r="B274" s="1">
        <f>IFERROR(__xludf.DUMMYFUNCTION("""COMPUTED_VALUE"""),23040.0)</f>
        <v>23040</v>
      </c>
      <c r="C274" s="1">
        <f>IFERROR(__xludf.DUMMYFUNCTION("""COMPUTED_VALUE"""),23360.0)</f>
        <v>23360</v>
      </c>
      <c r="D274" s="1">
        <f>IFERROR(__xludf.DUMMYFUNCTION("""COMPUTED_VALUE"""),22640.0)</f>
        <v>22640</v>
      </c>
      <c r="E274" s="1">
        <f>IFERROR(__xludf.DUMMYFUNCTION("""COMPUTED_VALUE"""),23360.0)</f>
        <v>23360</v>
      </c>
      <c r="F274" s="1">
        <f>IFERROR(__xludf.DUMMYFUNCTION("""COMPUTED_VALUE"""),187499.0)</f>
        <v>187499</v>
      </c>
    </row>
    <row r="275">
      <c r="A275" s="2">
        <f>IFERROR(__xludf.DUMMYFUNCTION("""COMPUTED_VALUE"""),40947.645833333336)</f>
        <v>40947.64583</v>
      </c>
      <c r="B275" s="1">
        <f>IFERROR(__xludf.DUMMYFUNCTION("""COMPUTED_VALUE"""),23060.0)</f>
        <v>23060</v>
      </c>
      <c r="C275" s="1">
        <f>IFERROR(__xludf.DUMMYFUNCTION("""COMPUTED_VALUE"""),23700.0)</f>
        <v>23700</v>
      </c>
      <c r="D275" s="1">
        <f>IFERROR(__xludf.DUMMYFUNCTION("""COMPUTED_VALUE"""),23060.0)</f>
        <v>23060</v>
      </c>
      <c r="E275" s="1">
        <f>IFERROR(__xludf.DUMMYFUNCTION("""COMPUTED_VALUE"""),23560.0)</f>
        <v>23560</v>
      </c>
      <c r="F275" s="1">
        <f>IFERROR(__xludf.DUMMYFUNCTION("""COMPUTED_VALUE"""),116407.0)</f>
        <v>116407</v>
      </c>
    </row>
    <row r="276">
      <c r="A276" s="2">
        <f>IFERROR(__xludf.DUMMYFUNCTION("""COMPUTED_VALUE"""),40948.645833333336)</f>
        <v>40948.64583</v>
      </c>
      <c r="B276" s="1">
        <f>IFERROR(__xludf.DUMMYFUNCTION("""COMPUTED_VALUE"""),23580.0)</f>
        <v>23580</v>
      </c>
      <c r="C276" s="1">
        <f>IFERROR(__xludf.DUMMYFUNCTION("""COMPUTED_VALUE"""),23660.0)</f>
        <v>23660</v>
      </c>
      <c r="D276" s="1">
        <f>IFERROR(__xludf.DUMMYFUNCTION("""COMPUTED_VALUE"""),22860.0)</f>
        <v>22860</v>
      </c>
      <c r="E276" s="1">
        <f>IFERROR(__xludf.DUMMYFUNCTION("""COMPUTED_VALUE"""),22960.0)</f>
        <v>22960</v>
      </c>
      <c r="F276" s="1">
        <f>IFERROR(__xludf.DUMMYFUNCTION("""COMPUTED_VALUE"""),110470.0)</f>
        <v>110470</v>
      </c>
    </row>
    <row r="277">
      <c r="A277" s="2">
        <f>IFERROR(__xludf.DUMMYFUNCTION("""COMPUTED_VALUE"""),40949.645833333336)</f>
        <v>40949.64583</v>
      </c>
      <c r="B277" s="1">
        <f>IFERROR(__xludf.DUMMYFUNCTION("""COMPUTED_VALUE"""),23040.0)</f>
        <v>23040</v>
      </c>
      <c r="C277" s="1">
        <f>IFERROR(__xludf.DUMMYFUNCTION("""COMPUTED_VALUE"""),23600.0)</f>
        <v>23600</v>
      </c>
      <c r="D277" s="1">
        <f>IFERROR(__xludf.DUMMYFUNCTION("""COMPUTED_VALUE"""),22560.0)</f>
        <v>22560</v>
      </c>
      <c r="E277" s="1">
        <f>IFERROR(__xludf.DUMMYFUNCTION("""COMPUTED_VALUE"""),23500.0)</f>
        <v>23500</v>
      </c>
      <c r="F277" s="1">
        <f>IFERROR(__xludf.DUMMYFUNCTION("""COMPUTED_VALUE"""),116863.0)</f>
        <v>116863</v>
      </c>
    </row>
    <row r="278">
      <c r="A278" s="2">
        <f>IFERROR(__xludf.DUMMYFUNCTION("""COMPUTED_VALUE"""),40952.645833333336)</f>
        <v>40952.64583</v>
      </c>
      <c r="B278" s="1">
        <f>IFERROR(__xludf.DUMMYFUNCTION("""COMPUTED_VALUE"""),23580.0)</f>
        <v>23580</v>
      </c>
      <c r="C278" s="1">
        <f>IFERROR(__xludf.DUMMYFUNCTION("""COMPUTED_VALUE"""),24080.0)</f>
        <v>24080</v>
      </c>
      <c r="D278" s="1">
        <f>IFERROR(__xludf.DUMMYFUNCTION("""COMPUTED_VALUE"""),23180.0)</f>
        <v>23180</v>
      </c>
      <c r="E278" s="1">
        <f>IFERROR(__xludf.DUMMYFUNCTION("""COMPUTED_VALUE"""),24040.0)</f>
        <v>24040</v>
      </c>
      <c r="F278" s="1">
        <f>IFERROR(__xludf.DUMMYFUNCTION("""COMPUTED_VALUE"""),99621.0)</f>
        <v>99621</v>
      </c>
    </row>
    <row r="279">
      <c r="A279" s="2">
        <f>IFERROR(__xludf.DUMMYFUNCTION("""COMPUTED_VALUE"""),40953.645833333336)</f>
        <v>40953.64583</v>
      </c>
      <c r="B279" s="1">
        <f>IFERROR(__xludf.DUMMYFUNCTION("""COMPUTED_VALUE"""),24100.0)</f>
        <v>24100</v>
      </c>
      <c r="C279" s="1">
        <f>IFERROR(__xludf.DUMMYFUNCTION("""COMPUTED_VALUE"""),24340.0)</f>
        <v>24340</v>
      </c>
      <c r="D279" s="1">
        <f>IFERROR(__xludf.DUMMYFUNCTION("""COMPUTED_VALUE"""),23920.0)</f>
        <v>23920</v>
      </c>
      <c r="E279" s="1">
        <f>IFERROR(__xludf.DUMMYFUNCTION("""COMPUTED_VALUE"""),24060.0)</f>
        <v>24060</v>
      </c>
      <c r="F279" s="1">
        <f>IFERROR(__xludf.DUMMYFUNCTION("""COMPUTED_VALUE"""),87024.0)</f>
        <v>87024</v>
      </c>
    </row>
    <row r="280">
      <c r="A280" s="2">
        <f>IFERROR(__xludf.DUMMYFUNCTION("""COMPUTED_VALUE"""),40954.645833333336)</f>
        <v>40954.64583</v>
      </c>
      <c r="B280" s="1">
        <f>IFERROR(__xludf.DUMMYFUNCTION("""COMPUTED_VALUE"""),24100.0)</f>
        <v>24100</v>
      </c>
      <c r="C280" s="1">
        <f>IFERROR(__xludf.DUMMYFUNCTION("""COMPUTED_VALUE"""),24100.0)</f>
        <v>24100</v>
      </c>
      <c r="D280" s="1">
        <f>IFERROR(__xludf.DUMMYFUNCTION("""COMPUTED_VALUE"""),23000.0)</f>
        <v>23000</v>
      </c>
      <c r="E280" s="1">
        <f>IFERROR(__xludf.DUMMYFUNCTION("""COMPUTED_VALUE"""),23060.0)</f>
        <v>23060</v>
      </c>
      <c r="F280" s="1">
        <f>IFERROR(__xludf.DUMMYFUNCTION("""COMPUTED_VALUE"""),269618.0)</f>
        <v>269618</v>
      </c>
    </row>
    <row r="281">
      <c r="A281" s="2">
        <f>IFERROR(__xludf.DUMMYFUNCTION("""COMPUTED_VALUE"""),40955.645833333336)</f>
        <v>40955.64583</v>
      </c>
      <c r="B281" s="1">
        <f>IFERROR(__xludf.DUMMYFUNCTION("""COMPUTED_VALUE"""),23060.0)</f>
        <v>23060</v>
      </c>
      <c r="C281" s="1">
        <f>IFERROR(__xludf.DUMMYFUNCTION("""COMPUTED_VALUE"""),23180.0)</f>
        <v>23180</v>
      </c>
      <c r="D281" s="1">
        <f>IFERROR(__xludf.DUMMYFUNCTION("""COMPUTED_VALUE"""),22900.0)</f>
        <v>22900</v>
      </c>
      <c r="E281" s="1">
        <f>IFERROR(__xludf.DUMMYFUNCTION("""COMPUTED_VALUE"""),23000.0)</f>
        <v>23000</v>
      </c>
      <c r="F281" s="1">
        <f>IFERROR(__xludf.DUMMYFUNCTION("""COMPUTED_VALUE"""),123847.0)</f>
        <v>123847</v>
      </c>
    </row>
    <row r="282">
      <c r="A282" s="2">
        <f>IFERROR(__xludf.DUMMYFUNCTION("""COMPUTED_VALUE"""),40956.645833333336)</f>
        <v>40956.64583</v>
      </c>
      <c r="B282" s="1">
        <f>IFERROR(__xludf.DUMMYFUNCTION("""COMPUTED_VALUE"""),23080.0)</f>
        <v>23080</v>
      </c>
      <c r="C282" s="1">
        <f>IFERROR(__xludf.DUMMYFUNCTION("""COMPUTED_VALUE"""),23140.0)</f>
        <v>23140</v>
      </c>
      <c r="D282" s="1">
        <f>IFERROR(__xludf.DUMMYFUNCTION("""COMPUTED_VALUE"""),22600.0)</f>
        <v>22600</v>
      </c>
      <c r="E282" s="1">
        <f>IFERROR(__xludf.DUMMYFUNCTION("""COMPUTED_VALUE"""),22640.0)</f>
        <v>22640</v>
      </c>
      <c r="F282" s="1">
        <f>IFERROR(__xludf.DUMMYFUNCTION("""COMPUTED_VALUE"""),207978.0)</f>
        <v>207978</v>
      </c>
    </row>
    <row r="283">
      <c r="A283" s="2">
        <f>IFERROR(__xludf.DUMMYFUNCTION("""COMPUTED_VALUE"""),40959.645833333336)</f>
        <v>40959.64583</v>
      </c>
      <c r="B283" s="1">
        <f>IFERROR(__xludf.DUMMYFUNCTION("""COMPUTED_VALUE"""),22500.0)</f>
        <v>22500</v>
      </c>
      <c r="C283" s="1">
        <f>IFERROR(__xludf.DUMMYFUNCTION("""COMPUTED_VALUE"""),22740.0)</f>
        <v>22740</v>
      </c>
      <c r="D283" s="1">
        <f>IFERROR(__xludf.DUMMYFUNCTION("""COMPUTED_VALUE"""),21900.0)</f>
        <v>21900</v>
      </c>
      <c r="E283" s="1">
        <f>IFERROR(__xludf.DUMMYFUNCTION("""COMPUTED_VALUE"""),22180.0)</f>
        <v>22180</v>
      </c>
      <c r="F283" s="1">
        <f>IFERROR(__xludf.DUMMYFUNCTION("""COMPUTED_VALUE"""),243533.0)</f>
        <v>243533</v>
      </c>
    </row>
    <row r="284">
      <c r="A284" s="2">
        <f>IFERROR(__xludf.DUMMYFUNCTION("""COMPUTED_VALUE"""),40960.645833333336)</f>
        <v>40960.64583</v>
      </c>
      <c r="B284" s="1">
        <f>IFERROR(__xludf.DUMMYFUNCTION("""COMPUTED_VALUE"""),22220.0)</f>
        <v>22220</v>
      </c>
      <c r="C284" s="1">
        <f>IFERROR(__xludf.DUMMYFUNCTION("""COMPUTED_VALUE"""),22840.0)</f>
        <v>22840</v>
      </c>
      <c r="D284" s="1">
        <f>IFERROR(__xludf.DUMMYFUNCTION("""COMPUTED_VALUE"""),22060.0)</f>
        <v>22060</v>
      </c>
      <c r="E284" s="1">
        <f>IFERROR(__xludf.DUMMYFUNCTION("""COMPUTED_VALUE"""),22680.0)</f>
        <v>22680</v>
      </c>
      <c r="F284" s="1">
        <f>IFERROR(__xludf.DUMMYFUNCTION("""COMPUTED_VALUE"""),116347.0)</f>
        <v>116347</v>
      </c>
    </row>
    <row r="285">
      <c r="A285" s="2">
        <f>IFERROR(__xludf.DUMMYFUNCTION("""COMPUTED_VALUE"""),40961.645833333336)</f>
        <v>40961.64583</v>
      </c>
      <c r="B285" s="1">
        <f>IFERROR(__xludf.DUMMYFUNCTION("""COMPUTED_VALUE"""),22680.0)</f>
        <v>22680</v>
      </c>
      <c r="C285" s="1">
        <f>IFERROR(__xludf.DUMMYFUNCTION("""COMPUTED_VALUE"""),22960.0)</f>
        <v>22960</v>
      </c>
      <c r="D285" s="1">
        <f>IFERROR(__xludf.DUMMYFUNCTION("""COMPUTED_VALUE"""),22340.0)</f>
        <v>22340</v>
      </c>
      <c r="E285" s="1">
        <f>IFERROR(__xludf.DUMMYFUNCTION("""COMPUTED_VALUE"""),22900.0)</f>
        <v>22900</v>
      </c>
      <c r="F285" s="1">
        <f>IFERROR(__xludf.DUMMYFUNCTION("""COMPUTED_VALUE"""),170984.0)</f>
        <v>170984</v>
      </c>
    </row>
    <row r="286">
      <c r="A286" s="2">
        <f>IFERROR(__xludf.DUMMYFUNCTION("""COMPUTED_VALUE"""),40962.645833333336)</f>
        <v>40962.64583</v>
      </c>
      <c r="B286" s="1">
        <f>IFERROR(__xludf.DUMMYFUNCTION("""COMPUTED_VALUE"""),22700.0)</f>
        <v>22700</v>
      </c>
      <c r="C286" s="1">
        <f>IFERROR(__xludf.DUMMYFUNCTION("""COMPUTED_VALUE"""),23260.0)</f>
        <v>23260</v>
      </c>
      <c r="D286" s="1">
        <f>IFERROR(__xludf.DUMMYFUNCTION("""COMPUTED_VALUE"""),22520.0)</f>
        <v>22520</v>
      </c>
      <c r="E286" s="1">
        <f>IFERROR(__xludf.DUMMYFUNCTION("""COMPUTED_VALUE"""),23080.0)</f>
        <v>23080</v>
      </c>
      <c r="F286" s="1">
        <f>IFERROR(__xludf.DUMMYFUNCTION("""COMPUTED_VALUE"""),165358.0)</f>
        <v>165358</v>
      </c>
    </row>
    <row r="287">
      <c r="A287" s="2">
        <f>IFERROR(__xludf.DUMMYFUNCTION("""COMPUTED_VALUE"""),40963.645833333336)</f>
        <v>40963.64583</v>
      </c>
      <c r="B287" s="1">
        <f>IFERROR(__xludf.DUMMYFUNCTION("""COMPUTED_VALUE"""),23340.0)</f>
        <v>23340</v>
      </c>
      <c r="C287" s="1">
        <f>IFERROR(__xludf.DUMMYFUNCTION("""COMPUTED_VALUE"""),23720.0)</f>
        <v>23720</v>
      </c>
      <c r="D287" s="1">
        <f>IFERROR(__xludf.DUMMYFUNCTION("""COMPUTED_VALUE"""),23080.0)</f>
        <v>23080</v>
      </c>
      <c r="E287" s="1">
        <f>IFERROR(__xludf.DUMMYFUNCTION("""COMPUTED_VALUE"""),23600.0)</f>
        <v>23600</v>
      </c>
      <c r="F287" s="1">
        <f>IFERROR(__xludf.DUMMYFUNCTION("""COMPUTED_VALUE"""),234541.0)</f>
        <v>234541</v>
      </c>
    </row>
    <row r="288">
      <c r="A288" s="2">
        <f>IFERROR(__xludf.DUMMYFUNCTION("""COMPUTED_VALUE"""),40966.645833333336)</f>
        <v>40966.64583</v>
      </c>
      <c r="B288" s="1">
        <f>IFERROR(__xludf.DUMMYFUNCTION("""COMPUTED_VALUE"""),23580.0)</f>
        <v>23580</v>
      </c>
      <c r="C288" s="1">
        <f>IFERROR(__xludf.DUMMYFUNCTION("""COMPUTED_VALUE"""),23600.0)</f>
        <v>23600</v>
      </c>
      <c r="D288" s="1">
        <f>IFERROR(__xludf.DUMMYFUNCTION("""COMPUTED_VALUE"""),22980.0)</f>
        <v>22980</v>
      </c>
      <c r="E288" s="1">
        <f>IFERROR(__xludf.DUMMYFUNCTION("""COMPUTED_VALUE"""),23360.0)</f>
        <v>23360</v>
      </c>
      <c r="F288" s="1">
        <f>IFERROR(__xludf.DUMMYFUNCTION("""COMPUTED_VALUE"""),108964.0)</f>
        <v>108964</v>
      </c>
    </row>
    <row r="289">
      <c r="A289" s="2">
        <f>IFERROR(__xludf.DUMMYFUNCTION("""COMPUTED_VALUE"""),40967.645833333336)</f>
        <v>40967.64583</v>
      </c>
      <c r="B289" s="1">
        <f>IFERROR(__xludf.DUMMYFUNCTION("""COMPUTED_VALUE"""),23560.0)</f>
        <v>23560</v>
      </c>
      <c r="C289" s="1">
        <f>IFERROR(__xludf.DUMMYFUNCTION("""COMPUTED_VALUE"""),23560.0)</f>
        <v>23560</v>
      </c>
      <c r="D289" s="1">
        <f>IFERROR(__xludf.DUMMYFUNCTION("""COMPUTED_VALUE"""),22700.0)</f>
        <v>22700</v>
      </c>
      <c r="E289" s="1">
        <f>IFERROR(__xludf.DUMMYFUNCTION("""COMPUTED_VALUE"""),22800.0)</f>
        <v>22800</v>
      </c>
      <c r="F289" s="1">
        <f>IFERROR(__xludf.DUMMYFUNCTION("""COMPUTED_VALUE"""),143571.0)</f>
        <v>143571</v>
      </c>
    </row>
    <row r="290">
      <c r="A290" s="2">
        <f>IFERROR(__xludf.DUMMYFUNCTION("""COMPUTED_VALUE"""),40968.645833333336)</f>
        <v>40968.64583</v>
      </c>
      <c r="B290" s="1">
        <f>IFERROR(__xludf.DUMMYFUNCTION("""COMPUTED_VALUE"""),22620.0)</f>
        <v>22620</v>
      </c>
      <c r="C290" s="1">
        <f>IFERROR(__xludf.DUMMYFUNCTION("""COMPUTED_VALUE"""),22800.0)</f>
        <v>22800</v>
      </c>
      <c r="D290" s="1">
        <f>IFERROR(__xludf.DUMMYFUNCTION("""COMPUTED_VALUE"""),22240.0)</f>
        <v>22240</v>
      </c>
      <c r="E290" s="1">
        <f>IFERROR(__xludf.DUMMYFUNCTION("""COMPUTED_VALUE"""),22540.0)</f>
        <v>22540</v>
      </c>
      <c r="F290" s="1">
        <f>IFERROR(__xludf.DUMMYFUNCTION("""COMPUTED_VALUE"""),211598.0)</f>
        <v>211598</v>
      </c>
    </row>
    <row r="291">
      <c r="A291" s="2">
        <f>IFERROR(__xludf.DUMMYFUNCTION("""COMPUTED_VALUE"""),40970.645833333336)</f>
        <v>40970.64583</v>
      </c>
      <c r="B291" s="1">
        <f>IFERROR(__xludf.DUMMYFUNCTION("""COMPUTED_VALUE"""),22600.0)</f>
        <v>22600</v>
      </c>
      <c r="C291" s="1">
        <f>IFERROR(__xludf.DUMMYFUNCTION("""COMPUTED_VALUE"""),22660.0)</f>
        <v>22660</v>
      </c>
      <c r="D291" s="1">
        <f>IFERROR(__xludf.DUMMYFUNCTION("""COMPUTED_VALUE"""),22260.0)</f>
        <v>22260</v>
      </c>
      <c r="E291" s="1">
        <f>IFERROR(__xludf.DUMMYFUNCTION("""COMPUTED_VALUE"""),22500.0)</f>
        <v>22500</v>
      </c>
      <c r="F291" s="1">
        <f>IFERROR(__xludf.DUMMYFUNCTION("""COMPUTED_VALUE"""),166938.0)</f>
        <v>166938</v>
      </c>
    </row>
    <row r="292">
      <c r="A292" s="2">
        <f>IFERROR(__xludf.DUMMYFUNCTION("""COMPUTED_VALUE"""),40973.645833333336)</f>
        <v>40973.64583</v>
      </c>
      <c r="B292" s="1">
        <f>IFERROR(__xludf.DUMMYFUNCTION("""COMPUTED_VALUE"""),22500.0)</f>
        <v>22500</v>
      </c>
      <c r="C292" s="1">
        <f>IFERROR(__xludf.DUMMYFUNCTION("""COMPUTED_VALUE"""),22940.0)</f>
        <v>22940</v>
      </c>
      <c r="D292" s="1">
        <f>IFERROR(__xludf.DUMMYFUNCTION("""COMPUTED_VALUE"""),22260.0)</f>
        <v>22260</v>
      </c>
      <c r="E292" s="1">
        <f>IFERROR(__xludf.DUMMYFUNCTION("""COMPUTED_VALUE"""),22300.0)</f>
        <v>22300</v>
      </c>
      <c r="F292" s="1">
        <f>IFERROR(__xludf.DUMMYFUNCTION("""COMPUTED_VALUE"""),99229.0)</f>
        <v>99229</v>
      </c>
    </row>
    <row r="293">
      <c r="A293" s="2">
        <f>IFERROR(__xludf.DUMMYFUNCTION("""COMPUTED_VALUE"""),40974.645833333336)</f>
        <v>40974.64583</v>
      </c>
      <c r="B293" s="1">
        <f>IFERROR(__xludf.DUMMYFUNCTION("""COMPUTED_VALUE"""),22260.0)</f>
        <v>22260</v>
      </c>
      <c r="C293" s="1">
        <f>IFERROR(__xludf.DUMMYFUNCTION("""COMPUTED_VALUE"""),22540.0)</f>
        <v>22540</v>
      </c>
      <c r="D293" s="1">
        <f>IFERROR(__xludf.DUMMYFUNCTION("""COMPUTED_VALUE"""),22140.0)</f>
        <v>22140</v>
      </c>
      <c r="E293" s="1">
        <f>IFERROR(__xludf.DUMMYFUNCTION("""COMPUTED_VALUE"""),22220.0)</f>
        <v>22220</v>
      </c>
      <c r="F293" s="1">
        <f>IFERROR(__xludf.DUMMYFUNCTION("""COMPUTED_VALUE"""),74526.0)</f>
        <v>74526</v>
      </c>
    </row>
    <row r="294">
      <c r="A294" s="2">
        <f>IFERROR(__xludf.DUMMYFUNCTION("""COMPUTED_VALUE"""),40975.645833333336)</f>
        <v>40975.64583</v>
      </c>
      <c r="B294" s="1">
        <f>IFERROR(__xludf.DUMMYFUNCTION("""COMPUTED_VALUE"""),22060.0)</f>
        <v>22060</v>
      </c>
      <c r="C294" s="1">
        <f>IFERROR(__xludf.DUMMYFUNCTION("""COMPUTED_VALUE"""),22380.0)</f>
        <v>22380</v>
      </c>
      <c r="D294" s="1">
        <f>IFERROR(__xludf.DUMMYFUNCTION("""COMPUTED_VALUE"""),21640.0)</f>
        <v>21640</v>
      </c>
      <c r="E294" s="1">
        <f>IFERROR(__xludf.DUMMYFUNCTION("""COMPUTED_VALUE"""),22380.0)</f>
        <v>22380</v>
      </c>
      <c r="F294" s="1">
        <f>IFERROR(__xludf.DUMMYFUNCTION("""COMPUTED_VALUE"""),183152.0)</f>
        <v>183152</v>
      </c>
    </row>
    <row r="295">
      <c r="A295" s="2">
        <f>IFERROR(__xludf.DUMMYFUNCTION("""COMPUTED_VALUE"""),40976.645833333336)</f>
        <v>40976.64583</v>
      </c>
      <c r="B295" s="1">
        <f>IFERROR(__xludf.DUMMYFUNCTION("""COMPUTED_VALUE"""),22300.0)</f>
        <v>22300</v>
      </c>
      <c r="C295" s="1">
        <f>IFERROR(__xludf.DUMMYFUNCTION("""COMPUTED_VALUE"""),22820.0)</f>
        <v>22820</v>
      </c>
      <c r="D295" s="1">
        <f>IFERROR(__xludf.DUMMYFUNCTION("""COMPUTED_VALUE"""),22160.0)</f>
        <v>22160</v>
      </c>
      <c r="E295" s="1">
        <f>IFERROR(__xludf.DUMMYFUNCTION("""COMPUTED_VALUE"""),22760.0)</f>
        <v>22760</v>
      </c>
      <c r="F295" s="1">
        <f>IFERROR(__xludf.DUMMYFUNCTION("""COMPUTED_VALUE"""),170851.0)</f>
        <v>170851</v>
      </c>
    </row>
    <row r="296">
      <c r="A296" s="2">
        <f>IFERROR(__xludf.DUMMYFUNCTION("""COMPUTED_VALUE"""),40977.645833333336)</f>
        <v>40977.64583</v>
      </c>
      <c r="B296" s="1">
        <f>IFERROR(__xludf.DUMMYFUNCTION("""COMPUTED_VALUE"""),22960.0)</f>
        <v>22960</v>
      </c>
      <c r="C296" s="1">
        <f>IFERROR(__xludf.DUMMYFUNCTION("""COMPUTED_VALUE"""),23120.0)</f>
        <v>23120</v>
      </c>
      <c r="D296" s="1">
        <f>IFERROR(__xludf.DUMMYFUNCTION("""COMPUTED_VALUE"""),22800.0)</f>
        <v>22800</v>
      </c>
      <c r="E296" s="1">
        <f>IFERROR(__xludf.DUMMYFUNCTION("""COMPUTED_VALUE"""),22920.0)</f>
        <v>22920</v>
      </c>
      <c r="F296" s="1">
        <f>IFERROR(__xludf.DUMMYFUNCTION("""COMPUTED_VALUE"""),110945.0)</f>
        <v>110945</v>
      </c>
    </row>
    <row r="297">
      <c r="A297" s="2">
        <f>IFERROR(__xludf.DUMMYFUNCTION("""COMPUTED_VALUE"""),40980.645833333336)</f>
        <v>40980.64583</v>
      </c>
      <c r="B297" s="1">
        <f>IFERROR(__xludf.DUMMYFUNCTION("""COMPUTED_VALUE"""),22740.0)</f>
        <v>22740</v>
      </c>
      <c r="C297" s="1">
        <f>IFERROR(__xludf.DUMMYFUNCTION("""COMPUTED_VALUE"""),23060.0)</f>
        <v>23060</v>
      </c>
      <c r="D297" s="1">
        <f>IFERROR(__xludf.DUMMYFUNCTION("""COMPUTED_VALUE"""),22680.0)</f>
        <v>22680</v>
      </c>
      <c r="E297" s="1">
        <f>IFERROR(__xludf.DUMMYFUNCTION("""COMPUTED_VALUE"""),23000.0)</f>
        <v>23000</v>
      </c>
      <c r="F297" s="1">
        <f>IFERROR(__xludf.DUMMYFUNCTION("""COMPUTED_VALUE"""),79502.0)</f>
        <v>79502</v>
      </c>
    </row>
    <row r="298">
      <c r="A298" s="2">
        <f>IFERROR(__xludf.DUMMYFUNCTION("""COMPUTED_VALUE"""),40981.645833333336)</f>
        <v>40981.64583</v>
      </c>
      <c r="B298" s="1">
        <f>IFERROR(__xludf.DUMMYFUNCTION("""COMPUTED_VALUE"""),22800.0)</f>
        <v>22800</v>
      </c>
      <c r="C298" s="1">
        <f>IFERROR(__xludf.DUMMYFUNCTION("""COMPUTED_VALUE"""),23140.0)</f>
        <v>23140</v>
      </c>
      <c r="D298" s="1">
        <f>IFERROR(__xludf.DUMMYFUNCTION("""COMPUTED_VALUE"""),22600.0)</f>
        <v>22600</v>
      </c>
      <c r="E298" s="1">
        <f>IFERROR(__xludf.DUMMYFUNCTION("""COMPUTED_VALUE"""),22860.0)</f>
        <v>22860</v>
      </c>
      <c r="F298" s="1">
        <f>IFERROR(__xludf.DUMMYFUNCTION("""COMPUTED_VALUE"""),209591.0)</f>
        <v>209591</v>
      </c>
    </row>
    <row r="299">
      <c r="A299" s="2">
        <f>IFERROR(__xludf.DUMMYFUNCTION("""COMPUTED_VALUE"""),40982.645833333336)</f>
        <v>40982.64583</v>
      </c>
      <c r="B299" s="1">
        <f>IFERROR(__xludf.DUMMYFUNCTION("""COMPUTED_VALUE"""),23000.0)</f>
        <v>23000</v>
      </c>
      <c r="C299" s="1">
        <f>IFERROR(__xludf.DUMMYFUNCTION("""COMPUTED_VALUE"""),23720.0)</f>
        <v>23720</v>
      </c>
      <c r="D299" s="1">
        <f>IFERROR(__xludf.DUMMYFUNCTION("""COMPUTED_VALUE"""),22960.0)</f>
        <v>22960</v>
      </c>
      <c r="E299" s="1">
        <f>IFERROR(__xludf.DUMMYFUNCTION("""COMPUTED_VALUE"""),23700.0)</f>
        <v>23700</v>
      </c>
      <c r="F299" s="1">
        <f>IFERROR(__xludf.DUMMYFUNCTION("""COMPUTED_VALUE"""),220392.0)</f>
        <v>220392</v>
      </c>
    </row>
    <row r="300">
      <c r="A300" s="2">
        <f>IFERROR(__xludf.DUMMYFUNCTION("""COMPUTED_VALUE"""),40983.645833333336)</f>
        <v>40983.64583</v>
      </c>
      <c r="B300" s="1">
        <f>IFERROR(__xludf.DUMMYFUNCTION("""COMPUTED_VALUE"""),23760.0)</f>
        <v>23760</v>
      </c>
      <c r="C300" s="1">
        <f>IFERROR(__xludf.DUMMYFUNCTION("""COMPUTED_VALUE"""),24240.0)</f>
        <v>24240</v>
      </c>
      <c r="D300" s="1">
        <f>IFERROR(__xludf.DUMMYFUNCTION("""COMPUTED_VALUE"""),23500.0)</f>
        <v>23500</v>
      </c>
      <c r="E300" s="1">
        <f>IFERROR(__xludf.DUMMYFUNCTION("""COMPUTED_VALUE"""),24060.0)</f>
        <v>24060</v>
      </c>
      <c r="F300" s="1">
        <f>IFERROR(__xludf.DUMMYFUNCTION("""COMPUTED_VALUE"""),234515.0)</f>
        <v>234515</v>
      </c>
    </row>
    <row r="301">
      <c r="A301" s="2">
        <f>IFERROR(__xludf.DUMMYFUNCTION("""COMPUTED_VALUE"""),40984.645833333336)</f>
        <v>40984.64583</v>
      </c>
      <c r="B301" s="1">
        <f>IFERROR(__xludf.DUMMYFUNCTION("""COMPUTED_VALUE"""),24060.0)</f>
        <v>24060</v>
      </c>
      <c r="C301" s="1">
        <f>IFERROR(__xludf.DUMMYFUNCTION("""COMPUTED_VALUE"""),24200.0)</f>
        <v>24200</v>
      </c>
      <c r="D301" s="1">
        <f>IFERROR(__xludf.DUMMYFUNCTION("""COMPUTED_VALUE"""),23740.0)</f>
        <v>23740</v>
      </c>
      <c r="E301" s="1">
        <f>IFERROR(__xludf.DUMMYFUNCTION("""COMPUTED_VALUE"""),23920.0)</f>
        <v>23920</v>
      </c>
      <c r="F301" s="1">
        <f>IFERROR(__xludf.DUMMYFUNCTION("""COMPUTED_VALUE"""),90586.0)</f>
        <v>90586</v>
      </c>
    </row>
    <row r="302">
      <c r="A302" s="2">
        <f>IFERROR(__xludf.DUMMYFUNCTION("""COMPUTED_VALUE"""),40987.645833333336)</f>
        <v>40987.64583</v>
      </c>
      <c r="B302" s="1">
        <f>IFERROR(__xludf.DUMMYFUNCTION("""COMPUTED_VALUE"""),23920.0)</f>
        <v>23920</v>
      </c>
      <c r="C302" s="1">
        <f>IFERROR(__xludf.DUMMYFUNCTION("""COMPUTED_VALUE"""),24020.0)</f>
        <v>24020</v>
      </c>
      <c r="D302" s="1">
        <f>IFERROR(__xludf.DUMMYFUNCTION("""COMPUTED_VALUE"""),23420.0)</f>
        <v>23420</v>
      </c>
      <c r="E302" s="1">
        <f>IFERROR(__xludf.DUMMYFUNCTION("""COMPUTED_VALUE"""),23580.0)</f>
        <v>23580</v>
      </c>
      <c r="F302" s="1">
        <f>IFERROR(__xludf.DUMMYFUNCTION("""COMPUTED_VALUE"""),95142.0)</f>
        <v>95142</v>
      </c>
    </row>
    <row r="303">
      <c r="A303" s="2">
        <f>IFERROR(__xludf.DUMMYFUNCTION("""COMPUTED_VALUE"""),40988.645833333336)</f>
        <v>40988.64583</v>
      </c>
      <c r="B303" s="1">
        <f>IFERROR(__xludf.DUMMYFUNCTION("""COMPUTED_VALUE"""),23580.0)</f>
        <v>23580</v>
      </c>
      <c r="C303" s="1">
        <f>IFERROR(__xludf.DUMMYFUNCTION("""COMPUTED_VALUE"""),23580.0)</f>
        <v>23580</v>
      </c>
      <c r="D303" s="1">
        <f>IFERROR(__xludf.DUMMYFUNCTION("""COMPUTED_VALUE"""),22980.0)</f>
        <v>22980</v>
      </c>
      <c r="E303" s="1">
        <f>IFERROR(__xludf.DUMMYFUNCTION("""COMPUTED_VALUE"""),23100.0)</f>
        <v>23100</v>
      </c>
      <c r="F303" s="1">
        <f>IFERROR(__xludf.DUMMYFUNCTION("""COMPUTED_VALUE"""),142921.0)</f>
        <v>142921</v>
      </c>
    </row>
    <row r="304">
      <c r="A304" s="2">
        <f>IFERROR(__xludf.DUMMYFUNCTION("""COMPUTED_VALUE"""),40989.645833333336)</f>
        <v>40989.64583</v>
      </c>
      <c r="B304" s="1">
        <f>IFERROR(__xludf.DUMMYFUNCTION("""COMPUTED_VALUE"""),23180.0)</f>
        <v>23180</v>
      </c>
      <c r="C304" s="1">
        <f>IFERROR(__xludf.DUMMYFUNCTION("""COMPUTED_VALUE"""),24360.0)</f>
        <v>24360</v>
      </c>
      <c r="D304" s="1">
        <f>IFERROR(__xludf.DUMMYFUNCTION("""COMPUTED_VALUE"""),23140.0)</f>
        <v>23140</v>
      </c>
      <c r="E304" s="1">
        <f>IFERROR(__xludf.DUMMYFUNCTION("""COMPUTED_VALUE"""),24360.0)</f>
        <v>24360</v>
      </c>
      <c r="F304" s="1">
        <f>IFERROR(__xludf.DUMMYFUNCTION("""COMPUTED_VALUE"""),190480.0)</f>
        <v>190480</v>
      </c>
    </row>
    <row r="305">
      <c r="A305" s="2">
        <f>IFERROR(__xludf.DUMMYFUNCTION("""COMPUTED_VALUE"""),40990.645833333336)</f>
        <v>40990.64583</v>
      </c>
      <c r="B305" s="1">
        <f>IFERROR(__xludf.DUMMYFUNCTION("""COMPUTED_VALUE"""),24300.0)</f>
        <v>24300</v>
      </c>
      <c r="C305" s="1">
        <f>IFERROR(__xludf.DUMMYFUNCTION("""COMPUTED_VALUE"""),24480.0)</f>
        <v>24480</v>
      </c>
      <c r="D305" s="1">
        <f>IFERROR(__xludf.DUMMYFUNCTION("""COMPUTED_VALUE"""),24040.0)</f>
        <v>24040</v>
      </c>
      <c r="E305" s="1">
        <f>IFERROR(__xludf.DUMMYFUNCTION("""COMPUTED_VALUE"""),24300.0)</f>
        <v>24300</v>
      </c>
      <c r="F305" s="1">
        <f>IFERROR(__xludf.DUMMYFUNCTION("""COMPUTED_VALUE"""),102238.0)</f>
        <v>102238</v>
      </c>
    </row>
    <row r="306">
      <c r="A306" s="2">
        <f>IFERROR(__xludf.DUMMYFUNCTION("""COMPUTED_VALUE"""),40991.645833333336)</f>
        <v>40991.64583</v>
      </c>
      <c r="B306" s="1">
        <f>IFERROR(__xludf.DUMMYFUNCTION("""COMPUTED_VALUE"""),24160.0)</f>
        <v>24160</v>
      </c>
      <c r="C306" s="1">
        <f>IFERROR(__xludf.DUMMYFUNCTION("""COMPUTED_VALUE"""),24580.0)</f>
        <v>24580</v>
      </c>
      <c r="D306" s="1">
        <f>IFERROR(__xludf.DUMMYFUNCTION("""COMPUTED_VALUE"""),23800.0)</f>
        <v>23800</v>
      </c>
      <c r="E306" s="1">
        <f>IFERROR(__xludf.DUMMYFUNCTION("""COMPUTED_VALUE"""),24300.0)</f>
        <v>24300</v>
      </c>
      <c r="F306" s="1">
        <f>IFERROR(__xludf.DUMMYFUNCTION("""COMPUTED_VALUE"""),182198.0)</f>
        <v>182198</v>
      </c>
    </row>
    <row r="307">
      <c r="A307" s="2">
        <f>IFERROR(__xludf.DUMMYFUNCTION("""COMPUTED_VALUE"""),40994.645833333336)</f>
        <v>40994.64583</v>
      </c>
      <c r="B307" s="1">
        <f>IFERROR(__xludf.DUMMYFUNCTION("""COMPUTED_VALUE"""),24600.0)</f>
        <v>24600</v>
      </c>
      <c r="C307" s="1">
        <f>IFERROR(__xludf.DUMMYFUNCTION("""COMPUTED_VALUE"""),24740.0)</f>
        <v>24740</v>
      </c>
      <c r="D307" s="1">
        <f>IFERROR(__xludf.DUMMYFUNCTION("""COMPUTED_VALUE"""),24240.0)</f>
        <v>24240</v>
      </c>
      <c r="E307" s="1">
        <f>IFERROR(__xludf.DUMMYFUNCTION("""COMPUTED_VALUE"""),24600.0)</f>
        <v>24600</v>
      </c>
      <c r="F307" s="1">
        <f>IFERROR(__xludf.DUMMYFUNCTION("""COMPUTED_VALUE"""),142219.0)</f>
        <v>142219</v>
      </c>
    </row>
    <row r="308">
      <c r="A308" s="2">
        <f>IFERROR(__xludf.DUMMYFUNCTION("""COMPUTED_VALUE"""),40995.645833333336)</f>
        <v>40995.64583</v>
      </c>
      <c r="B308" s="1">
        <f>IFERROR(__xludf.DUMMYFUNCTION("""COMPUTED_VALUE"""),24680.0)</f>
        <v>24680</v>
      </c>
      <c r="C308" s="1">
        <f>IFERROR(__xludf.DUMMYFUNCTION("""COMPUTED_VALUE"""),24800.0)</f>
        <v>24800</v>
      </c>
      <c r="D308" s="1">
        <f>IFERROR(__xludf.DUMMYFUNCTION("""COMPUTED_VALUE"""),24120.0)</f>
        <v>24120</v>
      </c>
      <c r="E308" s="1">
        <f>IFERROR(__xludf.DUMMYFUNCTION("""COMPUTED_VALUE"""),24500.0)</f>
        <v>24500</v>
      </c>
      <c r="F308" s="1">
        <f>IFERROR(__xludf.DUMMYFUNCTION("""COMPUTED_VALUE"""),118805.0)</f>
        <v>118805</v>
      </c>
    </row>
    <row r="309">
      <c r="A309" s="2">
        <f>IFERROR(__xludf.DUMMYFUNCTION("""COMPUTED_VALUE"""),40996.645833333336)</f>
        <v>40996.64583</v>
      </c>
      <c r="B309" s="1">
        <f>IFERROR(__xludf.DUMMYFUNCTION("""COMPUTED_VALUE"""),24640.0)</f>
        <v>24640</v>
      </c>
      <c r="C309" s="1">
        <f>IFERROR(__xludf.DUMMYFUNCTION("""COMPUTED_VALUE"""),24740.0)</f>
        <v>24740</v>
      </c>
      <c r="D309" s="1">
        <f>IFERROR(__xludf.DUMMYFUNCTION("""COMPUTED_VALUE"""),24240.0)</f>
        <v>24240</v>
      </c>
      <c r="E309" s="1">
        <f>IFERROR(__xludf.DUMMYFUNCTION("""COMPUTED_VALUE"""),24300.0)</f>
        <v>24300</v>
      </c>
      <c r="F309" s="1">
        <f>IFERROR(__xludf.DUMMYFUNCTION("""COMPUTED_VALUE"""),49265.0)</f>
        <v>49265</v>
      </c>
    </row>
    <row r="310">
      <c r="A310" s="2">
        <f>IFERROR(__xludf.DUMMYFUNCTION("""COMPUTED_VALUE"""),40997.645833333336)</f>
        <v>40997.64583</v>
      </c>
      <c r="B310" s="1">
        <f>IFERROR(__xludf.DUMMYFUNCTION("""COMPUTED_VALUE"""),24180.0)</f>
        <v>24180</v>
      </c>
      <c r="C310" s="1">
        <f>IFERROR(__xludf.DUMMYFUNCTION("""COMPUTED_VALUE"""),24500.0)</f>
        <v>24500</v>
      </c>
      <c r="D310" s="1">
        <f>IFERROR(__xludf.DUMMYFUNCTION("""COMPUTED_VALUE"""),23500.0)</f>
        <v>23500</v>
      </c>
      <c r="E310" s="1">
        <f>IFERROR(__xludf.DUMMYFUNCTION("""COMPUTED_VALUE"""),24100.0)</f>
        <v>24100</v>
      </c>
      <c r="F310" s="1">
        <f>IFERROR(__xludf.DUMMYFUNCTION("""COMPUTED_VALUE"""),87420.0)</f>
        <v>87420</v>
      </c>
    </row>
    <row r="311">
      <c r="A311" s="2">
        <f>IFERROR(__xludf.DUMMYFUNCTION("""COMPUTED_VALUE"""),40998.645833333336)</f>
        <v>40998.64583</v>
      </c>
      <c r="B311" s="1">
        <f>IFERROR(__xludf.DUMMYFUNCTION("""COMPUTED_VALUE"""),24080.0)</f>
        <v>24080</v>
      </c>
      <c r="C311" s="1">
        <f>IFERROR(__xludf.DUMMYFUNCTION("""COMPUTED_VALUE"""),24080.0)</f>
        <v>24080</v>
      </c>
      <c r="D311" s="1">
        <f>IFERROR(__xludf.DUMMYFUNCTION("""COMPUTED_VALUE"""),23520.0)</f>
        <v>23520</v>
      </c>
      <c r="E311" s="1">
        <f>IFERROR(__xludf.DUMMYFUNCTION("""COMPUTED_VALUE"""),23820.0)</f>
        <v>23820</v>
      </c>
      <c r="F311" s="1">
        <f>IFERROR(__xludf.DUMMYFUNCTION("""COMPUTED_VALUE"""),125682.0)</f>
        <v>125682</v>
      </c>
    </row>
    <row r="312">
      <c r="A312" s="2">
        <f>IFERROR(__xludf.DUMMYFUNCTION("""COMPUTED_VALUE"""),41001.645833333336)</f>
        <v>41001.64583</v>
      </c>
      <c r="B312" s="1">
        <f>IFERROR(__xludf.DUMMYFUNCTION("""COMPUTED_VALUE"""),24000.0)</f>
        <v>24000</v>
      </c>
      <c r="C312" s="1">
        <f>IFERROR(__xludf.DUMMYFUNCTION("""COMPUTED_VALUE"""),24120.0)</f>
        <v>24120</v>
      </c>
      <c r="D312" s="1">
        <f>IFERROR(__xludf.DUMMYFUNCTION("""COMPUTED_VALUE"""),23600.0)</f>
        <v>23600</v>
      </c>
      <c r="E312" s="1">
        <f>IFERROR(__xludf.DUMMYFUNCTION("""COMPUTED_VALUE"""),23780.0)</f>
        <v>23780</v>
      </c>
      <c r="F312" s="1">
        <f>IFERROR(__xludf.DUMMYFUNCTION("""COMPUTED_VALUE"""),84537.0)</f>
        <v>84537</v>
      </c>
    </row>
    <row r="313">
      <c r="A313" s="2">
        <f>IFERROR(__xludf.DUMMYFUNCTION("""COMPUTED_VALUE"""),41002.645833333336)</f>
        <v>41002.64583</v>
      </c>
      <c r="B313" s="1">
        <f>IFERROR(__xludf.DUMMYFUNCTION("""COMPUTED_VALUE"""),23800.0)</f>
        <v>23800</v>
      </c>
      <c r="C313" s="1">
        <f>IFERROR(__xludf.DUMMYFUNCTION("""COMPUTED_VALUE"""),24080.0)</f>
        <v>24080</v>
      </c>
      <c r="D313" s="1">
        <f>IFERROR(__xludf.DUMMYFUNCTION("""COMPUTED_VALUE"""),23120.0)</f>
        <v>23120</v>
      </c>
      <c r="E313" s="1">
        <f>IFERROR(__xludf.DUMMYFUNCTION("""COMPUTED_VALUE"""),23120.0)</f>
        <v>23120</v>
      </c>
      <c r="F313" s="1">
        <f>IFERROR(__xludf.DUMMYFUNCTION("""COMPUTED_VALUE"""),152094.0)</f>
        <v>152094</v>
      </c>
    </row>
    <row r="314">
      <c r="A314" s="2">
        <f>IFERROR(__xludf.DUMMYFUNCTION("""COMPUTED_VALUE"""),41003.645833333336)</f>
        <v>41003.64583</v>
      </c>
      <c r="B314" s="1">
        <f>IFERROR(__xludf.DUMMYFUNCTION("""COMPUTED_VALUE"""),23000.0)</f>
        <v>23000</v>
      </c>
      <c r="C314" s="1">
        <f>IFERROR(__xludf.DUMMYFUNCTION("""COMPUTED_VALUE"""),23280.0)</f>
        <v>23280</v>
      </c>
      <c r="D314" s="1">
        <f>IFERROR(__xludf.DUMMYFUNCTION("""COMPUTED_VALUE"""),22300.0)</f>
        <v>22300</v>
      </c>
      <c r="E314" s="1">
        <f>IFERROR(__xludf.DUMMYFUNCTION("""COMPUTED_VALUE"""),22700.0)</f>
        <v>22700</v>
      </c>
      <c r="F314" s="1">
        <f>IFERROR(__xludf.DUMMYFUNCTION("""COMPUTED_VALUE"""),139299.0)</f>
        <v>139299</v>
      </c>
    </row>
    <row r="315">
      <c r="A315" s="2">
        <f>IFERROR(__xludf.DUMMYFUNCTION("""COMPUTED_VALUE"""),41004.645833333336)</f>
        <v>41004.64583</v>
      </c>
      <c r="B315" s="1">
        <f>IFERROR(__xludf.DUMMYFUNCTION("""COMPUTED_VALUE"""),22600.0)</f>
        <v>22600</v>
      </c>
      <c r="C315" s="1">
        <f>IFERROR(__xludf.DUMMYFUNCTION("""COMPUTED_VALUE"""),23820.0)</f>
        <v>23820</v>
      </c>
      <c r="D315" s="1">
        <f>IFERROR(__xludf.DUMMYFUNCTION("""COMPUTED_VALUE"""),22320.0)</f>
        <v>22320</v>
      </c>
      <c r="E315" s="1">
        <f>IFERROR(__xludf.DUMMYFUNCTION("""COMPUTED_VALUE"""),23720.0)</f>
        <v>23720</v>
      </c>
      <c r="F315" s="1">
        <f>IFERROR(__xludf.DUMMYFUNCTION("""COMPUTED_VALUE"""),159426.0)</f>
        <v>159426</v>
      </c>
    </row>
    <row r="316">
      <c r="A316" s="2">
        <f>IFERROR(__xludf.DUMMYFUNCTION("""COMPUTED_VALUE"""),41005.645833333336)</f>
        <v>41005.64583</v>
      </c>
      <c r="B316" s="1">
        <f>IFERROR(__xludf.DUMMYFUNCTION("""COMPUTED_VALUE"""),22900.0)</f>
        <v>22900</v>
      </c>
      <c r="C316" s="1">
        <f>IFERROR(__xludf.DUMMYFUNCTION("""COMPUTED_VALUE"""),24100.0)</f>
        <v>24100</v>
      </c>
      <c r="D316" s="1">
        <f>IFERROR(__xludf.DUMMYFUNCTION("""COMPUTED_VALUE"""),22900.0)</f>
        <v>22900</v>
      </c>
      <c r="E316" s="1">
        <f>IFERROR(__xludf.DUMMYFUNCTION("""COMPUTED_VALUE"""),24000.0)</f>
        <v>24000</v>
      </c>
      <c r="F316" s="1">
        <f>IFERROR(__xludf.DUMMYFUNCTION("""COMPUTED_VALUE"""),131715.0)</f>
        <v>131715</v>
      </c>
    </row>
    <row r="317">
      <c r="A317" s="2">
        <f>IFERROR(__xludf.DUMMYFUNCTION("""COMPUTED_VALUE"""),41008.645833333336)</f>
        <v>41008.64583</v>
      </c>
      <c r="B317" s="1">
        <f>IFERROR(__xludf.DUMMYFUNCTION("""COMPUTED_VALUE"""),23940.0)</f>
        <v>23940</v>
      </c>
      <c r="C317" s="1">
        <f>IFERROR(__xludf.DUMMYFUNCTION("""COMPUTED_VALUE"""),23940.0)</f>
        <v>23940</v>
      </c>
      <c r="D317" s="1">
        <f>IFERROR(__xludf.DUMMYFUNCTION("""COMPUTED_VALUE"""),23200.0)</f>
        <v>23200</v>
      </c>
      <c r="E317" s="1">
        <f>IFERROR(__xludf.DUMMYFUNCTION("""COMPUTED_VALUE"""),23200.0)</f>
        <v>23200</v>
      </c>
      <c r="F317" s="1">
        <f>IFERROR(__xludf.DUMMYFUNCTION("""COMPUTED_VALUE"""),69620.0)</f>
        <v>69620</v>
      </c>
    </row>
    <row r="318">
      <c r="A318" s="2">
        <f>IFERROR(__xludf.DUMMYFUNCTION("""COMPUTED_VALUE"""),41009.645833333336)</f>
        <v>41009.64583</v>
      </c>
      <c r="B318" s="1">
        <f>IFERROR(__xludf.DUMMYFUNCTION("""COMPUTED_VALUE"""),23040.0)</f>
        <v>23040</v>
      </c>
      <c r="C318" s="1">
        <f>IFERROR(__xludf.DUMMYFUNCTION("""COMPUTED_VALUE"""),23320.0)</f>
        <v>23320</v>
      </c>
      <c r="D318" s="1">
        <f>IFERROR(__xludf.DUMMYFUNCTION("""COMPUTED_VALUE"""),22320.0)</f>
        <v>22320</v>
      </c>
      <c r="E318" s="1">
        <f>IFERROR(__xludf.DUMMYFUNCTION("""COMPUTED_VALUE"""),22320.0)</f>
        <v>22320</v>
      </c>
      <c r="F318" s="1">
        <f>IFERROR(__xludf.DUMMYFUNCTION("""COMPUTED_VALUE"""),117524.0)</f>
        <v>117524</v>
      </c>
    </row>
    <row r="319">
      <c r="A319" s="2">
        <f>IFERROR(__xludf.DUMMYFUNCTION("""COMPUTED_VALUE"""),41011.645833333336)</f>
        <v>41011.64583</v>
      </c>
      <c r="B319" s="1">
        <f>IFERROR(__xludf.DUMMYFUNCTION("""COMPUTED_VALUE"""),22380.0)</f>
        <v>22380</v>
      </c>
      <c r="C319" s="1">
        <f>IFERROR(__xludf.DUMMYFUNCTION("""COMPUTED_VALUE"""),22700.0)</f>
        <v>22700</v>
      </c>
      <c r="D319" s="1">
        <f>IFERROR(__xludf.DUMMYFUNCTION("""COMPUTED_VALUE"""),21860.0)</f>
        <v>21860</v>
      </c>
      <c r="E319" s="1">
        <f>IFERROR(__xludf.DUMMYFUNCTION("""COMPUTED_VALUE"""),22400.0)</f>
        <v>22400</v>
      </c>
      <c r="F319" s="1">
        <f>IFERROR(__xludf.DUMMYFUNCTION("""COMPUTED_VALUE"""),134018.0)</f>
        <v>134018</v>
      </c>
    </row>
    <row r="320">
      <c r="A320" s="2">
        <f>IFERROR(__xludf.DUMMYFUNCTION("""COMPUTED_VALUE"""),41012.645833333336)</f>
        <v>41012.64583</v>
      </c>
      <c r="B320" s="1">
        <f>IFERROR(__xludf.DUMMYFUNCTION("""COMPUTED_VALUE"""),22400.0)</f>
        <v>22400</v>
      </c>
      <c r="C320" s="1">
        <f>IFERROR(__xludf.DUMMYFUNCTION("""COMPUTED_VALUE"""),23720.0)</f>
        <v>23720</v>
      </c>
      <c r="D320" s="1">
        <f>IFERROR(__xludf.DUMMYFUNCTION("""COMPUTED_VALUE"""),22380.0)</f>
        <v>22380</v>
      </c>
      <c r="E320" s="1">
        <f>IFERROR(__xludf.DUMMYFUNCTION("""COMPUTED_VALUE"""),23720.0)</f>
        <v>23720</v>
      </c>
      <c r="F320" s="1">
        <f>IFERROR(__xludf.DUMMYFUNCTION("""COMPUTED_VALUE"""),171191.0)</f>
        <v>171191</v>
      </c>
    </row>
    <row r="321">
      <c r="A321" s="2">
        <f>IFERROR(__xludf.DUMMYFUNCTION("""COMPUTED_VALUE"""),41015.645833333336)</f>
        <v>41015.64583</v>
      </c>
      <c r="B321" s="1">
        <f>IFERROR(__xludf.DUMMYFUNCTION("""COMPUTED_VALUE"""),23420.0)</f>
        <v>23420</v>
      </c>
      <c r="C321" s="1">
        <f>IFERROR(__xludf.DUMMYFUNCTION("""COMPUTED_VALUE"""),24080.0)</f>
        <v>24080</v>
      </c>
      <c r="D321" s="1">
        <f>IFERROR(__xludf.DUMMYFUNCTION("""COMPUTED_VALUE"""),23220.0)</f>
        <v>23220</v>
      </c>
      <c r="E321" s="1">
        <f>IFERROR(__xludf.DUMMYFUNCTION("""COMPUTED_VALUE"""),23880.0)</f>
        <v>23880</v>
      </c>
      <c r="F321" s="1">
        <f>IFERROR(__xludf.DUMMYFUNCTION("""COMPUTED_VALUE"""),97331.0)</f>
        <v>97331</v>
      </c>
    </row>
    <row r="322">
      <c r="A322" s="2">
        <f>IFERROR(__xludf.DUMMYFUNCTION("""COMPUTED_VALUE"""),41016.645833333336)</f>
        <v>41016.64583</v>
      </c>
      <c r="B322" s="1">
        <f>IFERROR(__xludf.DUMMYFUNCTION("""COMPUTED_VALUE"""),23640.0)</f>
        <v>23640</v>
      </c>
      <c r="C322" s="1">
        <f>IFERROR(__xludf.DUMMYFUNCTION("""COMPUTED_VALUE"""),24800.0)</f>
        <v>24800</v>
      </c>
      <c r="D322" s="1">
        <f>IFERROR(__xludf.DUMMYFUNCTION("""COMPUTED_VALUE"""),23640.0)</f>
        <v>23640</v>
      </c>
      <c r="E322" s="1">
        <f>IFERROR(__xludf.DUMMYFUNCTION("""COMPUTED_VALUE"""),24520.0)</f>
        <v>24520</v>
      </c>
      <c r="F322" s="1">
        <f>IFERROR(__xludf.DUMMYFUNCTION("""COMPUTED_VALUE"""),151871.0)</f>
        <v>151871</v>
      </c>
    </row>
    <row r="323">
      <c r="A323" s="2">
        <f>IFERROR(__xludf.DUMMYFUNCTION("""COMPUTED_VALUE"""),41017.645833333336)</f>
        <v>41017.64583</v>
      </c>
      <c r="B323" s="1">
        <f>IFERROR(__xludf.DUMMYFUNCTION("""COMPUTED_VALUE"""),24820.0)</f>
        <v>24820</v>
      </c>
      <c r="C323" s="1">
        <f>IFERROR(__xludf.DUMMYFUNCTION("""COMPUTED_VALUE"""),24820.0)</f>
        <v>24820</v>
      </c>
      <c r="D323" s="1">
        <f>IFERROR(__xludf.DUMMYFUNCTION("""COMPUTED_VALUE"""),24280.0)</f>
        <v>24280</v>
      </c>
      <c r="E323" s="1">
        <f>IFERROR(__xludf.DUMMYFUNCTION("""COMPUTED_VALUE"""),24520.0)</f>
        <v>24520</v>
      </c>
      <c r="F323" s="1">
        <f>IFERROR(__xludf.DUMMYFUNCTION("""COMPUTED_VALUE"""),85024.0)</f>
        <v>85024</v>
      </c>
    </row>
    <row r="324">
      <c r="A324" s="2">
        <f>IFERROR(__xludf.DUMMYFUNCTION("""COMPUTED_VALUE"""),41018.645833333336)</f>
        <v>41018.64583</v>
      </c>
      <c r="B324" s="1">
        <f>IFERROR(__xludf.DUMMYFUNCTION("""COMPUTED_VALUE"""),24280.0)</f>
        <v>24280</v>
      </c>
      <c r="C324" s="1">
        <f>IFERROR(__xludf.DUMMYFUNCTION("""COMPUTED_VALUE"""),24920.0)</f>
        <v>24920</v>
      </c>
      <c r="D324" s="1">
        <f>IFERROR(__xludf.DUMMYFUNCTION("""COMPUTED_VALUE"""),24040.0)</f>
        <v>24040</v>
      </c>
      <c r="E324" s="1">
        <f>IFERROR(__xludf.DUMMYFUNCTION("""COMPUTED_VALUE"""),24840.0)</f>
        <v>24840</v>
      </c>
      <c r="F324" s="1">
        <f>IFERROR(__xludf.DUMMYFUNCTION("""COMPUTED_VALUE"""),139729.0)</f>
        <v>139729</v>
      </c>
    </row>
    <row r="325">
      <c r="A325" s="2">
        <f>IFERROR(__xludf.DUMMYFUNCTION("""COMPUTED_VALUE"""),41019.645833333336)</f>
        <v>41019.64583</v>
      </c>
      <c r="B325" s="1">
        <f>IFERROR(__xludf.DUMMYFUNCTION("""COMPUTED_VALUE"""),24660.0)</f>
        <v>24660</v>
      </c>
      <c r="C325" s="1">
        <f>IFERROR(__xludf.DUMMYFUNCTION("""COMPUTED_VALUE"""),24800.0)</f>
        <v>24800</v>
      </c>
      <c r="D325" s="1">
        <f>IFERROR(__xludf.DUMMYFUNCTION("""COMPUTED_VALUE"""),24180.0)</f>
        <v>24180</v>
      </c>
      <c r="E325" s="1">
        <f>IFERROR(__xludf.DUMMYFUNCTION("""COMPUTED_VALUE"""),24200.0)</f>
        <v>24200</v>
      </c>
      <c r="F325" s="1">
        <f>IFERROR(__xludf.DUMMYFUNCTION("""COMPUTED_VALUE"""),50240.0)</f>
        <v>50240</v>
      </c>
    </row>
    <row r="326">
      <c r="A326" s="2">
        <f>IFERROR(__xludf.DUMMYFUNCTION("""COMPUTED_VALUE"""),41022.645833333336)</f>
        <v>41022.64583</v>
      </c>
      <c r="B326" s="1">
        <f>IFERROR(__xludf.DUMMYFUNCTION("""COMPUTED_VALUE"""),23840.0)</f>
        <v>23840</v>
      </c>
      <c r="C326" s="1">
        <f>IFERROR(__xludf.DUMMYFUNCTION("""COMPUTED_VALUE"""),24280.0)</f>
        <v>24280</v>
      </c>
      <c r="D326" s="1">
        <f>IFERROR(__xludf.DUMMYFUNCTION("""COMPUTED_VALUE"""),23840.0)</f>
        <v>23840</v>
      </c>
      <c r="E326" s="1">
        <f>IFERROR(__xludf.DUMMYFUNCTION("""COMPUTED_VALUE"""),24140.0)</f>
        <v>24140</v>
      </c>
      <c r="F326" s="1">
        <f>IFERROR(__xludf.DUMMYFUNCTION("""COMPUTED_VALUE"""),27101.0)</f>
        <v>27101</v>
      </c>
    </row>
    <row r="327">
      <c r="A327" s="2">
        <f>IFERROR(__xludf.DUMMYFUNCTION("""COMPUTED_VALUE"""),41023.645833333336)</f>
        <v>41023.64583</v>
      </c>
      <c r="B327" s="1">
        <f>IFERROR(__xludf.DUMMYFUNCTION("""COMPUTED_VALUE"""),23800.0)</f>
        <v>23800</v>
      </c>
      <c r="C327" s="1">
        <f>IFERROR(__xludf.DUMMYFUNCTION("""COMPUTED_VALUE"""),24420.0)</f>
        <v>24420</v>
      </c>
      <c r="D327" s="1">
        <f>IFERROR(__xludf.DUMMYFUNCTION("""COMPUTED_VALUE"""),23800.0)</f>
        <v>23800</v>
      </c>
      <c r="E327" s="1">
        <f>IFERROR(__xludf.DUMMYFUNCTION("""COMPUTED_VALUE"""),24200.0)</f>
        <v>24200</v>
      </c>
      <c r="F327" s="1">
        <f>IFERROR(__xludf.DUMMYFUNCTION("""COMPUTED_VALUE"""),64695.0)</f>
        <v>64695</v>
      </c>
    </row>
    <row r="328">
      <c r="A328" s="2">
        <f>IFERROR(__xludf.DUMMYFUNCTION("""COMPUTED_VALUE"""),41024.645833333336)</f>
        <v>41024.64583</v>
      </c>
      <c r="B328" s="1">
        <f>IFERROR(__xludf.DUMMYFUNCTION("""COMPUTED_VALUE"""),24400.0)</f>
        <v>24400</v>
      </c>
      <c r="C328" s="1">
        <f>IFERROR(__xludf.DUMMYFUNCTION("""COMPUTED_VALUE"""),24400.0)</f>
        <v>24400</v>
      </c>
      <c r="D328" s="1">
        <f>IFERROR(__xludf.DUMMYFUNCTION("""COMPUTED_VALUE"""),23980.0)</f>
        <v>23980</v>
      </c>
      <c r="E328" s="1">
        <f>IFERROR(__xludf.DUMMYFUNCTION("""COMPUTED_VALUE"""),24080.0)</f>
        <v>24080</v>
      </c>
      <c r="F328" s="1">
        <f>IFERROR(__xludf.DUMMYFUNCTION("""COMPUTED_VALUE"""),119180.0)</f>
        <v>119180</v>
      </c>
    </row>
    <row r="329">
      <c r="A329" s="2">
        <f>IFERROR(__xludf.DUMMYFUNCTION("""COMPUTED_VALUE"""),41025.645833333336)</f>
        <v>41025.64583</v>
      </c>
      <c r="B329" s="1">
        <f>IFERROR(__xludf.DUMMYFUNCTION("""COMPUTED_VALUE"""),23940.0)</f>
        <v>23940</v>
      </c>
      <c r="C329" s="1">
        <f>IFERROR(__xludf.DUMMYFUNCTION("""COMPUTED_VALUE"""),23940.0)</f>
        <v>23940</v>
      </c>
      <c r="D329" s="1">
        <f>IFERROR(__xludf.DUMMYFUNCTION("""COMPUTED_VALUE"""),22720.0)</f>
        <v>22720</v>
      </c>
      <c r="E329" s="1">
        <f>IFERROR(__xludf.DUMMYFUNCTION("""COMPUTED_VALUE"""),23340.0)</f>
        <v>23340</v>
      </c>
      <c r="F329" s="1">
        <f>IFERROR(__xludf.DUMMYFUNCTION("""COMPUTED_VALUE"""),365114.0)</f>
        <v>365114</v>
      </c>
    </row>
    <row r="330">
      <c r="A330" s="2">
        <f>IFERROR(__xludf.DUMMYFUNCTION("""COMPUTED_VALUE"""),41026.645833333336)</f>
        <v>41026.64583</v>
      </c>
      <c r="B330" s="1">
        <f>IFERROR(__xludf.DUMMYFUNCTION("""COMPUTED_VALUE"""),23120.0)</f>
        <v>23120</v>
      </c>
      <c r="C330" s="1">
        <f>IFERROR(__xludf.DUMMYFUNCTION("""COMPUTED_VALUE"""),23300.0)</f>
        <v>23300</v>
      </c>
      <c r="D330" s="1">
        <f>IFERROR(__xludf.DUMMYFUNCTION("""COMPUTED_VALUE"""),21880.0)</f>
        <v>21880</v>
      </c>
      <c r="E330" s="1">
        <f>IFERROR(__xludf.DUMMYFUNCTION("""COMPUTED_VALUE"""),21900.0)</f>
        <v>21900</v>
      </c>
      <c r="F330" s="1">
        <f>IFERROR(__xludf.DUMMYFUNCTION("""COMPUTED_VALUE"""),235653.0)</f>
        <v>235653</v>
      </c>
    </row>
    <row r="331">
      <c r="A331" s="2">
        <f>IFERROR(__xludf.DUMMYFUNCTION("""COMPUTED_VALUE"""),41029.645833333336)</f>
        <v>41029.64583</v>
      </c>
      <c r="B331" s="1">
        <f>IFERROR(__xludf.DUMMYFUNCTION("""COMPUTED_VALUE"""),21980.0)</f>
        <v>21980</v>
      </c>
      <c r="C331" s="1">
        <f>IFERROR(__xludf.DUMMYFUNCTION("""COMPUTED_VALUE"""),22200.0)</f>
        <v>22200</v>
      </c>
      <c r="D331" s="1">
        <f>IFERROR(__xludf.DUMMYFUNCTION("""COMPUTED_VALUE"""),20980.0)</f>
        <v>20980</v>
      </c>
      <c r="E331" s="1">
        <f>IFERROR(__xludf.DUMMYFUNCTION("""COMPUTED_VALUE"""),21200.0)</f>
        <v>21200</v>
      </c>
      <c r="F331" s="1">
        <f>IFERROR(__xludf.DUMMYFUNCTION("""COMPUTED_VALUE"""),132876.0)</f>
        <v>132876</v>
      </c>
    </row>
    <row r="332">
      <c r="A332" s="2">
        <f>IFERROR(__xludf.DUMMYFUNCTION("""COMPUTED_VALUE"""),41031.645833333336)</f>
        <v>41031.64583</v>
      </c>
      <c r="B332" s="1">
        <f>IFERROR(__xludf.DUMMYFUNCTION("""COMPUTED_VALUE"""),21220.0)</f>
        <v>21220</v>
      </c>
      <c r="C332" s="1">
        <f>IFERROR(__xludf.DUMMYFUNCTION("""COMPUTED_VALUE"""),21700.0)</f>
        <v>21700</v>
      </c>
      <c r="D332" s="1">
        <f>IFERROR(__xludf.DUMMYFUNCTION("""COMPUTED_VALUE"""),20560.0)</f>
        <v>20560</v>
      </c>
      <c r="E332" s="1">
        <f>IFERROR(__xludf.DUMMYFUNCTION("""COMPUTED_VALUE"""),20820.0)</f>
        <v>20820</v>
      </c>
      <c r="F332" s="1">
        <f>IFERROR(__xludf.DUMMYFUNCTION("""COMPUTED_VALUE"""),202883.0)</f>
        <v>202883</v>
      </c>
    </row>
    <row r="333">
      <c r="A333" s="2">
        <f>IFERROR(__xludf.DUMMYFUNCTION("""COMPUTED_VALUE"""),41032.645833333336)</f>
        <v>41032.64583</v>
      </c>
      <c r="B333" s="1">
        <f>IFERROR(__xludf.DUMMYFUNCTION("""COMPUTED_VALUE"""),20820.0)</f>
        <v>20820</v>
      </c>
      <c r="C333" s="1">
        <f>IFERROR(__xludf.DUMMYFUNCTION("""COMPUTED_VALUE"""),21060.0)</f>
        <v>21060</v>
      </c>
      <c r="D333" s="1">
        <f>IFERROR(__xludf.DUMMYFUNCTION("""COMPUTED_VALUE"""),20000.0)</f>
        <v>20000</v>
      </c>
      <c r="E333" s="1">
        <f>IFERROR(__xludf.DUMMYFUNCTION("""COMPUTED_VALUE"""),20200.0)</f>
        <v>20200</v>
      </c>
      <c r="F333" s="1">
        <f>IFERROR(__xludf.DUMMYFUNCTION("""COMPUTED_VALUE"""),367891.0)</f>
        <v>367891</v>
      </c>
    </row>
    <row r="334">
      <c r="A334" s="2">
        <f>IFERROR(__xludf.DUMMYFUNCTION("""COMPUTED_VALUE"""),41033.645833333336)</f>
        <v>41033.64583</v>
      </c>
      <c r="B334" s="1">
        <f>IFERROR(__xludf.DUMMYFUNCTION("""COMPUTED_VALUE"""),20380.0)</f>
        <v>20380</v>
      </c>
      <c r="C334" s="1">
        <f>IFERROR(__xludf.DUMMYFUNCTION("""COMPUTED_VALUE"""),21280.0)</f>
        <v>21280</v>
      </c>
      <c r="D334" s="1">
        <f>IFERROR(__xludf.DUMMYFUNCTION("""COMPUTED_VALUE"""),20300.0)</f>
        <v>20300</v>
      </c>
      <c r="E334" s="1">
        <f>IFERROR(__xludf.DUMMYFUNCTION("""COMPUTED_VALUE"""),21180.0)</f>
        <v>21180</v>
      </c>
      <c r="F334" s="1">
        <f>IFERROR(__xludf.DUMMYFUNCTION("""COMPUTED_VALUE"""),404306.0)</f>
        <v>404306</v>
      </c>
    </row>
    <row r="335">
      <c r="A335" s="2">
        <f>IFERROR(__xludf.DUMMYFUNCTION("""COMPUTED_VALUE"""),41036.645833333336)</f>
        <v>41036.64583</v>
      </c>
      <c r="B335" s="1">
        <f>IFERROR(__xludf.DUMMYFUNCTION("""COMPUTED_VALUE"""),20860.0)</f>
        <v>20860</v>
      </c>
      <c r="C335" s="1">
        <f>IFERROR(__xludf.DUMMYFUNCTION("""COMPUTED_VALUE"""),21660.0)</f>
        <v>21660</v>
      </c>
      <c r="D335" s="1">
        <f>IFERROR(__xludf.DUMMYFUNCTION("""COMPUTED_VALUE"""),20840.0)</f>
        <v>20840</v>
      </c>
      <c r="E335" s="1">
        <f>IFERROR(__xludf.DUMMYFUNCTION("""COMPUTED_VALUE"""),21520.0)</f>
        <v>21520</v>
      </c>
      <c r="F335" s="1">
        <f>IFERROR(__xludf.DUMMYFUNCTION("""COMPUTED_VALUE"""),136236.0)</f>
        <v>136236</v>
      </c>
    </row>
    <row r="336">
      <c r="A336" s="2">
        <f>IFERROR(__xludf.DUMMYFUNCTION("""COMPUTED_VALUE"""),41037.645833333336)</f>
        <v>41037.64583</v>
      </c>
      <c r="B336" s="1">
        <f>IFERROR(__xludf.DUMMYFUNCTION("""COMPUTED_VALUE"""),21520.0)</f>
        <v>21520</v>
      </c>
      <c r="C336" s="1">
        <f>IFERROR(__xludf.DUMMYFUNCTION("""COMPUTED_VALUE"""),21740.0)</f>
        <v>21740</v>
      </c>
      <c r="D336" s="1">
        <f>IFERROR(__xludf.DUMMYFUNCTION("""COMPUTED_VALUE"""),20660.0)</f>
        <v>20660</v>
      </c>
      <c r="E336" s="1">
        <f>IFERROR(__xludf.DUMMYFUNCTION("""COMPUTED_VALUE"""),20720.0)</f>
        <v>20720</v>
      </c>
      <c r="F336" s="1">
        <f>IFERROR(__xludf.DUMMYFUNCTION("""COMPUTED_VALUE"""),145295.0)</f>
        <v>145295</v>
      </c>
    </row>
    <row r="337">
      <c r="A337" s="2">
        <f>IFERROR(__xludf.DUMMYFUNCTION("""COMPUTED_VALUE"""),41038.645833333336)</f>
        <v>41038.64583</v>
      </c>
      <c r="B337" s="1">
        <f>IFERROR(__xludf.DUMMYFUNCTION("""COMPUTED_VALUE"""),20620.0)</f>
        <v>20620</v>
      </c>
      <c r="C337" s="1">
        <f>IFERROR(__xludf.DUMMYFUNCTION("""COMPUTED_VALUE"""),20960.0)</f>
        <v>20960</v>
      </c>
      <c r="D337" s="1">
        <f>IFERROR(__xludf.DUMMYFUNCTION("""COMPUTED_VALUE"""),20460.0)</f>
        <v>20460</v>
      </c>
      <c r="E337" s="1">
        <f>IFERROR(__xludf.DUMMYFUNCTION("""COMPUTED_VALUE"""),20540.0)</f>
        <v>20540</v>
      </c>
      <c r="F337" s="1">
        <f>IFERROR(__xludf.DUMMYFUNCTION("""COMPUTED_VALUE"""),76694.0)</f>
        <v>76694</v>
      </c>
    </row>
    <row r="338">
      <c r="A338" s="2">
        <f>IFERROR(__xludf.DUMMYFUNCTION("""COMPUTED_VALUE"""),41039.645833333336)</f>
        <v>41039.64583</v>
      </c>
      <c r="B338" s="1">
        <f>IFERROR(__xludf.DUMMYFUNCTION("""COMPUTED_VALUE"""),20800.0)</f>
        <v>20800</v>
      </c>
      <c r="C338" s="1">
        <f>IFERROR(__xludf.DUMMYFUNCTION("""COMPUTED_VALUE"""),22400.0)</f>
        <v>22400</v>
      </c>
      <c r="D338" s="1">
        <f>IFERROR(__xludf.DUMMYFUNCTION("""COMPUTED_VALUE"""),20700.0)</f>
        <v>20700</v>
      </c>
      <c r="E338" s="1">
        <f>IFERROR(__xludf.DUMMYFUNCTION("""COMPUTED_VALUE"""),22140.0)</f>
        <v>22140</v>
      </c>
      <c r="F338" s="1">
        <f>IFERROR(__xludf.DUMMYFUNCTION("""COMPUTED_VALUE"""),274690.0)</f>
        <v>274690</v>
      </c>
    </row>
    <row r="339">
      <c r="A339" s="2">
        <f>IFERROR(__xludf.DUMMYFUNCTION("""COMPUTED_VALUE"""),41040.645833333336)</f>
        <v>41040.64583</v>
      </c>
      <c r="B339" s="1">
        <f>IFERROR(__xludf.DUMMYFUNCTION("""COMPUTED_VALUE"""),21900.0)</f>
        <v>21900</v>
      </c>
      <c r="C339" s="1">
        <f>IFERROR(__xludf.DUMMYFUNCTION("""COMPUTED_VALUE"""),23040.0)</f>
        <v>23040</v>
      </c>
      <c r="D339" s="1">
        <f>IFERROR(__xludf.DUMMYFUNCTION("""COMPUTED_VALUE"""),21400.0)</f>
        <v>21400</v>
      </c>
      <c r="E339" s="1">
        <f>IFERROR(__xludf.DUMMYFUNCTION("""COMPUTED_VALUE"""),22140.0)</f>
        <v>22140</v>
      </c>
      <c r="F339" s="1">
        <f>IFERROR(__xludf.DUMMYFUNCTION("""COMPUTED_VALUE"""),248073.0)</f>
        <v>248073</v>
      </c>
    </row>
    <row r="340">
      <c r="A340" s="2">
        <f>IFERROR(__xludf.DUMMYFUNCTION("""COMPUTED_VALUE"""),41043.645833333336)</f>
        <v>41043.64583</v>
      </c>
      <c r="B340" s="1">
        <f>IFERROR(__xludf.DUMMYFUNCTION("""COMPUTED_VALUE"""),22240.0)</f>
        <v>22240</v>
      </c>
      <c r="C340" s="1">
        <f>IFERROR(__xludf.DUMMYFUNCTION("""COMPUTED_VALUE"""),22780.0)</f>
        <v>22780</v>
      </c>
      <c r="D340" s="1">
        <f>IFERROR(__xludf.DUMMYFUNCTION("""COMPUTED_VALUE"""),21460.0)</f>
        <v>21460</v>
      </c>
      <c r="E340" s="1">
        <f>IFERROR(__xludf.DUMMYFUNCTION("""COMPUTED_VALUE"""),22640.0)</f>
        <v>22640</v>
      </c>
      <c r="F340" s="1">
        <f>IFERROR(__xludf.DUMMYFUNCTION("""COMPUTED_VALUE"""),160514.0)</f>
        <v>160514</v>
      </c>
    </row>
    <row r="341">
      <c r="A341" s="2">
        <f>IFERROR(__xludf.DUMMYFUNCTION("""COMPUTED_VALUE"""),41044.645833333336)</f>
        <v>41044.64583</v>
      </c>
      <c r="B341" s="1">
        <f>IFERROR(__xludf.DUMMYFUNCTION("""COMPUTED_VALUE"""),22400.0)</f>
        <v>22400</v>
      </c>
      <c r="C341" s="1">
        <f>IFERROR(__xludf.DUMMYFUNCTION("""COMPUTED_VALUE"""),22760.0)</f>
        <v>22760</v>
      </c>
      <c r="D341" s="1">
        <f>IFERROR(__xludf.DUMMYFUNCTION("""COMPUTED_VALUE"""),21920.0)</f>
        <v>21920</v>
      </c>
      <c r="E341" s="1">
        <f>IFERROR(__xludf.DUMMYFUNCTION("""COMPUTED_VALUE"""),22580.0)</f>
        <v>22580</v>
      </c>
      <c r="F341" s="1">
        <f>IFERROR(__xludf.DUMMYFUNCTION("""COMPUTED_VALUE"""),115625.0)</f>
        <v>115625</v>
      </c>
    </row>
    <row r="342">
      <c r="A342" s="2">
        <f>IFERROR(__xludf.DUMMYFUNCTION("""COMPUTED_VALUE"""),41045.645833333336)</f>
        <v>41045.64583</v>
      </c>
      <c r="B342" s="1">
        <f>IFERROR(__xludf.DUMMYFUNCTION("""COMPUTED_VALUE"""),22360.0)</f>
        <v>22360</v>
      </c>
      <c r="C342" s="1">
        <f>IFERROR(__xludf.DUMMYFUNCTION("""COMPUTED_VALUE"""),22900.0)</f>
        <v>22900</v>
      </c>
      <c r="D342" s="1">
        <f>IFERROR(__xludf.DUMMYFUNCTION("""COMPUTED_VALUE"""),22300.0)</f>
        <v>22300</v>
      </c>
      <c r="E342" s="1">
        <f>IFERROR(__xludf.DUMMYFUNCTION("""COMPUTED_VALUE"""),22900.0)</f>
        <v>22900</v>
      </c>
      <c r="F342" s="1">
        <f>IFERROR(__xludf.DUMMYFUNCTION("""COMPUTED_VALUE"""),110226.0)</f>
        <v>110226</v>
      </c>
    </row>
    <row r="343">
      <c r="A343" s="2">
        <f>IFERROR(__xludf.DUMMYFUNCTION("""COMPUTED_VALUE"""),41046.645833333336)</f>
        <v>41046.64583</v>
      </c>
      <c r="B343" s="1">
        <f>IFERROR(__xludf.DUMMYFUNCTION("""COMPUTED_VALUE"""),22800.0)</f>
        <v>22800</v>
      </c>
      <c r="C343" s="1">
        <f>IFERROR(__xludf.DUMMYFUNCTION("""COMPUTED_VALUE"""),23000.0)</f>
        <v>23000</v>
      </c>
      <c r="D343" s="1">
        <f>IFERROR(__xludf.DUMMYFUNCTION("""COMPUTED_VALUE"""),21900.0)</f>
        <v>21900</v>
      </c>
      <c r="E343" s="1">
        <f>IFERROR(__xludf.DUMMYFUNCTION("""COMPUTED_VALUE"""),22200.0)</f>
        <v>22200</v>
      </c>
      <c r="F343" s="1">
        <f>IFERROR(__xludf.DUMMYFUNCTION("""COMPUTED_VALUE"""),74927.0)</f>
        <v>74927</v>
      </c>
    </row>
    <row r="344">
      <c r="A344" s="2">
        <f>IFERROR(__xludf.DUMMYFUNCTION("""COMPUTED_VALUE"""),41047.645833333336)</f>
        <v>41047.64583</v>
      </c>
      <c r="B344" s="1">
        <f>IFERROR(__xludf.DUMMYFUNCTION("""COMPUTED_VALUE"""),21900.0)</f>
        <v>21900</v>
      </c>
      <c r="C344" s="1">
        <f>IFERROR(__xludf.DUMMYFUNCTION("""COMPUTED_VALUE"""),22200.0)</f>
        <v>22200</v>
      </c>
      <c r="D344" s="1">
        <f>IFERROR(__xludf.DUMMYFUNCTION("""COMPUTED_VALUE"""),21060.0)</f>
        <v>21060</v>
      </c>
      <c r="E344" s="1">
        <f>IFERROR(__xludf.DUMMYFUNCTION("""COMPUTED_VALUE"""),21220.0)</f>
        <v>21220</v>
      </c>
      <c r="F344" s="1">
        <f>IFERROR(__xludf.DUMMYFUNCTION("""COMPUTED_VALUE"""),79403.0)</f>
        <v>79403</v>
      </c>
    </row>
    <row r="345">
      <c r="A345" s="2">
        <f>IFERROR(__xludf.DUMMYFUNCTION("""COMPUTED_VALUE"""),41050.645833333336)</f>
        <v>41050.64583</v>
      </c>
      <c r="B345" s="1">
        <f>IFERROR(__xludf.DUMMYFUNCTION("""COMPUTED_VALUE"""),21700.0)</f>
        <v>21700</v>
      </c>
      <c r="C345" s="1">
        <f>IFERROR(__xludf.DUMMYFUNCTION("""COMPUTED_VALUE"""),21700.0)</f>
        <v>21700</v>
      </c>
      <c r="D345" s="1">
        <f>IFERROR(__xludf.DUMMYFUNCTION("""COMPUTED_VALUE"""),20860.0)</f>
        <v>20860</v>
      </c>
      <c r="E345" s="1">
        <f>IFERROR(__xludf.DUMMYFUNCTION("""COMPUTED_VALUE"""),21180.0)</f>
        <v>21180</v>
      </c>
      <c r="F345" s="1">
        <f>IFERROR(__xludf.DUMMYFUNCTION("""COMPUTED_VALUE"""),91987.0)</f>
        <v>91987</v>
      </c>
    </row>
    <row r="346">
      <c r="A346" s="2">
        <f>IFERROR(__xludf.DUMMYFUNCTION("""COMPUTED_VALUE"""),41051.645833333336)</f>
        <v>41051.64583</v>
      </c>
      <c r="B346" s="1">
        <f>IFERROR(__xludf.DUMMYFUNCTION("""COMPUTED_VALUE"""),21440.0)</f>
        <v>21440</v>
      </c>
      <c r="C346" s="1">
        <f>IFERROR(__xludf.DUMMYFUNCTION("""COMPUTED_VALUE"""),21660.0)</f>
        <v>21660</v>
      </c>
      <c r="D346" s="1">
        <f>IFERROR(__xludf.DUMMYFUNCTION("""COMPUTED_VALUE"""),20940.0)</f>
        <v>20940</v>
      </c>
      <c r="E346" s="1">
        <f>IFERROR(__xludf.DUMMYFUNCTION("""COMPUTED_VALUE"""),21500.0)</f>
        <v>21500</v>
      </c>
      <c r="F346" s="1">
        <f>IFERROR(__xludf.DUMMYFUNCTION("""COMPUTED_VALUE"""),157701.0)</f>
        <v>157701</v>
      </c>
    </row>
    <row r="347">
      <c r="A347" s="2">
        <f>IFERROR(__xludf.DUMMYFUNCTION("""COMPUTED_VALUE"""),41052.645833333336)</f>
        <v>41052.64583</v>
      </c>
      <c r="B347" s="1">
        <f>IFERROR(__xludf.DUMMYFUNCTION("""COMPUTED_VALUE"""),21600.0)</f>
        <v>21600</v>
      </c>
      <c r="C347" s="1">
        <f>IFERROR(__xludf.DUMMYFUNCTION("""COMPUTED_VALUE"""),21600.0)</f>
        <v>21600</v>
      </c>
      <c r="D347" s="1">
        <f>IFERROR(__xludf.DUMMYFUNCTION("""COMPUTED_VALUE"""),21160.0)</f>
        <v>21160</v>
      </c>
      <c r="E347" s="1">
        <f>IFERROR(__xludf.DUMMYFUNCTION("""COMPUTED_VALUE"""),21300.0)</f>
        <v>21300</v>
      </c>
      <c r="F347" s="1">
        <f>IFERROR(__xludf.DUMMYFUNCTION("""COMPUTED_VALUE"""),65604.0)</f>
        <v>65604</v>
      </c>
    </row>
    <row r="348">
      <c r="A348" s="2">
        <f>IFERROR(__xludf.DUMMYFUNCTION("""COMPUTED_VALUE"""),41053.645833333336)</f>
        <v>41053.64583</v>
      </c>
      <c r="B348" s="1">
        <f>IFERROR(__xludf.DUMMYFUNCTION("""COMPUTED_VALUE"""),21460.0)</f>
        <v>21460</v>
      </c>
      <c r="C348" s="1">
        <f>IFERROR(__xludf.DUMMYFUNCTION("""COMPUTED_VALUE"""),21460.0)</f>
        <v>21460</v>
      </c>
      <c r="D348" s="1">
        <f>IFERROR(__xludf.DUMMYFUNCTION("""COMPUTED_VALUE"""),20680.0)</f>
        <v>20680</v>
      </c>
      <c r="E348" s="1">
        <f>IFERROR(__xludf.DUMMYFUNCTION("""COMPUTED_VALUE"""),20780.0)</f>
        <v>20780</v>
      </c>
      <c r="F348" s="1">
        <f>IFERROR(__xludf.DUMMYFUNCTION("""COMPUTED_VALUE"""),77658.0)</f>
        <v>77658</v>
      </c>
    </row>
    <row r="349">
      <c r="A349" s="2">
        <f>IFERROR(__xludf.DUMMYFUNCTION("""COMPUTED_VALUE"""),41054.645833333336)</f>
        <v>41054.64583</v>
      </c>
      <c r="B349" s="1">
        <f>IFERROR(__xludf.DUMMYFUNCTION("""COMPUTED_VALUE"""),20620.0)</f>
        <v>20620</v>
      </c>
      <c r="C349" s="1">
        <f>IFERROR(__xludf.DUMMYFUNCTION("""COMPUTED_VALUE"""),21080.0)</f>
        <v>21080</v>
      </c>
      <c r="D349" s="1">
        <f>IFERROR(__xludf.DUMMYFUNCTION("""COMPUTED_VALUE"""),20220.0)</f>
        <v>20220</v>
      </c>
      <c r="E349" s="1">
        <f>IFERROR(__xludf.DUMMYFUNCTION("""COMPUTED_VALUE"""),20220.0)</f>
        <v>20220</v>
      </c>
      <c r="F349" s="1">
        <f>IFERROR(__xludf.DUMMYFUNCTION("""COMPUTED_VALUE"""),89802.0)</f>
        <v>89802</v>
      </c>
    </row>
    <row r="350">
      <c r="A350" s="2">
        <f>IFERROR(__xludf.DUMMYFUNCTION("""COMPUTED_VALUE"""),41058.645833333336)</f>
        <v>41058.64583</v>
      </c>
      <c r="B350" s="1">
        <f>IFERROR(__xludf.DUMMYFUNCTION("""COMPUTED_VALUE"""),20460.0)</f>
        <v>20460</v>
      </c>
      <c r="C350" s="1">
        <f>IFERROR(__xludf.DUMMYFUNCTION("""COMPUTED_VALUE"""),20740.0)</f>
        <v>20740</v>
      </c>
      <c r="D350" s="1">
        <f>IFERROR(__xludf.DUMMYFUNCTION("""COMPUTED_VALUE"""),20240.0)</f>
        <v>20240</v>
      </c>
      <c r="E350" s="1">
        <f>IFERROR(__xludf.DUMMYFUNCTION("""COMPUTED_VALUE"""),20700.0)</f>
        <v>20700</v>
      </c>
      <c r="F350" s="1">
        <f>IFERROR(__xludf.DUMMYFUNCTION("""COMPUTED_VALUE"""),109227.0)</f>
        <v>109227</v>
      </c>
    </row>
    <row r="351">
      <c r="A351" s="2">
        <f>IFERROR(__xludf.DUMMYFUNCTION("""COMPUTED_VALUE"""),41059.645833333336)</f>
        <v>41059.64583</v>
      </c>
      <c r="B351" s="1">
        <f>IFERROR(__xludf.DUMMYFUNCTION("""COMPUTED_VALUE"""),20820.0)</f>
        <v>20820</v>
      </c>
      <c r="C351" s="1">
        <f>IFERROR(__xludf.DUMMYFUNCTION("""COMPUTED_VALUE"""),20820.0)</f>
        <v>20820</v>
      </c>
      <c r="D351" s="1">
        <f>IFERROR(__xludf.DUMMYFUNCTION("""COMPUTED_VALUE"""),20200.0)</f>
        <v>20200</v>
      </c>
      <c r="E351" s="1">
        <f>IFERROR(__xludf.DUMMYFUNCTION("""COMPUTED_VALUE"""),20420.0)</f>
        <v>20420</v>
      </c>
      <c r="F351" s="1">
        <f>IFERROR(__xludf.DUMMYFUNCTION("""COMPUTED_VALUE"""),101326.0)</f>
        <v>101326</v>
      </c>
    </row>
    <row r="352">
      <c r="A352" s="2">
        <f>IFERROR(__xludf.DUMMYFUNCTION("""COMPUTED_VALUE"""),41060.645833333336)</f>
        <v>41060.64583</v>
      </c>
      <c r="B352" s="1">
        <f>IFERROR(__xludf.DUMMYFUNCTION("""COMPUTED_VALUE"""),20400.0)</f>
        <v>20400</v>
      </c>
      <c r="C352" s="1">
        <f>IFERROR(__xludf.DUMMYFUNCTION("""COMPUTED_VALUE"""),20680.0)</f>
        <v>20680</v>
      </c>
      <c r="D352" s="1">
        <f>IFERROR(__xludf.DUMMYFUNCTION("""COMPUTED_VALUE"""),20080.0)</f>
        <v>20080</v>
      </c>
      <c r="E352" s="1">
        <f>IFERROR(__xludf.DUMMYFUNCTION("""COMPUTED_VALUE"""),20220.0)</f>
        <v>20220</v>
      </c>
      <c r="F352" s="1">
        <f>IFERROR(__xludf.DUMMYFUNCTION("""COMPUTED_VALUE"""),139918.0)</f>
        <v>139918</v>
      </c>
    </row>
    <row r="353">
      <c r="A353" s="2">
        <f>IFERROR(__xludf.DUMMYFUNCTION("""COMPUTED_VALUE"""),41061.645833333336)</f>
        <v>41061.64583</v>
      </c>
      <c r="B353" s="1">
        <f>IFERROR(__xludf.DUMMYFUNCTION("""COMPUTED_VALUE"""),20300.0)</f>
        <v>20300</v>
      </c>
      <c r="C353" s="1">
        <f>IFERROR(__xludf.DUMMYFUNCTION("""COMPUTED_VALUE"""),20420.0)</f>
        <v>20420</v>
      </c>
      <c r="D353" s="1">
        <f>IFERROR(__xludf.DUMMYFUNCTION("""COMPUTED_VALUE"""),19840.0)</f>
        <v>19840</v>
      </c>
      <c r="E353" s="1">
        <f>IFERROR(__xludf.DUMMYFUNCTION("""COMPUTED_VALUE"""),19860.0)</f>
        <v>19860</v>
      </c>
      <c r="F353" s="1">
        <f>IFERROR(__xludf.DUMMYFUNCTION("""COMPUTED_VALUE"""),157960.0)</f>
        <v>157960</v>
      </c>
    </row>
    <row r="354">
      <c r="A354" s="2">
        <f>IFERROR(__xludf.DUMMYFUNCTION("""COMPUTED_VALUE"""),41064.645833333336)</f>
        <v>41064.64583</v>
      </c>
      <c r="B354" s="1">
        <f>IFERROR(__xludf.DUMMYFUNCTION("""COMPUTED_VALUE"""),19300.0)</f>
        <v>19300</v>
      </c>
      <c r="C354" s="1">
        <f>IFERROR(__xludf.DUMMYFUNCTION("""COMPUTED_VALUE"""),19360.0)</f>
        <v>19360</v>
      </c>
      <c r="D354" s="1">
        <f>IFERROR(__xludf.DUMMYFUNCTION("""COMPUTED_VALUE"""),18200.0)</f>
        <v>18200</v>
      </c>
      <c r="E354" s="1">
        <f>IFERROR(__xludf.DUMMYFUNCTION("""COMPUTED_VALUE"""),18700.0)</f>
        <v>18700</v>
      </c>
      <c r="F354" s="1">
        <f>IFERROR(__xludf.DUMMYFUNCTION("""COMPUTED_VALUE"""),265887.0)</f>
        <v>265887</v>
      </c>
    </row>
    <row r="355">
      <c r="A355" s="2">
        <f>IFERROR(__xludf.DUMMYFUNCTION("""COMPUTED_VALUE"""),41065.645833333336)</f>
        <v>41065.64583</v>
      </c>
      <c r="B355" s="1">
        <f>IFERROR(__xludf.DUMMYFUNCTION("""COMPUTED_VALUE"""),18940.0)</f>
        <v>18940</v>
      </c>
      <c r="C355" s="1">
        <f>IFERROR(__xludf.DUMMYFUNCTION("""COMPUTED_VALUE"""),19040.0)</f>
        <v>19040</v>
      </c>
      <c r="D355" s="1">
        <f>IFERROR(__xludf.DUMMYFUNCTION("""COMPUTED_VALUE"""),18420.0)</f>
        <v>18420</v>
      </c>
      <c r="E355" s="1">
        <f>IFERROR(__xludf.DUMMYFUNCTION("""COMPUTED_VALUE"""),18660.0)</f>
        <v>18660</v>
      </c>
      <c r="F355" s="1">
        <f>IFERROR(__xludf.DUMMYFUNCTION("""COMPUTED_VALUE"""),122367.0)</f>
        <v>122367</v>
      </c>
    </row>
    <row r="356">
      <c r="A356" s="2">
        <f>IFERROR(__xludf.DUMMYFUNCTION("""COMPUTED_VALUE"""),41067.645833333336)</f>
        <v>41067.64583</v>
      </c>
      <c r="B356" s="1">
        <f>IFERROR(__xludf.DUMMYFUNCTION("""COMPUTED_VALUE"""),19000.0)</f>
        <v>19000</v>
      </c>
      <c r="C356" s="1">
        <f>IFERROR(__xludf.DUMMYFUNCTION("""COMPUTED_VALUE"""),19320.0)</f>
        <v>19320</v>
      </c>
      <c r="D356" s="1">
        <f>IFERROR(__xludf.DUMMYFUNCTION("""COMPUTED_VALUE"""),18980.0)</f>
        <v>18980</v>
      </c>
      <c r="E356" s="1">
        <f>IFERROR(__xludf.DUMMYFUNCTION("""COMPUTED_VALUE"""),18980.0)</f>
        <v>18980</v>
      </c>
      <c r="F356" s="1">
        <f>IFERROR(__xludf.DUMMYFUNCTION("""COMPUTED_VALUE"""),141700.0)</f>
        <v>141700</v>
      </c>
    </row>
    <row r="357">
      <c r="A357" s="2">
        <f>IFERROR(__xludf.DUMMYFUNCTION("""COMPUTED_VALUE"""),41068.645833333336)</f>
        <v>41068.64583</v>
      </c>
      <c r="B357" s="1">
        <f>IFERROR(__xludf.DUMMYFUNCTION("""COMPUTED_VALUE"""),18800.0)</f>
        <v>18800</v>
      </c>
      <c r="C357" s="1">
        <f>IFERROR(__xludf.DUMMYFUNCTION("""COMPUTED_VALUE"""),18980.0)</f>
        <v>18980</v>
      </c>
      <c r="D357" s="1">
        <f>IFERROR(__xludf.DUMMYFUNCTION("""COMPUTED_VALUE"""),18360.0)</f>
        <v>18360</v>
      </c>
      <c r="E357" s="1">
        <f>IFERROR(__xludf.DUMMYFUNCTION("""COMPUTED_VALUE"""),18420.0)</f>
        <v>18420</v>
      </c>
      <c r="F357" s="1">
        <f>IFERROR(__xludf.DUMMYFUNCTION("""COMPUTED_VALUE"""),154643.0)</f>
        <v>154643</v>
      </c>
    </row>
    <row r="358">
      <c r="A358" s="2">
        <f>IFERROR(__xludf.DUMMYFUNCTION("""COMPUTED_VALUE"""),41071.645833333336)</f>
        <v>41071.64583</v>
      </c>
      <c r="B358" s="1">
        <f>IFERROR(__xludf.DUMMYFUNCTION("""COMPUTED_VALUE"""),18540.0)</f>
        <v>18540</v>
      </c>
      <c r="C358" s="1">
        <f>IFERROR(__xludf.DUMMYFUNCTION("""COMPUTED_VALUE"""),19020.0)</f>
        <v>19020</v>
      </c>
      <c r="D358" s="1">
        <f>IFERROR(__xludf.DUMMYFUNCTION("""COMPUTED_VALUE"""),18540.0)</f>
        <v>18540</v>
      </c>
      <c r="E358" s="1">
        <f>IFERROR(__xludf.DUMMYFUNCTION("""COMPUTED_VALUE"""),18960.0)</f>
        <v>18960</v>
      </c>
      <c r="F358" s="1">
        <f>IFERROR(__xludf.DUMMYFUNCTION("""COMPUTED_VALUE"""),96405.0)</f>
        <v>96405</v>
      </c>
    </row>
    <row r="359">
      <c r="A359" s="2">
        <f>IFERROR(__xludf.DUMMYFUNCTION("""COMPUTED_VALUE"""),41072.645833333336)</f>
        <v>41072.64583</v>
      </c>
      <c r="B359" s="1">
        <f>IFERROR(__xludf.DUMMYFUNCTION("""COMPUTED_VALUE"""),18640.0)</f>
        <v>18640</v>
      </c>
      <c r="C359" s="1">
        <f>IFERROR(__xludf.DUMMYFUNCTION("""COMPUTED_VALUE"""),21560.0)</f>
        <v>21560</v>
      </c>
      <c r="D359" s="1">
        <f>IFERROR(__xludf.DUMMYFUNCTION("""COMPUTED_VALUE"""),18640.0)</f>
        <v>18640</v>
      </c>
      <c r="E359" s="1">
        <f>IFERROR(__xludf.DUMMYFUNCTION("""COMPUTED_VALUE"""),19900.0)</f>
        <v>19900</v>
      </c>
      <c r="F359" s="1">
        <f>IFERROR(__xludf.DUMMYFUNCTION("""COMPUTED_VALUE"""),534271.0)</f>
        <v>534271</v>
      </c>
    </row>
    <row r="360">
      <c r="A360" s="2">
        <f>IFERROR(__xludf.DUMMYFUNCTION("""COMPUTED_VALUE"""),41073.645833333336)</f>
        <v>41073.64583</v>
      </c>
      <c r="B360" s="1">
        <f>IFERROR(__xludf.DUMMYFUNCTION("""COMPUTED_VALUE"""),20040.0)</f>
        <v>20040</v>
      </c>
      <c r="C360" s="1">
        <f>IFERROR(__xludf.DUMMYFUNCTION("""COMPUTED_VALUE"""),20320.0)</f>
        <v>20320</v>
      </c>
      <c r="D360" s="1">
        <f>IFERROR(__xludf.DUMMYFUNCTION("""COMPUTED_VALUE"""),19500.0)</f>
        <v>19500</v>
      </c>
      <c r="E360" s="1">
        <f>IFERROR(__xludf.DUMMYFUNCTION("""COMPUTED_VALUE"""),19640.0)</f>
        <v>19640</v>
      </c>
      <c r="F360" s="1">
        <f>IFERROR(__xludf.DUMMYFUNCTION("""COMPUTED_VALUE"""),145906.0)</f>
        <v>145906</v>
      </c>
    </row>
    <row r="361">
      <c r="A361" s="2">
        <f>IFERROR(__xludf.DUMMYFUNCTION("""COMPUTED_VALUE"""),41074.645833333336)</f>
        <v>41074.64583</v>
      </c>
      <c r="B361" s="1">
        <f>IFERROR(__xludf.DUMMYFUNCTION("""COMPUTED_VALUE"""),19660.0)</f>
        <v>19660</v>
      </c>
      <c r="C361" s="1">
        <f>IFERROR(__xludf.DUMMYFUNCTION("""COMPUTED_VALUE"""),19800.0)</f>
        <v>19800</v>
      </c>
      <c r="D361" s="1">
        <f>IFERROR(__xludf.DUMMYFUNCTION("""COMPUTED_VALUE"""),19100.0)</f>
        <v>19100</v>
      </c>
      <c r="E361" s="1">
        <f>IFERROR(__xludf.DUMMYFUNCTION("""COMPUTED_VALUE"""),19200.0)</f>
        <v>19200</v>
      </c>
      <c r="F361" s="1">
        <f>IFERROR(__xludf.DUMMYFUNCTION("""COMPUTED_VALUE"""),134734.0)</f>
        <v>134734</v>
      </c>
    </row>
    <row r="362">
      <c r="A362" s="2">
        <f>IFERROR(__xludf.DUMMYFUNCTION("""COMPUTED_VALUE"""),41075.645833333336)</f>
        <v>41075.64583</v>
      </c>
      <c r="B362" s="1">
        <f>IFERROR(__xludf.DUMMYFUNCTION("""COMPUTED_VALUE"""),19220.0)</f>
        <v>19220</v>
      </c>
      <c r="C362" s="1">
        <f>IFERROR(__xludf.DUMMYFUNCTION("""COMPUTED_VALUE"""),19660.0)</f>
        <v>19660</v>
      </c>
      <c r="D362" s="1">
        <f>IFERROR(__xludf.DUMMYFUNCTION("""COMPUTED_VALUE"""),19000.0)</f>
        <v>19000</v>
      </c>
      <c r="E362" s="1">
        <f>IFERROR(__xludf.DUMMYFUNCTION("""COMPUTED_VALUE"""),19660.0)</f>
        <v>19660</v>
      </c>
      <c r="F362" s="1">
        <f>IFERROR(__xludf.DUMMYFUNCTION("""COMPUTED_VALUE"""),97619.0)</f>
        <v>97619</v>
      </c>
    </row>
    <row r="363">
      <c r="A363" s="2">
        <f>IFERROR(__xludf.DUMMYFUNCTION("""COMPUTED_VALUE"""),41078.645833333336)</f>
        <v>41078.64583</v>
      </c>
      <c r="B363" s="1">
        <f>IFERROR(__xludf.DUMMYFUNCTION("""COMPUTED_VALUE"""),19720.0)</f>
        <v>19720</v>
      </c>
      <c r="C363" s="1">
        <f>IFERROR(__xludf.DUMMYFUNCTION("""COMPUTED_VALUE"""),20060.0)</f>
        <v>20060</v>
      </c>
      <c r="D363" s="1">
        <f>IFERROR(__xludf.DUMMYFUNCTION("""COMPUTED_VALUE"""),19400.0)</f>
        <v>19400</v>
      </c>
      <c r="E363" s="1">
        <f>IFERROR(__xludf.DUMMYFUNCTION("""COMPUTED_VALUE"""),19400.0)</f>
        <v>19400</v>
      </c>
      <c r="F363" s="1">
        <f>IFERROR(__xludf.DUMMYFUNCTION("""COMPUTED_VALUE"""),119872.0)</f>
        <v>119872</v>
      </c>
    </row>
    <row r="364">
      <c r="A364" s="2">
        <f>IFERROR(__xludf.DUMMYFUNCTION("""COMPUTED_VALUE"""),41079.645833333336)</f>
        <v>41079.64583</v>
      </c>
      <c r="B364" s="1">
        <f>IFERROR(__xludf.DUMMYFUNCTION("""COMPUTED_VALUE"""),19400.0)</f>
        <v>19400</v>
      </c>
      <c r="C364" s="1">
        <f>IFERROR(__xludf.DUMMYFUNCTION("""COMPUTED_VALUE"""),20620.0)</f>
        <v>20620</v>
      </c>
      <c r="D364" s="1">
        <f>IFERROR(__xludf.DUMMYFUNCTION("""COMPUTED_VALUE"""),19400.0)</f>
        <v>19400</v>
      </c>
      <c r="E364" s="1">
        <f>IFERROR(__xludf.DUMMYFUNCTION("""COMPUTED_VALUE"""),20500.0)</f>
        <v>20500</v>
      </c>
      <c r="F364" s="1">
        <f>IFERROR(__xludf.DUMMYFUNCTION("""COMPUTED_VALUE"""),313314.0)</f>
        <v>313314</v>
      </c>
    </row>
    <row r="365">
      <c r="A365" s="2">
        <f>IFERROR(__xludf.DUMMYFUNCTION("""COMPUTED_VALUE"""),41080.645833333336)</f>
        <v>41080.64583</v>
      </c>
      <c r="B365" s="1">
        <f>IFERROR(__xludf.DUMMYFUNCTION("""COMPUTED_VALUE"""),20800.0)</f>
        <v>20800</v>
      </c>
      <c r="C365" s="1">
        <f>IFERROR(__xludf.DUMMYFUNCTION("""COMPUTED_VALUE"""),21200.0)</f>
        <v>21200</v>
      </c>
      <c r="D365" s="1">
        <f>IFERROR(__xludf.DUMMYFUNCTION("""COMPUTED_VALUE"""),20600.0)</f>
        <v>20600</v>
      </c>
      <c r="E365" s="1">
        <f>IFERROR(__xludf.DUMMYFUNCTION("""COMPUTED_VALUE"""),20960.0)</f>
        <v>20960</v>
      </c>
      <c r="F365" s="1">
        <f>IFERROR(__xludf.DUMMYFUNCTION("""COMPUTED_VALUE"""),216913.0)</f>
        <v>216913</v>
      </c>
    </row>
    <row r="366">
      <c r="A366" s="2">
        <f>IFERROR(__xludf.DUMMYFUNCTION("""COMPUTED_VALUE"""),41081.645833333336)</f>
        <v>41081.64583</v>
      </c>
      <c r="B366" s="1">
        <f>IFERROR(__xludf.DUMMYFUNCTION("""COMPUTED_VALUE"""),21200.0)</f>
        <v>21200</v>
      </c>
      <c r="C366" s="1">
        <f>IFERROR(__xludf.DUMMYFUNCTION("""COMPUTED_VALUE"""),21400.0)</f>
        <v>21400</v>
      </c>
      <c r="D366" s="1">
        <f>IFERROR(__xludf.DUMMYFUNCTION("""COMPUTED_VALUE"""),20780.0)</f>
        <v>20780</v>
      </c>
      <c r="E366" s="1">
        <f>IFERROR(__xludf.DUMMYFUNCTION("""COMPUTED_VALUE"""),20840.0)</f>
        <v>20840</v>
      </c>
      <c r="F366" s="1">
        <f>IFERROR(__xludf.DUMMYFUNCTION("""COMPUTED_VALUE"""),90316.0)</f>
        <v>90316</v>
      </c>
    </row>
    <row r="367">
      <c r="A367" s="2">
        <f>IFERROR(__xludf.DUMMYFUNCTION("""COMPUTED_VALUE"""),41082.645833333336)</f>
        <v>41082.64583</v>
      </c>
      <c r="B367" s="1">
        <f>IFERROR(__xludf.DUMMYFUNCTION("""COMPUTED_VALUE"""),20740.0)</f>
        <v>20740</v>
      </c>
      <c r="C367" s="1">
        <f>IFERROR(__xludf.DUMMYFUNCTION("""COMPUTED_VALUE"""),20760.0)</f>
        <v>20760</v>
      </c>
      <c r="D367" s="1">
        <f>IFERROR(__xludf.DUMMYFUNCTION("""COMPUTED_VALUE"""),20080.0)</f>
        <v>20080</v>
      </c>
      <c r="E367" s="1">
        <f>IFERROR(__xludf.DUMMYFUNCTION("""COMPUTED_VALUE"""),20480.0)</f>
        <v>20480</v>
      </c>
      <c r="F367" s="1">
        <f>IFERROR(__xludf.DUMMYFUNCTION("""COMPUTED_VALUE"""),113979.0)</f>
        <v>113979</v>
      </c>
    </row>
    <row r="368">
      <c r="A368" s="2">
        <f>IFERROR(__xludf.DUMMYFUNCTION("""COMPUTED_VALUE"""),41085.645833333336)</f>
        <v>41085.64583</v>
      </c>
      <c r="B368" s="1">
        <f>IFERROR(__xludf.DUMMYFUNCTION("""COMPUTED_VALUE"""),20640.0)</f>
        <v>20640</v>
      </c>
      <c r="C368" s="1">
        <f>IFERROR(__xludf.DUMMYFUNCTION("""COMPUTED_VALUE"""),21080.0)</f>
        <v>21080</v>
      </c>
      <c r="D368" s="1">
        <f>IFERROR(__xludf.DUMMYFUNCTION("""COMPUTED_VALUE"""),20180.0)</f>
        <v>20180</v>
      </c>
      <c r="E368" s="1">
        <f>IFERROR(__xludf.DUMMYFUNCTION("""COMPUTED_VALUE"""),20820.0)</f>
        <v>20820</v>
      </c>
      <c r="F368" s="1">
        <f>IFERROR(__xludf.DUMMYFUNCTION("""COMPUTED_VALUE"""),119914.0)</f>
        <v>119914</v>
      </c>
    </row>
    <row r="369">
      <c r="A369" s="2">
        <f>IFERROR(__xludf.DUMMYFUNCTION("""COMPUTED_VALUE"""),41086.645833333336)</f>
        <v>41086.64583</v>
      </c>
      <c r="B369" s="1">
        <f>IFERROR(__xludf.DUMMYFUNCTION("""COMPUTED_VALUE"""),20660.0)</f>
        <v>20660</v>
      </c>
      <c r="C369" s="1">
        <f>IFERROR(__xludf.DUMMYFUNCTION("""COMPUTED_VALUE"""),21080.0)</f>
        <v>21080</v>
      </c>
      <c r="D369" s="1">
        <f>IFERROR(__xludf.DUMMYFUNCTION("""COMPUTED_VALUE"""),20520.0)</f>
        <v>20520</v>
      </c>
      <c r="E369" s="1">
        <f>IFERROR(__xludf.DUMMYFUNCTION("""COMPUTED_VALUE"""),20980.0)</f>
        <v>20980</v>
      </c>
      <c r="F369" s="1">
        <f>IFERROR(__xludf.DUMMYFUNCTION("""COMPUTED_VALUE"""),57674.0)</f>
        <v>57674</v>
      </c>
    </row>
    <row r="370">
      <c r="A370" s="2">
        <f>IFERROR(__xludf.DUMMYFUNCTION("""COMPUTED_VALUE"""),41087.645833333336)</f>
        <v>41087.64583</v>
      </c>
      <c r="B370" s="1">
        <f>IFERROR(__xludf.DUMMYFUNCTION("""COMPUTED_VALUE"""),20820.0)</f>
        <v>20820</v>
      </c>
      <c r="C370" s="1">
        <f>IFERROR(__xludf.DUMMYFUNCTION("""COMPUTED_VALUE"""),21200.0)</f>
        <v>21200</v>
      </c>
      <c r="D370" s="1">
        <f>IFERROR(__xludf.DUMMYFUNCTION("""COMPUTED_VALUE"""),20220.0)</f>
        <v>20220</v>
      </c>
      <c r="E370" s="1">
        <f>IFERROR(__xludf.DUMMYFUNCTION("""COMPUTED_VALUE"""),20980.0)</f>
        <v>20980</v>
      </c>
      <c r="F370" s="1">
        <f>IFERROR(__xludf.DUMMYFUNCTION("""COMPUTED_VALUE"""),145191.0)</f>
        <v>145191</v>
      </c>
    </row>
    <row r="371">
      <c r="A371" s="2">
        <f>IFERROR(__xludf.DUMMYFUNCTION("""COMPUTED_VALUE"""),41088.645833333336)</f>
        <v>41088.64583</v>
      </c>
      <c r="B371" s="1">
        <f>IFERROR(__xludf.DUMMYFUNCTION("""COMPUTED_VALUE"""),20940.0)</f>
        <v>20940</v>
      </c>
      <c r="C371" s="1">
        <f>IFERROR(__xludf.DUMMYFUNCTION("""COMPUTED_VALUE"""),21100.0)</f>
        <v>21100</v>
      </c>
      <c r="D371" s="1">
        <f>IFERROR(__xludf.DUMMYFUNCTION("""COMPUTED_VALUE"""),20500.0)</f>
        <v>20500</v>
      </c>
      <c r="E371" s="1">
        <f>IFERROR(__xludf.DUMMYFUNCTION("""COMPUTED_VALUE"""),20880.0)</f>
        <v>20880</v>
      </c>
      <c r="F371" s="1">
        <f>IFERROR(__xludf.DUMMYFUNCTION("""COMPUTED_VALUE"""),114330.0)</f>
        <v>114330</v>
      </c>
    </row>
    <row r="372">
      <c r="A372" s="2">
        <f>IFERROR(__xludf.DUMMYFUNCTION("""COMPUTED_VALUE"""),41089.645833333336)</f>
        <v>41089.64583</v>
      </c>
      <c r="B372" s="1">
        <f>IFERROR(__xludf.DUMMYFUNCTION("""COMPUTED_VALUE"""),20640.0)</f>
        <v>20640</v>
      </c>
      <c r="C372" s="1">
        <f>IFERROR(__xludf.DUMMYFUNCTION("""COMPUTED_VALUE"""),20800.0)</f>
        <v>20800</v>
      </c>
      <c r="D372" s="1">
        <f>IFERROR(__xludf.DUMMYFUNCTION("""COMPUTED_VALUE"""),20460.0)</f>
        <v>20460</v>
      </c>
      <c r="E372" s="1">
        <f>IFERROR(__xludf.DUMMYFUNCTION("""COMPUTED_VALUE"""),20460.0)</f>
        <v>20460</v>
      </c>
      <c r="F372" s="1">
        <f>IFERROR(__xludf.DUMMYFUNCTION("""COMPUTED_VALUE"""),90859.0)</f>
        <v>90859</v>
      </c>
    </row>
    <row r="373">
      <c r="A373" s="2">
        <f>IFERROR(__xludf.DUMMYFUNCTION("""COMPUTED_VALUE"""),41092.645833333336)</f>
        <v>41092.64583</v>
      </c>
      <c r="B373" s="1">
        <f>IFERROR(__xludf.DUMMYFUNCTION("""COMPUTED_VALUE"""),20200.0)</f>
        <v>20200</v>
      </c>
      <c r="C373" s="1">
        <f>IFERROR(__xludf.DUMMYFUNCTION("""COMPUTED_VALUE"""),20840.0)</f>
        <v>20840</v>
      </c>
      <c r="D373" s="1">
        <f>IFERROR(__xludf.DUMMYFUNCTION("""COMPUTED_VALUE"""),20060.0)</f>
        <v>20060</v>
      </c>
      <c r="E373" s="1">
        <f>IFERROR(__xludf.DUMMYFUNCTION("""COMPUTED_VALUE"""),20060.0)</f>
        <v>20060</v>
      </c>
      <c r="F373" s="1">
        <f>IFERROR(__xludf.DUMMYFUNCTION("""COMPUTED_VALUE"""),79952.0)</f>
        <v>79952</v>
      </c>
    </row>
    <row r="374">
      <c r="A374" s="2">
        <f>IFERROR(__xludf.DUMMYFUNCTION("""COMPUTED_VALUE"""),41093.645833333336)</f>
        <v>41093.64583</v>
      </c>
      <c r="B374" s="1">
        <f>IFERROR(__xludf.DUMMYFUNCTION("""COMPUTED_VALUE"""),20120.0)</f>
        <v>20120</v>
      </c>
      <c r="C374" s="1">
        <f>IFERROR(__xludf.DUMMYFUNCTION("""COMPUTED_VALUE"""),20500.0)</f>
        <v>20500</v>
      </c>
      <c r="D374" s="1">
        <f>IFERROR(__xludf.DUMMYFUNCTION("""COMPUTED_VALUE"""),20080.0)</f>
        <v>20080</v>
      </c>
      <c r="E374" s="1">
        <f>IFERROR(__xludf.DUMMYFUNCTION("""COMPUTED_VALUE"""),20400.0)</f>
        <v>20400</v>
      </c>
      <c r="F374" s="1">
        <f>IFERROR(__xludf.DUMMYFUNCTION("""COMPUTED_VALUE"""),59752.0)</f>
        <v>59752</v>
      </c>
    </row>
    <row r="375">
      <c r="A375" s="2">
        <f>IFERROR(__xludf.DUMMYFUNCTION("""COMPUTED_VALUE"""),41094.645833333336)</f>
        <v>41094.64583</v>
      </c>
      <c r="B375" s="1">
        <f>IFERROR(__xludf.DUMMYFUNCTION("""COMPUTED_VALUE"""),20520.0)</f>
        <v>20520</v>
      </c>
      <c r="C375" s="1">
        <f>IFERROR(__xludf.DUMMYFUNCTION("""COMPUTED_VALUE"""),20600.0)</f>
        <v>20600</v>
      </c>
      <c r="D375" s="1">
        <f>IFERROR(__xludf.DUMMYFUNCTION("""COMPUTED_VALUE"""),20140.0)</f>
        <v>20140</v>
      </c>
      <c r="E375" s="1">
        <f>IFERROR(__xludf.DUMMYFUNCTION("""COMPUTED_VALUE"""),20260.0)</f>
        <v>20260</v>
      </c>
      <c r="F375" s="1">
        <f>IFERROR(__xludf.DUMMYFUNCTION("""COMPUTED_VALUE"""),70871.0)</f>
        <v>70871</v>
      </c>
    </row>
    <row r="376">
      <c r="A376" s="2">
        <f>IFERROR(__xludf.DUMMYFUNCTION("""COMPUTED_VALUE"""),41095.645833333336)</f>
        <v>41095.64583</v>
      </c>
      <c r="B376" s="1">
        <f>IFERROR(__xludf.DUMMYFUNCTION("""COMPUTED_VALUE"""),20300.0)</f>
        <v>20300</v>
      </c>
      <c r="C376" s="1">
        <f>IFERROR(__xludf.DUMMYFUNCTION("""COMPUTED_VALUE"""),20560.0)</f>
        <v>20560</v>
      </c>
      <c r="D376" s="1">
        <f>IFERROR(__xludf.DUMMYFUNCTION("""COMPUTED_VALUE"""),20200.0)</f>
        <v>20200</v>
      </c>
      <c r="E376" s="1">
        <f>IFERROR(__xludf.DUMMYFUNCTION("""COMPUTED_VALUE"""),20440.0)</f>
        <v>20440</v>
      </c>
      <c r="F376" s="1">
        <f>IFERROR(__xludf.DUMMYFUNCTION("""COMPUTED_VALUE"""),48256.0)</f>
        <v>48256</v>
      </c>
    </row>
    <row r="377">
      <c r="A377" s="2">
        <f>IFERROR(__xludf.DUMMYFUNCTION("""COMPUTED_VALUE"""),41096.645833333336)</f>
        <v>41096.64583</v>
      </c>
      <c r="B377" s="1">
        <f>IFERROR(__xludf.DUMMYFUNCTION("""COMPUTED_VALUE"""),20380.0)</f>
        <v>20380</v>
      </c>
      <c r="C377" s="1">
        <f>IFERROR(__xludf.DUMMYFUNCTION("""COMPUTED_VALUE"""),20540.0)</f>
        <v>20540</v>
      </c>
      <c r="D377" s="1">
        <f>IFERROR(__xludf.DUMMYFUNCTION("""COMPUTED_VALUE"""),20280.0)</f>
        <v>20280</v>
      </c>
      <c r="E377" s="1">
        <f>IFERROR(__xludf.DUMMYFUNCTION("""COMPUTED_VALUE"""),20540.0)</f>
        <v>20540</v>
      </c>
      <c r="F377" s="1">
        <f>IFERROR(__xludf.DUMMYFUNCTION("""COMPUTED_VALUE"""),26751.0)</f>
        <v>26751</v>
      </c>
    </row>
    <row r="378">
      <c r="A378" s="2">
        <f>IFERROR(__xludf.DUMMYFUNCTION("""COMPUTED_VALUE"""),41099.645833333336)</f>
        <v>41099.64583</v>
      </c>
      <c r="B378" s="1">
        <f>IFERROR(__xludf.DUMMYFUNCTION("""COMPUTED_VALUE"""),20680.0)</f>
        <v>20680</v>
      </c>
      <c r="C378" s="1">
        <f>IFERROR(__xludf.DUMMYFUNCTION("""COMPUTED_VALUE"""),20680.0)</f>
        <v>20680</v>
      </c>
      <c r="D378" s="1">
        <f>IFERROR(__xludf.DUMMYFUNCTION("""COMPUTED_VALUE"""),20200.0)</f>
        <v>20200</v>
      </c>
      <c r="E378" s="1">
        <f>IFERROR(__xludf.DUMMYFUNCTION("""COMPUTED_VALUE"""),20380.0)</f>
        <v>20380</v>
      </c>
      <c r="F378" s="1">
        <f>IFERROR(__xludf.DUMMYFUNCTION("""COMPUTED_VALUE"""),53876.0)</f>
        <v>53876</v>
      </c>
    </row>
    <row r="379">
      <c r="A379" s="2">
        <f>IFERROR(__xludf.DUMMYFUNCTION("""COMPUTED_VALUE"""),41100.645833333336)</f>
        <v>41100.64583</v>
      </c>
      <c r="B379" s="1">
        <f>IFERROR(__xludf.DUMMYFUNCTION("""COMPUTED_VALUE"""),20380.0)</f>
        <v>20380</v>
      </c>
      <c r="C379" s="1">
        <f>IFERROR(__xludf.DUMMYFUNCTION("""COMPUTED_VALUE"""),20560.0)</f>
        <v>20560</v>
      </c>
      <c r="D379" s="1">
        <f>IFERROR(__xludf.DUMMYFUNCTION("""COMPUTED_VALUE"""),20340.0)</f>
        <v>20340</v>
      </c>
      <c r="E379" s="1">
        <f>IFERROR(__xludf.DUMMYFUNCTION("""COMPUTED_VALUE"""),20400.0)</f>
        <v>20400</v>
      </c>
      <c r="F379" s="1">
        <f>IFERROR(__xludf.DUMMYFUNCTION("""COMPUTED_VALUE"""),32993.0)</f>
        <v>32993</v>
      </c>
    </row>
    <row r="380">
      <c r="A380" s="2">
        <f>IFERROR(__xludf.DUMMYFUNCTION("""COMPUTED_VALUE"""),41101.645833333336)</f>
        <v>41101.64583</v>
      </c>
      <c r="B380" s="1">
        <f>IFERROR(__xludf.DUMMYFUNCTION("""COMPUTED_VALUE"""),20540.0)</f>
        <v>20540</v>
      </c>
      <c r="C380" s="1">
        <f>IFERROR(__xludf.DUMMYFUNCTION("""COMPUTED_VALUE"""),21240.0)</f>
        <v>21240</v>
      </c>
      <c r="D380" s="1">
        <f>IFERROR(__xludf.DUMMYFUNCTION("""COMPUTED_VALUE"""),20540.0)</f>
        <v>20540</v>
      </c>
      <c r="E380" s="1">
        <f>IFERROR(__xludf.DUMMYFUNCTION("""COMPUTED_VALUE"""),21100.0)</f>
        <v>21100</v>
      </c>
      <c r="F380" s="1">
        <f>IFERROR(__xludf.DUMMYFUNCTION("""COMPUTED_VALUE"""),189712.0)</f>
        <v>189712</v>
      </c>
    </row>
    <row r="381">
      <c r="A381" s="2">
        <f>IFERROR(__xludf.DUMMYFUNCTION("""COMPUTED_VALUE"""),41102.645833333336)</f>
        <v>41102.64583</v>
      </c>
      <c r="B381" s="1">
        <f>IFERROR(__xludf.DUMMYFUNCTION("""COMPUTED_VALUE"""),21100.0)</f>
        <v>21100</v>
      </c>
      <c r="C381" s="1">
        <f>IFERROR(__xludf.DUMMYFUNCTION("""COMPUTED_VALUE"""),21440.0)</f>
        <v>21440</v>
      </c>
      <c r="D381" s="1">
        <f>IFERROR(__xludf.DUMMYFUNCTION("""COMPUTED_VALUE"""),20400.0)</f>
        <v>20400</v>
      </c>
      <c r="E381" s="1">
        <f>IFERROR(__xludf.DUMMYFUNCTION("""COMPUTED_VALUE"""),20600.0)</f>
        <v>20600</v>
      </c>
      <c r="F381" s="1">
        <f>IFERROR(__xludf.DUMMYFUNCTION("""COMPUTED_VALUE"""),107008.0)</f>
        <v>107008</v>
      </c>
    </row>
    <row r="382">
      <c r="A382" s="2">
        <f>IFERROR(__xludf.DUMMYFUNCTION("""COMPUTED_VALUE"""),41103.645833333336)</f>
        <v>41103.64583</v>
      </c>
      <c r="B382" s="1">
        <f>IFERROR(__xludf.DUMMYFUNCTION("""COMPUTED_VALUE"""),20600.0)</f>
        <v>20600</v>
      </c>
      <c r="C382" s="1">
        <f>IFERROR(__xludf.DUMMYFUNCTION("""COMPUTED_VALUE"""),20800.0)</f>
        <v>20800</v>
      </c>
      <c r="D382" s="1">
        <f>IFERROR(__xludf.DUMMYFUNCTION("""COMPUTED_VALUE"""),19460.0)</f>
        <v>19460</v>
      </c>
      <c r="E382" s="1">
        <f>IFERROR(__xludf.DUMMYFUNCTION("""COMPUTED_VALUE"""),20600.0)</f>
        <v>20600</v>
      </c>
      <c r="F382" s="1">
        <f>IFERROR(__xludf.DUMMYFUNCTION("""COMPUTED_VALUE"""),285751.0)</f>
        <v>285751</v>
      </c>
    </row>
    <row r="383">
      <c r="A383" s="2">
        <f>IFERROR(__xludf.DUMMYFUNCTION("""COMPUTED_VALUE"""),41106.645833333336)</f>
        <v>41106.64583</v>
      </c>
      <c r="B383" s="1">
        <f>IFERROR(__xludf.DUMMYFUNCTION("""COMPUTED_VALUE"""),20600.0)</f>
        <v>20600</v>
      </c>
      <c r="C383" s="1">
        <f>IFERROR(__xludf.DUMMYFUNCTION("""COMPUTED_VALUE"""),20620.0)</f>
        <v>20620</v>
      </c>
      <c r="D383" s="1">
        <f>IFERROR(__xludf.DUMMYFUNCTION("""COMPUTED_VALUE"""),20080.0)</f>
        <v>20080</v>
      </c>
      <c r="E383" s="1">
        <f>IFERROR(__xludf.DUMMYFUNCTION("""COMPUTED_VALUE"""),20200.0)</f>
        <v>20200</v>
      </c>
      <c r="F383" s="1">
        <f>IFERROR(__xludf.DUMMYFUNCTION("""COMPUTED_VALUE"""),89539.0)</f>
        <v>89539</v>
      </c>
    </row>
    <row r="384">
      <c r="A384" s="2">
        <f>IFERROR(__xludf.DUMMYFUNCTION("""COMPUTED_VALUE"""),41107.645833333336)</f>
        <v>41107.64583</v>
      </c>
      <c r="B384" s="1">
        <f>IFERROR(__xludf.DUMMYFUNCTION("""COMPUTED_VALUE"""),20020.0)</f>
        <v>20020</v>
      </c>
      <c r="C384" s="1">
        <f>IFERROR(__xludf.DUMMYFUNCTION("""COMPUTED_VALUE"""),20500.0)</f>
        <v>20500</v>
      </c>
      <c r="D384" s="1">
        <f>IFERROR(__xludf.DUMMYFUNCTION("""COMPUTED_VALUE"""),19980.0)</f>
        <v>19980</v>
      </c>
      <c r="E384" s="1">
        <f>IFERROR(__xludf.DUMMYFUNCTION("""COMPUTED_VALUE"""),20400.0)</f>
        <v>20400</v>
      </c>
      <c r="F384" s="1">
        <f>IFERROR(__xludf.DUMMYFUNCTION("""COMPUTED_VALUE"""),62989.0)</f>
        <v>62989</v>
      </c>
    </row>
    <row r="385">
      <c r="A385" s="2">
        <f>IFERROR(__xludf.DUMMYFUNCTION("""COMPUTED_VALUE"""),41108.645833333336)</f>
        <v>41108.64583</v>
      </c>
      <c r="B385" s="1">
        <f>IFERROR(__xludf.DUMMYFUNCTION("""COMPUTED_VALUE"""),20280.0)</f>
        <v>20280</v>
      </c>
      <c r="C385" s="1">
        <f>IFERROR(__xludf.DUMMYFUNCTION("""COMPUTED_VALUE"""),20420.0)</f>
        <v>20420</v>
      </c>
      <c r="D385" s="1">
        <f>IFERROR(__xludf.DUMMYFUNCTION("""COMPUTED_VALUE"""),19920.0)</f>
        <v>19920</v>
      </c>
      <c r="E385" s="1">
        <f>IFERROR(__xludf.DUMMYFUNCTION("""COMPUTED_VALUE"""),19920.0)</f>
        <v>19920</v>
      </c>
      <c r="F385" s="1">
        <f>IFERROR(__xludf.DUMMYFUNCTION("""COMPUTED_VALUE"""),56582.0)</f>
        <v>56582</v>
      </c>
    </row>
    <row r="386">
      <c r="A386" s="2">
        <f>IFERROR(__xludf.DUMMYFUNCTION("""COMPUTED_VALUE"""),41109.645833333336)</f>
        <v>41109.64583</v>
      </c>
      <c r="B386" s="1">
        <f>IFERROR(__xludf.DUMMYFUNCTION("""COMPUTED_VALUE"""),20140.0)</f>
        <v>20140</v>
      </c>
      <c r="C386" s="1">
        <f>IFERROR(__xludf.DUMMYFUNCTION("""COMPUTED_VALUE"""),20560.0)</f>
        <v>20560</v>
      </c>
      <c r="D386" s="1">
        <f>IFERROR(__xludf.DUMMYFUNCTION("""COMPUTED_VALUE"""),20100.0)</f>
        <v>20100</v>
      </c>
      <c r="E386" s="1">
        <f>IFERROR(__xludf.DUMMYFUNCTION("""COMPUTED_VALUE"""),20560.0)</f>
        <v>20560</v>
      </c>
      <c r="F386" s="1">
        <f>IFERROR(__xludf.DUMMYFUNCTION("""COMPUTED_VALUE"""),88637.0)</f>
        <v>88637</v>
      </c>
    </row>
    <row r="387">
      <c r="A387" s="2">
        <f>IFERROR(__xludf.DUMMYFUNCTION("""COMPUTED_VALUE"""),41110.645833333336)</f>
        <v>41110.64583</v>
      </c>
      <c r="B387" s="1">
        <f>IFERROR(__xludf.DUMMYFUNCTION("""COMPUTED_VALUE"""),20560.0)</f>
        <v>20560</v>
      </c>
      <c r="C387" s="1">
        <f>IFERROR(__xludf.DUMMYFUNCTION("""COMPUTED_VALUE"""),21060.0)</f>
        <v>21060</v>
      </c>
      <c r="D387" s="1">
        <f>IFERROR(__xludf.DUMMYFUNCTION("""COMPUTED_VALUE"""),20340.0)</f>
        <v>20340</v>
      </c>
      <c r="E387" s="1">
        <f>IFERROR(__xludf.DUMMYFUNCTION("""COMPUTED_VALUE"""),20700.0)</f>
        <v>20700</v>
      </c>
      <c r="F387" s="1">
        <f>IFERROR(__xludf.DUMMYFUNCTION("""COMPUTED_VALUE"""),96433.0)</f>
        <v>96433</v>
      </c>
    </row>
    <row r="388">
      <c r="A388" s="2">
        <f>IFERROR(__xludf.DUMMYFUNCTION("""COMPUTED_VALUE"""),41113.645833333336)</f>
        <v>41113.64583</v>
      </c>
      <c r="B388" s="1">
        <f>IFERROR(__xludf.DUMMYFUNCTION("""COMPUTED_VALUE"""),20600.0)</f>
        <v>20600</v>
      </c>
      <c r="C388" s="1">
        <f>IFERROR(__xludf.DUMMYFUNCTION("""COMPUTED_VALUE"""),20940.0)</f>
        <v>20940</v>
      </c>
      <c r="D388" s="1">
        <f>IFERROR(__xludf.DUMMYFUNCTION("""COMPUTED_VALUE"""),20520.0)</f>
        <v>20520</v>
      </c>
      <c r="E388" s="1">
        <f>IFERROR(__xludf.DUMMYFUNCTION("""COMPUTED_VALUE"""),20840.0)</f>
        <v>20840</v>
      </c>
      <c r="F388" s="1">
        <f>IFERROR(__xludf.DUMMYFUNCTION("""COMPUTED_VALUE"""),130317.0)</f>
        <v>130317</v>
      </c>
    </row>
    <row r="389">
      <c r="A389" s="2">
        <f>IFERROR(__xludf.DUMMYFUNCTION("""COMPUTED_VALUE"""),41114.645833333336)</f>
        <v>41114.64583</v>
      </c>
      <c r="B389" s="1">
        <f>IFERROR(__xludf.DUMMYFUNCTION("""COMPUTED_VALUE"""),20760.0)</f>
        <v>20760</v>
      </c>
      <c r="C389" s="1">
        <f>IFERROR(__xludf.DUMMYFUNCTION("""COMPUTED_VALUE"""),21960.0)</f>
        <v>21960</v>
      </c>
      <c r="D389" s="1">
        <f>IFERROR(__xludf.DUMMYFUNCTION("""COMPUTED_VALUE"""),20720.0)</f>
        <v>20720</v>
      </c>
      <c r="E389" s="1">
        <f>IFERROR(__xludf.DUMMYFUNCTION("""COMPUTED_VALUE"""),21940.0)</f>
        <v>21940</v>
      </c>
      <c r="F389" s="1">
        <f>IFERROR(__xludf.DUMMYFUNCTION("""COMPUTED_VALUE"""),148814.0)</f>
        <v>148814</v>
      </c>
    </row>
    <row r="390">
      <c r="A390" s="2">
        <f>IFERROR(__xludf.DUMMYFUNCTION("""COMPUTED_VALUE"""),41115.645833333336)</f>
        <v>41115.64583</v>
      </c>
      <c r="B390" s="1">
        <f>IFERROR(__xludf.DUMMYFUNCTION("""COMPUTED_VALUE"""),21880.0)</f>
        <v>21880</v>
      </c>
      <c r="C390" s="1">
        <f>IFERROR(__xludf.DUMMYFUNCTION("""COMPUTED_VALUE"""),22520.0)</f>
        <v>22520</v>
      </c>
      <c r="D390" s="1">
        <f>IFERROR(__xludf.DUMMYFUNCTION("""COMPUTED_VALUE"""),21440.0)</f>
        <v>21440</v>
      </c>
      <c r="E390" s="1">
        <f>IFERROR(__xludf.DUMMYFUNCTION("""COMPUTED_VALUE"""),21900.0)</f>
        <v>21900</v>
      </c>
      <c r="F390" s="1">
        <f>IFERROR(__xludf.DUMMYFUNCTION("""COMPUTED_VALUE"""),128430.0)</f>
        <v>128430</v>
      </c>
    </row>
    <row r="391">
      <c r="A391" s="2">
        <f>IFERROR(__xludf.DUMMYFUNCTION("""COMPUTED_VALUE"""),41116.645833333336)</f>
        <v>41116.64583</v>
      </c>
      <c r="B391" s="1">
        <f>IFERROR(__xludf.DUMMYFUNCTION("""COMPUTED_VALUE"""),22020.0)</f>
        <v>22020</v>
      </c>
      <c r="C391" s="1">
        <f>IFERROR(__xludf.DUMMYFUNCTION("""COMPUTED_VALUE"""),22120.0)</f>
        <v>22120</v>
      </c>
      <c r="D391" s="1">
        <f>IFERROR(__xludf.DUMMYFUNCTION("""COMPUTED_VALUE"""),21560.0)</f>
        <v>21560</v>
      </c>
      <c r="E391" s="1">
        <f>IFERROR(__xludf.DUMMYFUNCTION("""COMPUTED_VALUE"""),21880.0)</f>
        <v>21880</v>
      </c>
      <c r="F391" s="1">
        <f>IFERROR(__xludf.DUMMYFUNCTION("""COMPUTED_VALUE"""),94101.0)</f>
        <v>94101</v>
      </c>
    </row>
    <row r="392">
      <c r="A392" s="2">
        <f>IFERROR(__xludf.DUMMYFUNCTION("""COMPUTED_VALUE"""),41117.645833333336)</f>
        <v>41117.64583</v>
      </c>
      <c r="B392" s="1">
        <f>IFERROR(__xludf.DUMMYFUNCTION("""COMPUTED_VALUE"""),22000.0)</f>
        <v>22000</v>
      </c>
      <c r="C392" s="1">
        <f>IFERROR(__xludf.DUMMYFUNCTION("""COMPUTED_VALUE"""),22140.0)</f>
        <v>22140</v>
      </c>
      <c r="D392" s="1">
        <f>IFERROR(__xludf.DUMMYFUNCTION("""COMPUTED_VALUE"""),21280.0)</f>
        <v>21280</v>
      </c>
      <c r="E392" s="1">
        <f>IFERROR(__xludf.DUMMYFUNCTION("""COMPUTED_VALUE"""),22140.0)</f>
        <v>22140</v>
      </c>
      <c r="F392" s="1">
        <f>IFERROR(__xludf.DUMMYFUNCTION("""COMPUTED_VALUE"""),177553.0)</f>
        <v>177553</v>
      </c>
    </row>
    <row r="393">
      <c r="A393" s="2">
        <f>IFERROR(__xludf.DUMMYFUNCTION("""COMPUTED_VALUE"""),41120.645833333336)</f>
        <v>41120.64583</v>
      </c>
      <c r="B393" s="1">
        <f>IFERROR(__xludf.DUMMYFUNCTION("""COMPUTED_VALUE"""),21900.0)</f>
        <v>21900</v>
      </c>
      <c r="C393" s="1">
        <f>IFERROR(__xludf.DUMMYFUNCTION("""COMPUTED_VALUE"""),22300.0)</f>
        <v>22300</v>
      </c>
      <c r="D393" s="1">
        <f>IFERROR(__xludf.DUMMYFUNCTION("""COMPUTED_VALUE"""),21540.0)</f>
        <v>21540</v>
      </c>
      <c r="E393" s="1">
        <f>IFERROR(__xludf.DUMMYFUNCTION("""COMPUTED_VALUE"""),22000.0)</f>
        <v>22000</v>
      </c>
      <c r="F393" s="1">
        <f>IFERROR(__xludf.DUMMYFUNCTION("""COMPUTED_VALUE"""),86272.0)</f>
        <v>86272</v>
      </c>
    </row>
    <row r="394">
      <c r="A394" s="2">
        <f>IFERROR(__xludf.DUMMYFUNCTION("""COMPUTED_VALUE"""),41121.645833333336)</f>
        <v>41121.64583</v>
      </c>
      <c r="B394" s="1">
        <f>IFERROR(__xludf.DUMMYFUNCTION("""COMPUTED_VALUE"""),22000.0)</f>
        <v>22000</v>
      </c>
      <c r="C394" s="1">
        <f>IFERROR(__xludf.DUMMYFUNCTION("""COMPUTED_VALUE"""),22540.0)</f>
        <v>22540</v>
      </c>
      <c r="D394" s="1">
        <f>IFERROR(__xludf.DUMMYFUNCTION("""COMPUTED_VALUE"""),21740.0)</f>
        <v>21740</v>
      </c>
      <c r="E394" s="1">
        <f>IFERROR(__xludf.DUMMYFUNCTION("""COMPUTED_VALUE"""),22120.0)</f>
        <v>22120</v>
      </c>
      <c r="F394" s="1">
        <f>IFERROR(__xludf.DUMMYFUNCTION("""COMPUTED_VALUE"""),132858.0)</f>
        <v>132858</v>
      </c>
    </row>
    <row r="395">
      <c r="A395" s="2">
        <f>IFERROR(__xludf.DUMMYFUNCTION("""COMPUTED_VALUE"""),41122.645833333336)</f>
        <v>41122.64583</v>
      </c>
      <c r="B395" s="1">
        <f>IFERROR(__xludf.DUMMYFUNCTION("""COMPUTED_VALUE"""),21940.0)</f>
        <v>21940</v>
      </c>
      <c r="C395" s="1">
        <f>IFERROR(__xludf.DUMMYFUNCTION("""COMPUTED_VALUE"""),22080.0)</f>
        <v>22080</v>
      </c>
      <c r="D395" s="1">
        <f>IFERROR(__xludf.DUMMYFUNCTION("""COMPUTED_VALUE"""),21720.0)</f>
        <v>21720</v>
      </c>
      <c r="E395" s="1">
        <f>IFERROR(__xludf.DUMMYFUNCTION("""COMPUTED_VALUE"""),22080.0)</f>
        <v>22080</v>
      </c>
      <c r="F395" s="1">
        <f>IFERROR(__xludf.DUMMYFUNCTION("""COMPUTED_VALUE"""),88787.0)</f>
        <v>88787</v>
      </c>
    </row>
    <row r="396">
      <c r="A396" s="2">
        <f>IFERROR(__xludf.DUMMYFUNCTION("""COMPUTED_VALUE"""),41123.645833333336)</f>
        <v>41123.64583</v>
      </c>
      <c r="B396" s="1">
        <f>IFERROR(__xludf.DUMMYFUNCTION("""COMPUTED_VALUE"""),21900.0)</f>
        <v>21900</v>
      </c>
      <c r="C396" s="1">
        <f>IFERROR(__xludf.DUMMYFUNCTION("""COMPUTED_VALUE"""),22420.0)</f>
        <v>22420</v>
      </c>
      <c r="D396" s="1">
        <f>IFERROR(__xludf.DUMMYFUNCTION("""COMPUTED_VALUE"""),21900.0)</f>
        <v>21900</v>
      </c>
      <c r="E396" s="1">
        <f>IFERROR(__xludf.DUMMYFUNCTION("""COMPUTED_VALUE"""),22360.0)</f>
        <v>22360</v>
      </c>
      <c r="F396" s="1">
        <f>IFERROR(__xludf.DUMMYFUNCTION("""COMPUTED_VALUE"""),64142.0)</f>
        <v>64142</v>
      </c>
    </row>
    <row r="397">
      <c r="A397" s="2">
        <f>IFERROR(__xludf.DUMMYFUNCTION("""COMPUTED_VALUE"""),41124.645833333336)</f>
        <v>41124.64583</v>
      </c>
      <c r="B397" s="1">
        <f>IFERROR(__xludf.DUMMYFUNCTION("""COMPUTED_VALUE"""),22020.0)</f>
        <v>22020</v>
      </c>
      <c r="C397" s="1">
        <f>IFERROR(__xludf.DUMMYFUNCTION("""COMPUTED_VALUE"""),22560.0)</f>
        <v>22560</v>
      </c>
      <c r="D397" s="1">
        <f>IFERROR(__xludf.DUMMYFUNCTION("""COMPUTED_VALUE"""),22020.0)</f>
        <v>22020</v>
      </c>
      <c r="E397" s="1">
        <f>IFERROR(__xludf.DUMMYFUNCTION("""COMPUTED_VALUE"""),22440.0)</f>
        <v>22440</v>
      </c>
      <c r="F397" s="1">
        <f>IFERROR(__xludf.DUMMYFUNCTION("""COMPUTED_VALUE"""),66185.0)</f>
        <v>66185</v>
      </c>
    </row>
    <row r="398">
      <c r="A398" s="2">
        <f>IFERROR(__xludf.DUMMYFUNCTION("""COMPUTED_VALUE"""),41127.645833333336)</f>
        <v>41127.64583</v>
      </c>
      <c r="B398" s="1">
        <f>IFERROR(__xludf.DUMMYFUNCTION("""COMPUTED_VALUE"""),22440.0)</f>
        <v>22440</v>
      </c>
      <c r="C398" s="1">
        <f>IFERROR(__xludf.DUMMYFUNCTION("""COMPUTED_VALUE"""),22600.0)</f>
        <v>22600</v>
      </c>
      <c r="D398" s="1">
        <f>IFERROR(__xludf.DUMMYFUNCTION("""COMPUTED_VALUE"""),22120.0)</f>
        <v>22120</v>
      </c>
      <c r="E398" s="1">
        <f>IFERROR(__xludf.DUMMYFUNCTION("""COMPUTED_VALUE"""),22360.0)</f>
        <v>22360</v>
      </c>
      <c r="F398" s="1">
        <f>IFERROR(__xludf.DUMMYFUNCTION("""COMPUTED_VALUE"""),103018.0)</f>
        <v>103018</v>
      </c>
    </row>
    <row r="399">
      <c r="A399" s="2">
        <f>IFERROR(__xludf.DUMMYFUNCTION("""COMPUTED_VALUE"""),41128.645833333336)</f>
        <v>41128.64583</v>
      </c>
      <c r="B399" s="1">
        <f>IFERROR(__xludf.DUMMYFUNCTION("""COMPUTED_VALUE"""),22180.0)</f>
        <v>22180</v>
      </c>
      <c r="C399" s="1">
        <f>IFERROR(__xludf.DUMMYFUNCTION("""COMPUTED_VALUE"""),22340.0)</f>
        <v>22340</v>
      </c>
      <c r="D399" s="1">
        <f>IFERROR(__xludf.DUMMYFUNCTION("""COMPUTED_VALUE"""),21520.0)</f>
        <v>21520</v>
      </c>
      <c r="E399" s="1">
        <f>IFERROR(__xludf.DUMMYFUNCTION("""COMPUTED_VALUE"""),21520.0)</f>
        <v>21520</v>
      </c>
      <c r="F399" s="1">
        <f>IFERROR(__xludf.DUMMYFUNCTION("""COMPUTED_VALUE"""),83735.0)</f>
        <v>83735</v>
      </c>
    </row>
    <row r="400">
      <c r="A400" s="2">
        <f>IFERROR(__xludf.DUMMYFUNCTION("""COMPUTED_VALUE"""),41129.645833333336)</f>
        <v>41129.64583</v>
      </c>
      <c r="B400" s="1">
        <f>IFERROR(__xludf.DUMMYFUNCTION("""COMPUTED_VALUE"""),21800.0)</f>
        <v>21800</v>
      </c>
      <c r="C400" s="1">
        <f>IFERROR(__xludf.DUMMYFUNCTION("""COMPUTED_VALUE"""),21980.0)</f>
        <v>21980</v>
      </c>
      <c r="D400" s="1">
        <f>IFERROR(__xludf.DUMMYFUNCTION("""COMPUTED_VALUE"""),20720.0)</f>
        <v>20720</v>
      </c>
      <c r="E400" s="1">
        <f>IFERROR(__xludf.DUMMYFUNCTION("""COMPUTED_VALUE"""),20760.0)</f>
        <v>20760</v>
      </c>
      <c r="F400" s="1">
        <f>IFERROR(__xludf.DUMMYFUNCTION("""COMPUTED_VALUE"""),177247.0)</f>
        <v>177247</v>
      </c>
    </row>
    <row r="401">
      <c r="A401" s="2">
        <f>IFERROR(__xludf.DUMMYFUNCTION("""COMPUTED_VALUE"""),41130.645833333336)</f>
        <v>41130.64583</v>
      </c>
      <c r="B401" s="1">
        <f>IFERROR(__xludf.DUMMYFUNCTION("""COMPUTED_VALUE"""),20840.0)</f>
        <v>20840</v>
      </c>
      <c r="C401" s="1">
        <f>IFERROR(__xludf.DUMMYFUNCTION("""COMPUTED_VALUE"""),21060.0)</f>
        <v>21060</v>
      </c>
      <c r="D401" s="1">
        <f>IFERROR(__xludf.DUMMYFUNCTION("""COMPUTED_VALUE"""),20580.0)</f>
        <v>20580</v>
      </c>
      <c r="E401" s="1">
        <f>IFERROR(__xludf.DUMMYFUNCTION("""COMPUTED_VALUE"""),20720.0)</f>
        <v>20720</v>
      </c>
      <c r="F401" s="1">
        <f>IFERROR(__xludf.DUMMYFUNCTION("""COMPUTED_VALUE"""),96412.0)</f>
        <v>96412</v>
      </c>
    </row>
    <row r="402">
      <c r="A402" s="2">
        <f>IFERROR(__xludf.DUMMYFUNCTION("""COMPUTED_VALUE"""),41131.645833333336)</f>
        <v>41131.64583</v>
      </c>
      <c r="B402" s="1">
        <f>IFERROR(__xludf.DUMMYFUNCTION("""COMPUTED_VALUE"""),20980.0)</f>
        <v>20980</v>
      </c>
      <c r="C402" s="1">
        <f>IFERROR(__xludf.DUMMYFUNCTION("""COMPUTED_VALUE"""),21100.0)</f>
        <v>21100</v>
      </c>
      <c r="D402" s="1">
        <f>IFERROR(__xludf.DUMMYFUNCTION("""COMPUTED_VALUE"""),20460.0)</f>
        <v>20460</v>
      </c>
      <c r="E402" s="1">
        <f>IFERROR(__xludf.DUMMYFUNCTION("""COMPUTED_VALUE"""),20500.0)</f>
        <v>20500</v>
      </c>
      <c r="F402" s="1">
        <f>IFERROR(__xludf.DUMMYFUNCTION("""COMPUTED_VALUE"""),227016.0)</f>
        <v>227016</v>
      </c>
    </row>
    <row r="403">
      <c r="A403" s="2">
        <f>IFERROR(__xludf.DUMMYFUNCTION("""COMPUTED_VALUE"""),41134.645833333336)</f>
        <v>41134.64583</v>
      </c>
      <c r="B403" s="1">
        <f>IFERROR(__xludf.DUMMYFUNCTION("""COMPUTED_VALUE"""),20580.0)</f>
        <v>20580</v>
      </c>
      <c r="C403" s="1">
        <f>IFERROR(__xludf.DUMMYFUNCTION("""COMPUTED_VALUE"""),21020.0)</f>
        <v>21020</v>
      </c>
      <c r="D403" s="1">
        <f>IFERROR(__xludf.DUMMYFUNCTION("""COMPUTED_VALUE"""),20460.0)</f>
        <v>20460</v>
      </c>
      <c r="E403" s="1">
        <f>IFERROR(__xludf.DUMMYFUNCTION("""COMPUTED_VALUE"""),20700.0)</f>
        <v>20700</v>
      </c>
      <c r="F403" s="1">
        <f>IFERROR(__xludf.DUMMYFUNCTION("""COMPUTED_VALUE"""),141455.0)</f>
        <v>141455</v>
      </c>
    </row>
    <row r="404">
      <c r="A404" s="2">
        <f>IFERROR(__xludf.DUMMYFUNCTION("""COMPUTED_VALUE"""),41135.645833333336)</f>
        <v>41135.64583</v>
      </c>
      <c r="B404" s="1">
        <f>IFERROR(__xludf.DUMMYFUNCTION("""COMPUTED_VALUE"""),20860.0)</f>
        <v>20860</v>
      </c>
      <c r="C404" s="1">
        <f>IFERROR(__xludf.DUMMYFUNCTION("""COMPUTED_VALUE"""),20940.0)</f>
        <v>20940</v>
      </c>
      <c r="D404" s="1">
        <f>IFERROR(__xludf.DUMMYFUNCTION("""COMPUTED_VALUE"""),20560.0)</f>
        <v>20560</v>
      </c>
      <c r="E404" s="1">
        <f>IFERROR(__xludf.DUMMYFUNCTION("""COMPUTED_VALUE"""),20740.0)</f>
        <v>20740</v>
      </c>
      <c r="F404" s="1">
        <f>IFERROR(__xludf.DUMMYFUNCTION("""COMPUTED_VALUE"""),128411.0)</f>
        <v>128411</v>
      </c>
    </row>
    <row r="405">
      <c r="A405" s="2">
        <f>IFERROR(__xludf.DUMMYFUNCTION("""COMPUTED_VALUE"""),41137.645833333336)</f>
        <v>41137.64583</v>
      </c>
      <c r="B405" s="1">
        <f>IFERROR(__xludf.DUMMYFUNCTION("""COMPUTED_VALUE"""),20700.0)</f>
        <v>20700</v>
      </c>
      <c r="C405" s="1">
        <f>IFERROR(__xludf.DUMMYFUNCTION("""COMPUTED_VALUE"""),20900.0)</f>
        <v>20900</v>
      </c>
      <c r="D405" s="1">
        <f>IFERROR(__xludf.DUMMYFUNCTION("""COMPUTED_VALUE"""),20580.0)</f>
        <v>20580</v>
      </c>
      <c r="E405" s="1">
        <f>IFERROR(__xludf.DUMMYFUNCTION("""COMPUTED_VALUE"""),20780.0)</f>
        <v>20780</v>
      </c>
      <c r="F405" s="1">
        <f>IFERROR(__xludf.DUMMYFUNCTION("""COMPUTED_VALUE"""),85654.0)</f>
        <v>85654</v>
      </c>
    </row>
    <row r="406">
      <c r="A406" s="2">
        <f>IFERROR(__xludf.DUMMYFUNCTION("""COMPUTED_VALUE"""),41138.645833333336)</f>
        <v>41138.64583</v>
      </c>
      <c r="B406" s="1">
        <f>IFERROR(__xludf.DUMMYFUNCTION("""COMPUTED_VALUE"""),20900.0)</f>
        <v>20900</v>
      </c>
      <c r="C406" s="1">
        <f>IFERROR(__xludf.DUMMYFUNCTION("""COMPUTED_VALUE"""),21440.0)</f>
        <v>21440</v>
      </c>
      <c r="D406" s="1">
        <f>IFERROR(__xludf.DUMMYFUNCTION("""COMPUTED_VALUE"""),20800.0)</f>
        <v>20800</v>
      </c>
      <c r="E406" s="1">
        <f>IFERROR(__xludf.DUMMYFUNCTION("""COMPUTED_VALUE"""),21400.0)</f>
        <v>21400</v>
      </c>
      <c r="F406" s="1">
        <f>IFERROR(__xludf.DUMMYFUNCTION("""COMPUTED_VALUE"""),176066.0)</f>
        <v>176066</v>
      </c>
    </row>
    <row r="407">
      <c r="A407" s="2">
        <f>IFERROR(__xludf.DUMMYFUNCTION("""COMPUTED_VALUE"""),41141.645833333336)</f>
        <v>41141.64583</v>
      </c>
      <c r="B407" s="1">
        <f>IFERROR(__xludf.DUMMYFUNCTION("""COMPUTED_VALUE"""),21440.0)</f>
        <v>21440</v>
      </c>
      <c r="C407" s="1">
        <f>IFERROR(__xludf.DUMMYFUNCTION("""COMPUTED_VALUE"""),21620.0)</f>
        <v>21620</v>
      </c>
      <c r="D407" s="1">
        <f>IFERROR(__xludf.DUMMYFUNCTION("""COMPUTED_VALUE"""),21100.0)</f>
        <v>21100</v>
      </c>
      <c r="E407" s="1">
        <f>IFERROR(__xludf.DUMMYFUNCTION("""COMPUTED_VALUE"""),21400.0)</f>
        <v>21400</v>
      </c>
      <c r="F407" s="1">
        <f>IFERROR(__xludf.DUMMYFUNCTION("""COMPUTED_VALUE"""),117278.0)</f>
        <v>117278</v>
      </c>
    </row>
    <row r="408">
      <c r="A408" s="2">
        <f>IFERROR(__xludf.DUMMYFUNCTION("""COMPUTED_VALUE"""),41142.645833333336)</f>
        <v>41142.64583</v>
      </c>
      <c r="B408" s="1">
        <f>IFERROR(__xludf.DUMMYFUNCTION("""COMPUTED_VALUE"""),21380.0)</f>
        <v>21380</v>
      </c>
      <c r="C408" s="1">
        <f>IFERROR(__xludf.DUMMYFUNCTION("""COMPUTED_VALUE"""),21400.0)</f>
        <v>21400</v>
      </c>
      <c r="D408" s="1">
        <f>IFERROR(__xludf.DUMMYFUNCTION("""COMPUTED_VALUE"""),21060.0)</f>
        <v>21060</v>
      </c>
      <c r="E408" s="1">
        <f>IFERROR(__xludf.DUMMYFUNCTION("""COMPUTED_VALUE"""),21400.0)</f>
        <v>21400</v>
      </c>
      <c r="F408" s="1">
        <f>IFERROR(__xludf.DUMMYFUNCTION("""COMPUTED_VALUE"""),85447.0)</f>
        <v>85447</v>
      </c>
    </row>
    <row r="409">
      <c r="A409" s="2">
        <f>IFERROR(__xludf.DUMMYFUNCTION("""COMPUTED_VALUE"""),41143.645833333336)</f>
        <v>41143.64583</v>
      </c>
      <c r="B409" s="1">
        <f>IFERROR(__xludf.DUMMYFUNCTION("""COMPUTED_VALUE"""),21400.0)</f>
        <v>21400</v>
      </c>
      <c r="C409" s="1">
        <f>IFERROR(__xludf.DUMMYFUNCTION("""COMPUTED_VALUE"""),21500.0)</f>
        <v>21500</v>
      </c>
      <c r="D409" s="1">
        <f>IFERROR(__xludf.DUMMYFUNCTION("""COMPUTED_VALUE"""),20680.0)</f>
        <v>20680</v>
      </c>
      <c r="E409" s="1">
        <f>IFERROR(__xludf.DUMMYFUNCTION("""COMPUTED_VALUE"""),20780.0)</f>
        <v>20780</v>
      </c>
      <c r="F409" s="1">
        <f>IFERROR(__xludf.DUMMYFUNCTION("""COMPUTED_VALUE"""),150845.0)</f>
        <v>150845</v>
      </c>
    </row>
    <row r="410">
      <c r="A410" s="2">
        <f>IFERROR(__xludf.DUMMYFUNCTION("""COMPUTED_VALUE"""),41144.645833333336)</f>
        <v>41144.64583</v>
      </c>
      <c r="B410" s="1">
        <f>IFERROR(__xludf.DUMMYFUNCTION("""COMPUTED_VALUE"""),20840.0)</f>
        <v>20840</v>
      </c>
      <c r="C410" s="1">
        <f>IFERROR(__xludf.DUMMYFUNCTION("""COMPUTED_VALUE"""),21080.0)</f>
        <v>21080</v>
      </c>
      <c r="D410" s="1">
        <f>IFERROR(__xludf.DUMMYFUNCTION("""COMPUTED_VALUE"""),20560.0)</f>
        <v>20560</v>
      </c>
      <c r="E410" s="1">
        <f>IFERROR(__xludf.DUMMYFUNCTION("""COMPUTED_VALUE"""),21080.0)</f>
        <v>21080</v>
      </c>
      <c r="F410" s="1">
        <f>IFERROR(__xludf.DUMMYFUNCTION("""COMPUTED_VALUE"""),116878.0)</f>
        <v>116878</v>
      </c>
    </row>
    <row r="411">
      <c r="A411" s="2">
        <f>IFERROR(__xludf.DUMMYFUNCTION("""COMPUTED_VALUE"""),41145.645833333336)</f>
        <v>41145.64583</v>
      </c>
      <c r="B411" s="1">
        <f>IFERROR(__xludf.DUMMYFUNCTION("""COMPUTED_VALUE"""),20860.0)</f>
        <v>20860</v>
      </c>
      <c r="C411" s="1">
        <f>IFERROR(__xludf.DUMMYFUNCTION("""COMPUTED_VALUE"""),21200.0)</f>
        <v>21200</v>
      </c>
      <c r="D411" s="1">
        <f>IFERROR(__xludf.DUMMYFUNCTION("""COMPUTED_VALUE"""),20620.0)</f>
        <v>20620</v>
      </c>
      <c r="E411" s="1">
        <f>IFERROR(__xludf.DUMMYFUNCTION("""COMPUTED_VALUE"""),20620.0)</f>
        <v>20620</v>
      </c>
      <c r="F411" s="1">
        <f>IFERROR(__xludf.DUMMYFUNCTION("""COMPUTED_VALUE"""),106665.0)</f>
        <v>106665</v>
      </c>
    </row>
    <row r="412">
      <c r="A412" s="2">
        <f>IFERROR(__xludf.DUMMYFUNCTION("""COMPUTED_VALUE"""),41148.645833333336)</f>
        <v>41148.64583</v>
      </c>
      <c r="B412" s="1">
        <f>IFERROR(__xludf.DUMMYFUNCTION("""COMPUTED_VALUE"""),20620.0)</f>
        <v>20620</v>
      </c>
      <c r="C412" s="1">
        <f>IFERROR(__xludf.DUMMYFUNCTION("""COMPUTED_VALUE"""),21180.0)</f>
        <v>21180</v>
      </c>
      <c r="D412" s="1">
        <f>IFERROR(__xludf.DUMMYFUNCTION("""COMPUTED_VALUE"""),20620.0)</f>
        <v>20620</v>
      </c>
      <c r="E412" s="1">
        <f>IFERROR(__xludf.DUMMYFUNCTION("""COMPUTED_VALUE"""),21180.0)</f>
        <v>21180</v>
      </c>
      <c r="F412" s="1">
        <f>IFERROR(__xludf.DUMMYFUNCTION("""COMPUTED_VALUE"""),93137.0)</f>
        <v>93137</v>
      </c>
    </row>
    <row r="413">
      <c r="A413" s="2">
        <f>IFERROR(__xludf.DUMMYFUNCTION("""COMPUTED_VALUE"""),41149.645833333336)</f>
        <v>41149.64583</v>
      </c>
      <c r="B413" s="1">
        <f>IFERROR(__xludf.DUMMYFUNCTION("""COMPUTED_VALUE"""),21120.0)</f>
        <v>21120</v>
      </c>
      <c r="C413" s="1">
        <f>IFERROR(__xludf.DUMMYFUNCTION("""COMPUTED_VALUE"""),21380.0)</f>
        <v>21380</v>
      </c>
      <c r="D413" s="1">
        <f>IFERROR(__xludf.DUMMYFUNCTION("""COMPUTED_VALUE"""),20840.0)</f>
        <v>20840</v>
      </c>
      <c r="E413" s="1">
        <f>IFERROR(__xludf.DUMMYFUNCTION("""COMPUTED_VALUE"""),21280.0)</f>
        <v>21280</v>
      </c>
      <c r="F413" s="1">
        <f>IFERROR(__xludf.DUMMYFUNCTION("""COMPUTED_VALUE"""),102619.0)</f>
        <v>102619</v>
      </c>
    </row>
    <row r="414">
      <c r="A414" s="2">
        <f>IFERROR(__xludf.DUMMYFUNCTION("""COMPUTED_VALUE"""),41150.645833333336)</f>
        <v>41150.64583</v>
      </c>
      <c r="B414" s="1">
        <f>IFERROR(__xludf.DUMMYFUNCTION("""COMPUTED_VALUE"""),21300.0)</f>
        <v>21300</v>
      </c>
      <c r="C414" s="1">
        <f>IFERROR(__xludf.DUMMYFUNCTION("""COMPUTED_VALUE"""),21920.0)</f>
        <v>21920</v>
      </c>
      <c r="D414" s="1">
        <f>IFERROR(__xludf.DUMMYFUNCTION("""COMPUTED_VALUE"""),21160.0)</f>
        <v>21160</v>
      </c>
      <c r="E414" s="1">
        <f>IFERROR(__xludf.DUMMYFUNCTION("""COMPUTED_VALUE"""),21920.0)</f>
        <v>21920</v>
      </c>
      <c r="F414" s="1">
        <f>IFERROR(__xludf.DUMMYFUNCTION("""COMPUTED_VALUE"""),170277.0)</f>
        <v>170277</v>
      </c>
    </row>
    <row r="415">
      <c r="A415" s="2">
        <f>IFERROR(__xludf.DUMMYFUNCTION("""COMPUTED_VALUE"""),41151.645833333336)</f>
        <v>41151.64583</v>
      </c>
      <c r="B415" s="1">
        <f>IFERROR(__xludf.DUMMYFUNCTION("""COMPUTED_VALUE"""),22000.0)</f>
        <v>22000</v>
      </c>
      <c r="C415" s="1">
        <f>IFERROR(__xludf.DUMMYFUNCTION("""COMPUTED_VALUE"""),22120.0)</f>
        <v>22120</v>
      </c>
      <c r="D415" s="1">
        <f>IFERROR(__xludf.DUMMYFUNCTION("""COMPUTED_VALUE"""),21560.0)</f>
        <v>21560</v>
      </c>
      <c r="E415" s="1">
        <f>IFERROR(__xludf.DUMMYFUNCTION("""COMPUTED_VALUE"""),21960.0)</f>
        <v>21960</v>
      </c>
      <c r="F415" s="1">
        <f>IFERROR(__xludf.DUMMYFUNCTION("""COMPUTED_VALUE"""),142701.0)</f>
        <v>142701</v>
      </c>
    </row>
    <row r="416">
      <c r="A416" s="2">
        <f>IFERROR(__xludf.DUMMYFUNCTION("""COMPUTED_VALUE"""),41152.645833333336)</f>
        <v>41152.64583</v>
      </c>
      <c r="B416" s="1">
        <f>IFERROR(__xludf.DUMMYFUNCTION("""COMPUTED_VALUE"""),21940.0)</f>
        <v>21940</v>
      </c>
      <c r="C416" s="1">
        <f>IFERROR(__xludf.DUMMYFUNCTION("""COMPUTED_VALUE"""),22780.0)</f>
        <v>22780</v>
      </c>
      <c r="D416" s="1">
        <f>IFERROR(__xludf.DUMMYFUNCTION("""COMPUTED_VALUE"""),21920.0)</f>
        <v>21920</v>
      </c>
      <c r="E416" s="1">
        <f>IFERROR(__xludf.DUMMYFUNCTION("""COMPUTED_VALUE"""),22660.0)</f>
        <v>22660</v>
      </c>
      <c r="F416" s="1">
        <f>IFERROR(__xludf.DUMMYFUNCTION("""COMPUTED_VALUE"""),208616.0)</f>
        <v>208616</v>
      </c>
    </row>
    <row r="417">
      <c r="A417" s="2">
        <f>IFERROR(__xludf.DUMMYFUNCTION("""COMPUTED_VALUE"""),41155.645833333336)</f>
        <v>41155.64583</v>
      </c>
      <c r="B417" s="1">
        <f>IFERROR(__xludf.DUMMYFUNCTION("""COMPUTED_VALUE"""),22660.0)</f>
        <v>22660</v>
      </c>
      <c r="C417" s="1">
        <f>IFERROR(__xludf.DUMMYFUNCTION("""COMPUTED_VALUE"""),23000.0)</f>
        <v>23000</v>
      </c>
      <c r="D417" s="1">
        <f>IFERROR(__xludf.DUMMYFUNCTION("""COMPUTED_VALUE"""),22480.0)</f>
        <v>22480</v>
      </c>
      <c r="E417" s="1">
        <f>IFERROR(__xludf.DUMMYFUNCTION("""COMPUTED_VALUE"""),22800.0)</f>
        <v>22800</v>
      </c>
      <c r="F417" s="1">
        <f>IFERROR(__xludf.DUMMYFUNCTION("""COMPUTED_VALUE"""),119375.0)</f>
        <v>119375</v>
      </c>
    </row>
    <row r="418">
      <c r="A418" s="2">
        <f>IFERROR(__xludf.DUMMYFUNCTION("""COMPUTED_VALUE"""),41156.645833333336)</f>
        <v>41156.64583</v>
      </c>
      <c r="B418" s="1">
        <f>IFERROR(__xludf.DUMMYFUNCTION("""COMPUTED_VALUE"""),22860.0)</f>
        <v>22860</v>
      </c>
      <c r="C418" s="1">
        <f>IFERROR(__xludf.DUMMYFUNCTION("""COMPUTED_VALUE"""),22920.0)</f>
        <v>22920</v>
      </c>
      <c r="D418" s="1">
        <f>IFERROR(__xludf.DUMMYFUNCTION("""COMPUTED_VALUE"""),22240.0)</f>
        <v>22240</v>
      </c>
      <c r="E418" s="1">
        <f>IFERROR(__xludf.DUMMYFUNCTION("""COMPUTED_VALUE"""),22600.0)</f>
        <v>22600</v>
      </c>
      <c r="F418" s="1">
        <f>IFERROR(__xludf.DUMMYFUNCTION("""COMPUTED_VALUE"""),88359.0)</f>
        <v>88359</v>
      </c>
    </row>
    <row r="419">
      <c r="A419" s="2">
        <f>IFERROR(__xludf.DUMMYFUNCTION("""COMPUTED_VALUE"""),41157.645833333336)</f>
        <v>41157.64583</v>
      </c>
      <c r="B419" s="1">
        <f>IFERROR(__xludf.DUMMYFUNCTION("""COMPUTED_VALUE"""),22600.0)</f>
        <v>22600</v>
      </c>
      <c r="C419" s="1">
        <f>IFERROR(__xludf.DUMMYFUNCTION("""COMPUTED_VALUE"""),22620.0)</f>
        <v>22620</v>
      </c>
      <c r="D419" s="1">
        <f>IFERROR(__xludf.DUMMYFUNCTION("""COMPUTED_VALUE"""),21960.0)</f>
        <v>21960</v>
      </c>
      <c r="E419" s="1">
        <f>IFERROR(__xludf.DUMMYFUNCTION("""COMPUTED_VALUE"""),22360.0)</f>
        <v>22360</v>
      </c>
      <c r="F419" s="1">
        <f>IFERROR(__xludf.DUMMYFUNCTION("""COMPUTED_VALUE"""),97106.0)</f>
        <v>97106</v>
      </c>
    </row>
    <row r="420">
      <c r="A420" s="2">
        <f>IFERROR(__xludf.DUMMYFUNCTION("""COMPUTED_VALUE"""),41158.645833333336)</f>
        <v>41158.64583</v>
      </c>
      <c r="B420" s="1">
        <f>IFERROR(__xludf.DUMMYFUNCTION("""COMPUTED_VALUE"""),22560.0)</f>
        <v>22560</v>
      </c>
      <c r="C420" s="1">
        <f>IFERROR(__xludf.DUMMYFUNCTION("""COMPUTED_VALUE"""),22800.0)</f>
        <v>22800</v>
      </c>
      <c r="D420" s="1">
        <f>IFERROR(__xludf.DUMMYFUNCTION("""COMPUTED_VALUE"""),22100.0)</f>
        <v>22100</v>
      </c>
      <c r="E420" s="1">
        <f>IFERROR(__xludf.DUMMYFUNCTION("""COMPUTED_VALUE"""),22780.0)</f>
        <v>22780</v>
      </c>
      <c r="F420" s="1">
        <f>IFERROR(__xludf.DUMMYFUNCTION("""COMPUTED_VALUE"""),98271.0)</f>
        <v>98271</v>
      </c>
    </row>
    <row r="421">
      <c r="A421" s="2">
        <f>IFERROR(__xludf.DUMMYFUNCTION("""COMPUTED_VALUE"""),41159.645833333336)</f>
        <v>41159.64583</v>
      </c>
      <c r="B421" s="1">
        <f>IFERROR(__xludf.DUMMYFUNCTION("""COMPUTED_VALUE"""),22780.0)</f>
        <v>22780</v>
      </c>
      <c r="C421" s="1">
        <f>IFERROR(__xludf.DUMMYFUNCTION("""COMPUTED_VALUE"""),23140.0)</f>
        <v>23140</v>
      </c>
      <c r="D421" s="1">
        <f>IFERROR(__xludf.DUMMYFUNCTION("""COMPUTED_VALUE"""),22540.0)</f>
        <v>22540</v>
      </c>
      <c r="E421" s="1">
        <f>IFERROR(__xludf.DUMMYFUNCTION("""COMPUTED_VALUE"""),23140.0)</f>
        <v>23140</v>
      </c>
      <c r="F421" s="1">
        <f>IFERROR(__xludf.DUMMYFUNCTION("""COMPUTED_VALUE"""),131281.0)</f>
        <v>131281</v>
      </c>
    </row>
    <row r="422">
      <c r="A422" s="2">
        <f>IFERROR(__xludf.DUMMYFUNCTION("""COMPUTED_VALUE"""),41162.645833333336)</f>
        <v>41162.64583</v>
      </c>
      <c r="B422" s="1">
        <f>IFERROR(__xludf.DUMMYFUNCTION("""COMPUTED_VALUE"""),22920.0)</f>
        <v>22920</v>
      </c>
      <c r="C422" s="1">
        <f>IFERROR(__xludf.DUMMYFUNCTION("""COMPUTED_VALUE"""),22940.0)</f>
        <v>22940</v>
      </c>
      <c r="D422" s="1">
        <f>IFERROR(__xludf.DUMMYFUNCTION("""COMPUTED_VALUE"""),22060.0)</f>
        <v>22060</v>
      </c>
      <c r="E422" s="1">
        <f>IFERROR(__xludf.DUMMYFUNCTION("""COMPUTED_VALUE"""),22060.0)</f>
        <v>22060</v>
      </c>
      <c r="F422" s="1">
        <f>IFERROR(__xludf.DUMMYFUNCTION("""COMPUTED_VALUE"""),217526.0)</f>
        <v>217526</v>
      </c>
    </row>
    <row r="423">
      <c r="A423" s="2">
        <f>IFERROR(__xludf.DUMMYFUNCTION("""COMPUTED_VALUE"""),41163.645833333336)</f>
        <v>41163.64583</v>
      </c>
      <c r="B423" s="1">
        <f>IFERROR(__xludf.DUMMYFUNCTION("""COMPUTED_VALUE"""),21840.0)</f>
        <v>21840</v>
      </c>
      <c r="C423" s="1">
        <f>IFERROR(__xludf.DUMMYFUNCTION("""COMPUTED_VALUE"""),21960.0)</f>
        <v>21960</v>
      </c>
      <c r="D423" s="1">
        <f>IFERROR(__xludf.DUMMYFUNCTION("""COMPUTED_VALUE"""),21220.0)</f>
        <v>21220</v>
      </c>
      <c r="E423" s="1">
        <f>IFERROR(__xludf.DUMMYFUNCTION("""COMPUTED_VALUE"""),21920.0)</f>
        <v>21920</v>
      </c>
      <c r="F423" s="1">
        <f>IFERROR(__xludf.DUMMYFUNCTION("""COMPUTED_VALUE"""),220900.0)</f>
        <v>220900</v>
      </c>
    </row>
    <row r="424">
      <c r="A424" s="2">
        <f>IFERROR(__xludf.DUMMYFUNCTION("""COMPUTED_VALUE"""),41164.645833333336)</f>
        <v>41164.64583</v>
      </c>
      <c r="B424" s="1">
        <f>IFERROR(__xludf.DUMMYFUNCTION("""COMPUTED_VALUE"""),21960.0)</f>
        <v>21960</v>
      </c>
      <c r="C424" s="1">
        <f>IFERROR(__xludf.DUMMYFUNCTION("""COMPUTED_VALUE"""),22080.0)</f>
        <v>22080</v>
      </c>
      <c r="D424" s="1">
        <f>IFERROR(__xludf.DUMMYFUNCTION("""COMPUTED_VALUE"""),21480.0)</f>
        <v>21480</v>
      </c>
      <c r="E424" s="1">
        <f>IFERROR(__xludf.DUMMYFUNCTION("""COMPUTED_VALUE"""),22000.0)</f>
        <v>22000</v>
      </c>
      <c r="F424" s="1">
        <f>IFERROR(__xludf.DUMMYFUNCTION("""COMPUTED_VALUE"""),191265.0)</f>
        <v>191265</v>
      </c>
    </row>
    <row r="425">
      <c r="A425" s="2">
        <f>IFERROR(__xludf.DUMMYFUNCTION("""COMPUTED_VALUE"""),41165.645833333336)</f>
        <v>41165.64583</v>
      </c>
      <c r="B425" s="1">
        <f>IFERROR(__xludf.DUMMYFUNCTION("""COMPUTED_VALUE"""),21780.0)</f>
        <v>21780</v>
      </c>
      <c r="C425" s="1">
        <f>IFERROR(__xludf.DUMMYFUNCTION("""COMPUTED_VALUE"""),21940.0)</f>
        <v>21940</v>
      </c>
      <c r="D425" s="1">
        <f>IFERROR(__xludf.DUMMYFUNCTION("""COMPUTED_VALUE"""),21500.0)</f>
        <v>21500</v>
      </c>
      <c r="E425" s="1">
        <f>IFERROR(__xludf.DUMMYFUNCTION("""COMPUTED_VALUE"""),21700.0)</f>
        <v>21700</v>
      </c>
      <c r="F425" s="1">
        <f>IFERROR(__xludf.DUMMYFUNCTION("""COMPUTED_VALUE"""),165791.0)</f>
        <v>165791</v>
      </c>
    </row>
    <row r="426">
      <c r="A426" s="2">
        <f>IFERROR(__xludf.DUMMYFUNCTION("""COMPUTED_VALUE"""),41166.645833333336)</f>
        <v>41166.64583</v>
      </c>
      <c r="B426" s="1">
        <f>IFERROR(__xludf.DUMMYFUNCTION("""COMPUTED_VALUE"""),21820.0)</f>
        <v>21820</v>
      </c>
      <c r="C426" s="1">
        <f>IFERROR(__xludf.DUMMYFUNCTION("""COMPUTED_VALUE"""),22060.0)</f>
        <v>22060</v>
      </c>
      <c r="D426" s="1">
        <f>IFERROR(__xludf.DUMMYFUNCTION("""COMPUTED_VALUE"""),21560.0)</f>
        <v>21560</v>
      </c>
      <c r="E426" s="1">
        <f>IFERROR(__xludf.DUMMYFUNCTION("""COMPUTED_VALUE"""),21920.0)</f>
        <v>21920</v>
      </c>
      <c r="F426" s="1">
        <f>IFERROR(__xludf.DUMMYFUNCTION("""COMPUTED_VALUE"""),218641.0)</f>
        <v>218641</v>
      </c>
    </row>
    <row r="427">
      <c r="A427" s="2">
        <f>IFERROR(__xludf.DUMMYFUNCTION("""COMPUTED_VALUE"""),41169.645833333336)</f>
        <v>41169.64583</v>
      </c>
      <c r="B427" s="1">
        <f>IFERROR(__xludf.DUMMYFUNCTION("""COMPUTED_VALUE"""),21960.0)</f>
        <v>21960</v>
      </c>
      <c r="C427" s="1">
        <f>IFERROR(__xludf.DUMMYFUNCTION("""COMPUTED_VALUE"""),21960.0)</f>
        <v>21960</v>
      </c>
      <c r="D427" s="1">
        <f>IFERROR(__xludf.DUMMYFUNCTION("""COMPUTED_VALUE"""),21360.0)</f>
        <v>21360</v>
      </c>
      <c r="E427" s="1">
        <f>IFERROR(__xludf.DUMMYFUNCTION("""COMPUTED_VALUE"""),21440.0)</f>
        <v>21440</v>
      </c>
      <c r="F427" s="1">
        <f>IFERROR(__xludf.DUMMYFUNCTION("""COMPUTED_VALUE"""),156435.0)</f>
        <v>156435</v>
      </c>
    </row>
    <row r="428">
      <c r="A428" s="2">
        <f>IFERROR(__xludf.DUMMYFUNCTION("""COMPUTED_VALUE"""),41170.645833333336)</f>
        <v>41170.64583</v>
      </c>
      <c r="B428" s="1">
        <f>IFERROR(__xludf.DUMMYFUNCTION("""COMPUTED_VALUE"""),21480.0)</f>
        <v>21480</v>
      </c>
      <c r="C428" s="1">
        <f>IFERROR(__xludf.DUMMYFUNCTION("""COMPUTED_VALUE"""),22080.0)</f>
        <v>22080</v>
      </c>
      <c r="D428" s="1">
        <f>IFERROR(__xludf.DUMMYFUNCTION("""COMPUTED_VALUE"""),21460.0)</f>
        <v>21460</v>
      </c>
      <c r="E428" s="1">
        <f>IFERROR(__xludf.DUMMYFUNCTION("""COMPUTED_VALUE"""),21960.0)</f>
        <v>21960</v>
      </c>
      <c r="F428" s="1">
        <f>IFERROR(__xludf.DUMMYFUNCTION("""COMPUTED_VALUE"""),130581.0)</f>
        <v>130581</v>
      </c>
    </row>
    <row r="429">
      <c r="A429" s="2">
        <f>IFERROR(__xludf.DUMMYFUNCTION("""COMPUTED_VALUE"""),41171.645833333336)</f>
        <v>41171.64583</v>
      </c>
      <c r="B429" s="1">
        <f>IFERROR(__xludf.DUMMYFUNCTION("""COMPUTED_VALUE"""),22020.0)</f>
        <v>22020</v>
      </c>
      <c r="C429" s="1">
        <f>IFERROR(__xludf.DUMMYFUNCTION("""COMPUTED_VALUE"""),22360.0)</f>
        <v>22360</v>
      </c>
      <c r="D429" s="1">
        <f>IFERROR(__xludf.DUMMYFUNCTION("""COMPUTED_VALUE"""),21800.0)</f>
        <v>21800</v>
      </c>
      <c r="E429" s="1">
        <f>IFERROR(__xludf.DUMMYFUNCTION("""COMPUTED_VALUE"""),22020.0)</f>
        <v>22020</v>
      </c>
      <c r="F429" s="1">
        <f>IFERROR(__xludf.DUMMYFUNCTION("""COMPUTED_VALUE"""),130926.0)</f>
        <v>130926</v>
      </c>
    </row>
    <row r="430">
      <c r="A430" s="2">
        <f>IFERROR(__xludf.DUMMYFUNCTION("""COMPUTED_VALUE"""),41172.645833333336)</f>
        <v>41172.64583</v>
      </c>
      <c r="B430" s="1">
        <f>IFERROR(__xludf.DUMMYFUNCTION("""COMPUTED_VALUE"""),22120.0)</f>
        <v>22120</v>
      </c>
      <c r="C430" s="1">
        <f>IFERROR(__xludf.DUMMYFUNCTION("""COMPUTED_VALUE"""),22200.0)</f>
        <v>22200</v>
      </c>
      <c r="D430" s="1">
        <f>IFERROR(__xludf.DUMMYFUNCTION("""COMPUTED_VALUE"""),21580.0)</f>
        <v>21580</v>
      </c>
      <c r="E430" s="1">
        <f>IFERROR(__xludf.DUMMYFUNCTION("""COMPUTED_VALUE"""),21700.0)</f>
        <v>21700</v>
      </c>
      <c r="F430" s="1">
        <f>IFERROR(__xludf.DUMMYFUNCTION("""COMPUTED_VALUE"""),87442.0)</f>
        <v>87442</v>
      </c>
    </row>
    <row r="431">
      <c r="A431" s="2">
        <f>IFERROR(__xludf.DUMMYFUNCTION("""COMPUTED_VALUE"""),41173.645833333336)</f>
        <v>41173.64583</v>
      </c>
      <c r="B431" s="1">
        <f>IFERROR(__xludf.DUMMYFUNCTION("""COMPUTED_VALUE"""),21800.0)</f>
        <v>21800</v>
      </c>
      <c r="C431" s="1">
        <f>IFERROR(__xludf.DUMMYFUNCTION("""COMPUTED_VALUE"""),21900.0)</f>
        <v>21900</v>
      </c>
      <c r="D431" s="1">
        <f>IFERROR(__xludf.DUMMYFUNCTION("""COMPUTED_VALUE"""),21420.0)</f>
        <v>21420</v>
      </c>
      <c r="E431" s="1">
        <f>IFERROR(__xludf.DUMMYFUNCTION("""COMPUTED_VALUE"""),21880.0)</f>
        <v>21880</v>
      </c>
      <c r="F431" s="1">
        <f>IFERROR(__xludf.DUMMYFUNCTION("""COMPUTED_VALUE"""),73890.0)</f>
        <v>73890</v>
      </c>
    </row>
    <row r="432">
      <c r="A432" s="2">
        <f>IFERROR(__xludf.DUMMYFUNCTION("""COMPUTED_VALUE"""),41176.645833333336)</f>
        <v>41176.64583</v>
      </c>
      <c r="B432" s="1">
        <f>IFERROR(__xludf.DUMMYFUNCTION("""COMPUTED_VALUE"""),22020.0)</f>
        <v>22020</v>
      </c>
      <c r="C432" s="1">
        <f>IFERROR(__xludf.DUMMYFUNCTION("""COMPUTED_VALUE"""),22020.0)</f>
        <v>22020</v>
      </c>
      <c r="D432" s="1">
        <f>IFERROR(__xludf.DUMMYFUNCTION("""COMPUTED_VALUE"""),21460.0)</f>
        <v>21460</v>
      </c>
      <c r="E432" s="1">
        <f>IFERROR(__xludf.DUMMYFUNCTION("""COMPUTED_VALUE"""),21500.0)</f>
        <v>21500</v>
      </c>
      <c r="F432" s="1">
        <f>IFERROR(__xludf.DUMMYFUNCTION("""COMPUTED_VALUE"""),80482.0)</f>
        <v>80482</v>
      </c>
    </row>
    <row r="433">
      <c r="A433" s="2">
        <f>IFERROR(__xludf.DUMMYFUNCTION("""COMPUTED_VALUE"""),41177.645833333336)</f>
        <v>41177.64583</v>
      </c>
      <c r="B433" s="1">
        <f>IFERROR(__xludf.DUMMYFUNCTION("""COMPUTED_VALUE"""),21560.0)</f>
        <v>21560</v>
      </c>
      <c r="C433" s="1">
        <f>IFERROR(__xludf.DUMMYFUNCTION("""COMPUTED_VALUE"""),21900.0)</f>
        <v>21900</v>
      </c>
      <c r="D433" s="1">
        <f>IFERROR(__xludf.DUMMYFUNCTION("""COMPUTED_VALUE"""),21520.0)</f>
        <v>21520</v>
      </c>
      <c r="E433" s="1">
        <f>IFERROR(__xludf.DUMMYFUNCTION("""COMPUTED_VALUE"""),21560.0)</f>
        <v>21560</v>
      </c>
      <c r="F433" s="1">
        <f>IFERROR(__xludf.DUMMYFUNCTION("""COMPUTED_VALUE"""),128817.0)</f>
        <v>128817</v>
      </c>
    </row>
    <row r="434">
      <c r="A434" s="2">
        <f>IFERROR(__xludf.DUMMYFUNCTION("""COMPUTED_VALUE"""),41178.645833333336)</f>
        <v>41178.64583</v>
      </c>
      <c r="B434" s="1">
        <f>IFERROR(__xludf.DUMMYFUNCTION("""COMPUTED_VALUE"""),21380.0)</f>
        <v>21380</v>
      </c>
      <c r="C434" s="1">
        <f>IFERROR(__xludf.DUMMYFUNCTION("""COMPUTED_VALUE"""),21600.0)</f>
        <v>21600</v>
      </c>
      <c r="D434" s="1">
        <f>IFERROR(__xludf.DUMMYFUNCTION("""COMPUTED_VALUE"""),21300.0)</f>
        <v>21300</v>
      </c>
      <c r="E434" s="1">
        <f>IFERROR(__xludf.DUMMYFUNCTION("""COMPUTED_VALUE"""),21540.0)</f>
        <v>21540</v>
      </c>
      <c r="F434" s="1">
        <f>IFERROR(__xludf.DUMMYFUNCTION("""COMPUTED_VALUE"""),74360.0)</f>
        <v>74360</v>
      </c>
    </row>
    <row r="435">
      <c r="A435" s="2">
        <f>IFERROR(__xludf.DUMMYFUNCTION("""COMPUTED_VALUE"""),41179.645833333336)</f>
        <v>41179.64583</v>
      </c>
      <c r="B435" s="1">
        <f>IFERROR(__xludf.DUMMYFUNCTION("""COMPUTED_VALUE"""),21540.0)</f>
        <v>21540</v>
      </c>
      <c r="C435" s="1">
        <f>IFERROR(__xludf.DUMMYFUNCTION("""COMPUTED_VALUE"""),22120.0)</f>
        <v>22120</v>
      </c>
      <c r="D435" s="1">
        <f>IFERROR(__xludf.DUMMYFUNCTION("""COMPUTED_VALUE"""),21480.0)</f>
        <v>21480</v>
      </c>
      <c r="E435" s="1">
        <f>IFERROR(__xludf.DUMMYFUNCTION("""COMPUTED_VALUE"""),22100.0)</f>
        <v>22100</v>
      </c>
      <c r="F435" s="1">
        <f>IFERROR(__xludf.DUMMYFUNCTION("""COMPUTED_VALUE"""),98350.0)</f>
        <v>98350</v>
      </c>
    </row>
    <row r="436">
      <c r="A436" s="2">
        <f>IFERROR(__xludf.DUMMYFUNCTION("""COMPUTED_VALUE"""),41180.645833333336)</f>
        <v>41180.64583</v>
      </c>
      <c r="B436" s="1">
        <f>IFERROR(__xludf.DUMMYFUNCTION("""COMPUTED_VALUE"""),22260.0)</f>
        <v>22260</v>
      </c>
      <c r="C436" s="1">
        <f>IFERROR(__xludf.DUMMYFUNCTION("""COMPUTED_VALUE"""),22940.0)</f>
        <v>22940</v>
      </c>
      <c r="D436" s="1">
        <f>IFERROR(__xludf.DUMMYFUNCTION("""COMPUTED_VALUE"""),22160.0)</f>
        <v>22160</v>
      </c>
      <c r="E436" s="1">
        <f>IFERROR(__xludf.DUMMYFUNCTION("""COMPUTED_VALUE"""),22700.0)</f>
        <v>22700</v>
      </c>
      <c r="F436" s="1">
        <f>IFERROR(__xludf.DUMMYFUNCTION("""COMPUTED_VALUE"""),203047.0)</f>
        <v>203047</v>
      </c>
    </row>
    <row r="437">
      <c r="A437" s="2">
        <f>IFERROR(__xludf.DUMMYFUNCTION("""COMPUTED_VALUE"""),41184.645833333336)</f>
        <v>41184.64583</v>
      </c>
      <c r="B437" s="1">
        <f>IFERROR(__xludf.DUMMYFUNCTION("""COMPUTED_VALUE"""),22600.0)</f>
        <v>22600</v>
      </c>
      <c r="C437" s="1">
        <f>IFERROR(__xludf.DUMMYFUNCTION("""COMPUTED_VALUE"""),22780.0)</f>
        <v>22780</v>
      </c>
      <c r="D437" s="1">
        <f>IFERROR(__xludf.DUMMYFUNCTION("""COMPUTED_VALUE"""),22400.0)</f>
        <v>22400</v>
      </c>
      <c r="E437" s="1">
        <f>IFERROR(__xludf.DUMMYFUNCTION("""COMPUTED_VALUE"""),22540.0)</f>
        <v>22540</v>
      </c>
      <c r="F437" s="1">
        <f>IFERROR(__xludf.DUMMYFUNCTION("""COMPUTED_VALUE"""),72371.0)</f>
        <v>72371</v>
      </c>
    </row>
    <row r="438">
      <c r="A438" s="2">
        <f>IFERROR(__xludf.DUMMYFUNCTION("""COMPUTED_VALUE"""),41186.645833333336)</f>
        <v>41186.64583</v>
      </c>
      <c r="B438" s="1">
        <f>IFERROR(__xludf.DUMMYFUNCTION("""COMPUTED_VALUE"""),22540.0)</f>
        <v>22540</v>
      </c>
      <c r="C438" s="1">
        <f>IFERROR(__xludf.DUMMYFUNCTION("""COMPUTED_VALUE"""),22560.0)</f>
        <v>22560</v>
      </c>
      <c r="D438" s="1">
        <f>IFERROR(__xludf.DUMMYFUNCTION("""COMPUTED_VALUE"""),21920.0)</f>
        <v>21920</v>
      </c>
      <c r="E438" s="1">
        <f>IFERROR(__xludf.DUMMYFUNCTION("""COMPUTED_VALUE"""),22040.0)</f>
        <v>22040</v>
      </c>
      <c r="F438" s="1">
        <f>IFERROR(__xludf.DUMMYFUNCTION("""COMPUTED_VALUE"""),73013.0)</f>
        <v>73013</v>
      </c>
    </row>
    <row r="439">
      <c r="A439" s="2">
        <f>IFERROR(__xludf.DUMMYFUNCTION("""COMPUTED_VALUE"""),41187.645833333336)</f>
        <v>41187.64583</v>
      </c>
      <c r="B439" s="1">
        <f>IFERROR(__xludf.DUMMYFUNCTION("""COMPUTED_VALUE"""),22000.0)</f>
        <v>22000</v>
      </c>
      <c r="C439" s="1">
        <f>IFERROR(__xludf.DUMMYFUNCTION("""COMPUTED_VALUE"""),22680.0)</f>
        <v>22680</v>
      </c>
      <c r="D439" s="1">
        <f>IFERROR(__xludf.DUMMYFUNCTION("""COMPUTED_VALUE"""),21700.0)</f>
        <v>21700</v>
      </c>
      <c r="E439" s="1">
        <f>IFERROR(__xludf.DUMMYFUNCTION("""COMPUTED_VALUE"""),22680.0)</f>
        <v>22680</v>
      </c>
      <c r="F439" s="1">
        <f>IFERROR(__xludf.DUMMYFUNCTION("""COMPUTED_VALUE"""),101340.0)</f>
        <v>101340</v>
      </c>
    </row>
    <row r="440">
      <c r="A440" s="2">
        <f>IFERROR(__xludf.DUMMYFUNCTION("""COMPUTED_VALUE"""),41190.645833333336)</f>
        <v>41190.64583</v>
      </c>
      <c r="B440" s="1">
        <f>IFERROR(__xludf.DUMMYFUNCTION("""COMPUTED_VALUE"""),22760.0)</f>
        <v>22760</v>
      </c>
      <c r="C440" s="1">
        <f>IFERROR(__xludf.DUMMYFUNCTION("""COMPUTED_VALUE"""),22880.0)</f>
        <v>22880</v>
      </c>
      <c r="D440" s="1">
        <f>IFERROR(__xludf.DUMMYFUNCTION("""COMPUTED_VALUE"""),22340.0)</f>
        <v>22340</v>
      </c>
      <c r="E440" s="1">
        <f>IFERROR(__xludf.DUMMYFUNCTION("""COMPUTED_VALUE"""),22700.0)</f>
        <v>22700</v>
      </c>
      <c r="F440" s="1">
        <f>IFERROR(__xludf.DUMMYFUNCTION("""COMPUTED_VALUE"""),100576.0)</f>
        <v>100576</v>
      </c>
    </row>
    <row r="441">
      <c r="A441" s="2">
        <f>IFERROR(__xludf.DUMMYFUNCTION("""COMPUTED_VALUE"""),41191.645833333336)</f>
        <v>41191.64583</v>
      </c>
      <c r="B441" s="1">
        <f>IFERROR(__xludf.DUMMYFUNCTION("""COMPUTED_VALUE"""),22620.0)</f>
        <v>22620</v>
      </c>
      <c r="C441" s="1">
        <f>IFERROR(__xludf.DUMMYFUNCTION("""COMPUTED_VALUE"""),22620.0)</f>
        <v>22620</v>
      </c>
      <c r="D441" s="1">
        <f>IFERROR(__xludf.DUMMYFUNCTION("""COMPUTED_VALUE"""),21660.0)</f>
        <v>21660</v>
      </c>
      <c r="E441" s="1">
        <f>IFERROR(__xludf.DUMMYFUNCTION("""COMPUTED_VALUE"""),22200.0)</f>
        <v>22200</v>
      </c>
      <c r="F441" s="1">
        <f>IFERROR(__xludf.DUMMYFUNCTION("""COMPUTED_VALUE"""),166674.0)</f>
        <v>166674</v>
      </c>
    </row>
    <row r="442">
      <c r="A442" s="2">
        <f>IFERROR(__xludf.DUMMYFUNCTION("""COMPUTED_VALUE"""),41192.645833333336)</f>
        <v>41192.64583</v>
      </c>
      <c r="B442" s="1">
        <f>IFERROR(__xludf.DUMMYFUNCTION("""COMPUTED_VALUE"""),21900.0)</f>
        <v>21900</v>
      </c>
      <c r="C442" s="1">
        <f>IFERROR(__xludf.DUMMYFUNCTION("""COMPUTED_VALUE"""),22000.0)</f>
        <v>22000</v>
      </c>
      <c r="D442" s="1">
        <f>IFERROR(__xludf.DUMMYFUNCTION("""COMPUTED_VALUE"""),20940.0)</f>
        <v>20940</v>
      </c>
      <c r="E442" s="1">
        <f>IFERROR(__xludf.DUMMYFUNCTION("""COMPUTED_VALUE"""),20940.0)</f>
        <v>20940</v>
      </c>
      <c r="F442" s="1">
        <f>IFERROR(__xludf.DUMMYFUNCTION("""COMPUTED_VALUE"""),206957.0)</f>
        <v>206957</v>
      </c>
    </row>
    <row r="443">
      <c r="A443" s="2">
        <f>IFERROR(__xludf.DUMMYFUNCTION("""COMPUTED_VALUE"""),41193.645833333336)</f>
        <v>41193.64583</v>
      </c>
      <c r="B443" s="1">
        <f>IFERROR(__xludf.DUMMYFUNCTION("""COMPUTED_VALUE"""),20800.0)</f>
        <v>20800</v>
      </c>
      <c r="C443" s="1">
        <f>IFERROR(__xludf.DUMMYFUNCTION("""COMPUTED_VALUE"""),21220.0)</f>
        <v>21220</v>
      </c>
      <c r="D443" s="1">
        <f>IFERROR(__xludf.DUMMYFUNCTION("""COMPUTED_VALUE"""),20620.0)</f>
        <v>20620</v>
      </c>
      <c r="E443" s="1">
        <f>IFERROR(__xludf.DUMMYFUNCTION("""COMPUTED_VALUE"""),20940.0)</f>
        <v>20940</v>
      </c>
      <c r="F443" s="1">
        <f>IFERROR(__xludf.DUMMYFUNCTION("""COMPUTED_VALUE"""),80314.0)</f>
        <v>80314</v>
      </c>
    </row>
    <row r="444">
      <c r="A444" s="2">
        <f>IFERROR(__xludf.DUMMYFUNCTION("""COMPUTED_VALUE"""),41194.645833333336)</f>
        <v>41194.64583</v>
      </c>
      <c r="B444" s="1">
        <f>IFERROR(__xludf.DUMMYFUNCTION("""COMPUTED_VALUE"""),20400.0)</f>
        <v>20400</v>
      </c>
      <c r="C444" s="1">
        <f>IFERROR(__xludf.DUMMYFUNCTION("""COMPUTED_VALUE"""),20820.0)</f>
        <v>20820</v>
      </c>
      <c r="D444" s="1">
        <f>IFERROR(__xludf.DUMMYFUNCTION("""COMPUTED_VALUE"""),20260.0)</f>
        <v>20260</v>
      </c>
      <c r="E444" s="1">
        <f>IFERROR(__xludf.DUMMYFUNCTION("""COMPUTED_VALUE"""),20320.0)</f>
        <v>20320</v>
      </c>
      <c r="F444" s="1">
        <f>IFERROR(__xludf.DUMMYFUNCTION("""COMPUTED_VALUE"""),146020.0)</f>
        <v>146020</v>
      </c>
    </row>
    <row r="445">
      <c r="A445" s="2">
        <f>IFERROR(__xludf.DUMMYFUNCTION("""COMPUTED_VALUE"""),41197.645833333336)</f>
        <v>41197.64583</v>
      </c>
      <c r="B445" s="1">
        <f>IFERROR(__xludf.DUMMYFUNCTION("""COMPUTED_VALUE"""),20560.0)</f>
        <v>20560</v>
      </c>
      <c r="C445" s="1">
        <f>IFERROR(__xludf.DUMMYFUNCTION("""COMPUTED_VALUE"""),21000.0)</f>
        <v>21000</v>
      </c>
      <c r="D445" s="1">
        <f>IFERROR(__xludf.DUMMYFUNCTION("""COMPUTED_VALUE"""),20280.0)</f>
        <v>20280</v>
      </c>
      <c r="E445" s="1">
        <f>IFERROR(__xludf.DUMMYFUNCTION("""COMPUTED_VALUE"""),21000.0)</f>
        <v>21000</v>
      </c>
      <c r="F445" s="1">
        <f>IFERROR(__xludf.DUMMYFUNCTION("""COMPUTED_VALUE"""),149683.0)</f>
        <v>149683</v>
      </c>
    </row>
    <row r="446">
      <c r="A446" s="2">
        <f>IFERROR(__xludf.DUMMYFUNCTION("""COMPUTED_VALUE"""),41198.645833333336)</f>
        <v>41198.64583</v>
      </c>
      <c r="B446" s="1">
        <f>IFERROR(__xludf.DUMMYFUNCTION("""COMPUTED_VALUE"""),21040.0)</f>
        <v>21040</v>
      </c>
      <c r="C446" s="1">
        <f>IFERROR(__xludf.DUMMYFUNCTION("""COMPUTED_VALUE"""),21400.0)</f>
        <v>21400</v>
      </c>
      <c r="D446" s="1">
        <f>IFERROR(__xludf.DUMMYFUNCTION("""COMPUTED_VALUE"""),20700.0)</f>
        <v>20700</v>
      </c>
      <c r="E446" s="1">
        <f>IFERROR(__xludf.DUMMYFUNCTION("""COMPUTED_VALUE"""),21400.0)</f>
        <v>21400</v>
      </c>
      <c r="F446" s="1">
        <f>IFERROR(__xludf.DUMMYFUNCTION("""COMPUTED_VALUE"""),123754.0)</f>
        <v>123754</v>
      </c>
    </row>
    <row r="447">
      <c r="A447" s="2">
        <f>IFERROR(__xludf.DUMMYFUNCTION("""COMPUTED_VALUE"""),41199.645833333336)</f>
        <v>41199.64583</v>
      </c>
      <c r="B447" s="1">
        <f>IFERROR(__xludf.DUMMYFUNCTION("""COMPUTED_VALUE"""),21360.0)</f>
        <v>21360</v>
      </c>
      <c r="C447" s="1">
        <f>IFERROR(__xludf.DUMMYFUNCTION("""COMPUTED_VALUE"""),21580.0)</f>
        <v>21580</v>
      </c>
      <c r="D447" s="1">
        <f>IFERROR(__xludf.DUMMYFUNCTION("""COMPUTED_VALUE"""),21020.0)</f>
        <v>21020</v>
      </c>
      <c r="E447" s="1">
        <f>IFERROR(__xludf.DUMMYFUNCTION("""COMPUTED_VALUE"""),21220.0)</f>
        <v>21220</v>
      </c>
      <c r="F447" s="1">
        <f>IFERROR(__xludf.DUMMYFUNCTION("""COMPUTED_VALUE"""),74695.0)</f>
        <v>74695</v>
      </c>
    </row>
    <row r="448">
      <c r="A448" s="2">
        <f>IFERROR(__xludf.DUMMYFUNCTION("""COMPUTED_VALUE"""),41200.645833333336)</f>
        <v>41200.64583</v>
      </c>
      <c r="B448" s="1">
        <f>IFERROR(__xludf.DUMMYFUNCTION("""COMPUTED_VALUE"""),21400.0)</f>
        <v>21400</v>
      </c>
      <c r="C448" s="1">
        <f>IFERROR(__xludf.DUMMYFUNCTION("""COMPUTED_VALUE"""),21400.0)</f>
        <v>21400</v>
      </c>
      <c r="D448" s="1">
        <f>IFERROR(__xludf.DUMMYFUNCTION("""COMPUTED_VALUE"""),18700.0)</f>
        <v>18700</v>
      </c>
      <c r="E448" s="1">
        <f>IFERROR(__xludf.DUMMYFUNCTION("""COMPUTED_VALUE"""),19020.0)</f>
        <v>19020</v>
      </c>
      <c r="F448" s="1">
        <f>IFERROR(__xludf.DUMMYFUNCTION("""COMPUTED_VALUE"""),826406.0)</f>
        <v>826406</v>
      </c>
    </row>
    <row r="449">
      <c r="A449" s="2">
        <f>IFERROR(__xludf.DUMMYFUNCTION("""COMPUTED_VALUE"""),41201.645833333336)</f>
        <v>41201.64583</v>
      </c>
      <c r="B449" s="1">
        <f>IFERROR(__xludf.DUMMYFUNCTION("""COMPUTED_VALUE"""),18820.0)</f>
        <v>18820</v>
      </c>
      <c r="C449" s="1">
        <f>IFERROR(__xludf.DUMMYFUNCTION("""COMPUTED_VALUE"""),19220.0)</f>
        <v>19220</v>
      </c>
      <c r="D449" s="1">
        <f>IFERROR(__xludf.DUMMYFUNCTION("""COMPUTED_VALUE"""),18500.0)</f>
        <v>18500</v>
      </c>
      <c r="E449" s="1">
        <f>IFERROR(__xludf.DUMMYFUNCTION("""COMPUTED_VALUE"""),18900.0)</f>
        <v>18900</v>
      </c>
      <c r="F449" s="1">
        <f>IFERROR(__xludf.DUMMYFUNCTION("""COMPUTED_VALUE"""),271415.0)</f>
        <v>271415</v>
      </c>
    </row>
    <row r="450">
      <c r="A450" s="2">
        <f>IFERROR(__xludf.DUMMYFUNCTION("""COMPUTED_VALUE"""),41204.645833333336)</f>
        <v>41204.64583</v>
      </c>
      <c r="B450" s="1">
        <f>IFERROR(__xludf.DUMMYFUNCTION("""COMPUTED_VALUE"""),18680.0)</f>
        <v>18680</v>
      </c>
      <c r="C450" s="1">
        <f>IFERROR(__xludf.DUMMYFUNCTION("""COMPUTED_VALUE"""),19260.0)</f>
        <v>19260</v>
      </c>
      <c r="D450" s="1">
        <f>IFERROR(__xludf.DUMMYFUNCTION("""COMPUTED_VALUE"""),18680.0)</f>
        <v>18680</v>
      </c>
      <c r="E450" s="1">
        <f>IFERROR(__xludf.DUMMYFUNCTION("""COMPUTED_VALUE"""),18880.0)</f>
        <v>18880</v>
      </c>
      <c r="F450" s="1">
        <f>IFERROR(__xludf.DUMMYFUNCTION("""COMPUTED_VALUE"""),195061.0)</f>
        <v>195061</v>
      </c>
    </row>
    <row r="451">
      <c r="A451" s="2">
        <f>IFERROR(__xludf.DUMMYFUNCTION("""COMPUTED_VALUE"""),41205.645833333336)</f>
        <v>41205.64583</v>
      </c>
      <c r="B451" s="1">
        <f>IFERROR(__xludf.DUMMYFUNCTION("""COMPUTED_VALUE"""),18680.0)</f>
        <v>18680</v>
      </c>
      <c r="C451" s="1">
        <f>IFERROR(__xludf.DUMMYFUNCTION("""COMPUTED_VALUE"""),19040.0)</f>
        <v>19040</v>
      </c>
      <c r="D451" s="1">
        <f>IFERROR(__xludf.DUMMYFUNCTION("""COMPUTED_VALUE"""),18480.0)</f>
        <v>18480</v>
      </c>
      <c r="E451" s="1">
        <f>IFERROR(__xludf.DUMMYFUNCTION("""COMPUTED_VALUE"""),18500.0)</f>
        <v>18500</v>
      </c>
      <c r="F451" s="1">
        <f>IFERROR(__xludf.DUMMYFUNCTION("""COMPUTED_VALUE"""),169097.0)</f>
        <v>169097</v>
      </c>
    </row>
    <row r="452">
      <c r="A452" s="2">
        <f>IFERROR(__xludf.DUMMYFUNCTION("""COMPUTED_VALUE"""),41206.645833333336)</f>
        <v>41206.64583</v>
      </c>
      <c r="B452" s="1">
        <f>IFERROR(__xludf.DUMMYFUNCTION("""COMPUTED_VALUE"""),18220.0)</f>
        <v>18220</v>
      </c>
      <c r="C452" s="1">
        <f>IFERROR(__xludf.DUMMYFUNCTION("""COMPUTED_VALUE"""),18600.0)</f>
        <v>18600</v>
      </c>
      <c r="D452" s="1">
        <f>IFERROR(__xludf.DUMMYFUNCTION("""COMPUTED_VALUE"""),17560.0)</f>
        <v>17560</v>
      </c>
      <c r="E452" s="1">
        <f>IFERROR(__xludf.DUMMYFUNCTION("""COMPUTED_VALUE"""),18540.0)</f>
        <v>18540</v>
      </c>
      <c r="F452" s="1">
        <f>IFERROR(__xludf.DUMMYFUNCTION("""COMPUTED_VALUE"""),286888.0)</f>
        <v>286888</v>
      </c>
    </row>
    <row r="453">
      <c r="A453" s="2">
        <f>IFERROR(__xludf.DUMMYFUNCTION("""COMPUTED_VALUE"""),41207.645833333336)</f>
        <v>41207.64583</v>
      </c>
      <c r="B453" s="1">
        <f>IFERROR(__xludf.DUMMYFUNCTION("""COMPUTED_VALUE"""),18480.0)</f>
        <v>18480</v>
      </c>
      <c r="C453" s="1">
        <f>IFERROR(__xludf.DUMMYFUNCTION("""COMPUTED_VALUE"""),18940.0)</f>
        <v>18940</v>
      </c>
      <c r="D453" s="1">
        <f>IFERROR(__xludf.DUMMYFUNCTION("""COMPUTED_VALUE"""),18480.0)</f>
        <v>18480</v>
      </c>
      <c r="E453" s="1">
        <f>IFERROR(__xludf.DUMMYFUNCTION("""COMPUTED_VALUE"""),18500.0)</f>
        <v>18500</v>
      </c>
      <c r="F453" s="1">
        <f>IFERROR(__xludf.DUMMYFUNCTION("""COMPUTED_VALUE"""),161335.0)</f>
        <v>161335</v>
      </c>
    </row>
    <row r="454">
      <c r="A454" s="2">
        <f>IFERROR(__xludf.DUMMYFUNCTION("""COMPUTED_VALUE"""),41208.645833333336)</f>
        <v>41208.64583</v>
      </c>
      <c r="B454" s="1">
        <f>IFERROR(__xludf.DUMMYFUNCTION("""COMPUTED_VALUE"""),18620.0)</f>
        <v>18620</v>
      </c>
      <c r="C454" s="1">
        <f>IFERROR(__xludf.DUMMYFUNCTION("""COMPUTED_VALUE"""),18640.0)</f>
        <v>18640</v>
      </c>
      <c r="D454" s="1">
        <f>IFERROR(__xludf.DUMMYFUNCTION("""COMPUTED_VALUE"""),17820.0)</f>
        <v>17820</v>
      </c>
      <c r="E454" s="1">
        <f>IFERROR(__xludf.DUMMYFUNCTION("""COMPUTED_VALUE"""),18180.0)</f>
        <v>18180</v>
      </c>
      <c r="F454" s="1">
        <f>IFERROR(__xludf.DUMMYFUNCTION("""COMPUTED_VALUE"""),135164.0)</f>
        <v>135164</v>
      </c>
    </row>
    <row r="455">
      <c r="A455" s="2">
        <f>IFERROR(__xludf.DUMMYFUNCTION("""COMPUTED_VALUE"""),41211.645833333336)</f>
        <v>41211.64583</v>
      </c>
      <c r="B455" s="1">
        <f>IFERROR(__xludf.DUMMYFUNCTION("""COMPUTED_VALUE"""),18260.0)</f>
        <v>18260</v>
      </c>
      <c r="C455" s="1">
        <f>IFERROR(__xludf.DUMMYFUNCTION("""COMPUTED_VALUE"""),18420.0)</f>
        <v>18420</v>
      </c>
      <c r="D455" s="1">
        <f>IFERROR(__xludf.DUMMYFUNCTION("""COMPUTED_VALUE"""),17940.0)</f>
        <v>17940</v>
      </c>
      <c r="E455" s="1">
        <f>IFERROR(__xludf.DUMMYFUNCTION("""COMPUTED_VALUE"""),18200.0)</f>
        <v>18200</v>
      </c>
      <c r="F455" s="1">
        <f>IFERROR(__xludf.DUMMYFUNCTION("""COMPUTED_VALUE"""),113710.0)</f>
        <v>113710</v>
      </c>
    </row>
    <row r="456">
      <c r="A456" s="2">
        <f>IFERROR(__xludf.DUMMYFUNCTION("""COMPUTED_VALUE"""),41212.645833333336)</f>
        <v>41212.64583</v>
      </c>
      <c r="B456" s="1">
        <f>IFERROR(__xludf.DUMMYFUNCTION("""COMPUTED_VALUE"""),18200.0)</f>
        <v>18200</v>
      </c>
      <c r="C456" s="1">
        <f>IFERROR(__xludf.DUMMYFUNCTION("""COMPUTED_VALUE"""),18420.0)</f>
        <v>18420</v>
      </c>
      <c r="D456" s="1">
        <f>IFERROR(__xludf.DUMMYFUNCTION("""COMPUTED_VALUE"""),18140.0)</f>
        <v>18140</v>
      </c>
      <c r="E456" s="1">
        <f>IFERROR(__xludf.DUMMYFUNCTION("""COMPUTED_VALUE"""),18380.0)</f>
        <v>18380</v>
      </c>
      <c r="F456" s="1">
        <f>IFERROR(__xludf.DUMMYFUNCTION("""COMPUTED_VALUE"""),87072.0)</f>
        <v>87072</v>
      </c>
    </row>
    <row r="457">
      <c r="A457" s="2">
        <f>IFERROR(__xludf.DUMMYFUNCTION("""COMPUTED_VALUE"""),41213.645833333336)</f>
        <v>41213.64583</v>
      </c>
      <c r="B457" s="1">
        <f>IFERROR(__xludf.DUMMYFUNCTION("""COMPUTED_VALUE"""),18500.0)</f>
        <v>18500</v>
      </c>
      <c r="C457" s="1">
        <f>IFERROR(__xludf.DUMMYFUNCTION("""COMPUTED_VALUE"""),18880.0)</f>
        <v>18880</v>
      </c>
      <c r="D457" s="1">
        <f>IFERROR(__xludf.DUMMYFUNCTION("""COMPUTED_VALUE"""),18440.0)</f>
        <v>18440</v>
      </c>
      <c r="E457" s="1">
        <f>IFERROR(__xludf.DUMMYFUNCTION("""COMPUTED_VALUE"""),18740.0)</f>
        <v>18740</v>
      </c>
      <c r="F457" s="1">
        <f>IFERROR(__xludf.DUMMYFUNCTION("""COMPUTED_VALUE"""),116642.0)</f>
        <v>116642</v>
      </c>
    </row>
    <row r="458">
      <c r="A458" s="2">
        <f>IFERROR(__xludf.DUMMYFUNCTION("""COMPUTED_VALUE"""),41214.645833333336)</f>
        <v>41214.64583</v>
      </c>
      <c r="B458" s="1">
        <f>IFERROR(__xludf.DUMMYFUNCTION("""COMPUTED_VALUE"""),18740.0)</f>
        <v>18740</v>
      </c>
      <c r="C458" s="1">
        <f>IFERROR(__xludf.DUMMYFUNCTION("""COMPUTED_VALUE"""),18800.0)</f>
        <v>18800</v>
      </c>
      <c r="D458" s="1">
        <f>IFERROR(__xludf.DUMMYFUNCTION("""COMPUTED_VALUE"""),18420.0)</f>
        <v>18420</v>
      </c>
      <c r="E458" s="1">
        <f>IFERROR(__xludf.DUMMYFUNCTION("""COMPUTED_VALUE"""),18660.0)</f>
        <v>18660</v>
      </c>
      <c r="F458" s="1">
        <f>IFERROR(__xludf.DUMMYFUNCTION("""COMPUTED_VALUE"""),92813.0)</f>
        <v>92813</v>
      </c>
    </row>
    <row r="459">
      <c r="A459" s="2">
        <f>IFERROR(__xludf.DUMMYFUNCTION("""COMPUTED_VALUE"""),41215.645833333336)</f>
        <v>41215.64583</v>
      </c>
      <c r="B459" s="1">
        <f>IFERROR(__xludf.DUMMYFUNCTION("""COMPUTED_VALUE"""),18820.0)</f>
        <v>18820</v>
      </c>
      <c r="C459" s="1">
        <f>IFERROR(__xludf.DUMMYFUNCTION("""COMPUTED_VALUE"""),18920.0)</f>
        <v>18920</v>
      </c>
      <c r="D459" s="1">
        <f>IFERROR(__xludf.DUMMYFUNCTION("""COMPUTED_VALUE"""),18400.0)</f>
        <v>18400</v>
      </c>
      <c r="E459" s="1">
        <f>IFERROR(__xludf.DUMMYFUNCTION("""COMPUTED_VALUE"""),18500.0)</f>
        <v>18500</v>
      </c>
      <c r="F459" s="1">
        <f>IFERROR(__xludf.DUMMYFUNCTION("""COMPUTED_VALUE"""),72370.0)</f>
        <v>72370</v>
      </c>
    </row>
    <row r="460">
      <c r="A460" s="2">
        <f>IFERROR(__xludf.DUMMYFUNCTION("""COMPUTED_VALUE"""),41218.645833333336)</f>
        <v>41218.64583</v>
      </c>
      <c r="B460" s="1">
        <f>IFERROR(__xludf.DUMMYFUNCTION("""COMPUTED_VALUE"""),18600.0)</f>
        <v>18600</v>
      </c>
      <c r="C460" s="1">
        <f>IFERROR(__xludf.DUMMYFUNCTION("""COMPUTED_VALUE"""),18720.0)</f>
        <v>18720</v>
      </c>
      <c r="D460" s="1">
        <f>IFERROR(__xludf.DUMMYFUNCTION("""COMPUTED_VALUE"""),18580.0)</f>
        <v>18580</v>
      </c>
      <c r="E460" s="1">
        <f>IFERROR(__xludf.DUMMYFUNCTION("""COMPUTED_VALUE"""),18620.0)</f>
        <v>18620</v>
      </c>
      <c r="F460" s="1">
        <f>IFERROR(__xludf.DUMMYFUNCTION("""COMPUTED_VALUE"""),41863.0)</f>
        <v>41863</v>
      </c>
    </row>
    <row r="461">
      <c r="A461" s="2">
        <f>IFERROR(__xludf.DUMMYFUNCTION("""COMPUTED_VALUE"""),41219.645833333336)</f>
        <v>41219.64583</v>
      </c>
      <c r="B461" s="1">
        <f>IFERROR(__xludf.DUMMYFUNCTION("""COMPUTED_VALUE"""),18460.0)</f>
        <v>18460</v>
      </c>
      <c r="C461" s="1">
        <f>IFERROR(__xludf.DUMMYFUNCTION("""COMPUTED_VALUE"""),18660.0)</f>
        <v>18660</v>
      </c>
      <c r="D461" s="1">
        <f>IFERROR(__xludf.DUMMYFUNCTION("""COMPUTED_VALUE"""),18040.0)</f>
        <v>18040</v>
      </c>
      <c r="E461" s="1">
        <f>IFERROR(__xludf.DUMMYFUNCTION("""COMPUTED_VALUE"""),18260.0)</f>
        <v>18260</v>
      </c>
      <c r="F461" s="1">
        <f>IFERROR(__xludf.DUMMYFUNCTION("""COMPUTED_VALUE"""),153763.0)</f>
        <v>153763</v>
      </c>
    </row>
    <row r="462">
      <c r="A462" s="2">
        <f>IFERROR(__xludf.DUMMYFUNCTION("""COMPUTED_VALUE"""),41220.645833333336)</f>
        <v>41220.64583</v>
      </c>
      <c r="B462" s="1">
        <f>IFERROR(__xludf.DUMMYFUNCTION("""COMPUTED_VALUE"""),18260.0)</f>
        <v>18260</v>
      </c>
      <c r="C462" s="1">
        <f>IFERROR(__xludf.DUMMYFUNCTION("""COMPUTED_VALUE"""),18340.0)</f>
        <v>18340</v>
      </c>
      <c r="D462" s="1">
        <f>IFERROR(__xludf.DUMMYFUNCTION("""COMPUTED_VALUE"""),17880.0)</f>
        <v>17880</v>
      </c>
      <c r="E462" s="1">
        <f>IFERROR(__xludf.DUMMYFUNCTION("""COMPUTED_VALUE"""),17960.0)</f>
        <v>17960</v>
      </c>
      <c r="F462" s="1">
        <f>IFERROR(__xludf.DUMMYFUNCTION("""COMPUTED_VALUE"""),160912.0)</f>
        <v>160912</v>
      </c>
    </row>
    <row r="463">
      <c r="A463" s="2">
        <f>IFERROR(__xludf.DUMMYFUNCTION("""COMPUTED_VALUE"""),41221.645833333336)</f>
        <v>41221.64583</v>
      </c>
      <c r="B463" s="1">
        <f>IFERROR(__xludf.DUMMYFUNCTION("""COMPUTED_VALUE"""),17620.0)</f>
        <v>17620</v>
      </c>
      <c r="C463" s="1">
        <f>IFERROR(__xludf.DUMMYFUNCTION("""COMPUTED_VALUE"""),18120.0)</f>
        <v>18120</v>
      </c>
      <c r="D463" s="1">
        <f>IFERROR(__xludf.DUMMYFUNCTION("""COMPUTED_VALUE"""),17580.0)</f>
        <v>17580</v>
      </c>
      <c r="E463" s="1">
        <f>IFERROR(__xludf.DUMMYFUNCTION("""COMPUTED_VALUE"""),17800.0)</f>
        <v>17800</v>
      </c>
      <c r="F463" s="1">
        <f>IFERROR(__xludf.DUMMYFUNCTION("""COMPUTED_VALUE"""),176643.0)</f>
        <v>176643</v>
      </c>
    </row>
    <row r="464">
      <c r="A464" s="2">
        <f>IFERROR(__xludf.DUMMYFUNCTION("""COMPUTED_VALUE"""),41222.645833333336)</f>
        <v>41222.64583</v>
      </c>
      <c r="B464" s="1">
        <f>IFERROR(__xludf.DUMMYFUNCTION("""COMPUTED_VALUE"""),17300.0)</f>
        <v>17300</v>
      </c>
      <c r="C464" s="1">
        <f>IFERROR(__xludf.DUMMYFUNCTION("""COMPUTED_VALUE"""),17740.0)</f>
        <v>17740</v>
      </c>
      <c r="D464" s="1">
        <f>IFERROR(__xludf.DUMMYFUNCTION("""COMPUTED_VALUE"""),16680.0)</f>
        <v>16680</v>
      </c>
      <c r="E464" s="1">
        <f>IFERROR(__xludf.DUMMYFUNCTION("""COMPUTED_VALUE"""),17200.0)</f>
        <v>17200</v>
      </c>
      <c r="F464" s="1">
        <f>IFERROR(__xludf.DUMMYFUNCTION("""COMPUTED_VALUE"""),219308.0)</f>
        <v>219308</v>
      </c>
    </row>
    <row r="465">
      <c r="A465" s="2">
        <f>IFERROR(__xludf.DUMMYFUNCTION("""COMPUTED_VALUE"""),41225.645833333336)</f>
        <v>41225.64583</v>
      </c>
      <c r="B465" s="1">
        <f>IFERROR(__xludf.DUMMYFUNCTION("""COMPUTED_VALUE"""),17200.0)</f>
        <v>17200</v>
      </c>
      <c r="C465" s="1">
        <f>IFERROR(__xludf.DUMMYFUNCTION("""COMPUTED_VALUE"""),17600.0)</f>
        <v>17600</v>
      </c>
      <c r="D465" s="1">
        <f>IFERROR(__xludf.DUMMYFUNCTION("""COMPUTED_VALUE"""),17100.0)</f>
        <v>17100</v>
      </c>
      <c r="E465" s="1">
        <f>IFERROR(__xludf.DUMMYFUNCTION("""COMPUTED_VALUE"""),17140.0)</f>
        <v>17140</v>
      </c>
      <c r="F465" s="1">
        <f>IFERROR(__xludf.DUMMYFUNCTION("""COMPUTED_VALUE"""),162098.0)</f>
        <v>162098</v>
      </c>
    </row>
    <row r="466">
      <c r="A466" s="2">
        <f>IFERROR(__xludf.DUMMYFUNCTION("""COMPUTED_VALUE"""),41226.645833333336)</f>
        <v>41226.64583</v>
      </c>
      <c r="B466" s="1">
        <f>IFERROR(__xludf.DUMMYFUNCTION("""COMPUTED_VALUE"""),17100.0)</f>
        <v>17100</v>
      </c>
      <c r="C466" s="1">
        <f>IFERROR(__xludf.DUMMYFUNCTION("""COMPUTED_VALUE"""),17200.0)</f>
        <v>17200</v>
      </c>
      <c r="D466" s="1">
        <f>IFERROR(__xludf.DUMMYFUNCTION("""COMPUTED_VALUE"""),16960.0)</f>
        <v>16960</v>
      </c>
      <c r="E466" s="1">
        <f>IFERROR(__xludf.DUMMYFUNCTION("""COMPUTED_VALUE"""),17060.0)</f>
        <v>17060</v>
      </c>
      <c r="F466" s="1">
        <f>IFERROR(__xludf.DUMMYFUNCTION("""COMPUTED_VALUE"""),130206.0)</f>
        <v>130206</v>
      </c>
    </row>
    <row r="467">
      <c r="A467" s="2">
        <f>IFERROR(__xludf.DUMMYFUNCTION("""COMPUTED_VALUE"""),41227.645833333336)</f>
        <v>41227.64583</v>
      </c>
      <c r="B467" s="1">
        <f>IFERROR(__xludf.DUMMYFUNCTION("""COMPUTED_VALUE"""),17000.0)</f>
        <v>17000</v>
      </c>
      <c r="C467" s="1">
        <f>IFERROR(__xludf.DUMMYFUNCTION("""COMPUTED_VALUE"""),17100.0)</f>
        <v>17100</v>
      </c>
      <c r="D467" s="1">
        <f>IFERROR(__xludf.DUMMYFUNCTION("""COMPUTED_VALUE"""),16640.0)</f>
        <v>16640</v>
      </c>
      <c r="E467" s="1">
        <f>IFERROR(__xludf.DUMMYFUNCTION("""COMPUTED_VALUE"""),16800.0)</f>
        <v>16800</v>
      </c>
      <c r="F467" s="1">
        <f>IFERROR(__xludf.DUMMYFUNCTION("""COMPUTED_VALUE"""),118344.0)</f>
        <v>118344</v>
      </c>
    </row>
    <row r="468">
      <c r="A468" s="2">
        <f>IFERROR(__xludf.DUMMYFUNCTION("""COMPUTED_VALUE"""),41228.645833333336)</f>
        <v>41228.64583</v>
      </c>
      <c r="B468" s="1">
        <f>IFERROR(__xludf.DUMMYFUNCTION("""COMPUTED_VALUE"""),16640.0)</f>
        <v>16640</v>
      </c>
      <c r="C468" s="1">
        <f>IFERROR(__xludf.DUMMYFUNCTION("""COMPUTED_VALUE"""),17100.0)</f>
        <v>17100</v>
      </c>
      <c r="D468" s="1">
        <f>IFERROR(__xludf.DUMMYFUNCTION("""COMPUTED_VALUE"""),16640.0)</f>
        <v>16640</v>
      </c>
      <c r="E468" s="1">
        <f>IFERROR(__xludf.DUMMYFUNCTION("""COMPUTED_VALUE"""),16880.0)</f>
        <v>16880</v>
      </c>
      <c r="F468" s="1">
        <f>IFERROR(__xludf.DUMMYFUNCTION("""COMPUTED_VALUE"""),86046.0)</f>
        <v>86046</v>
      </c>
    </row>
    <row r="469">
      <c r="A469" s="2">
        <f>IFERROR(__xludf.DUMMYFUNCTION("""COMPUTED_VALUE"""),41229.645833333336)</f>
        <v>41229.64583</v>
      </c>
      <c r="B469" s="1">
        <f>IFERROR(__xludf.DUMMYFUNCTION("""COMPUTED_VALUE"""),16800.0)</f>
        <v>16800</v>
      </c>
      <c r="C469" s="1">
        <f>IFERROR(__xludf.DUMMYFUNCTION("""COMPUTED_VALUE"""),16940.0)</f>
        <v>16940</v>
      </c>
      <c r="D469" s="1">
        <f>IFERROR(__xludf.DUMMYFUNCTION("""COMPUTED_VALUE"""),16720.0)</f>
        <v>16720</v>
      </c>
      <c r="E469" s="1">
        <f>IFERROR(__xludf.DUMMYFUNCTION("""COMPUTED_VALUE"""),16800.0)</f>
        <v>16800</v>
      </c>
      <c r="F469" s="1">
        <f>IFERROR(__xludf.DUMMYFUNCTION("""COMPUTED_VALUE"""),66064.0)</f>
        <v>66064</v>
      </c>
    </row>
    <row r="470">
      <c r="A470" s="2">
        <f>IFERROR(__xludf.DUMMYFUNCTION("""COMPUTED_VALUE"""),41232.645833333336)</f>
        <v>41232.64583</v>
      </c>
      <c r="B470" s="1">
        <f>IFERROR(__xludf.DUMMYFUNCTION("""COMPUTED_VALUE"""),16880.0)</f>
        <v>16880</v>
      </c>
      <c r="C470" s="1">
        <f>IFERROR(__xludf.DUMMYFUNCTION("""COMPUTED_VALUE"""),17140.0)</f>
        <v>17140</v>
      </c>
      <c r="D470" s="1">
        <f>IFERROR(__xludf.DUMMYFUNCTION("""COMPUTED_VALUE"""),16820.0)</f>
        <v>16820</v>
      </c>
      <c r="E470" s="1">
        <f>IFERROR(__xludf.DUMMYFUNCTION("""COMPUTED_VALUE"""),17000.0)</f>
        <v>17000</v>
      </c>
      <c r="F470" s="1">
        <f>IFERROR(__xludf.DUMMYFUNCTION("""COMPUTED_VALUE"""),67581.0)</f>
        <v>67581</v>
      </c>
    </row>
    <row r="471">
      <c r="A471" s="2">
        <f>IFERROR(__xludf.DUMMYFUNCTION("""COMPUTED_VALUE"""),41233.645833333336)</f>
        <v>41233.64583</v>
      </c>
      <c r="B471" s="1">
        <f>IFERROR(__xludf.DUMMYFUNCTION("""COMPUTED_VALUE"""),17100.0)</f>
        <v>17100</v>
      </c>
      <c r="C471" s="1">
        <f>IFERROR(__xludf.DUMMYFUNCTION("""COMPUTED_VALUE"""),17660.0)</f>
        <v>17660</v>
      </c>
      <c r="D471" s="1">
        <f>IFERROR(__xludf.DUMMYFUNCTION("""COMPUTED_VALUE"""),17060.0)</f>
        <v>17060</v>
      </c>
      <c r="E471" s="1">
        <f>IFERROR(__xludf.DUMMYFUNCTION("""COMPUTED_VALUE"""),17560.0)</f>
        <v>17560</v>
      </c>
      <c r="F471" s="1">
        <f>IFERROR(__xludf.DUMMYFUNCTION("""COMPUTED_VALUE"""),143475.0)</f>
        <v>143475</v>
      </c>
    </row>
    <row r="472">
      <c r="A472" s="2">
        <f>IFERROR(__xludf.DUMMYFUNCTION("""COMPUTED_VALUE"""),41234.645833333336)</f>
        <v>41234.64583</v>
      </c>
      <c r="B472" s="1">
        <f>IFERROR(__xludf.DUMMYFUNCTION("""COMPUTED_VALUE"""),17760.0)</f>
        <v>17760</v>
      </c>
      <c r="C472" s="1">
        <f>IFERROR(__xludf.DUMMYFUNCTION("""COMPUTED_VALUE"""),17760.0)</f>
        <v>17760</v>
      </c>
      <c r="D472" s="1">
        <f>IFERROR(__xludf.DUMMYFUNCTION("""COMPUTED_VALUE"""),17280.0)</f>
        <v>17280</v>
      </c>
      <c r="E472" s="1">
        <f>IFERROR(__xludf.DUMMYFUNCTION("""COMPUTED_VALUE"""),17380.0)</f>
        <v>17380</v>
      </c>
      <c r="F472" s="1">
        <f>IFERROR(__xludf.DUMMYFUNCTION("""COMPUTED_VALUE"""),73034.0)</f>
        <v>73034</v>
      </c>
    </row>
    <row r="473">
      <c r="A473" s="2">
        <f>IFERROR(__xludf.DUMMYFUNCTION("""COMPUTED_VALUE"""),41235.645833333336)</f>
        <v>41235.64583</v>
      </c>
      <c r="B473" s="1">
        <f>IFERROR(__xludf.DUMMYFUNCTION("""COMPUTED_VALUE"""),17460.0)</f>
        <v>17460</v>
      </c>
      <c r="C473" s="1">
        <f>IFERROR(__xludf.DUMMYFUNCTION("""COMPUTED_VALUE"""),17540.0)</f>
        <v>17540</v>
      </c>
      <c r="D473" s="1">
        <f>IFERROR(__xludf.DUMMYFUNCTION("""COMPUTED_VALUE"""),17280.0)</f>
        <v>17280</v>
      </c>
      <c r="E473" s="1">
        <f>IFERROR(__xludf.DUMMYFUNCTION("""COMPUTED_VALUE"""),17420.0)</f>
        <v>17420</v>
      </c>
      <c r="F473" s="1">
        <f>IFERROR(__xludf.DUMMYFUNCTION("""COMPUTED_VALUE"""),55454.0)</f>
        <v>55454</v>
      </c>
    </row>
    <row r="474">
      <c r="A474" s="2">
        <f>IFERROR(__xludf.DUMMYFUNCTION("""COMPUTED_VALUE"""),41236.645833333336)</f>
        <v>41236.64583</v>
      </c>
      <c r="B474" s="1">
        <f>IFERROR(__xludf.DUMMYFUNCTION("""COMPUTED_VALUE"""),17440.0)</f>
        <v>17440</v>
      </c>
      <c r="C474" s="1">
        <f>IFERROR(__xludf.DUMMYFUNCTION("""COMPUTED_VALUE"""),17760.0)</f>
        <v>17760</v>
      </c>
      <c r="D474" s="1">
        <f>IFERROR(__xludf.DUMMYFUNCTION("""COMPUTED_VALUE"""),17260.0)</f>
        <v>17260</v>
      </c>
      <c r="E474" s="1">
        <f>IFERROR(__xludf.DUMMYFUNCTION("""COMPUTED_VALUE"""),17640.0)</f>
        <v>17640</v>
      </c>
      <c r="F474" s="1">
        <f>IFERROR(__xludf.DUMMYFUNCTION("""COMPUTED_VALUE"""),74884.0)</f>
        <v>74884</v>
      </c>
    </row>
    <row r="475">
      <c r="A475" s="2">
        <f>IFERROR(__xludf.DUMMYFUNCTION("""COMPUTED_VALUE"""),41239.645833333336)</f>
        <v>41239.64583</v>
      </c>
      <c r="B475" s="1">
        <f>IFERROR(__xludf.DUMMYFUNCTION("""COMPUTED_VALUE"""),17600.0)</f>
        <v>17600</v>
      </c>
      <c r="C475" s="1">
        <f>IFERROR(__xludf.DUMMYFUNCTION("""COMPUTED_VALUE"""),17880.0)</f>
        <v>17880</v>
      </c>
      <c r="D475" s="1">
        <f>IFERROR(__xludf.DUMMYFUNCTION("""COMPUTED_VALUE"""),17480.0)</f>
        <v>17480</v>
      </c>
      <c r="E475" s="1">
        <f>IFERROR(__xludf.DUMMYFUNCTION("""COMPUTED_VALUE"""),17880.0)</f>
        <v>17880</v>
      </c>
      <c r="F475" s="1">
        <f>IFERROR(__xludf.DUMMYFUNCTION("""COMPUTED_VALUE"""),94768.0)</f>
        <v>94768</v>
      </c>
    </row>
    <row r="476">
      <c r="A476" s="2">
        <f>IFERROR(__xludf.DUMMYFUNCTION("""COMPUTED_VALUE"""),41240.645833333336)</f>
        <v>41240.64583</v>
      </c>
      <c r="B476" s="1">
        <f>IFERROR(__xludf.DUMMYFUNCTION("""COMPUTED_VALUE"""),17920.0)</f>
        <v>17920</v>
      </c>
      <c r="C476" s="1">
        <f>IFERROR(__xludf.DUMMYFUNCTION("""COMPUTED_VALUE"""),17920.0)</f>
        <v>17920</v>
      </c>
      <c r="D476" s="1">
        <f>IFERROR(__xludf.DUMMYFUNCTION("""COMPUTED_VALUE"""),17560.0)</f>
        <v>17560</v>
      </c>
      <c r="E476" s="1">
        <f>IFERROR(__xludf.DUMMYFUNCTION("""COMPUTED_VALUE"""),17780.0)</f>
        <v>17780</v>
      </c>
      <c r="F476" s="1">
        <f>IFERROR(__xludf.DUMMYFUNCTION("""COMPUTED_VALUE"""),62901.0)</f>
        <v>62901</v>
      </c>
    </row>
    <row r="477">
      <c r="A477" s="2">
        <f>IFERROR(__xludf.DUMMYFUNCTION("""COMPUTED_VALUE"""),41241.645833333336)</f>
        <v>41241.64583</v>
      </c>
      <c r="B477" s="1">
        <f>IFERROR(__xludf.DUMMYFUNCTION("""COMPUTED_VALUE"""),18000.0)</f>
        <v>18000</v>
      </c>
      <c r="C477" s="1">
        <f>IFERROR(__xludf.DUMMYFUNCTION("""COMPUTED_VALUE"""),18020.0)</f>
        <v>18020</v>
      </c>
      <c r="D477" s="1">
        <f>IFERROR(__xludf.DUMMYFUNCTION("""COMPUTED_VALUE"""),17740.0)</f>
        <v>17740</v>
      </c>
      <c r="E477" s="1">
        <f>IFERROR(__xludf.DUMMYFUNCTION("""COMPUTED_VALUE"""),17860.0)</f>
        <v>17860</v>
      </c>
      <c r="F477" s="1">
        <f>IFERROR(__xludf.DUMMYFUNCTION("""COMPUTED_VALUE"""),61461.0)</f>
        <v>61461</v>
      </c>
    </row>
    <row r="478">
      <c r="A478" s="2">
        <f>IFERROR(__xludf.DUMMYFUNCTION("""COMPUTED_VALUE"""),41242.645833333336)</f>
        <v>41242.64583</v>
      </c>
      <c r="B478" s="1">
        <f>IFERROR(__xludf.DUMMYFUNCTION("""COMPUTED_VALUE"""),17860.0)</f>
        <v>17860</v>
      </c>
      <c r="C478" s="1">
        <f>IFERROR(__xludf.DUMMYFUNCTION("""COMPUTED_VALUE"""),17960.0)</f>
        <v>17960</v>
      </c>
      <c r="D478" s="1">
        <f>IFERROR(__xludf.DUMMYFUNCTION("""COMPUTED_VALUE"""),17480.0)</f>
        <v>17480</v>
      </c>
      <c r="E478" s="1">
        <f>IFERROR(__xludf.DUMMYFUNCTION("""COMPUTED_VALUE"""),17640.0)</f>
        <v>17640</v>
      </c>
      <c r="F478" s="1">
        <f>IFERROR(__xludf.DUMMYFUNCTION("""COMPUTED_VALUE"""),122401.0)</f>
        <v>122401</v>
      </c>
    </row>
    <row r="479">
      <c r="A479" s="2">
        <f>IFERROR(__xludf.DUMMYFUNCTION("""COMPUTED_VALUE"""),41243.645833333336)</f>
        <v>41243.64583</v>
      </c>
      <c r="B479" s="1">
        <f>IFERROR(__xludf.DUMMYFUNCTION("""COMPUTED_VALUE"""),17640.0)</f>
        <v>17640</v>
      </c>
      <c r="C479" s="1">
        <f>IFERROR(__xludf.DUMMYFUNCTION("""COMPUTED_VALUE"""),17700.0)</f>
        <v>17700</v>
      </c>
      <c r="D479" s="1">
        <f>IFERROR(__xludf.DUMMYFUNCTION("""COMPUTED_VALUE"""),16920.0)</f>
        <v>16920</v>
      </c>
      <c r="E479" s="1">
        <f>IFERROR(__xludf.DUMMYFUNCTION("""COMPUTED_VALUE"""),16980.0)</f>
        <v>16980</v>
      </c>
      <c r="F479" s="1">
        <f>IFERROR(__xludf.DUMMYFUNCTION("""COMPUTED_VALUE"""),150377.0)</f>
        <v>150377</v>
      </c>
    </row>
    <row r="480">
      <c r="A480" s="2">
        <f>IFERROR(__xludf.DUMMYFUNCTION("""COMPUTED_VALUE"""),41246.645833333336)</f>
        <v>41246.64583</v>
      </c>
      <c r="B480" s="1">
        <f>IFERROR(__xludf.DUMMYFUNCTION("""COMPUTED_VALUE"""),17040.0)</f>
        <v>17040</v>
      </c>
      <c r="C480" s="1">
        <f>IFERROR(__xludf.DUMMYFUNCTION("""COMPUTED_VALUE"""),17340.0)</f>
        <v>17340</v>
      </c>
      <c r="D480" s="1">
        <f>IFERROR(__xludf.DUMMYFUNCTION("""COMPUTED_VALUE"""),16980.0)</f>
        <v>16980</v>
      </c>
      <c r="E480" s="1">
        <f>IFERROR(__xludf.DUMMYFUNCTION("""COMPUTED_VALUE"""),17180.0)</f>
        <v>17180</v>
      </c>
      <c r="F480" s="1">
        <f>IFERROR(__xludf.DUMMYFUNCTION("""COMPUTED_VALUE"""),45321.0)</f>
        <v>45321</v>
      </c>
    </row>
    <row r="481">
      <c r="A481" s="2">
        <f>IFERROR(__xludf.DUMMYFUNCTION("""COMPUTED_VALUE"""),41247.645833333336)</f>
        <v>41247.64583</v>
      </c>
      <c r="B481" s="1">
        <f>IFERROR(__xludf.DUMMYFUNCTION("""COMPUTED_VALUE"""),17180.0)</f>
        <v>17180</v>
      </c>
      <c r="C481" s="1">
        <f>IFERROR(__xludf.DUMMYFUNCTION("""COMPUTED_VALUE"""),17760.0)</f>
        <v>17760</v>
      </c>
      <c r="D481" s="1">
        <f>IFERROR(__xludf.DUMMYFUNCTION("""COMPUTED_VALUE"""),17140.0)</f>
        <v>17140</v>
      </c>
      <c r="E481" s="1">
        <f>IFERROR(__xludf.DUMMYFUNCTION("""COMPUTED_VALUE"""),17720.0)</f>
        <v>17720</v>
      </c>
      <c r="F481" s="1">
        <f>IFERROR(__xludf.DUMMYFUNCTION("""COMPUTED_VALUE"""),85116.0)</f>
        <v>85116</v>
      </c>
    </row>
    <row r="482">
      <c r="A482" s="2">
        <f>IFERROR(__xludf.DUMMYFUNCTION("""COMPUTED_VALUE"""),41248.645833333336)</f>
        <v>41248.64583</v>
      </c>
      <c r="B482" s="1">
        <f>IFERROR(__xludf.DUMMYFUNCTION("""COMPUTED_VALUE"""),17740.0)</f>
        <v>17740</v>
      </c>
      <c r="C482" s="1">
        <f>IFERROR(__xludf.DUMMYFUNCTION("""COMPUTED_VALUE"""),18220.0)</f>
        <v>18220</v>
      </c>
      <c r="D482" s="1">
        <f>IFERROR(__xludf.DUMMYFUNCTION("""COMPUTED_VALUE"""),17700.0)</f>
        <v>17700</v>
      </c>
      <c r="E482" s="1">
        <f>IFERROR(__xludf.DUMMYFUNCTION("""COMPUTED_VALUE"""),18100.0)</f>
        <v>18100</v>
      </c>
      <c r="F482" s="1">
        <f>IFERROR(__xludf.DUMMYFUNCTION("""COMPUTED_VALUE"""),142928.0)</f>
        <v>142928</v>
      </c>
    </row>
    <row r="483">
      <c r="A483" s="2">
        <f>IFERROR(__xludf.DUMMYFUNCTION("""COMPUTED_VALUE"""),41249.645833333336)</f>
        <v>41249.64583</v>
      </c>
      <c r="B483" s="1">
        <f>IFERROR(__xludf.DUMMYFUNCTION("""COMPUTED_VALUE"""),18120.0)</f>
        <v>18120</v>
      </c>
      <c r="C483" s="1">
        <f>IFERROR(__xludf.DUMMYFUNCTION("""COMPUTED_VALUE"""),18400.0)</f>
        <v>18400</v>
      </c>
      <c r="D483" s="1">
        <f>IFERROR(__xludf.DUMMYFUNCTION("""COMPUTED_VALUE"""),17700.0)</f>
        <v>17700</v>
      </c>
      <c r="E483" s="1">
        <f>IFERROR(__xludf.DUMMYFUNCTION("""COMPUTED_VALUE"""),17720.0)</f>
        <v>17720</v>
      </c>
      <c r="F483" s="1">
        <f>IFERROR(__xludf.DUMMYFUNCTION("""COMPUTED_VALUE"""),127386.0)</f>
        <v>127386</v>
      </c>
    </row>
    <row r="484">
      <c r="A484" s="2">
        <f>IFERROR(__xludf.DUMMYFUNCTION("""COMPUTED_VALUE"""),41250.645833333336)</f>
        <v>41250.64583</v>
      </c>
      <c r="B484" s="1">
        <f>IFERROR(__xludf.DUMMYFUNCTION("""COMPUTED_VALUE"""),18060.0)</f>
        <v>18060</v>
      </c>
      <c r="C484" s="1">
        <f>IFERROR(__xludf.DUMMYFUNCTION("""COMPUTED_VALUE"""),18320.0)</f>
        <v>18320</v>
      </c>
      <c r="D484" s="1">
        <f>IFERROR(__xludf.DUMMYFUNCTION("""COMPUTED_VALUE"""),17840.0)</f>
        <v>17840</v>
      </c>
      <c r="E484" s="1">
        <f>IFERROR(__xludf.DUMMYFUNCTION("""COMPUTED_VALUE"""),18280.0)</f>
        <v>18280</v>
      </c>
      <c r="F484" s="1">
        <f>IFERROR(__xludf.DUMMYFUNCTION("""COMPUTED_VALUE"""),92431.0)</f>
        <v>92431</v>
      </c>
    </row>
    <row r="485">
      <c r="A485" s="2">
        <f>IFERROR(__xludf.DUMMYFUNCTION("""COMPUTED_VALUE"""),41253.645833333336)</f>
        <v>41253.64583</v>
      </c>
      <c r="B485" s="1">
        <f>IFERROR(__xludf.DUMMYFUNCTION("""COMPUTED_VALUE"""),18280.0)</f>
        <v>18280</v>
      </c>
      <c r="C485" s="1">
        <f>IFERROR(__xludf.DUMMYFUNCTION("""COMPUTED_VALUE"""),18380.0)</f>
        <v>18380</v>
      </c>
      <c r="D485" s="1">
        <f>IFERROR(__xludf.DUMMYFUNCTION("""COMPUTED_VALUE"""),17900.0)</f>
        <v>17900</v>
      </c>
      <c r="E485" s="1">
        <f>IFERROR(__xludf.DUMMYFUNCTION("""COMPUTED_VALUE"""),18300.0)</f>
        <v>18300</v>
      </c>
      <c r="F485" s="1">
        <f>IFERROR(__xludf.DUMMYFUNCTION("""COMPUTED_VALUE"""),79399.0)</f>
        <v>79399</v>
      </c>
    </row>
    <row r="486">
      <c r="A486" s="2">
        <f>IFERROR(__xludf.DUMMYFUNCTION("""COMPUTED_VALUE"""),41254.645833333336)</f>
        <v>41254.64583</v>
      </c>
      <c r="B486" s="1">
        <f>IFERROR(__xludf.DUMMYFUNCTION("""COMPUTED_VALUE"""),18400.0)</f>
        <v>18400</v>
      </c>
      <c r="C486" s="1">
        <f>IFERROR(__xludf.DUMMYFUNCTION("""COMPUTED_VALUE"""),18440.0)</f>
        <v>18440</v>
      </c>
      <c r="D486" s="1">
        <f>IFERROR(__xludf.DUMMYFUNCTION("""COMPUTED_VALUE"""),18140.0)</f>
        <v>18140</v>
      </c>
      <c r="E486" s="1">
        <f>IFERROR(__xludf.DUMMYFUNCTION("""COMPUTED_VALUE"""),18380.0)</f>
        <v>18380</v>
      </c>
      <c r="F486" s="1">
        <f>IFERROR(__xludf.DUMMYFUNCTION("""COMPUTED_VALUE"""),84372.0)</f>
        <v>84372</v>
      </c>
    </row>
    <row r="487">
      <c r="A487" s="2">
        <f>IFERROR(__xludf.DUMMYFUNCTION("""COMPUTED_VALUE"""),41255.645833333336)</f>
        <v>41255.64583</v>
      </c>
      <c r="B487" s="1">
        <f>IFERROR(__xludf.DUMMYFUNCTION("""COMPUTED_VALUE"""),18320.0)</f>
        <v>18320</v>
      </c>
      <c r="C487" s="1">
        <f>IFERROR(__xludf.DUMMYFUNCTION("""COMPUTED_VALUE"""),18440.0)</f>
        <v>18440</v>
      </c>
      <c r="D487" s="1">
        <f>IFERROR(__xludf.DUMMYFUNCTION("""COMPUTED_VALUE"""),18120.0)</f>
        <v>18120</v>
      </c>
      <c r="E487" s="1">
        <f>IFERROR(__xludf.DUMMYFUNCTION("""COMPUTED_VALUE"""),18340.0)</f>
        <v>18340</v>
      </c>
      <c r="F487" s="1">
        <f>IFERROR(__xludf.DUMMYFUNCTION("""COMPUTED_VALUE"""),41364.0)</f>
        <v>41364</v>
      </c>
    </row>
    <row r="488">
      <c r="A488" s="2">
        <f>IFERROR(__xludf.DUMMYFUNCTION("""COMPUTED_VALUE"""),41256.645833333336)</f>
        <v>41256.64583</v>
      </c>
      <c r="B488" s="1">
        <f>IFERROR(__xludf.DUMMYFUNCTION("""COMPUTED_VALUE"""),18380.0)</f>
        <v>18380</v>
      </c>
      <c r="C488" s="1">
        <f>IFERROR(__xludf.DUMMYFUNCTION("""COMPUTED_VALUE"""),18480.0)</f>
        <v>18480</v>
      </c>
      <c r="D488" s="1">
        <f>IFERROR(__xludf.DUMMYFUNCTION("""COMPUTED_VALUE"""),17940.0)</f>
        <v>17940</v>
      </c>
      <c r="E488" s="1">
        <f>IFERROR(__xludf.DUMMYFUNCTION("""COMPUTED_VALUE"""),18400.0)</f>
        <v>18400</v>
      </c>
      <c r="F488" s="1">
        <f>IFERROR(__xludf.DUMMYFUNCTION("""COMPUTED_VALUE"""),83306.0)</f>
        <v>83306</v>
      </c>
    </row>
    <row r="489">
      <c r="A489" s="2">
        <f>IFERROR(__xludf.DUMMYFUNCTION("""COMPUTED_VALUE"""),41257.645833333336)</f>
        <v>41257.64583</v>
      </c>
      <c r="B489" s="1">
        <f>IFERROR(__xludf.DUMMYFUNCTION("""COMPUTED_VALUE"""),18360.0)</f>
        <v>18360</v>
      </c>
      <c r="C489" s="1">
        <f>IFERROR(__xludf.DUMMYFUNCTION("""COMPUTED_VALUE"""),18360.0)</f>
        <v>18360</v>
      </c>
      <c r="D489" s="1">
        <f>IFERROR(__xludf.DUMMYFUNCTION("""COMPUTED_VALUE"""),18020.0)</f>
        <v>18020</v>
      </c>
      <c r="E489" s="1">
        <f>IFERROR(__xludf.DUMMYFUNCTION("""COMPUTED_VALUE"""),18360.0)</f>
        <v>18360</v>
      </c>
      <c r="F489" s="1">
        <f>IFERROR(__xludf.DUMMYFUNCTION("""COMPUTED_VALUE"""),84190.0)</f>
        <v>84190</v>
      </c>
    </row>
    <row r="490">
      <c r="A490" s="2">
        <f>IFERROR(__xludf.DUMMYFUNCTION("""COMPUTED_VALUE"""),41260.645833333336)</f>
        <v>41260.64583</v>
      </c>
      <c r="B490" s="1">
        <f>IFERROR(__xludf.DUMMYFUNCTION("""COMPUTED_VALUE"""),18140.0)</f>
        <v>18140</v>
      </c>
      <c r="C490" s="1">
        <f>IFERROR(__xludf.DUMMYFUNCTION("""COMPUTED_VALUE"""),18320.0)</f>
        <v>18320</v>
      </c>
      <c r="D490" s="1">
        <f>IFERROR(__xludf.DUMMYFUNCTION("""COMPUTED_VALUE"""),17680.0)</f>
        <v>17680</v>
      </c>
      <c r="E490" s="1">
        <f>IFERROR(__xludf.DUMMYFUNCTION("""COMPUTED_VALUE"""),17720.0)</f>
        <v>17720</v>
      </c>
      <c r="F490" s="1">
        <f>IFERROR(__xludf.DUMMYFUNCTION("""COMPUTED_VALUE"""),79072.0)</f>
        <v>79072</v>
      </c>
    </row>
    <row r="491">
      <c r="A491" s="2">
        <f>IFERROR(__xludf.DUMMYFUNCTION("""COMPUTED_VALUE"""),41261.645833333336)</f>
        <v>41261.64583</v>
      </c>
      <c r="B491" s="1">
        <f>IFERROR(__xludf.DUMMYFUNCTION("""COMPUTED_VALUE"""),17580.0)</f>
        <v>17580</v>
      </c>
      <c r="C491" s="1">
        <f>IFERROR(__xludf.DUMMYFUNCTION("""COMPUTED_VALUE"""),18020.0)</f>
        <v>18020</v>
      </c>
      <c r="D491" s="1">
        <f>IFERROR(__xludf.DUMMYFUNCTION("""COMPUTED_VALUE"""),17520.0)</f>
        <v>17520</v>
      </c>
      <c r="E491" s="1">
        <f>IFERROR(__xludf.DUMMYFUNCTION("""COMPUTED_VALUE"""),17840.0)</f>
        <v>17840</v>
      </c>
      <c r="F491" s="1">
        <f>IFERROR(__xludf.DUMMYFUNCTION("""COMPUTED_VALUE"""),53665.0)</f>
        <v>53665</v>
      </c>
    </row>
    <row r="492">
      <c r="A492" s="2">
        <f>IFERROR(__xludf.DUMMYFUNCTION("""COMPUTED_VALUE"""),41263.645833333336)</f>
        <v>41263.64583</v>
      </c>
      <c r="B492" s="1">
        <f>IFERROR(__xludf.DUMMYFUNCTION("""COMPUTED_VALUE"""),17800.0)</f>
        <v>17800</v>
      </c>
      <c r="C492" s="1">
        <f>IFERROR(__xludf.DUMMYFUNCTION("""COMPUTED_VALUE"""),17920.0)</f>
        <v>17920</v>
      </c>
      <c r="D492" s="1">
        <f>IFERROR(__xludf.DUMMYFUNCTION("""COMPUTED_VALUE"""),17040.0)</f>
        <v>17040</v>
      </c>
      <c r="E492" s="1">
        <f>IFERROR(__xludf.DUMMYFUNCTION("""COMPUTED_VALUE"""),17800.0)</f>
        <v>17800</v>
      </c>
      <c r="F492" s="1">
        <f>IFERROR(__xludf.DUMMYFUNCTION("""COMPUTED_VALUE"""),113003.0)</f>
        <v>113003</v>
      </c>
    </row>
    <row r="493">
      <c r="A493" s="2">
        <f>IFERROR(__xludf.DUMMYFUNCTION("""COMPUTED_VALUE"""),41264.645833333336)</f>
        <v>41264.64583</v>
      </c>
      <c r="B493" s="1">
        <f>IFERROR(__xludf.DUMMYFUNCTION("""COMPUTED_VALUE"""),17420.0)</f>
        <v>17420</v>
      </c>
      <c r="C493" s="1">
        <f>IFERROR(__xludf.DUMMYFUNCTION("""COMPUTED_VALUE"""),17860.0)</f>
        <v>17860</v>
      </c>
      <c r="D493" s="1">
        <f>IFERROR(__xludf.DUMMYFUNCTION("""COMPUTED_VALUE"""),17420.0)</f>
        <v>17420</v>
      </c>
      <c r="E493" s="1">
        <f>IFERROR(__xludf.DUMMYFUNCTION("""COMPUTED_VALUE"""),17780.0)</f>
        <v>17780</v>
      </c>
      <c r="F493" s="1">
        <f>IFERROR(__xludf.DUMMYFUNCTION("""COMPUTED_VALUE"""),82224.0)</f>
        <v>82224</v>
      </c>
    </row>
    <row r="494">
      <c r="A494" s="2">
        <f>IFERROR(__xludf.DUMMYFUNCTION("""COMPUTED_VALUE"""),41267.645833333336)</f>
        <v>41267.64583</v>
      </c>
      <c r="B494" s="1">
        <f>IFERROR(__xludf.DUMMYFUNCTION("""COMPUTED_VALUE"""),17780.0)</f>
        <v>17780</v>
      </c>
      <c r="C494" s="1">
        <f>IFERROR(__xludf.DUMMYFUNCTION("""COMPUTED_VALUE"""),18100.0)</f>
        <v>18100</v>
      </c>
      <c r="D494" s="1">
        <f>IFERROR(__xludf.DUMMYFUNCTION("""COMPUTED_VALUE"""),17780.0)</f>
        <v>17780</v>
      </c>
      <c r="E494" s="1">
        <f>IFERROR(__xludf.DUMMYFUNCTION("""COMPUTED_VALUE"""),18000.0)</f>
        <v>18000</v>
      </c>
      <c r="F494" s="1">
        <f>IFERROR(__xludf.DUMMYFUNCTION("""COMPUTED_VALUE"""),27499.0)</f>
        <v>27499</v>
      </c>
    </row>
    <row r="495">
      <c r="A495" s="2">
        <f>IFERROR(__xludf.DUMMYFUNCTION("""COMPUTED_VALUE"""),41269.645833333336)</f>
        <v>41269.64583</v>
      </c>
      <c r="B495" s="1">
        <f>IFERROR(__xludf.DUMMYFUNCTION("""COMPUTED_VALUE"""),17940.0)</f>
        <v>17940</v>
      </c>
      <c r="C495" s="1">
        <f>IFERROR(__xludf.DUMMYFUNCTION("""COMPUTED_VALUE"""),18140.0)</f>
        <v>18140</v>
      </c>
      <c r="D495" s="1">
        <f>IFERROR(__xludf.DUMMYFUNCTION("""COMPUTED_VALUE"""),17680.0)</f>
        <v>17680</v>
      </c>
      <c r="E495" s="1">
        <f>IFERROR(__xludf.DUMMYFUNCTION("""COMPUTED_VALUE"""),17680.0)</f>
        <v>17680</v>
      </c>
      <c r="F495" s="1">
        <f>IFERROR(__xludf.DUMMYFUNCTION("""COMPUTED_VALUE"""),36518.0)</f>
        <v>36518</v>
      </c>
    </row>
    <row r="496">
      <c r="A496" s="2">
        <f>IFERROR(__xludf.DUMMYFUNCTION("""COMPUTED_VALUE"""),41270.645833333336)</f>
        <v>41270.64583</v>
      </c>
      <c r="B496" s="1">
        <f>IFERROR(__xludf.DUMMYFUNCTION("""COMPUTED_VALUE"""),17720.0)</f>
        <v>17720</v>
      </c>
      <c r="C496" s="1">
        <f>IFERROR(__xludf.DUMMYFUNCTION("""COMPUTED_VALUE"""),17900.0)</f>
        <v>17900</v>
      </c>
      <c r="D496" s="1">
        <f>IFERROR(__xludf.DUMMYFUNCTION("""COMPUTED_VALUE"""),17540.0)</f>
        <v>17540</v>
      </c>
      <c r="E496" s="1">
        <f>IFERROR(__xludf.DUMMYFUNCTION("""COMPUTED_VALUE"""),17840.0)</f>
        <v>17840</v>
      </c>
      <c r="F496" s="1">
        <f>IFERROR(__xludf.DUMMYFUNCTION("""COMPUTED_VALUE"""),50932.0)</f>
        <v>50932</v>
      </c>
    </row>
    <row r="497">
      <c r="A497" s="2">
        <f>IFERROR(__xludf.DUMMYFUNCTION("""COMPUTED_VALUE"""),41271.645833333336)</f>
        <v>41271.64583</v>
      </c>
      <c r="B497" s="1">
        <f>IFERROR(__xludf.DUMMYFUNCTION("""COMPUTED_VALUE"""),18060.0)</f>
        <v>18060</v>
      </c>
      <c r="C497" s="1">
        <f>IFERROR(__xludf.DUMMYFUNCTION("""COMPUTED_VALUE"""),18280.0)</f>
        <v>18280</v>
      </c>
      <c r="D497" s="1">
        <f>IFERROR(__xludf.DUMMYFUNCTION("""COMPUTED_VALUE"""),17840.0)</f>
        <v>17840</v>
      </c>
      <c r="E497" s="1">
        <f>IFERROR(__xludf.DUMMYFUNCTION("""COMPUTED_VALUE"""),18220.0)</f>
        <v>18220</v>
      </c>
      <c r="F497" s="1">
        <f>IFERROR(__xludf.DUMMYFUNCTION("""COMPUTED_VALUE"""),90900.0)</f>
        <v>90900</v>
      </c>
    </row>
    <row r="498">
      <c r="A498" s="2">
        <f>IFERROR(__xludf.DUMMYFUNCTION("""COMPUTED_VALUE"""),41276.645833333336)</f>
        <v>41276.64583</v>
      </c>
      <c r="B498" s="1">
        <f>IFERROR(__xludf.DUMMYFUNCTION("""COMPUTED_VALUE"""),18220.0)</f>
        <v>18220</v>
      </c>
      <c r="C498" s="1">
        <f>IFERROR(__xludf.DUMMYFUNCTION("""COMPUTED_VALUE"""),18700.0)</f>
        <v>18700</v>
      </c>
      <c r="D498" s="1">
        <f>IFERROR(__xludf.DUMMYFUNCTION("""COMPUTED_VALUE"""),18140.0)</f>
        <v>18140</v>
      </c>
      <c r="E498" s="1">
        <f>IFERROR(__xludf.DUMMYFUNCTION("""COMPUTED_VALUE"""),18660.0)</f>
        <v>18660</v>
      </c>
      <c r="F498" s="1">
        <f>IFERROR(__xludf.DUMMYFUNCTION("""COMPUTED_VALUE"""),78700.0)</f>
        <v>78700</v>
      </c>
    </row>
    <row r="499">
      <c r="A499" s="2">
        <f>IFERROR(__xludf.DUMMYFUNCTION("""COMPUTED_VALUE"""),41277.645833333336)</f>
        <v>41277.64583</v>
      </c>
      <c r="B499" s="1">
        <f>IFERROR(__xludf.DUMMYFUNCTION("""COMPUTED_VALUE"""),18860.0)</f>
        <v>18860</v>
      </c>
      <c r="C499" s="1">
        <f>IFERROR(__xludf.DUMMYFUNCTION("""COMPUTED_VALUE"""),18900.0)</f>
        <v>18900</v>
      </c>
      <c r="D499" s="1">
        <f>IFERROR(__xludf.DUMMYFUNCTION("""COMPUTED_VALUE"""),18500.0)</f>
        <v>18500</v>
      </c>
      <c r="E499" s="1">
        <f>IFERROR(__xludf.DUMMYFUNCTION("""COMPUTED_VALUE"""),18740.0)</f>
        <v>18740</v>
      </c>
      <c r="F499" s="1">
        <f>IFERROR(__xludf.DUMMYFUNCTION("""COMPUTED_VALUE"""),81837.0)</f>
        <v>81837</v>
      </c>
    </row>
    <row r="500">
      <c r="A500" s="2">
        <f>IFERROR(__xludf.DUMMYFUNCTION("""COMPUTED_VALUE"""),41278.645833333336)</f>
        <v>41278.64583</v>
      </c>
      <c r="B500" s="1">
        <f>IFERROR(__xludf.DUMMYFUNCTION("""COMPUTED_VALUE"""),18920.0)</f>
        <v>18920</v>
      </c>
      <c r="C500" s="1">
        <f>IFERROR(__xludf.DUMMYFUNCTION("""COMPUTED_VALUE"""),20100.0)</f>
        <v>20100</v>
      </c>
      <c r="D500" s="1">
        <f>IFERROR(__xludf.DUMMYFUNCTION("""COMPUTED_VALUE"""),18800.0)</f>
        <v>18800</v>
      </c>
      <c r="E500" s="1">
        <f>IFERROR(__xludf.DUMMYFUNCTION("""COMPUTED_VALUE"""),19980.0)</f>
        <v>19980</v>
      </c>
      <c r="F500" s="1">
        <f>IFERROR(__xludf.DUMMYFUNCTION("""COMPUTED_VALUE"""),263931.0)</f>
        <v>263931</v>
      </c>
    </row>
    <row r="501">
      <c r="A501" s="2">
        <f>IFERROR(__xludf.DUMMYFUNCTION("""COMPUTED_VALUE"""),41281.645833333336)</f>
        <v>41281.64583</v>
      </c>
      <c r="B501" s="1">
        <f>IFERROR(__xludf.DUMMYFUNCTION("""COMPUTED_VALUE"""),20380.0)</f>
        <v>20380</v>
      </c>
      <c r="C501" s="1">
        <f>IFERROR(__xludf.DUMMYFUNCTION("""COMPUTED_VALUE"""),20840.0)</f>
        <v>20840</v>
      </c>
      <c r="D501" s="1">
        <f>IFERROR(__xludf.DUMMYFUNCTION("""COMPUTED_VALUE"""),19980.0)</f>
        <v>19980</v>
      </c>
      <c r="E501" s="1">
        <f>IFERROR(__xludf.DUMMYFUNCTION("""COMPUTED_VALUE"""),20740.0)</f>
        <v>20740</v>
      </c>
      <c r="F501" s="1">
        <f>IFERROR(__xludf.DUMMYFUNCTION("""COMPUTED_VALUE"""),277747.0)</f>
        <v>277747</v>
      </c>
    </row>
    <row r="502">
      <c r="A502" s="2">
        <f>IFERROR(__xludf.DUMMYFUNCTION("""COMPUTED_VALUE"""),41282.645833333336)</f>
        <v>41282.64583</v>
      </c>
      <c r="B502" s="1">
        <f>IFERROR(__xludf.DUMMYFUNCTION("""COMPUTED_VALUE"""),20420.0)</f>
        <v>20420</v>
      </c>
      <c r="C502" s="1">
        <f>IFERROR(__xludf.DUMMYFUNCTION("""COMPUTED_VALUE"""),20740.0)</f>
        <v>20740</v>
      </c>
      <c r="D502" s="1">
        <f>IFERROR(__xludf.DUMMYFUNCTION("""COMPUTED_VALUE"""),20300.0)</f>
        <v>20300</v>
      </c>
      <c r="E502" s="1">
        <f>IFERROR(__xludf.DUMMYFUNCTION("""COMPUTED_VALUE"""),20600.0)</f>
        <v>20600</v>
      </c>
      <c r="F502" s="1">
        <f>IFERROR(__xludf.DUMMYFUNCTION("""COMPUTED_VALUE"""),154667.0)</f>
        <v>154667</v>
      </c>
    </row>
    <row r="503">
      <c r="A503" s="2">
        <f>IFERROR(__xludf.DUMMYFUNCTION("""COMPUTED_VALUE"""),41283.645833333336)</f>
        <v>41283.64583</v>
      </c>
      <c r="B503" s="1">
        <f>IFERROR(__xludf.DUMMYFUNCTION("""COMPUTED_VALUE"""),20600.0)</f>
        <v>20600</v>
      </c>
      <c r="C503" s="1">
        <f>IFERROR(__xludf.DUMMYFUNCTION("""COMPUTED_VALUE"""),20720.0)</f>
        <v>20720</v>
      </c>
      <c r="D503" s="1">
        <f>IFERROR(__xludf.DUMMYFUNCTION("""COMPUTED_VALUE"""),20240.0)</f>
        <v>20240</v>
      </c>
      <c r="E503" s="1">
        <f>IFERROR(__xludf.DUMMYFUNCTION("""COMPUTED_VALUE"""),20500.0)</f>
        <v>20500</v>
      </c>
      <c r="F503" s="1">
        <f>IFERROR(__xludf.DUMMYFUNCTION("""COMPUTED_VALUE"""),133843.0)</f>
        <v>133843</v>
      </c>
    </row>
    <row r="504">
      <c r="A504" s="2">
        <f>IFERROR(__xludf.DUMMYFUNCTION("""COMPUTED_VALUE"""),41284.645833333336)</f>
        <v>41284.64583</v>
      </c>
      <c r="B504" s="1">
        <f>IFERROR(__xludf.DUMMYFUNCTION("""COMPUTED_VALUE"""),20420.0)</f>
        <v>20420</v>
      </c>
      <c r="C504" s="1">
        <f>IFERROR(__xludf.DUMMYFUNCTION("""COMPUTED_VALUE"""),20860.0)</f>
        <v>20860</v>
      </c>
      <c r="D504" s="1">
        <f>IFERROR(__xludf.DUMMYFUNCTION("""COMPUTED_VALUE"""),20200.0)</f>
        <v>20200</v>
      </c>
      <c r="E504" s="1">
        <f>IFERROR(__xludf.DUMMYFUNCTION("""COMPUTED_VALUE"""),20800.0)</f>
        <v>20800</v>
      </c>
      <c r="F504" s="1">
        <f>IFERROR(__xludf.DUMMYFUNCTION("""COMPUTED_VALUE"""),77513.0)</f>
        <v>77513</v>
      </c>
    </row>
    <row r="505">
      <c r="A505" s="2">
        <f>IFERROR(__xludf.DUMMYFUNCTION("""COMPUTED_VALUE"""),41285.645833333336)</f>
        <v>41285.64583</v>
      </c>
      <c r="B505" s="1">
        <f>IFERROR(__xludf.DUMMYFUNCTION("""COMPUTED_VALUE"""),21000.0)</f>
        <v>21000</v>
      </c>
      <c r="C505" s="1">
        <f>IFERROR(__xludf.DUMMYFUNCTION("""COMPUTED_VALUE"""),21080.0)</f>
        <v>21080</v>
      </c>
      <c r="D505" s="1">
        <f>IFERROR(__xludf.DUMMYFUNCTION("""COMPUTED_VALUE"""),20440.0)</f>
        <v>20440</v>
      </c>
      <c r="E505" s="1">
        <f>IFERROR(__xludf.DUMMYFUNCTION("""COMPUTED_VALUE"""),20660.0)</f>
        <v>20660</v>
      </c>
      <c r="F505" s="1">
        <f>IFERROR(__xludf.DUMMYFUNCTION("""COMPUTED_VALUE"""),104023.0)</f>
        <v>104023</v>
      </c>
    </row>
    <row r="506">
      <c r="A506" s="2">
        <f>IFERROR(__xludf.DUMMYFUNCTION("""COMPUTED_VALUE"""),41288.645833333336)</f>
        <v>41288.64583</v>
      </c>
      <c r="B506" s="1">
        <f>IFERROR(__xludf.DUMMYFUNCTION("""COMPUTED_VALUE"""),20900.0)</f>
        <v>20900</v>
      </c>
      <c r="C506" s="1">
        <f>IFERROR(__xludf.DUMMYFUNCTION("""COMPUTED_VALUE"""),20920.0)</f>
        <v>20920</v>
      </c>
      <c r="D506" s="1">
        <f>IFERROR(__xludf.DUMMYFUNCTION("""COMPUTED_VALUE"""),20400.0)</f>
        <v>20400</v>
      </c>
      <c r="E506" s="1">
        <f>IFERROR(__xludf.DUMMYFUNCTION("""COMPUTED_VALUE"""),20800.0)</f>
        <v>20800</v>
      </c>
      <c r="F506" s="1">
        <f>IFERROR(__xludf.DUMMYFUNCTION("""COMPUTED_VALUE"""),63332.0)</f>
        <v>63332</v>
      </c>
    </row>
    <row r="507">
      <c r="A507" s="2">
        <f>IFERROR(__xludf.DUMMYFUNCTION("""COMPUTED_VALUE"""),41289.645833333336)</f>
        <v>41289.64583</v>
      </c>
      <c r="B507" s="1">
        <f>IFERROR(__xludf.DUMMYFUNCTION("""COMPUTED_VALUE"""),20940.0)</f>
        <v>20940</v>
      </c>
      <c r="C507" s="1">
        <f>IFERROR(__xludf.DUMMYFUNCTION("""COMPUTED_VALUE"""),20940.0)</f>
        <v>20940</v>
      </c>
      <c r="D507" s="1">
        <f>IFERROR(__xludf.DUMMYFUNCTION("""COMPUTED_VALUE"""),20260.0)</f>
        <v>20260</v>
      </c>
      <c r="E507" s="1">
        <f>IFERROR(__xludf.DUMMYFUNCTION("""COMPUTED_VALUE"""),20360.0)</f>
        <v>20360</v>
      </c>
      <c r="F507" s="1">
        <f>IFERROR(__xludf.DUMMYFUNCTION("""COMPUTED_VALUE"""),66085.0)</f>
        <v>66085</v>
      </c>
    </row>
    <row r="508">
      <c r="A508" s="2">
        <f>IFERROR(__xludf.DUMMYFUNCTION("""COMPUTED_VALUE"""),41290.645833333336)</f>
        <v>41290.64583</v>
      </c>
      <c r="B508" s="1">
        <f>IFERROR(__xludf.DUMMYFUNCTION("""COMPUTED_VALUE"""),20240.0)</f>
        <v>20240</v>
      </c>
      <c r="C508" s="1">
        <f>IFERROR(__xludf.DUMMYFUNCTION("""COMPUTED_VALUE"""),20620.0)</f>
        <v>20620</v>
      </c>
      <c r="D508" s="1">
        <f>IFERROR(__xludf.DUMMYFUNCTION("""COMPUTED_VALUE"""),20240.0)</f>
        <v>20240</v>
      </c>
      <c r="E508" s="1">
        <f>IFERROR(__xludf.DUMMYFUNCTION("""COMPUTED_VALUE"""),20460.0)</f>
        <v>20460</v>
      </c>
      <c r="F508" s="1">
        <f>IFERROR(__xludf.DUMMYFUNCTION("""COMPUTED_VALUE"""),22129.0)</f>
        <v>22129</v>
      </c>
    </row>
    <row r="509">
      <c r="A509" s="2">
        <f>IFERROR(__xludf.DUMMYFUNCTION("""COMPUTED_VALUE"""),41291.645833333336)</f>
        <v>41291.64583</v>
      </c>
      <c r="B509" s="1">
        <f>IFERROR(__xludf.DUMMYFUNCTION("""COMPUTED_VALUE"""),20400.0)</f>
        <v>20400</v>
      </c>
      <c r="C509" s="1">
        <f>IFERROR(__xludf.DUMMYFUNCTION("""COMPUTED_VALUE"""),20600.0)</f>
        <v>20600</v>
      </c>
      <c r="D509" s="1">
        <f>IFERROR(__xludf.DUMMYFUNCTION("""COMPUTED_VALUE"""),20140.0)</f>
        <v>20140</v>
      </c>
      <c r="E509" s="1">
        <f>IFERROR(__xludf.DUMMYFUNCTION("""COMPUTED_VALUE"""),20580.0)</f>
        <v>20580</v>
      </c>
      <c r="F509" s="1">
        <f>IFERROR(__xludf.DUMMYFUNCTION("""COMPUTED_VALUE"""),36044.0)</f>
        <v>36044</v>
      </c>
    </row>
    <row r="510">
      <c r="A510" s="2">
        <f>IFERROR(__xludf.DUMMYFUNCTION("""COMPUTED_VALUE"""),41292.645833333336)</f>
        <v>41292.64583</v>
      </c>
      <c r="B510" s="1">
        <f>IFERROR(__xludf.DUMMYFUNCTION("""COMPUTED_VALUE"""),20700.0)</f>
        <v>20700</v>
      </c>
      <c r="C510" s="1">
        <f>IFERROR(__xludf.DUMMYFUNCTION("""COMPUTED_VALUE"""),20720.0)</f>
        <v>20720</v>
      </c>
      <c r="D510" s="1">
        <f>IFERROR(__xludf.DUMMYFUNCTION("""COMPUTED_VALUE"""),20280.0)</f>
        <v>20280</v>
      </c>
      <c r="E510" s="1">
        <f>IFERROR(__xludf.DUMMYFUNCTION("""COMPUTED_VALUE"""),20600.0)</f>
        <v>20600</v>
      </c>
      <c r="F510" s="1">
        <f>IFERROR(__xludf.DUMMYFUNCTION("""COMPUTED_VALUE"""),18599.0)</f>
        <v>18599</v>
      </c>
    </row>
    <row r="511">
      <c r="A511" s="2">
        <f>IFERROR(__xludf.DUMMYFUNCTION("""COMPUTED_VALUE"""),41295.645833333336)</f>
        <v>41295.64583</v>
      </c>
      <c r="B511" s="1">
        <f>IFERROR(__xludf.DUMMYFUNCTION("""COMPUTED_VALUE"""),20600.0)</f>
        <v>20600</v>
      </c>
      <c r="C511" s="1">
        <f>IFERROR(__xludf.DUMMYFUNCTION("""COMPUTED_VALUE"""),20700.0)</f>
        <v>20700</v>
      </c>
      <c r="D511" s="1">
        <f>IFERROR(__xludf.DUMMYFUNCTION("""COMPUTED_VALUE"""),20260.0)</f>
        <v>20260</v>
      </c>
      <c r="E511" s="1">
        <f>IFERROR(__xludf.DUMMYFUNCTION("""COMPUTED_VALUE"""),20540.0)</f>
        <v>20540</v>
      </c>
      <c r="F511" s="1">
        <f>IFERROR(__xludf.DUMMYFUNCTION("""COMPUTED_VALUE"""),50396.0)</f>
        <v>50396</v>
      </c>
    </row>
    <row r="512">
      <c r="A512" s="2">
        <f>IFERROR(__xludf.DUMMYFUNCTION("""COMPUTED_VALUE"""),41296.645833333336)</f>
        <v>41296.64583</v>
      </c>
      <c r="B512" s="1">
        <f>IFERROR(__xludf.DUMMYFUNCTION("""COMPUTED_VALUE"""),20600.0)</f>
        <v>20600</v>
      </c>
      <c r="C512" s="1">
        <f>IFERROR(__xludf.DUMMYFUNCTION("""COMPUTED_VALUE"""),20740.0)</f>
        <v>20740</v>
      </c>
      <c r="D512" s="1">
        <f>IFERROR(__xludf.DUMMYFUNCTION("""COMPUTED_VALUE"""),20520.0)</f>
        <v>20520</v>
      </c>
      <c r="E512" s="1">
        <f>IFERROR(__xludf.DUMMYFUNCTION("""COMPUTED_VALUE"""),20600.0)</f>
        <v>20600</v>
      </c>
      <c r="F512" s="1">
        <f>IFERROR(__xludf.DUMMYFUNCTION("""COMPUTED_VALUE"""),48581.0)</f>
        <v>48581</v>
      </c>
    </row>
    <row r="513">
      <c r="A513" s="2">
        <f>IFERROR(__xludf.DUMMYFUNCTION("""COMPUTED_VALUE"""),41297.645833333336)</f>
        <v>41297.64583</v>
      </c>
      <c r="B513" s="1">
        <f>IFERROR(__xludf.DUMMYFUNCTION("""COMPUTED_VALUE"""),20700.0)</f>
        <v>20700</v>
      </c>
      <c r="C513" s="1">
        <f>IFERROR(__xludf.DUMMYFUNCTION("""COMPUTED_VALUE"""),21100.0)</f>
        <v>21100</v>
      </c>
      <c r="D513" s="1">
        <f>IFERROR(__xludf.DUMMYFUNCTION("""COMPUTED_VALUE"""),20400.0)</f>
        <v>20400</v>
      </c>
      <c r="E513" s="1">
        <f>IFERROR(__xludf.DUMMYFUNCTION("""COMPUTED_VALUE"""),20900.0)</f>
        <v>20900</v>
      </c>
      <c r="F513" s="1">
        <f>IFERROR(__xludf.DUMMYFUNCTION("""COMPUTED_VALUE"""),108654.0)</f>
        <v>108654</v>
      </c>
    </row>
    <row r="514">
      <c r="A514" s="2">
        <f>IFERROR(__xludf.DUMMYFUNCTION("""COMPUTED_VALUE"""),41298.645833333336)</f>
        <v>41298.64583</v>
      </c>
      <c r="B514" s="1">
        <f>IFERROR(__xludf.DUMMYFUNCTION("""COMPUTED_VALUE"""),20900.0)</f>
        <v>20900</v>
      </c>
      <c r="C514" s="1">
        <f>IFERROR(__xludf.DUMMYFUNCTION("""COMPUTED_VALUE"""),20980.0)</f>
        <v>20980</v>
      </c>
      <c r="D514" s="1">
        <f>IFERROR(__xludf.DUMMYFUNCTION("""COMPUTED_VALUE"""),20500.0)</f>
        <v>20500</v>
      </c>
      <c r="E514" s="1">
        <f>IFERROR(__xludf.DUMMYFUNCTION("""COMPUTED_VALUE"""),20600.0)</f>
        <v>20600</v>
      </c>
      <c r="F514" s="1">
        <f>IFERROR(__xludf.DUMMYFUNCTION("""COMPUTED_VALUE"""),64183.0)</f>
        <v>64183</v>
      </c>
    </row>
    <row r="515">
      <c r="A515" s="2">
        <f>IFERROR(__xludf.DUMMYFUNCTION("""COMPUTED_VALUE"""),41299.645833333336)</f>
        <v>41299.64583</v>
      </c>
      <c r="B515" s="1">
        <f>IFERROR(__xludf.DUMMYFUNCTION("""COMPUTED_VALUE"""),20660.0)</f>
        <v>20660</v>
      </c>
      <c r="C515" s="1">
        <f>IFERROR(__xludf.DUMMYFUNCTION("""COMPUTED_VALUE"""),20840.0)</f>
        <v>20840</v>
      </c>
      <c r="D515" s="1">
        <f>IFERROR(__xludf.DUMMYFUNCTION("""COMPUTED_VALUE"""),20420.0)</f>
        <v>20420</v>
      </c>
      <c r="E515" s="1">
        <f>IFERROR(__xludf.DUMMYFUNCTION("""COMPUTED_VALUE"""),20600.0)</f>
        <v>20600</v>
      </c>
      <c r="F515" s="1">
        <f>IFERROR(__xludf.DUMMYFUNCTION("""COMPUTED_VALUE"""),69599.0)</f>
        <v>69599</v>
      </c>
    </row>
    <row r="516">
      <c r="A516" s="2">
        <f>IFERROR(__xludf.DUMMYFUNCTION("""COMPUTED_VALUE"""),41302.645833333336)</f>
        <v>41302.64583</v>
      </c>
      <c r="B516" s="1">
        <f>IFERROR(__xludf.DUMMYFUNCTION("""COMPUTED_VALUE"""),20420.0)</f>
        <v>20420</v>
      </c>
      <c r="C516" s="1">
        <f>IFERROR(__xludf.DUMMYFUNCTION("""COMPUTED_VALUE"""),20660.0)</f>
        <v>20660</v>
      </c>
      <c r="D516" s="1">
        <f>IFERROR(__xludf.DUMMYFUNCTION("""COMPUTED_VALUE"""),20400.0)</f>
        <v>20400</v>
      </c>
      <c r="E516" s="1">
        <f>IFERROR(__xludf.DUMMYFUNCTION("""COMPUTED_VALUE"""),20600.0)</f>
        <v>20600</v>
      </c>
      <c r="F516" s="1">
        <f>IFERROR(__xludf.DUMMYFUNCTION("""COMPUTED_VALUE"""),41607.0)</f>
        <v>41607</v>
      </c>
    </row>
    <row r="517">
      <c r="A517" s="2">
        <f>IFERROR(__xludf.DUMMYFUNCTION("""COMPUTED_VALUE"""),41303.645833333336)</f>
        <v>41303.64583</v>
      </c>
      <c r="B517" s="1">
        <f>IFERROR(__xludf.DUMMYFUNCTION("""COMPUTED_VALUE"""),20500.0)</f>
        <v>20500</v>
      </c>
      <c r="C517" s="1">
        <f>IFERROR(__xludf.DUMMYFUNCTION("""COMPUTED_VALUE"""),20780.0)</f>
        <v>20780</v>
      </c>
      <c r="D517" s="1">
        <f>IFERROR(__xludf.DUMMYFUNCTION("""COMPUTED_VALUE"""),20400.0)</f>
        <v>20400</v>
      </c>
      <c r="E517" s="1">
        <f>IFERROR(__xludf.DUMMYFUNCTION("""COMPUTED_VALUE"""),20740.0)</f>
        <v>20740</v>
      </c>
      <c r="F517" s="1">
        <f>IFERROR(__xludf.DUMMYFUNCTION("""COMPUTED_VALUE"""),26583.0)</f>
        <v>26583</v>
      </c>
    </row>
    <row r="518">
      <c r="A518" s="2">
        <f>IFERROR(__xludf.DUMMYFUNCTION("""COMPUTED_VALUE"""),41304.645833333336)</f>
        <v>41304.64583</v>
      </c>
      <c r="B518" s="1">
        <f>IFERROR(__xludf.DUMMYFUNCTION("""COMPUTED_VALUE"""),20740.0)</f>
        <v>20740</v>
      </c>
      <c r="C518" s="1">
        <f>IFERROR(__xludf.DUMMYFUNCTION("""COMPUTED_VALUE"""),20800.0)</f>
        <v>20800</v>
      </c>
      <c r="D518" s="1">
        <f>IFERROR(__xludf.DUMMYFUNCTION("""COMPUTED_VALUE"""),20580.0)</f>
        <v>20580</v>
      </c>
      <c r="E518" s="1">
        <f>IFERROR(__xludf.DUMMYFUNCTION("""COMPUTED_VALUE"""),20800.0)</f>
        <v>20800</v>
      </c>
      <c r="F518" s="1">
        <f>IFERROR(__xludf.DUMMYFUNCTION("""COMPUTED_VALUE"""),61176.0)</f>
        <v>61176</v>
      </c>
    </row>
    <row r="519">
      <c r="A519" s="2">
        <f>IFERROR(__xludf.DUMMYFUNCTION("""COMPUTED_VALUE"""),41305.645833333336)</f>
        <v>41305.64583</v>
      </c>
      <c r="B519" s="1">
        <f>IFERROR(__xludf.DUMMYFUNCTION("""COMPUTED_VALUE"""),20800.0)</f>
        <v>20800</v>
      </c>
      <c r="C519" s="1">
        <f>IFERROR(__xludf.DUMMYFUNCTION("""COMPUTED_VALUE"""),20900.0)</f>
        <v>20900</v>
      </c>
      <c r="D519" s="1">
        <f>IFERROR(__xludf.DUMMYFUNCTION("""COMPUTED_VALUE"""),20420.0)</f>
        <v>20420</v>
      </c>
      <c r="E519" s="1">
        <f>IFERROR(__xludf.DUMMYFUNCTION("""COMPUTED_VALUE"""),20420.0)</f>
        <v>20420</v>
      </c>
      <c r="F519" s="1">
        <f>IFERROR(__xludf.DUMMYFUNCTION("""COMPUTED_VALUE"""),35073.0)</f>
        <v>35073</v>
      </c>
    </row>
    <row r="520">
      <c r="A520" s="2">
        <f>IFERROR(__xludf.DUMMYFUNCTION("""COMPUTED_VALUE"""),41306.645833333336)</f>
        <v>41306.64583</v>
      </c>
      <c r="B520" s="1">
        <f>IFERROR(__xludf.DUMMYFUNCTION("""COMPUTED_VALUE"""),20460.0)</f>
        <v>20460</v>
      </c>
      <c r="C520" s="1">
        <f>IFERROR(__xludf.DUMMYFUNCTION("""COMPUTED_VALUE"""),21020.0)</f>
        <v>21020</v>
      </c>
      <c r="D520" s="1">
        <f>IFERROR(__xludf.DUMMYFUNCTION("""COMPUTED_VALUE"""),20420.0)</f>
        <v>20420</v>
      </c>
      <c r="E520" s="1">
        <f>IFERROR(__xludf.DUMMYFUNCTION("""COMPUTED_VALUE"""),21000.0)</f>
        <v>21000</v>
      </c>
      <c r="F520" s="1">
        <f>IFERROR(__xludf.DUMMYFUNCTION("""COMPUTED_VALUE"""),74953.0)</f>
        <v>74953</v>
      </c>
    </row>
    <row r="521">
      <c r="A521" s="2">
        <f>IFERROR(__xludf.DUMMYFUNCTION("""COMPUTED_VALUE"""),41309.645833333336)</f>
        <v>41309.64583</v>
      </c>
      <c r="B521" s="1">
        <f>IFERROR(__xludf.DUMMYFUNCTION("""COMPUTED_VALUE"""),21120.0)</f>
        <v>21120</v>
      </c>
      <c r="C521" s="1">
        <f>IFERROR(__xludf.DUMMYFUNCTION("""COMPUTED_VALUE"""),21440.0)</f>
        <v>21440</v>
      </c>
      <c r="D521" s="1">
        <f>IFERROR(__xludf.DUMMYFUNCTION("""COMPUTED_VALUE"""),21000.0)</f>
        <v>21000</v>
      </c>
      <c r="E521" s="1">
        <f>IFERROR(__xludf.DUMMYFUNCTION("""COMPUTED_VALUE"""),21140.0)</f>
        <v>21140</v>
      </c>
      <c r="F521" s="1">
        <f>IFERROR(__xludf.DUMMYFUNCTION("""COMPUTED_VALUE"""),35939.0)</f>
        <v>35939</v>
      </c>
    </row>
    <row r="522">
      <c r="A522" s="2">
        <f>IFERROR(__xludf.DUMMYFUNCTION("""COMPUTED_VALUE"""),41310.645833333336)</f>
        <v>41310.64583</v>
      </c>
      <c r="B522" s="1">
        <f>IFERROR(__xludf.DUMMYFUNCTION("""COMPUTED_VALUE"""),21060.0)</f>
        <v>21060</v>
      </c>
      <c r="C522" s="1">
        <f>IFERROR(__xludf.DUMMYFUNCTION("""COMPUTED_VALUE"""),21060.0)</f>
        <v>21060</v>
      </c>
      <c r="D522" s="1">
        <f>IFERROR(__xludf.DUMMYFUNCTION("""COMPUTED_VALUE"""),20420.0)</f>
        <v>20420</v>
      </c>
      <c r="E522" s="1">
        <f>IFERROR(__xludf.DUMMYFUNCTION("""COMPUTED_VALUE"""),20860.0)</f>
        <v>20860</v>
      </c>
      <c r="F522" s="1">
        <f>IFERROR(__xludf.DUMMYFUNCTION("""COMPUTED_VALUE"""),51659.0)</f>
        <v>51659</v>
      </c>
    </row>
    <row r="523">
      <c r="A523" s="2">
        <f>IFERROR(__xludf.DUMMYFUNCTION("""COMPUTED_VALUE"""),41311.645833333336)</f>
        <v>41311.64583</v>
      </c>
      <c r="B523" s="1">
        <f>IFERROR(__xludf.DUMMYFUNCTION("""COMPUTED_VALUE"""),20920.0)</f>
        <v>20920</v>
      </c>
      <c r="C523" s="1">
        <f>IFERROR(__xludf.DUMMYFUNCTION("""COMPUTED_VALUE"""),21660.0)</f>
        <v>21660</v>
      </c>
      <c r="D523" s="1">
        <f>IFERROR(__xludf.DUMMYFUNCTION("""COMPUTED_VALUE"""),20700.0)</f>
        <v>20700</v>
      </c>
      <c r="E523" s="1">
        <f>IFERROR(__xludf.DUMMYFUNCTION("""COMPUTED_VALUE"""),21660.0)</f>
        <v>21660</v>
      </c>
      <c r="F523" s="1">
        <f>IFERROR(__xludf.DUMMYFUNCTION("""COMPUTED_VALUE"""),96333.0)</f>
        <v>96333</v>
      </c>
    </row>
    <row r="524">
      <c r="A524" s="2">
        <f>IFERROR(__xludf.DUMMYFUNCTION("""COMPUTED_VALUE"""),41312.645833333336)</f>
        <v>41312.64583</v>
      </c>
      <c r="B524" s="1">
        <f>IFERROR(__xludf.DUMMYFUNCTION("""COMPUTED_VALUE"""),21660.0)</f>
        <v>21660</v>
      </c>
      <c r="C524" s="1">
        <f>IFERROR(__xludf.DUMMYFUNCTION("""COMPUTED_VALUE"""),21920.0)</f>
        <v>21920</v>
      </c>
      <c r="D524" s="1">
        <f>IFERROR(__xludf.DUMMYFUNCTION("""COMPUTED_VALUE"""),21500.0)</f>
        <v>21500</v>
      </c>
      <c r="E524" s="1">
        <f>IFERROR(__xludf.DUMMYFUNCTION("""COMPUTED_VALUE"""),21500.0)</f>
        <v>21500</v>
      </c>
      <c r="F524" s="1">
        <f>IFERROR(__xludf.DUMMYFUNCTION("""COMPUTED_VALUE"""),95379.0)</f>
        <v>95379</v>
      </c>
    </row>
    <row r="525">
      <c r="A525" s="2">
        <f>IFERROR(__xludf.DUMMYFUNCTION("""COMPUTED_VALUE"""),41313.645833333336)</f>
        <v>41313.64583</v>
      </c>
      <c r="B525" s="1">
        <f>IFERROR(__xludf.DUMMYFUNCTION("""COMPUTED_VALUE"""),21520.0)</f>
        <v>21520</v>
      </c>
      <c r="C525" s="1">
        <f>IFERROR(__xludf.DUMMYFUNCTION("""COMPUTED_VALUE"""),21880.0)</f>
        <v>21880</v>
      </c>
      <c r="D525" s="1">
        <f>IFERROR(__xludf.DUMMYFUNCTION("""COMPUTED_VALUE"""),21520.0)</f>
        <v>21520</v>
      </c>
      <c r="E525" s="1">
        <f>IFERROR(__xludf.DUMMYFUNCTION("""COMPUTED_VALUE"""),21700.0)</f>
        <v>21700</v>
      </c>
      <c r="F525" s="1">
        <f>IFERROR(__xludf.DUMMYFUNCTION("""COMPUTED_VALUE"""),77046.0)</f>
        <v>77046</v>
      </c>
    </row>
    <row r="526">
      <c r="A526" s="2">
        <f>IFERROR(__xludf.DUMMYFUNCTION("""COMPUTED_VALUE"""),41317.645833333336)</f>
        <v>41317.64583</v>
      </c>
      <c r="B526" s="1">
        <f>IFERROR(__xludf.DUMMYFUNCTION("""COMPUTED_VALUE"""),21780.0)</f>
        <v>21780</v>
      </c>
      <c r="C526" s="1">
        <f>IFERROR(__xludf.DUMMYFUNCTION("""COMPUTED_VALUE"""),21800.0)</f>
        <v>21800</v>
      </c>
      <c r="D526" s="1">
        <f>IFERROR(__xludf.DUMMYFUNCTION("""COMPUTED_VALUE"""),21520.0)</f>
        <v>21520</v>
      </c>
      <c r="E526" s="1">
        <f>IFERROR(__xludf.DUMMYFUNCTION("""COMPUTED_VALUE"""),21720.0)</f>
        <v>21720</v>
      </c>
      <c r="F526" s="1">
        <f>IFERROR(__xludf.DUMMYFUNCTION("""COMPUTED_VALUE"""),29381.0)</f>
        <v>29381</v>
      </c>
    </row>
    <row r="527">
      <c r="A527" s="2">
        <f>IFERROR(__xludf.DUMMYFUNCTION("""COMPUTED_VALUE"""),41318.645833333336)</f>
        <v>41318.64583</v>
      </c>
      <c r="B527" s="1">
        <f>IFERROR(__xludf.DUMMYFUNCTION("""COMPUTED_VALUE"""),21780.0)</f>
        <v>21780</v>
      </c>
      <c r="C527" s="1">
        <f>IFERROR(__xludf.DUMMYFUNCTION("""COMPUTED_VALUE"""),22100.0)</f>
        <v>22100</v>
      </c>
      <c r="D527" s="1">
        <f>IFERROR(__xludf.DUMMYFUNCTION("""COMPUTED_VALUE"""),21720.0)</f>
        <v>21720</v>
      </c>
      <c r="E527" s="1">
        <f>IFERROR(__xludf.DUMMYFUNCTION("""COMPUTED_VALUE"""),21940.0)</f>
        <v>21940</v>
      </c>
      <c r="F527" s="1">
        <f>IFERROR(__xludf.DUMMYFUNCTION("""COMPUTED_VALUE"""),105614.0)</f>
        <v>105614</v>
      </c>
    </row>
    <row r="528">
      <c r="A528" s="2">
        <f>IFERROR(__xludf.DUMMYFUNCTION("""COMPUTED_VALUE"""),41319.645833333336)</f>
        <v>41319.64583</v>
      </c>
      <c r="B528" s="1">
        <f>IFERROR(__xludf.DUMMYFUNCTION("""COMPUTED_VALUE"""),21700.0)</f>
        <v>21700</v>
      </c>
      <c r="C528" s="1">
        <f>IFERROR(__xludf.DUMMYFUNCTION("""COMPUTED_VALUE"""),21900.0)</f>
        <v>21900</v>
      </c>
      <c r="D528" s="1">
        <f>IFERROR(__xludf.DUMMYFUNCTION("""COMPUTED_VALUE"""),20400.0)</f>
        <v>20400</v>
      </c>
      <c r="E528" s="1">
        <f>IFERROR(__xludf.DUMMYFUNCTION("""COMPUTED_VALUE"""),20600.0)</f>
        <v>20600</v>
      </c>
      <c r="F528" s="1">
        <f>IFERROR(__xludf.DUMMYFUNCTION("""COMPUTED_VALUE"""),278120.0)</f>
        <v>278120</v>
      </c>
    </row>
    <row r="529">
      <c r="A529" s="2">
        <f>IFERROR(__xludf.DUMMYFUNCTION("""COMPUTED_VALUE"""),41320.645833333336)</f>
        <v>41320.64583</v>
      </c>
      <c r="B529" s="1">
        <f>IFERROR(__xludf.DUMMYFUNCTION("""COMPUTED_VALUE"""),20780.0)</f>
        <v>20780</v>
      </c>
      <c r="C529" s="1">
        <f>IFERROR(__xludf.DUMMYFUNCTION("""COMPUTED_VALUE"""),20780.0)</f>
        <v>20780</v>
      </c>
      <c r="D529" s="1">
        <f>IFERROR(__xludf.DUMMYFUNCTION("""COMPUTED_VALUE"""),19820.0)</f>
        <v>19820</v>
      </c>
      <c r="E529" s="1">
        <f>IFERROR(__xludf.DUMMYFUNCTION("""COMPUTED_VALUE"""),19820.0)</f>
        <v>19820</v>
      </c>
      <c r="F529" s="1">
        <f>IFERROR(__xludf.DUMMYFUNCTION("""COMPUTED_VALUE"""),310374.0)</f>
        <v>310374</v>
      </c>
    </row>
    <row r="530">
      <c r="A530" s="2">
        <f>IFERROR(__xludf.DUMMYFUNCTION("""COMPUTED_VALUE"""),41323.645833333336)</f>
        <v>41323.64583</v>
      </c>
      <c r="B530" s="1">
        <f>IFERROR(__xludf.DUMMYFUNCTION("""COMPUTED_VALUE"""),19820.0)</f>
        <v>19820</v>
      </c>
      <c r="C530" s="1">
        <f>IFERROR(__xludf.DUMMYFUNCTION("""COMPUTED_VALUE"""),19900.0)</f>
        <v>19900</v>
      </c>
      <c r="D530" s="1">
        <f>IFERROR(__xludf.DUMMYFUNCTION("""COMPUTED_VALUE"""),19460.0)</f>
        <v>19460</v>
      </c>
      <c r="E530" s="1">
        <f>IFERROR(__xludf.DUMMYFUNCTION("""COMPUTED_VALUE"""),19700.0)</f>
        <v>19700</v>
      </c>
      <c r="F530" s="1">
        <f>IFERROR(__xludf.DUMMYFUNCTION("""COMPUTED_VALUE"""),114529.0)</f>
        <v>114529</v>
      </c>
    </row>
    <row r="531">
      <c r="A531" s="2">
        <f>IFERROR(__xludf.DUMMYFUNCTION("""COMPUTED_VALUE"""),41324.645833333336)</f>
        <v>41324.64583</v>
      </c>
      <c r="B531" s="1">
        <f>IFERROR(__xludf.DUMMYFUNCTION("""COMPUTED_VALUE"""),19560.0)</f>
        <v>19560</v>
      </c>
      <c r="C531" s="1">
        <f>IFERROR(__xludf.DUMMYFUNCTION("""COMPUTED_VALUE"""),19800.0)</f>
        <v>19800</v>
      </c>
      <c r="D531" s="1">
        <f>IFERROR(__xludf.DUMMYFUNCTION("""COMPUTED_VALUE"""),19280.0)</f>
        <v>19280</v>
      </c>
      <c r="E531" s="1">
        <f>IFERROR(__xludf.DUMMYFUNCTION("""COMPUTED_VALUE"""),19480.0)</f>
        <v>19480</v>
      </c>
      <c r="F531" s="1">
        <f>IFERROR(__xludf.DUMMYFUNCTION("""COMPUTED_VALUE"""),174379.0)</f>
        <v>174379</v>
      </c>
    </row>
    <row r="532">
      <c r="A532" s="2">
        <f>IFERROR(__xludf.DUMMYFUNCTION("""COMPUTED_VALUE"""),41325.645833333336)</f>
        <v>41325.64583</v>
      </c>
      <c r="B532" s="1">
        <f>IFERROR(__xludf.DUMMYFUNCTION("""COMPUTED_VALUE"""),19480.0)</f>
        <v>19480</v>
      </c>
      <c r="C532" s="1">
        <f>IFERROR(__xludf.DUMMYFUNCTION("""COMPUTED_VALUE"""),19660.0)</f>
        <v>19660</v>
      </c>
      <c r="D532" s="1">
        <f>IFERROR(__xludf.DUMMYFUNCTION("""COMPUTED_VALUE"""),19320.0)</f>
        <v>19320</v>
      </c>
      <c r="E532" s="1">
        <f>IFERROR(__xludf.DUMMYFUNCTION("""COMPUTED_VALUE"""),19500.0)</f>
        <v>19500</v>
      </c>
      <c r="F532" s="1">
        <f>IFERROR(__xludf.DUMMYFUNCTION("""COMPUTED_VALUE"""),159402.0)</f>
        <v>159402</v>
      </c>
    </row>
    <row r="533">
      <c r="A533" s="2">
        <f>IFERROR(__xludf.DUMMYFUNCTION("""COMPUTED_VALUE"""),41326.645833333336)</f>
        <v>41326.64583</v>
      </c>
      <c r="B533" s="1">
        <f>IFERROR(__xludf.DUMMYFUNCTION("""COMPUTED_VALUE"""),19420.0)</f>
        <v>19420</v>
      </c>
      <c r="C533" s="1">
        <f>IFERROR(__xludf.DUMMYFUNCTION("""COMPUTED_VALUE"""),19500.0)</f>
        <v>19500</v>
      </c>
      <c r="D533" s="1">
        <f>IFERROR(__xludf.DUMMYFUNCTION("""COMPUTED_VALUE"""),19120.0)</f>
        <v>19120</v>
      </c>
      <c r="E533" s="1">
        <f>IFERROR(__xludf.DUMMYFUNCTION("""COMPUTED_VALUE"""),19320.0)</f>
        <v>19320</v>
      </c>
      <c r="F533" s="1">
        <f>IFERROR(__xludf.DUMMYFUNCTION("""COMPUTED_VALUE"""),116923.0)</f>
        <v>116923</v>
      </c>
    </row>
    <row r="534">
      <c r="A534" s="2">
        <f>IFERROR(__xludf.DUMMYFUNCTION("""COMPUTED_VALUE"""),41327.645833333336)</f>
        <v>41327.64583</v>
      </c>
      <c r="B534" s="1">
        <f>IFERROR(__xludf.DUMMYFUNCTION("""COMPUTED_VALUE"""),19360.0)</f>
        <v>19360</v>
      </c>
      <c r="C534" s="1">
        <f>IFERROR(__xludf.DUMMYFUNCTION("""COMPUTED_VALUE"""),19480.0)</f>
        <v>19480</v>
      </c>
      <c r="D534" s="1">
        <f>IFERROR(__xludf.DUMMYFUNCTION("""COMPUTED_VALUE"""),19260.0)</f>
        <v>19260</v>
      </c>
      <c r="E534" s="1">
        <f>IFERROR(__xludf.DUMMYFUNCTION("""COMPUTED_VALUE"""),19420.0)</f>
        <v>19420</v>
      </c>
      <c r="F534" s="1">
        <f>IFERROR(__xludf.DUMMYFUNCTION("""COMPUTED_VALUE"""),98580.0)</f>
        <v>98580</v>
      </c>
    </row>
    <row r="535">
      <c r="A535" s="2">
        <f>IFERROR(__xludf.DUMMYFUNCTION("""COMPUTED_VALUE"""),41330.645833333336)</f>
        <v>41330.64583</v>
      </c>
      <c r="B535" s="1">
        <f>IFERROR(__xludf.DUMMYFUNCTION("""COMPUTED_VALUE"""),19480.0)</f>
        <v>19480</v>
      </c>
      <c r="C535" s="1">
        <f>IFERROR(__xludf.DUMMYFUNCTION("""COMPUTED_VALUE"""),19560.0)</f>
        <v>19560</v>
      </c>
      <c r="D535" s="1">
        <f>IFERROR(__xludf.DUMMYFUNCTION("""COMPUTED_VALUE"""),19320.0)</f>
        <v>19320</v>
      </c>
      <c r="E535" s="1">
        <f>IFERROR(__xludf.DUMMYFUNCTION("""COMPUTED_VALUE"""),19320.0)</f>
        <v>19320</v>
      </c>
      <c r="F535" s="1">
        <f>IFERROR(__xludf.DUMMYFUNCTION("""COMPUTED_VALUE"""),70650.0)</f>
        <v>70650</v>
      </c>
    </row>
    <row r="536">
      <c r="A536" s="2">
        <f>IFERROR(__xludf.DUMMYFUNCTION("""COMPUTED_VALUE"""),41331.645833333336)</f>
        <v>41331.64583</v>
      </c>
      <c r="B536" s="1">
        <f>IFERROR(__xludf.DUMMYFUNCTION("""COMPUTED_VALUE"""),19220.0)</f>
        <v>19220</v>
      </c>
      <c r="C536" s="1">
        <f>IFERROR(__xludf.DUMMYFUNCTION("""COMPUTED_VALUE"""),19360.0)</f>
        <v>19360</v>
      </c>
      <c r="D536" s="1">
        <f>IFERROR(__xludf.DUMMYFUNCTION("""COMPUTED_VALUE"""),18880.0)</f>
        <v>18880</v>
      </c>
      <c r="E536" s="1">
        <f>IFERROR(__xludf.DUMMYFUNCTION("""COMPUTED_VALUE"""),19140.0)</f>
        <v>19140</v>
      </c>
      <c r="F536" s="1">
        <f>IFERROR(__xludf.DUMMYFUNCTION("""COMPUTED_VALUE"""),113565.0)</f>
        <v>113565</v>
      </c>
    </row>
    <row r="537">
      <c r="A537" s="2">
        <f>IFERROR(__xludf.DUMMYFUNCTION("""COMPUTED_VALUE"""),41332.645833333336)</f>
        <v>41332.64583</v>
      </c>
      <c r="B537" s="1">
        <f>IFERROR(__xludf.DUMMYFUNCTION("""COMPUTED_VALUE"""),19200.0)</f>
        <v>19200</v>
      </c>
      <c r="C537" s="1">
        <f>IFERROR(__xludf.DUMMYFUNCTION("""COMPUTED_VALUE"""),19240.0)</f>
        <v>19240</v>
      </c>
      <c r="D537" s="1">
        <f>IFERROR(__xludf.DUMMYFUNCTION("""COMPUTED_VALUE"""),19000.0)</f>
        <v>19000</v>
      </c>
      <c r="E537" s="1">
        <f>IFERROR(__xludf.DUMMYFUNCTION("""COMPUTED_VALUE"""),19140.0)</f>
        <v>19140</v>
      </c>
      <c r="F537" s="1">
        <f>IFERROR(__xludf.DUMMYFUNCTION("""COMPUTED_VALUE"""),98349.0)</f>
        <v>98349</v>
      </c>
    </row>
    <row r="538">
      <c r="A538" s="2">
        <f>IFERROR(__xludf.DUMMYFUNCTION("""COMPUTED_VALUE"""),41333.645833333336)</f>
        <v>41333.64583</v>
      </c>
      <c r="B538" s="1">
        <f>IFERROR(__xludf.DUMMYFUNCTION("""COMPUTED_VALUE"""),19260.0)</f>
        <v>19260</v>
      </c>
      <c r="C538" s="1">
        <f>IFERROR(__xludf.DUMMYFUNCTION("""COMPUTED_VALUE"""),19340.0)</f>
        <v>19340</v>
      </c>
      <c r="D538" s="1">
        <f>IFERROR(__xludf.DUMMYFUNCTION("""COMPUTED_VALUE"""),19100.0)</f>
        <v>19100</v>
      </c>
      <c r="E538" s="1">
        <f>IFERROR(__xludf.DUMMYFUNCTION("""COMPUTED_VALUE"""),19120.0)</f>
        <v>19120</v>
      </c>
      <c r="F538" s="1">
        <f>IFERROR(__xludf.DUMMYFUNCTION("""COMPUTED_VALUE"""),75732.0)</f>
        <v>75732</v>
      </c>
    </row>
    <row r="539">
      <c r="A539" s="2">
        <f>IFERROR(__xludf.DUMMYFUNCTION("""COMPUTED_VALUE"""),41337.645833333336)</f>
        <v>41337.64583</v>
      </c>
      <c r="B539" s="1">
        <f>IFERROR(__xludf.DUMMYFUNCTION("""COMPUTED_VALUE"""),19060.0)</f>
        <v>19060</v>
      </c>
      <c r="C539" s="1">
        <f>IFERROR(__xludf.DUMMYFUNCTION("""COMPUTED_VALUE"""),19260.0)</f>
        <v>19260</v>
      </c>
      <c r="D539" s="1">
        <f>IFERROR(__xludf.DUMMYFUNCTION("""COMPUTED_VALUE"""),18920.0)</f>
        <v>18920</v>
      </c>
      <c r="E539" s="1">
        <f>IFERROR(__xludf.DUMMYFUNCTION("""COMPUTED_VALUE"""),18920.0)</f>
        <v>18920</v>
      </c>
      <c r="F539" s="1">
        <f>IFERROR(__xludf.DUMMYFUNCTION("""COMPUTED_VALUE"""),161344.0)</f>
        <v>161344</v>
      </c>
    </row>
    <row r="540">
      <c r="A540" s="2">
        <f>IFERROR(__xludf.DUMMYFUNCTION("""COMPUTED_VALUE"""),41338.645833333336)</f>
        <v>41338.64583</v>
      </c>
      <c r="B540" s="1">
        <f>IFERROR(__xludf.DUMMYFUNCTION("""COMPUTED_VALUE"""),19100.0)</f>
        <v>19100</v>
      </c>
      <c r="C540" s="1">
        <f>IFERROR(__xludf.DUMMYFUNCTION("""COMPUTED_VALUE"""),19200.0)</f>
        <v>19200</v>
      </c>
      <c r="D540" s="1">
        <f>IFERROR(__xludf.DUMMYFUNCTION("""COMPUTED_VALUE"""),18960.0)</f>
        <v>18960</v>
      </c>
      <c r="E540" s="1">
        <f>IFERROR(__xludf.DUMMYFUNCTION("""COMPUTED_VALUE"""),19000.0)</f>
        <v>19000</v>
      </c>
      <c r="F540" s="1">
        <f>IFERROR(__xludf.DUMMYFUNCTION("""COMPUTED_VALUE"""),88002.0)</f>
        <v>88002</v>
      </c>
    </row>
    <row r="541">
      <c r="A541" s="2">
        <f>IFERROR(__xludf.DUMMYFUNCTION("""COMPUTED_VALUE"""),41339.645833333336)</f>
        <v>41339.64583</v>
      </c>
      <c r="B541" s="1">
        <f>IFERROR(__xludf.DUMMYFUNCTION("""COMPUTED_VALUE"""),19120.0)</f>
        <v>19120</v>
      </c>
      <c r="C541" s="1">
        <f>IFERROR(__xludf.DUMMYFUNCTION("""COMPUTED_VALUE"""),19140.0)</f>
        <v>19140</v>
      </c>
      <c r="D541" s="1">
        <f>IFERROR(__xludf.DUMMYFUNCTION("""COMPUTED_VALUE"""),18880.0)</f>
        <v>18880</v>
      </c>
      <c r="E541" s="1">
        <f>IFERROR(__xludf.DUMMYFUNCTION("""COMPUTED_VALUE"""),18920.0)</f>
        <v>18920</v>
      </c>
      <c r="F541" s="1">
        <f>IFERROR(__xludf.DUMMYFUNCTION("""COMPUTED_VALUE"""),127644.0)</f>
        <v>127644</v>
      </c>
    </row>
    <row r="542">
      <c r="A542" s="2">
        <f>IFERROR(__xludf.DUMMYFUNCTION("""COMPUTED_VALUE"""),41340.645833333336)</f>
        <v>41340.64583</v>
      </c>
      <c r="B542" s="1">
        <f>IFERROR(__xludf.DUMMYFUNCTION("""COMPUTED_VALUE"""),18820.0)</f>
        <v>18820</v>
      </c>
      <c r="C542" s="1">
        <f>IFERROR(__xludf.DUMMYFUNCTION("""COMPUTED_VALUE"""),18960.0)</f>
        <v>18960</v>
      </c>
      <c r="D542" s="1">
        <f>IFERROR(__xludf.DUMMYFUNCTION("""COMPUTED_VALUE"""),18800.0)</f>
        <v>18800</v>
      </c>
      <c r="E542" s="1">
        <f>IFERROR(__xludf.DUMMYFUNCTION("""COMPUTED_VALUE"""),18880.0)</f>
        <v>18880</v>
      </c>
      <c r="F542" s="1">
        <f>IFERROR(__xludf.DUMMYFUNCTION("""COMPUTED_VALUE"""),41636.0)</f>
        <v>41636</v>
      </c>
    </row>
    <row r="543">
      <c r="A543" s="2">
        <f>IFERROR(__xludf.DUMMYFUNCTION("""COMPUTED_VALUE"""),41341.645833333336)</f>
        <v>41341.64583</v>
      </c>
      <c r="B543" s="1">
        <f>IFERROR(__xludf.DUMMYFUNCTION("""COMPUTED_VALUE"""),18920.0)</f>
        <v>18920</v>
      </c>
      <c r="C543" s="1">
        <f>IFERROR(__xludf.DUMMYFUNCTION("""COMPUTED_VALUE"""),19000.0)</f>
        <v>19000</v>
      </c>
      <c r="D543" s="1">
        <f>IFERROR(__xludf.DUMMYFUNCTION("""COMPUTED_VALUE"""),18640.0)</f>
        <v>18640</v>
      </c>
      <c r="E543" s="1">
        <f>IFERROR(__xludf.DUMMYFUNCTION("""COMPUTED_VALUE"""),18660.0)</f>
        <v>18660</v>
      </c>
      <c r="F543" s="1">
        <f>IFERROR(__xludf.DUMMYFUNCTION("""COMPUTED_VALUE"""),66000.0)</f>
        <v>66000</v>
      </c>
    </row>
    <row r="544">
      <c r="A544" s="2">
        <f>IFERROR(__xludf.DUMMYFUNCTION("""COMPUTED_VALUE"""),41344.645833333336)</f>
        <v>41344.64583</v>
      </c>
      <c r="B544" s="1">
        <f>IFERROR(__xludf.DUMMYFUNCTION("""COMPUTED_VALUE"""),18640.0)</f>
        <v>18640</v>
      </c>
      <c r="C544" s="1">
        <f>IFERROR(__xludf.DUMMYFUNCTION("""COMPUTED_VALUE"""),18780.0)</f>
        <v>18780</v>
      </c>
      <c r="D544" s="1">
        <f>IFERROR(__xludf.DUMMYFUNCTION("""COMPUTED_VALUE"""),18320.0)</f>
        <v>18320</v>
      </c>
      <c r="E544" s="1">
        <f>IFERROR(__xludf.DUMMYFUNCTION("""COMPUTED_VALUE"""),18560.0)</f>
        <v>18560</v>
      </c>
      <c r="F544" s="1">
        <f>IFERROR(__xludf.DUMMYFUNCTION("""COMPUTED_VALUE"""),57779.0)</f>
        <v>57779</v>
      </c>
    </row>
    <row r="545">
      <c r="A545" s="2">
        <f>IFERROR(__xludf.DUMMYFUNCTION("""COMPUTED_VALUE"""),41345.645833333336)</f>
        <v>41345.64583</v>
      </c>
      <c r="B545" s="1">
        <f>IFERROR(__xludf.DUMMYFUNCTION("""COMPUTED_VALUE"""),18500.0)</f>
        <v>18500</v>
      </c>
      <c r="C545" s="1">
        <f>IFERROR(__xludf.DUMMYFUNCTION("""COMPUTED_VALUE"""),18700.0)</f>
        <v>18700</v>
      </c>
      <c r="D545" s="1">
        <f>IFERROR(__xludf.DUMMYFUNCTION("""COMPUTED_VALUE"""),18500.0)</f>
        <v>18500</v>
      </c>
      <c r="E545" s="1">
        <f>IFERROR(__xludf.DUMMYFUNCTION("""COMPUTED_VALUE"""),18540.0)</f>
        <v>18540</v>
      </c>
      <c r="F545" s="1">
        <f>IFERROR(__xludf.DUMMYFUNCTION("""COMPUTED_VALUE"""),49921.0)</f>
        <v>49921</v>
      </c>
    </row>
    <row r="546">
      <c r="A546" s="2">
        <f>IFERROR(__xludf.DUMMYFUNCTION("""COMPUTED_VALUE"""),41346.645833333336)</f>
        <v>41346.64583</v>
      </c>
      <c r="B546" s="1">
        <f>IFERROR(__xludf.DUMMYFUNCTION("""COMPUTED_VALUE"""),18500.0)</f>
        <v>18500</v>
      </c>
      <c r="C546" s="1">
        <f>IFERROR(__xludf.DUMMYFUNCTION("""COMPUTED_VALUE"""),18700.0)</f>
        <v>18700</v>
      </c>
      <c r="D546" s="1">
        <f>IFERROR(__xludf.DUMMYFUNCTION("""COMPUTED_VALUE"""),17940.0)</f>
        <v>17940</v>
      </c>
      <c r="E546" s="1">
        <f>IFERROR(__xludf.DUMMYFUNCTION("""COMPUTED_VALUE"""),18020.0)</f>
        <v>18020</v>
      </c>
      <c r="F546" s="1">
        <f>IFERROR(__xludf.DUMMYFUNCTION("""COMPUTED_VALUE"""),170856.0)</f>
        <v>170856</v>
      </c>
    </row>
    <row r="547">
      <c r="A547" s="2">
        <f>IFERROR(__xludf.DUMMYFUNCTION("""COMPUTED_VALUE"""),41347.645833333336)</f>
        <v>41347.64583</v>
      </c>
      <c r="B547" s="1">
        <f>IFERROR(__xludf.DUMMYFUNCTION("""COMPUTED_VALUE"""),18100.0)</f>
        <v>18100</v>
      </c>
      <c r="C547" s="1">
        <f>IFERROR(__xludf.DUMMYFUNCTION("""COMPUTED_VALUE"""),18140.0)</f>
        <v>18140</v>
      </c>
      <c r="D547" s="1">
        <f>IFERROR(__xludf.DUMMYFUNCTION("""COMPUTED_VALUE"""),17740.0)</f>
        <v>17740</v>
      </c>
      <c r="E547" s="1">
        <f>IFERROR(__xludf.DUMMYFUNCTION("""COMPUTED_VALUE"""),17740.0)</f>
        <v>17740</v>
      </c>
      <c r="F547" s="1">
        <f>IFERROR(__xludf.DUMMYFUNCTION("""COMPUTED_VALUE"""),104268.0)</f>
        <v>104268</v>
      </c>
    </row>
    <row r="548">
      <c r="A548" s="2">
        <f>IFERROR(__xludf.DUMMYFUNCTION("""COMPUTED_VALUE"""),41348.645833333336)</f>
        <v>41348.64583</v>
      </c>
      <c r="B548" s="1">
        <f>IFERROR(__xludf.DUMMYFUNCTION("""COMPUTED_VALUE"""),17920.0)</f>
        <v>17920</v>
      </c>
      <c r="C548" s="1">
        <f>IFERROR(__xludf.DUMMYFUNCTION("""COMPUTED_VALUE"""),18320.0)</f>
        <v>18320</v>
      </c>
      <c r="D548" s="1">
        <f>IFERROR(__xludf.DUMMYFUNCTION("""COMPUTED_VALUE"""),17920.0)</f>
        <v>17920</v>
      </c>
      <c r="E548" s="1">
        <f>IFERROR(__xludf.DUMMYFUNCTION("""COMPUTED_VALUE"""),18320.0)</f>
        <v>18320</v>
      </c>
      <c r="F548" s="1">
        <f>IFERROR(__xludf.DUMMYFUNCTION("""COMPUTED_VALUE"""),90294.0)</f>
        <v>90294</v>
      </c>
    </row>
    <row r="549">
      <c r="A549" s="2">
        <f>IFERROR(__xludf.DUMMYFUNCTION("""COMPUTED_VALUE"""),41351.645833333336)</f>
        <v>41351.64583</v>
      </c>
      <c r="B549" s="1">
        <f>IFERROR(__xludf.DUMMYFUNCTION("""COMPUTED_VALUE"""),18320.0)</f>
        <v>18320</v>
      </c>
      <c r="C549" s="1">
        <f>IFERROR(__xludf.DUMMYFUNCTION("""COMPUTED_VALUE"""),18340.0)</f>
        <v>18340</v>
      </c>
      <c r="D549" s="1">
        <f>IFERROR(__xludf.DUMMYFUNCTION("""COMPUTED_VALUE"""),17900.0)</f>
        <v>17900</v>
      </c>
      <c r="E549" s="1">
        <f>IFERROR(__xludf.DUMMYFUNCTION("""COMPUTED_VALUE"""),18160.0)</f>
        <v>18160</v>
      </c>
      <c r="F549" s="1">
        <f>IFERROR(__xludf.DUMMYFUNCTION("""COMPUTED_VALUE"""),54844.0)</f>
        <v>54844</v>
      </c>
    </row>
    <row r="550">
      <c r="A550" s="2">
        <f>IFERROR(__xludf.DUMMYFUNCTION("""COMPUTED_VALUE"""),41352.645833333336)</f>
        <v>41352.64583</v>
      </c>
      <c r="B550" s="1">
        <f>IFERROR(__xludf.DUMMYFUNCTION("""COMPUTED_VALUE"""),18200.0)</f>
        <v>18200</v>
      </c>
      <c r="C550" s="1">
        <f>IFERROR(__xludf.DUMMYFUNCTION("""COMPUTED_VALUE"""),18440.0)</f>
        <v>18440</v>
      </c>
      <c r="D550" s="1">
        <f>IFERROR(__xludf.DUMMYFUNCTION("""COMPUTED_VALUE"""),18200.0)</f>
        <v>18200</v>
      </c>
      <c r="E550" s="1">
        <f>IFERROR(__xludf.DUMMYFUNCTION("""COMPUTED_VALUE"""),18380.0)</f>
        <v>18380</v>
      </c>
      <c r="F550" s="1">
        <f>IFERROR(__xludf.DUMMYFUNCTION("""COMPUTED_VALUE"""),62278.0)</f>
        <v>62278</v>
      </c>
    </row>
    <row r="551">
      <c r="A551" s="2">
        <f>IFERROR(__xludf.DUMMYFUNCTION("""COMPUTED_VALUE"""),41353.645833333336)</f>
        <v>41353.64583</v>
      </c>
      <c r="B551" s="1">
        <f>IFERROR(__xludf.DUMMYFUNCTION("""COMPUTED_VALUE"""),18360.0)</f>
        <v>18360</v>
      </c>
      <c r="C551" s="1">
        <f>IFERROR(__xludf.DUMMYFUNCTION("""COMPUTED_VALUE"""),18440.0)</f>
        <v>18440</v>
      </c>
      <c r="D551" s="1">
        <f>IFERROR(__xludf.DUMMYFUNCTION("""COMPUTED_VALUE"""),17980.0)</f>
        <v>17980</v>
      </c>
      <c r="E551" s="1">
        <f>IFERROR(__xludf.DUMMYFUNCTION("""COMPUTED_VALUE"""),18320.0)</f>
        <v>18320</v>
      </c>
      <c r="F551" s="1">
        <f>IFERROR(__xludf.DUMMYFUNCTION("""COMPUTED_VALUE"""),64908.0)</f>
        <v>64908</v>
      </c>
    </row>
    <row r="552">
      <c r="A552" s="2">
        <f>IFERROR(__xludf.DUMMYFUNCTION("""COMPUTED_VALUE"""),41354.645833333336)</f>
        <v>41354.64583</v>
      </c>
      <c r="B552" s="1">
        <f>IFERROR(__xludf.DUMMYFUNCTION("""COMPUTED_VALUE"""),18220.0)</f>
        <v>18220</v>
      </c>
      <c r="C552" s="1">
        <f>IFERROR(__xludf.DUMMYFUNCTION("""COMPUTED_VALUE"""),18400.0)</f>
        <v>18400</v>
      </c>
      <c r="D552" s="1">
        <f>IFERROR(__xludf.DUMMYFUNCTION("""COMPUTED_VALUE"""),18100.0)</f>
        <v>18100</v>
      </c>
      <c r="E552" s="1">
        <f>IFERROR(__xludf.DUMMYFUNCTION("""COMPUTED_VALUE"""),18300.0)</f>
        <v>18300</v>
      </c>
      <c r="F552" s="1">
        <f>IFERROR(__xludf.DUMMYFUNCTION("""COMPUTED_VALUE"""),58308.0)</f>
        <v>58308</v>
      </c>
    </row>
    <row r="553">
      <c r="A553" s="2">
        <f>IFERROR(__xludf.DUMMYFUNCTION("""COMPUTED_VALUE"""),41355.645833333336)</f>
        <v>41355.64583</v>
      </c>
      <c r="B553" s="1">
        <f>IFERROR(__xludf.DUMMYFUNCTION("""COMPUTED_VALUE"""),18440.0)</f>
        <v>18440</v>
      </c>
      <c r="C553" s="1">
        <f>IFERROR(__xludf.DUMMYFUNCTION("""COMPUTED_VALUE"""),18500.0)</f>
        <v>18500</v>
      </c>
      <c r="D553" s="1">
        <f>IFERROR(__xludf.DUMMYFUNCTION("""COMPUTED_VALUE"""),18220.0)</f>
        <v>18220</v>
      </c>
      <c r="E553" s="1">
        <f>IFERROR(__xludf.DUMMYFUNCTION("""COMPUTED_VALUE"""),18340.0)</f>
        <v>18340</v>
      </c>
      <c r="F553" s="1">
        <f>IFERROR(__xludf.DUMMYFUNCTION("""COMPUTED_VALUE"""),89856.0)</f>
        <v>89856</v>
      </c>
    </row>
    <row r="554">
      <c r="A554" s="2">
        <f>IFERROR(__xludf.DUMMYFUNCTION("""COMPUTED_VALUE"""),41358.645833333336)</f>
        <v>41358.64583</v>
      </c>
      <c r="B554" s="1">
        <f>IFERROR(__xludf.DUMMYFUNCTION("""COMPUTED_VALUE"""),18420.0)</f>
        <v>18420</v>
      </c>
      <c r="C554" s="1">
        <f>IFERROR(__xludf.DUMMYFUNCTION("""COMPUTED_VALUE"""),18520.0)</f>
        <v>18520</v>
      </c>
      <c r="D554" s="1">
        <f>IFERROR(__xludf.DUMMYFUNCTION("""COMPUTED_VALUE"""),18320.0)</f>
        <v>18320</v>
      </c>
      <c r="E554" s="1">
        <f>IFERROR(__xludf.DUMMYFUNCTION("""COMPUTED_VALUE"""),18340.0)</f>
        <v>18340</v>
      </c>
      <c r="F554" s="1">
        <f>IFERROR(__xludf.DUMMYFUNCTION("""COMPUTED_VALUE"""),57579.0)</f>
        <v>57579</v>
      </c>
    </row>
    <row r="555">
      <c r="A555" s="2">
        <f>IFERROR(__xludf.DUMMYFUNCTION("""COMPUTED_VALUE"""),41359.645833333336)</f>
        <v>41359.64583</v>
      </c>
      <c r="B555" s="1">
        <f>IFERROR(__xludf.DUMMYFUNCTION("""COMPUTED_VALUE"""),18420.0)</f>
        <v>18420</v>
      </c>
      <c r="C555" s="1">
        <f>IFERROR(__xludf.DUMMYFUNCTION("""COMPUTED_VALUE"""),18440.0)</f>
        <v>18440</v>
      </c>
      <c r="D555" s="1">
        <f>IFERROR(__xludf.DUMMYFUNCTION("""COMPUTED_VALUE"""),18240.0)</f>
        <v>18240</v>
      </c>
      <c r="E555" s="1">
        <f>IFERROR(__xludf.DUMMYFUNCTION("""COMPUTED_VALUE"""),18400.0)</f>
        <v>18400</v>
      </c>
      <c r="F555" s="1">
        <f>IFERROR(__xludf.DUMMYFUNCTION("""COMPUTED_VALUE"""),42384.0)</f>
        <v>42384</v>
      </c>
    </row>
    <row r="556">
      <c r="A556" s="2">
        <f>IFERROR(__xludf.DUMMYFUNCTION("""COMPUTED_VALUE"""),41360.645833333336)</f>
        <v>41360.64583</v>
      </c>
      <c r="B556" s="1">
        <f>IFERROR(__xludf.DUMMYFUNCTION("""COMPUTED_VALUE"""),18480.0)</f>
        <v>18480</v>
      </c>
      <c r="C556" s="1">
        <f>IFERROR(__xludf.DUMMYFUNCTION("""COMPUTED_VALUE"""),18480.0)</f>
        <v>18480</v>
      </c>
      <c r="D556" s="1">
        <f>IFERROR(__xludf.DUMMYFUNCTION("""COMPUTED_VALUE"""),18120.0)</f>
        <v>18120</v>
      </c>
      <c r="E556" s="1">
        <f>IFERROR(__xludf.DUMMYFUNCTION("""COMPUTED_VALUE"""),18300.0)</f>
        <v>18300</v>
      </c>
      <c r="F556" s="1">
        <f>IFERROR(__xludf.DUMMYFUNCTION("""COMPUTED_VALUE"""),95789.0)</f>
        <v>95789</v>
      </c>
    </row>
    <row r="557">
      <c r="A557" s="2">
        <f>IFERROR(__xludf.DUMMYFUNCTION("""COMPUTED_VALUE"""),41361.645833333336)</f>
        <v>41361.64583</v>
      </c>
      <c r="B557" s="1">
        <f>IFERROR(__xludf.DUMMYFUNCTION("""COMPUTED_VALUE"""),18200.0)</f>
        <v>18200</v>
      </c>
      <c r="C557" s="1">
        <f>IFERROR(__xludf.DUMMYFUNCTION("""COMPUTED_VALUE"""),18400.0)</f>
        <v>18400</v>
      </c>
      <c r="D557" s="1">
        <f>IFERROR(__xludf.DUMMYFUNCTION("""COMPUTED_VALUE"""),18200.0)</f>
        <v>18200</v>
      </c>
      <c r="E557" s="1">
        <f>IFERROR(__xludf.DUMMYFUNCTION("""COMPUTED_VALUE"""),18240.0)</f>
        <v>18240</v>
      </c>
      <c r="F557" s="1">
        <f>IFERROR(__xludf.DUMMYFUNCTION("""COMPUTED_VALUE"""),31016.0)</f>
        <v>31016</v>
      </c>
    </row>
    <row r="558">
      <c r="A558" s="2">
        <f>IFERROR(__xludf.DUMMYFUNCTION("""COMPUTED_VALUE"""),41362.645833333336)</f>
        <v>41362.64583</v>
      </c>
      <c r="B558" s="1">
        <f>IFERROR(__xludf.DUMMYFUNCTION("""COMPUTED_VALUE"""),18300.0)</f>
        <v>18300</v>
      </c>
      <c r="C558" s="1">
        <f>IFERROR(__xludf.DUMMYFUNCTION("""COMPUTED_VALUE"""),18420.0)</f>
        <v>18420</v>
      </c>
      <c r="D558" s="1">
        <f>IFERROR(__xludf.DUMMYFUNCTION("""COMPUTED_VALUE"""),18200.0)</f>
        <v>18200</v>
      </c>
      <c r="E558" s="1">
        <f>IFERROR(__xludf.DUMMYFUNCTION("""COMPUTED_VALUE"""),18340.0)</f>
        <v>18340</v>
      </c>
      <c r="F558" s="1">
        <f>IFERROR(__xludf.DUMMYFUNCTION("""COMPUTED_VALUE"""),75441.0)</f>
        <v>75441</v>
      </c>
    </row>
    <row r="559">
      <c r="A559" s="2">
        <f>IFERROR(__xludf.DUMMYFUNCTION("""COMPUTED_VALUE"""),41365.645833333336)</f>
        <v>41365.64583</v>
      </c>
      <c r="B559" s="1">
        <f>IFERROR(__xludf.DUMMYFUNCTION("""COMPUTED_VALUE"""),18540.0)</f>
        <v>18540</v>
      </c>
      <c r="C559" s="1">
        <f>IFERROR(__xludf.DUMMYFUNCTION("""COMPUTED_VALUE"""),18640.0)</f>
        <v>18640</v>
      </c>
      <c r="D559" s="1">
        <f>IFERROR(__xludf.DUMMYFUNCTION("""COMPUTED_VALUE"""),18340.0)</f>
        <v>18340</v>
      </c>
      <c r="E559" s="1">
        <f>IFERROR(__xludf.DUMMYFUNCTION("""COMPUTED_VALUE"""),18580.0)</f>
        <v>18580</v>
      </c>
      <c r="F559" s="1">
        <f>IFERROR(__xludf.DUMMYFUNCTION("""COMPUTED_VALUE"""),79096.0)</f>
        <v>79096</v>
      </c>
    </row>
    <row r="560">
      <c r="A560" s="2">
        <f>IFERROR(__xludf.DUMMYFUNCTION("""COMPUTED_VALUE"""),41366.645833333336)</f>
        <v>41366.64583</v>
      </c>
      <c r="B560" s="1">
        <f>IFERROR(__xludf.DUMMYFUNCTION("""COMPUTED_VALUE"""),18620.0)</f>
        <v>18620</v>
      </c>
      <c r="C560" s="1">
        <f>IFERROR(__xludf.DUMMYFUNCTION("""COMPUTED_VALUE"""),18660.0)</f>
        <v>18660</v>
      </c>
      <c r="D560" s="1">
        <f>IFERROR(__xludf.DUMMYFUNCTION("""COMPUTED_VALUE"""),18120.0)</f>
        <v>18120</v>
      </c>
      <c r="E560" s="1">
        <f>IFERROR(__xludf.DUMMYFUNCTION("""COMPUTED_VALUE"""),18260.0)</f>
        <v>18260</v>
      </c>
      <c r="F560" s="1">
        <f>IFERROR(__xludf.DUMMYFUNCTION("""COMPUTED_VALUE"""),76739.0)</f>
        <v>76739</v>
      </c>
    </row>
    <row r="561">
      <c r="A561" s="2">
        <f>IFERROR(__xludf.DUMMYFUNCTION("""COMPUTED_VALUE"""),41367.645833333336)</f>
        <v>41367.64583</v>
      </c>
      <c r="B561" s="1">
        <f>IFERROR(__xludf.DUMMYFUNCTION("""COMPUTED_VALUE"""),18240.0)</f>
        <v>18240</v>
      </c>
      <c r="C561" s="1">
        <f>IFERROR(__xludf.DUMMYFUNCTION("""COMPUTED_VALUE"""),18320.0)</f>
        <v>18320</v>
      </c>
      <c r="D561" s="1">
        <f>IFERROR(__xludf.DUMMYFUNCTION("""COMPUTED_VALUE"""),17900.0)</f>
        <v>17900</v>
      </c>
      <c r="E561" s="1">
        <f>IFERROR(__xludf.DUMMYFUNCTION("""COMPUTED_VALUE"""),17980.0)</f>
        <v>17980</v>
      </c>
      <c r="F561" s="1">
        <f>IFERROR(__xludf.DUMMYFUNCTION("""COMPUTED_VALUE"""),73156.0)</f>
        <v>73156</v>
      </c>
    </row>
    <row r="562">
      <c r="A562" s="2">
        <f>IFERROR(__xludf.DUMMYFUNCTION("""COMPUTED_VALUE"""),41368.645833333336)</f>
        <v>41368.64583</v>
      </c>
      <c r="B562" s="1">
        <f>IFERROR(__xludf.DUMMYFUNCTION("""COMPUTED_VALUE"""),17900.0)</f>
        <v>17900</v>
      </c>
      <c r="C562" s="1">
        <f>IFERROR(__xludf.DUMMYFUNCTION("""COMPUTED_VALUE"""),18220.0)</f>
        <v>18220</v>
      </c>
      <c r="D562" s="1">
        <f>IFERROR(__xludf.DUMMYFUNCTION("""COMPUTED_VALUE"""),17660.0)</f>
        <v>17660</v>
      </c>
      <c r="E562" s="1">
        <f>IFERROR(__xludf.DUMMYFUNCTION("""COMPUTED_VALUE"""),18100.0)</f>
        <v>18100</v>
      </c>
      <c r="F562" s="1">
        <f>IFERROR(__xludf.DUMMYFUNCTION("""COMPUTED_VALUE"""),62455.0)</f>
        <v>62455</v>
      </c>
    </row>
    <row r="563">
      <c r="A563" s="2">
        <f>IFERROR(__xludf.DUMMYFUNCTION("""COMPUTED_VALUE"""),41369.645833333336)</f>
        <v>41369.64583</v>
      </c>
      <c r="B563" s="1">
        <f>IFERROR(__xludf.DUMMYFUNCTION("""COMPUTED_VALUE"""),18160.0)</f>
        <v>18160</v>
      </c>
      <c r="C563" s="1">
        <f>IFERROR(__xludf.DUMMYFUNCTION("""COMPUTED_VALUE"""),18380.0)</f>
        <v>18380</v>
      </c>
      <c r="D563" s="1">
        <f>IFERROR(__xludf.DUMMYFUNCTION("""COMPUTED_VALUE"""),17880.0)</f>
        <v>17880</v>
      </c>
      <c r="E563" s="1">
        <f>IFERROR(__xludf.DUMMYFUNCTION("""COMPUTED_VALUE"""),17900.0)</f>
        <v>17900</v>
      </c>
      <c r="F563" s="1">
        <f>IFERROR(__xludf.DUMMYFUNCTION("""COMPUTED_VALUE"""),38102.0)</f>
        <v>38102</v>
      </c>
    </row>
    <row r="564">
      <c r="A564" s="2">
        <f>IFERROR(__xludf.DUMMYFUNCTION("""COMPUTED_VALUE"""),41372.645833333336)</f>
        <v>41372.64583</v>
      </c>
      <c r="B564" s="1">
        <f>IFERROR(__xludf.DUMMYFUNCTION("""COMPUTED_VALUE"""),17960.0)</f>
        <v>17960</v>
      </c>
      <c r="C564" s="1">
        <f>IFERROR(__xludf.DUMMYFUNCTION("""COMPUTED_VALUE"""),17980.0)</f>
        <v>17980</v>
      </c>
      <c r="D564" s="1">
        <f>IFERROR(__xludf.DUMMYFUNCTION("""COMPUTED_VALUE"""),16960.0)</f>
        <v>16960</v>
      </c>
      <c r="E564" s="1">
        <f>IFERROR(__xludf.DUMMYFUNCTION("""COMPUTED_VALUE"""),17180.0)</f>
        <v>17180</v>
      </c>
      <c r="F564" s="1">
        <f>IFERROR(__xludf.DUMMYFUNCTION("""COMPUTED_VALUE"""),128589.0)</f>
        <v>128589</v>
      </c>
    </row>
    <row r="565">
      <c r="A565" s="2">
        <f>IFERROR(__xludf.DUMMYFUNCTION("""COMPUTED_VALUE"""),41373.645833333336)</f>
        <v>41373.64583</v>
      </c>
      <c r="B565" s="1">
        <f>IFERROR(__xludf.DUMMYFUNCTION("""COMPUTED_VALUE"""),17180.0)</f>
        <v>17180</v>
      </c>
      <c r="C565" s="1">
        <f>IFERROR(__xludf.DUMMYFUNCTION("""COMPUTED_VALUE"""),17440.0)</f>
        <v>17440</v>
      </c>
      <c r="D565" s="1">
        <f>IFERROR(__xludf.DUMMYFUNCTION("""COMPUTED_VALUE"""),16800.0)</f>
        <v>16800</v>
      </c>
      <c r="E565" s="1">
        <f>IFERROR(__xludf.DUMMYFUNCTION("""COMPUTED_VALUE"""),17080.0)</f>
        <v>17080</v>
      </c>
      <c r="F565" s="1">
        <f>IFERROR(__xludf.DUMMYFUNCTION("""COMPUTED_VALUE"""),99281.0)</f>
        <v>99281</v>
      </c>
    </row>
    <row r="566">
      <c r="A566" s="2">
        <f>IFERROR(__xludf.DUMMYFUNCTION("""COMPUTED_VALUE"""),41374.645833333336)</f>
        <v>41374.64583</v>
      </c>
      <c r="B566" s="1">
        <f>IFERROR(__xludf.DUMMYFUNCTION("""COMPUTED_VALUE"""),17140.0)</f>
        <v>17140</v>
      </c>
      <c r="C566" s="1">
        <f>IFERROR(__xludf.DUMMYFUNCTION("""COMPUTED_VALUE"""),17420.0)</f>
        <v>17420</v>
      </c>
      <c r="D566" s="1">
        <f>IFERROR(__xludf.DUMMYFUNCTION("""COMPUTED_VALUE"""),17000.0)</f>
        <v>17000</v>
      </c>
      <c r="E566" s="1">
        <f>IFERROR(__xludf.DUMMYFUNCTION("""COMPUTED_VALUE"""),17360.0)</f>
        <v>17360</v>
      </c>
      <c r="F566" s="1">
        <f>IFERROR(__xludf.DUMMYFUNCTION("""COMPUTED_VALUE"""),75773.0)</f>
        <v>75773</v>
      </c>
    </row>
    <row r="567">
      <c r="A567" s="2">
        <f>IFERROR(__xludf.DUMMYFUNCTION("""COMPUTED_VALUE"""),41375.645833333336)</f>
        <v>41375.64583</v>
      </c>
      <c r="B567" s="1">
        <f>IFERROR(__xludf.DUMMYFUNCTION("""COMPUTED_VALUE"""),17260.0)</f>
        <v>17260</v>
      </c>
      <c r="C567" s="1">
        <f>IFERROR(__xludf.DUMMYFUNCTION("""COMPUTED_VALUE"""),17500.0)</f>
        <v>17500</v>
      </c>
      <c r="D567" s="1">
        <f>IFERROR(__xludf.DUMMYFUNCTION("""COMPUTED_VALUE"""),17160.0)</f>
        <v>17160</v>
      </c>
      <c r="E567" s="1">
        <f>IFERROR(__xludf.DUMMYFUNCTION("""COMPUTED_VALUE"""),17340.0)</f>
        <v>17340</v>
      </c>
      <c r="F567" s="1">
        <f>IFERROR(__xludf.DUMMYFUNCTION("""COMPUTED_VALUE"""),72343.0)</f>
        <v>72343</v>
      </c>
    </row>
    <row r="568">
      <c r="A568" s="2">
        <f>IFERROR(__xludf.DUMMYFUNCTION("""COMPUTED_VALUE"""),41376.645833333336)</f>
        <v>41376.64583</v>
      </c>
      <c r="B568" s="1">
        <f>IFERROR(__xludf.DUMMYFUNCTION("""COMPUTED_VALUE"""),17440.0)</f>
        <v>17440</v>
      </c>
      <c r="C568" s="1">
        <f>IFERROR(__xludf.DUMMYFUNCTION("""COMPUTED_VALUE"""),17480.0)</f>
        <v>17480</v>
      </c>
      <c r="D568" s="1">
        <f>IFERROR(__xludf.DUMMYFUNCTION("""COMPUTED_VALUE"""),16980.0)</f>
        <v>16980</v>
      </c>
      <c r="E568" s="1">
        <f>IFERROR(__xludf.DUMMYFUNCTION("""COMPUTED_VALUE"""),17000.0)</f>
        <v>17000</v>
      </c>
      <c r="F568" s="1">
        <f>IFERROR(__xludf.DUMMYFUNCTION("""COMPUTED_VALUE"""),63434.0)</f>
        <v>63434</v>
      </c>
    </row>
    <row r="569">
      <c r="A569" s="2">
        <f>IFERROR(__xludf.DUMMYFUNCTION("""COMPUTED_VALUE"""),41379.645833333336)</f>
        <v>41379.64583</v>
      </c>
      <c r="B569" s="1">
        <f>IFERROR(__xludf.DUMMYFUNCTION("""COMPUTED_VALUE"""),17120.0)</f>
        <v>17120</v>
      </c>
      <c r="C569" s="1">
        <f>IFERROR(__xludf.DUMMYFUNCTION("""COMPUTED_VALUE"""),17160.0)</f>
        <v>17160</v>
      </c>
      <c r="D569" s="1">
        <f>IFERROR(__xludf.DUMMYFUNCTION("""COMPUTED_VALUE"""),16460.0)</f>
        <v>16460</v>
      </c>
      <c r="E569" s="1">
        <f>IFERROR(__xludf.DUMMYFUNCTION("""COMPUTED_VALUE"""),16460.0)</f>
        <v>16460</v>
      </c>
      <c r="F569" s="1">
        <f>IFERROR(__xludf.DUMMYFUNCTION("""COMPUTED_VALUE"""),118383.0)</f>
        <v>118383</v>
      </c>
    </row>
    <row r="570">
      <c r="A570" s="2">
        <f>IFERROR(__xludf.DUMMYFUNCTION("""COMPUTED_VALUE"""),41380.645833333336)</f>
        <v>41380.64583</v>
      </c>
      <c r="B570" s="1">
        <f>IFERROR(__xludf.DUMMYFUNCTION("""COMPUTED_VALUE"""),16400.0)</f>
        <v>16400</v>
      </c>
      <c r="C570" s="1">
        <f>IFERROR(__xludf.DUMMYFUNCTION("""COMPUTED_VALUE"""),17480.0)</f>
        <v>17480</v>
      </c>
      <c r="D570" s="1">
        <f>IFERROR(__xludf.DUMMYFUNCTION("""COMPUTED_VALUE"""),16360.0)</f>
        <v>16360</v>
      </c>
      <c r="E570" s="1">
        <f>IFERROR(__xludf.DUMMYFUNCTION("""COMPUTED_VALUE"""),17480.0)</f>
        <v>17480</v>
      </c>
      <c r="F570" s="1">
        <f>IFERROR(__xludf.DUMMYFUNCTION("""COMPUTED_VALUE"""),112382.0)</f>
        <v>112382</v>
      </c>
    </row>
    <row r="571">
      <c r="A571" s="2">
        <f>IFERROR(__xludf.DUMMYFUNCTION("""COMPUTED_VALUE"""),41381.645833333336)</f>
        <v>41381.64583</v>
      </c>
      <c r="B571" s="1">
        <f>IFERROR(__xludf.DUMMYFUNCTION("""COMPUTED_VALUE"""),17500.0)</f>
        <v>17500</v>
      </c>
      <c r="C571" s="1">
        <f>IFERROR(__xludf.DUMMYFUNCTION("""COMPUTED_VALUE"""),17680.0)</f>
        <v>17680</v>
      </c>
      <c r="D571" s="1">
        <f>IFERROR(__xludf.DUMMYFUNCTION("""COMPUTED_VALUE"""),17260.0)</f>
        <v>17260</v>
      </c>
      <c r="E571" s="1">
        <f>IFERROR(__xludf.DUMMYFUNCTION("""COMPUTED_VALUE"""),17460.0)</f>
        <v>17460</v>
      </c>
      <c r="F571" s="1">
        <f>IFERROR(__xludf.DUMMYFUNCTION("""COMPUTED_VALUE"""),63026.0)</f>
        <v>63026</v>
      </c>
    </row>
    <row r="572">
      <c r="A572" s="2">
        <f>IFERROR(__xludf.DUMMYFUNCTION("""COMPUTED_VALUE"""),41382.645833333336)</f>
        <v>41382.64583</v>
      </c>
      <c r="B572" s="1">
        <f>IFERROR(__xludf.DUMMYFUNCTION("""COMPUTED_VALUE"""),17320.0)</f>
        <v>17320</v>
      </c>
      <c r="C572" s="1">
        <f>IFERROR(__xludf.DUMMYFUNCTION("""COMPUTED_VALUE"""),17500.0)</f>
        <v>17500</v>
      </c>
      <c r="D572" s="1">
        <f>IFERROR(__xludf.DUMMYFUNCTION("""COMPUTED_VALUE"""),16900.0)</f>
        <v>16900</v>
      </c>
      <c r="E572" s="1">
        <f>IFERROR(__xludf.DUMMYFUNCTION("""COMPUTED_VALUE"""),16900.0)</f>
        <v>16900</v>
      </c>
      <c r="F572" s="1">
        <f>IFERROR(__xludf.DUMMYFUNCTION("""COMPUTED_VALUE"""),35391.0)</f>
        <v>35391</v>
      </c>
    </row>
    <row r="573">
      <c r="A573" s="2">
        <f>IFERROR(__xludf.DUMMYFUNCTION("""COMPUTED_VALUE"""),41383.645833333336)</f>
        <v>41383.64583</v>
      </c>
      <c r="B573" s="1">
        <f>IFERROR(__xludf.DUMMYFUNCTION("""COMPUTED_VALUE"""),17100.0)</f>
        <v>17100</v>
      </c>
      <c r="C573" s="1">
        <f>IFERROR(__xludf.DUMMYFUNCTION("""COMPUTED_VALUE"""),17640.0)</f>
        <v>17640</v>
      </c>
      <c r="D573" s="1">
        <f>IFERROR(__xludf.DUMMYFUNCTION("""COMPUTED_VALUE"""),16960.0)</f>
        <v>16960</v>
      </c>
      <c r="E573" s="1">
        <f>IFERROR(__xludf.DUMMYFUNCTION("""COMPUTED_VALUE"""),17440.0)</f>
        <v>17440</v>
      </c>
      <c r="F573" s="1">
        <f>IFERROR(__xludf.DUMMYFUNCTION("""COMPUTED_VALUE"""),58258.0)</f>
        <v>58258</v>
      </c>
    </row>
    <row r="574">
      <c r="A574" s="2">
        <f>IFERROR(__xludf.DUMMYFUNCTION("""COMPUTED_VALUE"""),41386.645833333336)</f>
        <v>41386.64583</v>
      </c>
      <c r="B574" s="1">
        <f>IFERROR(__xludf.DUMMYFUNCTION("""COMPUTED_VALUE"""),17540.0)</f>
        <v>17540</v>
      </c>
      <c r="C574" s="1">
        <f>IFERROR(__xludf.DUMMYFUNCTION("""COMPUTED_VALUE"""),17900.0)</f>
        <v>17900</v>
      </c>
      <c r="D574" s="1">
        <f>IFERROR(__xludf.DUMMYFUNCTION("""COMPUTED_VALUE"""),17400.0)</f>
        <v>17400</v>
      </c>
      <c r="E574" s="1">
        <f>IFERROR(__xludf.DUMMYFUNCTION("""COMPUTED_VALUE"""),17640.0)</f>
        <v>17640</v>
      </c>
      <c r="F574" s="1">
        <f>IFERROR(__xludf.DUMMYFUNCTION("""COMPUTED_VALUE"""),49745.0)</f>
        <v>49745</v>
      </c>
    </row>
    <row r="575">
      <c r="A575" s="2">
        <f>IFERROR(__xludf.DUMMYFUNCTION("""COMPUTED_VALUE"""),41387.645833333336)</f>
        <v>41387.64583</v>
      </c>
      <c r="B575" s="1">
        <f>IFERROR(__xludf.DUMMYFUNCTION("""COMPUTED_VALUE"""),17600.0)</f>
        <v>17600</v>
      </c>
      <c r="C575" s="1">
        <f>IFERROR(__xludf.DUMMYFUNCTION("""COMPUTED_VALUE"""),18200.0)</f>
        <v>18200</v>
      </c>
      <c r="D575" s="1">
        <f>IFERROR(__xludf.DUMMYFUNCTION("""COMPUTED_VALUE"""),17440.0)</f>
        <v>17440</v>
      </c>
      <c r="E575" s="1">
        <f>IFERROR(__xludf.DUMMYFUNCTION("""COMPUTED_VALUE"""),18200.0)</f>
        <v>18200</v>
      </c>
      <c r="F575" s="1">
        <f>IFERROR(__xludf.DUMMYFUNCTION("""COMPUTED_VALUE"""),137755.0)</f>
        <v>137755</v>
      </c>
    </row>
    <row r="576">
      <c r="A576" s="2">
        <f>IFERROR(__xludf.DUMMYFUNCTION("""COMPUTED_VALUE"""),41388.645833333336)</f>
        <v>41388.64583</v>
      </c>
      <c r="B576" s="1">
        <f>IFERROR(__xludf.DUMMYFUNCTION("""COMPUTED_VALUE"""),18080.0)</f>
        <v>18080</v>
      </c>
      <c r="C576" s="1">
        <f>IFERROR(__xludf.DUMMYFUNCTION("""COMPUTED_VALUE"""),18160.0)</f>
        <v>18160</v>
      </c>
      <c r="D576" s="1">
        <f>IFERROR(__xludf.DUMMYFUNCTION("""COMPUTED_VALUE"""),17820.0)</f>
        <v>17820</v>
      </c>
      <c r="E576" s="1">
        <f>IFERROR(__xludf.DUMMYFUNCTION("""COMPUTED_VALUE"""),18160.0)</f>
        <v>18160</v>
      </c>
      <c r="F576" s="1">
        <f>IFERROR(__xludf.DUMMYFUNCTION("""COMPUTED_VALUE"""),59808.0)</f>
        <v>59808</v>
      </c>
    </row>
    <row r="577">
      <c r="A577" s="2">
        <f>IFERROR(__xludf.DUMMYFUNCTION("""COMPUTED_VALUE"""),41389.645833333336)</f>
        <v>41389.64583</v>
      </c>
      <c r="B577" s="1">
        <f>IFERROR(__xludf.DUMMYFUNCTION("""COMPUTED_VALUE"""),18160.0)</f>
        <v>18160</v>
      </c>
      <c r="C577" s="1">
        <f>IFERROR(__xludf.DUMMYFUNCTION("""COMPUTED_VALUE"""),18320.0)</f>
        <v>18320</v>
      </c>
      <c r="D577" s="1">
        <f>IFERROR(__xludf.DUMMYFUNCTION("""COMPUTED_VALUE"""),18000.0)</f>
        <v>18000</v>
      </c>
      <c r="E577" s="1">
        <f>IFERROR(__xludf.DUMMYFUNCTION("""COMPUTED_VALUE"""),18160.0)</f>
        <v>18160</v>
      </c>
      <c r="F577" s="1">
        <f>IFERROR(__xludf.DUMMYFUNCTION("""COMPUTED_VALUE"""),44407.0)</f>
        <v>44407</v>
      </c>
    </row>
    <row r="578">
      <c r="A578" s="2">
        <f>IFERROR(__xludf.DUMMYFUNCTION("""COMPUTED_VALUE"""),41390.645833333336)</f>
        <v>41390.64583</v>
      </c>
      <c r="B578" s="1">
        <f>IFERROR(__xludf.DUMMYFUNCTION("""COMPUTED_VALUE"""),18140.0)</f>
        <v>18140</v>
      </c>
      <c r="C578" s="1">
        <f>IFERROR(__xludf.DUMMYFUNCTION("""COMPUTED_VALUE"""),18300.0)</f>
        <v>18300</v>
      </c>
      <c r="D578" s="1">
        <f>IFERROR(__xludf.DUMMYFUNCTION("""COMPUTED_VALUE"""),18100.0)</f>
        <v>18100</v>
      </c>
      <c r="E578" s="1">
        <f>IFERROR(__xludf.DUMMYFUNCTION("""COMPUTED_VALUE"""),18160.0)</f>
        <v>18160</v>
      </c>
      <c r="F578" s="1">
        <f>IFERROR(__xludf.DUMMYFUNCTION("""COMPUTED_VALUE"""),36071.0)</f>
        <v>36071</v>
      </c>
    </row>
    <row r="579">
      <c r="A579" s="2">
        <f>IFERROR(__xludf.DUMMYFUNCTION("""COMPUTED_VALUE"""),41393.645833333336)</f>
        <v>41393.64583</v>
      </c>
      <c r="B579" s="1">
        <f>IFERROR(__xludf.DUMMYFUNCTION("""COMPUTED_VALUE"""),18140.0)</f>
        <v>18140</v>
      </c>
      <c r="C579" s="1">
        <f>IFERROR(__xludf.DUMMYFUNCTION("""COMPUTED_VALUE"""),18480.0)</f>
        <v>18480</v>
      </c>
      <c r="D579" s="1">
        <f>IFERROR(__xludf.DUMMYFUNCTION("""COMPUTED_VALUE"""),18140.0)</f>
        <v>18140</v>
      </c>
      <c r="E579" s="1">
        <f>IFERROR(__xludf.DUMMYFUNCTION("""COMPUTED_VALUE"""),18300.0)</f>
        <v>18300</v>
      </c>
      <c r="F579" s="1">
        <f>IFERROR(__xludf.DUMMYFUNCTION("""COMPUTED_VALUE"""),55853.0)</f>
        <v>55853</v>
      </c>
    </row>
    <row r="580">
      <c r="A580" s="2">
        <f>IFERROR(__xludf.DUMMYFUNCTION("""COMPUTED_VALUE"""),41394.645833333336)</f>
        <v>41394.64583</v>
      </c>
      <c r="B580" s="1">
        <f>IFERROR(__xludf.DUMMYFUNCTION("""COMPUTED_VALUE"""),18320.0)</f>
        <v>18320</v>
      </c>
      <c r="C580" s="1">
        <f>IFERROR(__xludf.DUMMYFUNCTION("""COMPUTED_VALUE"""),18320.0)</f>
        <v>18320</v>
      </c>
      <c r="D580" s="1">
        <f>IFERROR(__xludf.DUMMYFUNCTION("""COMPUTED_VALUE"""),18000.0)</f>
        <v>18000</v>
      </c>
      <c r="E580" s="1">
        <f>IFERROR(__xludf.DUMMYFUNCTION("""COMPUTED_VALUE"""),18000.0)</f>
        <v>18000</v>
      </c>
      <c r="F580" s="1">
        <f>IFERROR(__xludf.DUMMYFUNCTION("""COMPUTED_VALUE"""),61896.0)</f>
        <v>61896</v>
      </c>
    </row>
    <row r="581">
      <c r="A581" s="2">
        <f>IFERROR(__xludf.DUMMYFUNCTION("""COMPUTED_VALUE"""),41396.645833333336)</f>
        <v>41396.64583</v>
      </c>
      <c r="B581" s="1">
        <f>IFERROR(__xludf.DUMMYFUNCTION("""COMPUTED_VALUE"""),18000.0)</f>
        <v>18000</v>
      </c>
      <c r="C581" s="1">
        <f>IFERROR(__xludf.DUMMYFUNCTION("""COMPUTED_VALUE"""),18260.0)</f>
        <v>18260</v>
      </c>
      <c r="D581" s="1">
        <f>IFERROR(__xludf.DUMMYFUNCTION("""COMPUTED_VALUE"""),18000.0)</f>
        <v>18000</v>
      </c>
      <c r="E581" s="1">
        <f>IFERROR(__xludf.DUMMYFUNCTION("""COMPUTED_VALUE"""),18160.0)</f>
        <v>18160</v>
      </c>
      <c r="F581" s="1">
        <f>IFERROR(__xludf.DUMMYFUNCTION("""COMPUTED_VALUE"""),43188.0)</f>
        <v>43188</v>
      </c>
    </row>
    <row r="582">
      <c r="A582" s="2">
        <f>IFERROR(__xludf.DUMMYFUNCTION("""COMPUTED_VALUE"""),41397.645833333336)</f>
        <v>41397.64583</v>
      </c>
      <c r="B582" s="1">
        <f>IFERROR(__xludf.DUMMYFUNCTION("""COMPUTED_VALUE"""),18160.0)</f>
        <v>18160</v>
      </c>
      <c r="C582" s="1">
        <f>IFERROR(__xludf.DUMMYFUNCTION("""COMPUTED_VALUE"""),18400.0)</f>
        <v>18400</v>
      </c>
      <c r="D582" s="1">
        <f>IFERROR(__xludf.DUMMYFUNCTION("""COMPUTED_VALUE"""),18060.0)</f>
        <v>18060</v>
      </c>
      <c r="E582" s="1">
        <f>IFERROR(__xludf.DUMMYFUNCTION("""COMPUTED_VALUE"""),18200.0)</f>
        <v>18200</v>
      </c>
      <c r="F582" s="1">
        <f>IFERROR(__xludf.DUMMYFUNCTION("""COMPUTED_VALUE"""),30829.0)</f>
        <v>30829</v>
      </c>
    </row>
    <row r="583">
      <c r="A583" s="2">
        <f>IFERROR(__xludf.DUMMYFUNCTION("""COMPUTED_VALUE"""),41400.645833333336)</f>
        <v>41400.64583</v>
      </c>
      <c r="B583" s="1">
        <f>IFERROR(__xludf.DUMMYFUNCTION("""COMPUTED_VALUE"""),18240.0)</f>
        <v>18240</v>
      </c>
      <c r="C583" s="1">
        <f>IFERROR(__xludf.DUMMYFUNCTION("""COMPUTED_VALUE"""),18400.0)</f>
        <v>18400</v>
      </c>
      <c r="D583" s="1">
        <f>IFERROR(__xludf.DUMMYFUNCTION("""COMPUTED_VALUE"""),18180.0)</f>
        <v>18180</v>
      </c>
      <c r="E583" s="1">
        <f>IFERROR(__xludf.DUMMYFUNCTION("""COMPUTED_VALUE"""),18340.0)</f>
        <v>18340</v>
      </c>
      <c r="F583" s="1">
        <f>IFERROR(__xludf.DUMMYFUNCTION("""COMPUTED_VALUE"""),34232.0)</f>
        <v>34232</v>
      </c>
    </row>
    <row r="584">
      <c r="A584" s="2">
        <f>IFERROR(__xludf.DUMMYFUNCTION("""COMPUTED_VALUE"""),41401.645833333336)</f>
        <v>41401.64583</v>
      </c>
      <c r="B584" s="1">
        <f>IFERROR(__xludf.DUMMYFUNCTION("""COMPUTED_VALUE"""),18400.0)</f>
        <v>18400</v>
      </c>
      <c r="C584" s="1">
        <f>IFERROR(__xludf.DUMMYFUNCTION("""COMPUTED_VALUE"""),18780.0)</f>
        <v>18780</v>
      </c>
      <c r="D584" s="1">
        <f>IFERROR(__xludf.DUMMYFUNCTION("""COMPUTED_VALUE"""),18360.0)</f>
        <v>18360</v>
      </c>
      <c r="E584" s="1">
        <f>IFERROR(__xludf.DUMMYFUNCTION("""COMPUTED_VALUE"""),18640.0)</f>
        <v>18640</v>
      </c>
      <c r="F584" s="1">
        <f>IFERROR(__xludf.DUMMYFUNCTION("""COMPUTED_VALUE"""),68088.0)</f>
        <v>68088</v>
      </c>
    </row>
    <row r="585">
      <c r="A585" s="2">
        <f>IFERROR(__xludf.DUMMYFUNCTION("""COMPUTED_VALUE"""),41402.645833333336)</f>
        <v>41402.64583</v>
      </c>
      <c r="B585" s="1">
        <f>IFERROR(__xludf.DUMMYFUNCTION("""COMPUTED_VALUE"""),18600.0)</f>
        <v>18600</v>
      </c>
      <c r="C585" s="1">
        <f>IFERROR(__xludf.DUMMYFUNCTION("""COMPUTED_VALUE"""),18660.0)</f>
        <v>18660</v>
      </c>
      <c r="D585" s="1">
        <f>IFERROR(__xludf.DUMMYFUNCTION("""COMPUTED_VALUE"""),18240.0)</f>
        <v>18240</v>
      </c>
      <c r="E585" s="1">
        <f>IFERROR(__xludf.DUMMYFUNCTION("""COMPUTED_VALUE"""),18360.0)</f>
        <v>18360</v>
      </c>
      <c r="F585" s="1">
        <f>IFERROR(__xludf.DUMMYFUNCTION("""COMPUTED_VALUE"""),58364.0)</f>
        <v>58364</v>
      </c>
    </row>
    <row r="586">
      <c r="A586" s="2">
        <f>IFERROR(__xludf.DUMMYFUNCTION("""COMPUTED_VALUE"""),41403.645833333336)</f>
        <v>41403.64583</v>
      </c>
      <c r="B586" s="1">
        <f>IFERROR(__xludf.DUMMYFUNCTION("""COMPUTED_VALUE"""),18300.0)</f>
        <v>18300</v>
      </c>
      <c r="C586" s="1">
        <f>IFERROR(__xludf.DUMMYFUNCTION("""COMPUTED_VALUE"""),18360.0)</f>
        <v>18360</v>
      </c>
      <c r="D586" s="1">
        <f>IFERROR(__xludf.DUMMYFUNCTION("""COMPUTED_VALUE"""),18040.0)</f>
        <v>18040</v>
      </c>
      <c r="E586" s="1">
        <f>IFERROR(__xludf.DUMMYFUNCTION("""COMPUTED_VALUE"""),18120.0)</f>
        <v>18120</v>
      </c>
      <c r="F586" s="1">
        <f>IFERROR(__xludf.DUMMYFUNCTION("""COMPUTED_VALUE"""),97377.0)</f>
        <v>97377</v>
      </c>
    </row>
    <row r="587">
      <c r="A587" s="2">
        <f>IFERROR(__xludf.DUMMYFUNCTION("""COMPUTED_VALUE"""),41404.645833333336)</f>
        <v>41404.64583</v>
      </c>
      <c r="B587" s="1">
        <f>IFERROR(__xludf.DUMMYFUNCTION("""COMPUTED_VALUE"""),18140.0)</f>
        <v>18140</v>
      </c>
      <c r="C587" s="1">
        <f>IFERROR(__xludf.DUMMYFUNCTION("""COMPUTED_VALUE"""),18260.0)</f>
        <v>18260</v>
      </c>
      <c r="D587" s="1">
        <f>IFERROR(__xludf.DUMMYFUNCTION("""COMPUTED_VALUE"""),17940.0)</f>
        <v>17940</v>
      </c>
      <c r="E587" s="1">
        <f>IFERROR(__xludf.DUMMYFUNCTION("""COMPUTED_VALUE"""),18000.0)</f>
        <v>18000</v>
      </c>
      <c r="F587" s="1">
        <f>IFERROR(__xludf.DUMMYFUNCTION("""COMPUTED_VALUE"""),76934.0)</f>
        <v>76934</v>
      </c>
    </row>
    <row r="588">
      <c r="A588" s="2">
        <f>IFERROR(__xludf.DUMMYFUNCTION("""COMPUTED_VALUE"""),41407.645833333336)</f>
        <v>41407.64583</v>
      </c>
      <c r="B588" s="1">
        <f>IFERROR(__xludf.DUMMYFUNCTION("""COMPUTED_VALUE"""),18000.0)</f>
        <v>18000</v>
      </c>
      <c r="C588" s="1">
        <f>IFERROR(__xludf.DUMMYFUNCTION("""COMPUTED_VALUE"""),18060.0)</f>
        <v>18060</v>
      </c>
      <c r="D588" s="1">
        <f>IFERROR(__xludf.DUMMYFUNCTION("""COMPUTED_VALUE"""),17440.0)</f>
        <v>17440</v>
      </c>
      <c r="E588" s="1">
        <f>IFERROR(__xludf.DUMMYFUNCTION("""COMPUTED_VALUE"""),17500.0)</f>
        <v>17500</v>
      </c>
      <c r="F588" s="1">
        <f>IFERROR(__xludf.DUMMYFUNCTION("""COMPUTED_VALUE"""),136327.0)</f>
        <v>136327</v>
      </c>
    </row>
    <row r="589">
      <c r="A589" s="2">
        <f>IFERROR(__xludf.DUMMYFUNCTION("""COMPUTED_VALUE"""),41408.645833333336)</f>
        <v>41408.64583</v>
      </c>
      <c r="B589" s="1">
        <f>IFERROR(__xludf.DUMMYFUNCTION("""COMPUTED_VALUE"""),17600.0)</f>
        <v>17600</v>
      </c>
      <c r="C589" s="1">
        <f>IFERROR(__xludf.DUMMYFUNCTION("""COMPUTED_VALUE"""),17660.0)</f>
        <v>17660</v>
      </c>
      <c r="D589" s="1">
        <f>IFERROR(__xludf.DUMMYFUNCTION("""COMPUTED_VALUE"""),17280.0)</f>
        <v>17280</v>
      </c>
      <c r="E589" s="1">
        <f>IFERROR(__xludf.DUMMYFUNCTION("""COMPUTED_VALUE"""),17300.0)</f>
        <v>17300</v>
      </c>
      <c r="F589" s="1">
        <f>IFERROR(__xludf.DUMMYFUNCTION("""COMPUTED_VALUE"""),126754.0)</f>
        <v>126754</v>
      </c>
    </row>
    <row r="590">
      <c r="A590" s="2">
        <f>IFERROR(__xludf.DUMMYFUNCTION("""COMPUTED_VALUE"""),41409.645833333336)</f>
        <v>41409.64583</v>
      </c>
      <c r="B590" s="1">
        <f>IFERROR(__xludf.DUMMYFUNCTION("""COMPUTED_VALUE"""),17400.0)</f>
        <v>17400</v>
      </c>
      <c r="C590" s="1">
        <f>IFERROR(__xludf.DUMMYFUNCTION("""COMPUTED_VALUE"""),17500.0)</f>
        <v>17500</v>
      </c>
      <c r="D590" s="1">
        <f>IFERROR(__xludf.DUMMYFUNCTION("""COMPUTED_VALUE"""),17160.0)</f>
        <v>17160</v>
      </c>
      <c r="E590" s="1">
        <f>IFERROR(__xludf.DUMMYFUNCTION("""COMPUTED_VALUE"""),17200.0)</f>
        <v>17200</v>
      </c>
      <c r="F590" s="1">
        <f>IFERROR(__xludf.DUMMYFUNCTION("""COMPUTED_VALUE"""),72483.0)</f>
        <v>72483</v>
      </c>
    </row>
    <row r="591">
      <c r="A591" s="2">
        <f>IFERROR(__xludf.DUMMYFUNCTION("""COMPUTED_VALUE"""),41410.645833333336)</f>
        <v>41410.64583</v>
      </c>
      <c r="B591" s="1">
        <f>IFERROR(__xludf.DUMMYFUNCTION("""COMPUTED_VALUE"""),17260.0)</f>
        <v>17260</v>
      </c>
      <c r="C591" s="1">
        <f>IFERROR(__xludf.DUMMYFUNCTION("""COMPUTED_VALUE"""),17660.0)</f>
        <v>17660</v>
      </c>
      <c r="D591" s="1">
        <f>IFERROR(__xludf.DUMMYFUNCTION("""COMPUTED_VALUE"""),17260.0)</f>
        <v>17260</v>
      </c>
      <c r="E591" s="1">
        <f>IFERROR(__xludf.DUMMYFUNCTION("""COMPUTED_VALUE"""),17560.0)</f>
        <v>17560</v>
      </c>
      <c r="F591" s="1">
        <f>IFERROR(__xludf.DUMMYFUNCTION("""COMPUTED_VALUE"""),121984.0)</f>
        <v>121984</v>
      </c>
    </row>
    <row r="592">
      <c r="A592" s="2">
        <f>IFERROR(__xludf.DUMMYFUNCTION("""COMPUTED_VALUE"""),41414.645833333336)</f>
        <v>41414.64583</v>
      </c>
      <c r="B592" s="1">
        <f>IFERROR(__xludf.DUMMYFUNCTION("""COMPUTED_VALUE"""),17520.0)</f>
        <v>17520</v>
      </c>
      <c r="C592" s="1">
        <f>IFERROR(__xludf.DUMMYFUNCTION("""COMPUTED_VALUE"""),17880.0)</f>
        <v>17880</v>
      </c>
      <c r="D592" s="1">
        <f>IFERROR(__xludf.DUMMYFUNCTION("""COMPUTED_VALUE"""),17520.0)</f>
        <v>17520</v>
      </c>
      <c r="E592" s="1">
        <f>IFERROR(__xludf.DUMMYFUNCTION("""COMPUTED_VALUE"""),17720.0)</f>
        <v>17720</v>
      </c>
      <c r="F592" s="1">
        <f>IFERROR(__xludf.DUMMYFUNCTION("""COMPUTED_VALUE"""),96088.0)</f>
        <v>96088</v>
      </c>
    </row>
    <row r="593">
      <c r="A593" s="2">
        <f>IFERROR(__xludf.DUMMYFUNCTION("""COMPUTED_VALUE"""),41415.645833333336)</f>
        <v>41415.64583</v>
      </c>
      <c r="B593" s="1">
        <f>IFERROR(__xludf.DUMMYFUNCTION("""COMPUTED_VALUE"""),17600.0)</f>
        <v>17600</v>
      </c>
      <c r="C593" s="1">
        <f>IFERROR(__xludf.DUMMYFUNCTION("""COMPUTED_VALUE"""),17820.0)</f>
        <v>17820</v>
      </c>
      <c r="D593" s="1">
        <f>IFERROR(__xludf.DUMMYFUNCTION("""COMPUTED_VALUE"""),17520.0)</f>
        <v>17520</v>
      </c>
      <c r="E593" s="1">
        <f>IFERROR(__xludf.DUMMYFUNCTION("""COMPUTED_VALUE"""),17700.0)</f>
        <v>17700</v>
      </c>
      <c r="F593" s="1">
        <f>IFERROR(__xludf.DUMMYFUNCTION("""COMPUTED_VALUE"""),95517.0)</f>
        <v>95517</v>
      </c>
    </row>
    <row r="594">
      <c r="A594" s="2">
        <f>IFERROR(__xludf.DUMMYFUNCTION("""COMPUTED_VALUE"""),41416.645833333336)</f>
        <v>41416.64583</v>
      </c>
      <c r="B594" s="1">
        <f>IFERROR(__xludf.DUMMYFUNCTION("""COMPUTED_VALUE"""),17720.0)</f>
        <v>17720</v>
      </c>
      <c r="C594" s="1">
        <f>IFERROR(__xludf.DUMMYFUNCTION("""COMPUTED_VALUE"""),17820.0)</f>
        <v>17820</v>
      </c>
      <c r="D594" s="1">
        <f>IFERROR(__xludf.DUMMYFUNCTION("""COMPUTED_VALUE"""),17480.0)</f>
        <v>17480</v>
      </c>
      <c r="E594" s="1">
        <f>IFERROR(__xludf.DUMMYFUNCTION("""COMPUTED_VALUE"""),17520.0)</f>
        <v>17520</v>
      </c>
      <c r="F594" s="1">
        <f>IFERROR(__xludf.DUMMYFUNCTION("""COMPUTED_VALUE"""),71631.0)</f>
        <v>71631</v>
      </c>
    </row>
    <row r="595">
      <c r="A595" s="2">
        <f>IFERROR(__xludf.DUMMYFUNCTION("""COMPUTED_VALUE"""),41417.645833333336)</f>
        <v>41417.64583</v>
      </c>
      <c r="B595" s="1">
        <f>IFERROR(__xludf.DUMMYFUNCTION("""COMPUTED_VALUE"""),17460.0)</f>
        <v>17460</v>
      </c>
      <c r="C595" s="1">
        <f>IFERROR(__xludf.DUMMYFUNCTION("""COMPUTED_VALUE"""),17640.0)</f>
        <v>17640</v>
      </c>
      <c r="D595" s="1">
        <f>IFERROR(__xludf.DUMMYFUNCTION("""COMPUTED_VALUE"""),17060.0)</f>
        <v>17060</v>
      </c>
      <c r="E595" s="1">
        <f>IFERROR(__xludf.DUMMYFUNCTION("""COMPUTED_VALUE"""),17060.0)</f>
        <v>17060</v>
      </c>
      <c r="F595" s="1">
        <f>IFERROR(__xludf.DUMMYFUNCTION("""COMPUTED_VALUE"""),63331.0)</f>
        <v>63331</v>
      </c>
    </row>
    <row r="596">
      <c r="A596" s="2">
        <f>IFERROR(__xludf.DUMMYFUNCTION("""COMPUTED_VALUE"""),41418.645833333336)</f>
        <v>41418.64583</v>
      </c>
      <c r="B596" s="1">
        <f>IFERROR(__xludf.DUMMYFUNCTION("""COMPUTED_VALUE"""),17200.0)</f>
        <v>17200</v>
      </c>
      <c r="C596" s="1">
        <f>IFERROR(__xludf.DUMMYFUNCTION("""COMPUTED_VALUE"""),17340.0)</f>
        <v>17340</v>
      </c>
      <c r="D596" s="1">
        <f>IFERROR(__xludf.DUMMYFUNCTION("""COMPUTED_VALUE"""),16880.0)</f>
        <v>16880</v>
      </c>
      <c r="E596" s="1">
        <f>IFERROR(__xludf.DUMMYFUNCTION("""COMPUTED_VALUE"""),16980.0)</f>
        <v>16980</v>
      </c>
      <c r="F596" s="1">
        <f>IFERROR(__xludf.DUMMYFUNCTION("""COMPUTED_VALUE"""),83950.0)</f>
        <v>83950</v>
      </c>
    </row>
    <row r="597">
      <c r="A597" s="2">
        <f>IFERROR(__xludf.DUMMYFUNCTION("""COMPUTED_VALUE"""),41421.645833333336)</f>
        <v>41421.64583</v>
      </c>
      <c r="B597" s="1">
        <f>IFERROR(__xludf.DUMMYFUNCTION("""COMPUTED_VALUE"""),17000.0)</f>
        <v>17000</v>
      </c>
      <c r="C597" s="1">
        <f>IFERROR(__xludf.DUMMYFUNCTION("""COMPUTED_VALUE"""),17060.0)</f>
        <v>17060</v>
      </c>
      <c r="D597" s="1">
        <f>IFERROR(__xludf.DUMMYFUNCTION("""COMPUTED_VALUE"""),16540.0)</f>
        <v>16540</v>
      </c>
      <c r="E597" s="1">
        <f>IFERROR(__xludf.DUMMYFUNCTION("""COMPUTED_VALUE"""),16600.0)</f>
        <v>16600</v>
      </c>
      <c r="F597" s="1">
        <f>IFERROR(__xludf.DUMMYFUNCTION("""COMPUTED_VALUE"""),136629.0)</f>
        <v>136629</v>
      </c>
    </row>
    <row r="598">
      <c r="A598" s="2">
        <f>IFERROR(__xludf.DUMMYFUNCTION("""COMPUTED_VALUE"""),41422.645833333336)</f>
        <v>41422.64583</v>
      </c>
      <c r="B598" s="1">
        <f>IFERROR(__xludf.DUMMYFUNCTION("""COMPUTED_VALUE"""),16600.0)</f>
        <v>16600</v>
      </c>
      <c r="C598" s="1">
        <f>IFERROR(__xludf.DUMMYFUNCTION("""COMPUTED_VALUE"""),16720.0)</f>
        <v>16720</v>
      </c>
      <c r="D598" s="1">
        <f>IFERROR(__xludf.DUMMYFUNCTION("""COMPUTED_VALUE"""),16540.0)</f>
        <v>16540</v>
      </c>
      <c r="E598" s="1">
        <f>IFERROR(__xludf.DUMMYFUNCTION("""COMPUTED_VALUE"""),16720.0)</f>
        <v>16720</v>
      </c>
      <c r="F598" s="1">
        <f>IFERROR(__xludf.DUMMYFUNCTION("""COMPUTED_VALUE"""),126869.0)</f>
        <v>126869</v>
      </c>
    </row>
    <row r="599">
      <c r="A599" s="2">
        <f>IFERROR(__xludf.DUMMYFUNCTION("""COMPUTED_VALUE"""),41423.645833333336)</f>
        <v>41423.64583</v>
      </c>
      <c r="B599" s="1">
        <f>IFERROR(__xludf.DUMMYFUNCTION("""COMPUTED_VALUE"""),16800.0)</f>
        <v>16800</v>
      </c>
      <c r="C599" s="1">
        <f>IFERROR(__xludf.DUMMYFUNCTION("""COMPUTED_VALUE"""),17340.0)</f>
        <v>17340</v>
      </c>
      <c r="D599" s="1">
        <f>IFERROR(__xludf.DUMMYFUNCTION("""COMPUTED_VALUE"""),16780.0)</f>
        <v>16780</v>
      </c>
      <c r="E599" s="1">
        <f>IFERROR(__xludf.DUMMYFUNCTION("""COMPUTED_VALUE"""),17240.0)</f>
        <v>17240</v>
      </c>
      <c r="F599" s="1">
        <f>IFERROR(__xludf.DUMMYFUNCTION("""COMPUTED_VALUE"""),108162.0)</f>
        <v>108162</v>
      </c>
    </row>
    <row r="600">
      <c r="A600" s="2">
        <f>IFERROR(__xludf.DUMMYFUNCTION("""COMPUTED_VALUE"""),41424.645833333336)</f>
        <v>41424.64583</v>
      </c>
      <c r="B600" s="1">
        <f>IFERROR(__xludf.DUMMYFUNCTION("""COMPUTED_VALUE"""),17220.0)</f>
        <v>17220</v>
      </c>
      <c r="C600" s="1">
        <f>IFERROR(__xludf.DUMMYFUNCTION("""COMPUTED_VALUE"""),17580.0)</f>
        <v>17580</v>
      </c>
      <c r="D600" s="1">
        <f>IFERROR(__xludf.DUMMYFUNCTION("""COMPUTED_VALUE"""),16920.0)</f>
        <v>16920</v>
      </c>
      <c r="E600" s="1">
        <f>IFERROR(__xludf.DUMMYFUNCTION("""COMPUTED_VALUE"""),17140.0)</f>
        <v>17140</v>
      </c>
      <c r="F600" s="1">
        <f>IFERROR(__xludf.DUMMYFUNCTION("""COMPUTED_VALUE"""),108320.0)</f>
        <v>108320</v>
      </c>
    </row>
    <row r="601">
      <c r="A601" s="2">
        <f>IFERROR(__xludf.DUMMYFUNCTION("""COMPUTED_VALUE"""),41425.645833333336)</f>
        <v>41425.64583</v>
      </c>
      <c r="B601" s="1">
        <f>IFERROR(__xludf.DUMMYFUNCTION("""COMPUTED_VALUE"""),17140.0)</f>
        <v>17140</v>
      </c>
      <c r="C601" s="1">
        <f>IFERROR(__xludf.DUMMYFUNCTION("""COMPUTED_VALUE"""),17140.0)</f>
        <v>17140</v>
      </c>
      <c r="D601" s="1">
        <f>IFERROR(__xludf.DUMMYFUNCTION("""COMPUTED_VALUE"""),16840.0)</f>
        <v>16840</v>
      </c>
      <c r="E601" s="1">
        <f>IFERROR(__xludf.DUMMYFUNCTION("""COMPUTED_VALUE"""),17060.0)</f>
        <v>17060</v>
      </c>
      <c r="F601" s="1">
        <f>IFERROR(__xludf.DUMMYFUNCTION("""COMPUTED_VALUE"""),84874.0)</f>
        <v>84874</v>
      </c>
    </row>
    <row r="602">
      <c r="A602" s="2">
        <f>IFERROR(__xludf.DUMMYFUNCTION("""COMPUTED_VALUE"""),41428.645833333336)</f>
        <v>41428.64583</v>
      </c>
      <c r="B602" s="1">
        <f>IFERROR(__xludf.DUMMYFUNCTION("""COMPUTED_VALUE"""),17000.0)</f>
        <v>17000</v>
      </c>
      <c r="C602" s="1">
        <f>IFERROR(__xludf.DUMMYFUNCTION("""COMPUTED_VALUE"""),17000.0)</f>
        <v>17000</v>
      </c>
      <c r="D602" s="1">
        <f>IFERROR(__xludf.DUMMYFUNCTION("""COMPUTED_VALUE"""),16600.0)</f>
        <v>16600</v>
      </c>
      <c r="E602" s="1">
        <f>IFERROR(__xludf.DUMMYFUNCTION("""COMPUTED_VALUE"""),16620.0)</f>
        <v>16620</v>
      </c>
      <c r="F602" s="1">
        <f>IFERROR(__xludf.DUMMYFUNCTION("""COMPUTED_VALUE"""),104612.0)</f>
        <v>104612</v>
      </c>
    </row>
    <row r="603">
      <c r="A603" s="2">
        <f>IFERROR(__xludf.DUMMYFUNCTION("""COMPUTED_VALUE"""),41429.645833333336)</f>
        <v>41429.64583</v>
      </c>
      <c r="B603" s="1">
        <f>IFERROR(__xludf.DUMMYFUNCTION("""COMPUTED_VALUE"""),16660.0)</f>
        <v>16660</v>
      </c>
      <c r="C603" s="1">
        <f>IFERROR(__xludf.DUMMYFUNCTION("""COMPUTED_VALUE"""),16840.0)</f>
        <v>16840</v>
      </c>
      <c r="D603" s="1">
        <f>IFERROR(__xludf.DUMMYFUNCTION("""COMPUTED_VALUE"""),16540.0)</f>
        <v>16540</v>
      </c>
      <c r="E603" s="1">
        <f>IFERROR(__xludf.DUMMYFUNCTION("""COMPUTED_VALUE"""),16660.0)</f>
        <v>16660</v>
      </c>
      <c r="F603" s="1">
        <f>IFERROR(__xludf.DUMMYFUNCTION("""COMPUTED_VALUE"""),60498.0)</f>
        <v>60498</v>
      </c>
    </row>
    <row r="604">
      <c r="A604" s="2">
        <f>IFERROR(__xludf.DUMMYFUNCTION("""COMPUTED_VALUE"""),41430.645833333336)</f>
        <v>41430.64583</v>
      </c>
      <c r="B604" s="1">
        <f>IFERROR(__xludf.DUMMYFUNCTION("""COMPUTED_VALUE"""),16580.0)</f>
        <v>16580</v>
      </c>
      <c r="C604" s="1">
        <f>IFERROR(__xludf.DUMMYFUNCTION("""COMPUTED_VALUE"""),16740.0)</f>
        <v>16740</v>
      </c>
      <c r="D604" s="1">
        <f>IFERROR(__xludf.DUMMYFUNCTION("""COMPUTED_VALUE"""),16200.0)</f>
        <v>16200</v>
      </c>
      <c r="E604" s="1">
        <f>IFERROR(__xludf.DUMMYFUNCTION("""COMPUTED_VALUE"""),16240.0)</f>
        <v>16240</v>
      </c>
      <c r="F604" s="1">
        <f>IFERROR(__xludf.DUMMYFUNCTION("""COMPUTED_VALUE"""),96304.0)</f>
        <v>96304</v>
      </c>
    </row>
    <row r="605">
      <c r="A605" s="2">
        <f>IFERROR(__xludf.DUMMYFUNCTION("""COMPUTED_VALUE"""),41432.645833333336)</f>
        <v>41432.64583</v>
      </c>
      <c r="B605" s="1">
        <f>IFERROR(__xludf.DUMMYFUNCTION("""COMPUTED_VALUE"""),16100.0)</f>
        <v>16100</v>
      </c>
      <c r="C605" s="1">
        <f>IFERROR(__xludf.DUMMYFUNCTION("""COMPUTED_VALUE"""),16240.0)</f>
        <v>16240</v>
      </c>
      <c r="D605" s="1">
        <f>IFERROR(__xludf.DUMMYFUNCTION("""COMPUTED_VALUE"""),15400.0)</f>
        <v>15400</v>
      </c>
      <c r="E605" s="1">
        <f>IFERROR(__xludf.DUMMYFUNCTION("""COMPUTED_VALUE"""),15820.0)</f>
        <v>15820</v>
      </c>
      <c r="F605" s="1">
        <f>IFERROR(__xludf.DUMMYFUNCTION("""COMPUTED_VALUE"""),171855.0)</f>
        <v>171855</v>
      </c>
    </row>
    <row r="606">
      <c r="A606" s="2">
        <f>IFERROR(__xludf.DUMMYFUNCTION("""COMPUTED_VALUE"""),41435.645833333336)</f>
        <v>41435.64583</v>
      </c>
      <c r="B606" s="1">
        <f>IFERROR(__xludf.DUMMYFUNCTION("""COMPUTED_VALUE"""),15840.0)</f>
        <v>15840</v>
      </c>
      <c r="C606" s="1">
        <f>IFERROR(__xludf.DUMMYFUNCTION("""COMPUTED_VALUE"""),16240.0)</f>
        <v>16240</v>
      </c>
      <c r="D606" s="1">
        <f>IFERROR(__xludf.DUMMYFUNCTION("""COMPUTED_VALUE"""),15600.0)</f>
        <v>15600</v>
      </c>
      <c r="E606" s="1">
        <f>IFERROR(__xludf.DUMMYFUNCTION("""COMPUTED_VALUE"""),16140.0)</f>
        <v>16140</v>
      </c>
      <c r="F606" s="1">
        <f>IFERROR(__xludf.DUMMYFUNCTION("""COMPUTED_VALUE"""),95700.0)</f>
        <v>95700</v>
      </c>
    </row>
    <row r="607">
      <c r="A607" s="2">
        <f>IFERROR(__xludf.DUMMYFUNCTION("""COMPUTED_VALUE"""),41436.645833333336)</f>
        <v>41436.64583</v>
      </c>
      <c r="B607" s="1">
        <f>IFERROR(__xludf.DUMMYFUNCTION("""COMPUTED_VALUE"""),16060.0)</f>
        <v>16060</v>
      </c>
      <c r="C607" s="1">
        <f>IFERROR(__xludf.DUMMYFUNCTION("""COMPUTED_VALUE"""),16220.0)</f>
        <v>16220</v>
      </c>
      <c r="D607" s="1">
        <f>IFERROR(__xludf.DUMMYFUNCTION("""COMPUTED_VALUE"""),15960.0)</f>
        <v>15960</v>
      </c>
      <c r="E607" s="1">
        <f>IFERROR(__xludf.DUMMYFUNCTION("""COMPUTED_VALUE"""),15960.0)</f>
        <v>15960</v>
      </c>
      <c r="F607" s="1">
        <f>IFERROR(__xludf.DUMMYFUNCTION("""COMPUTED_VALUE"""),44512.0)</f>
        <v>44512</v>
      </c>
    </row>
    <row r="608">
      <c r="A608" s="2">
        <f>IFERROR(__xludf.DUMMYFUNCTION("""COMPUTED_VALUE"""),41437.645833333336)</f>
        <v>41437.64583</v>
      </c>
      <c r="B608" s="1">
        <f>IFERROR(__xludf.DUMMYFUNCTION("""COMPUTED_VALUE"""),15780.0)</f>
        <v>15780</v>
      </c>
      <c r="C608" s="1">
        <f>IFERROR(__xludf.DUMMYFUNCTION("""COMPUTED_VALUE"""),16400.0)</f>
        <v>16400</v>
      </c>
      <c r="D608" s="1">
        <f>IFERROR(__xludf.DUMMYFUNCTION("""COMPUTED_VALUE"""),15780.0)</f>
        <v>15780</v>
      </c>
      <c r="E608" s="1">
        <f>IFERROR(__xludf.DUMMYFUNCTION("""COMPUTED_VALUE"""),16380.0)</f>
        <v>16380</v>
      </c>
      <c r="F608" s="1">
        <f>IFERROR(__xludf.DUMMYFUNCTION("""COMPUTED_VALUE"""),48448.0)</f>
        <v>48448</v>
      </c>
    </row>
    <row r="609">
      <c r="A609" s="2">
        <f>IFERROR(__xludf.DUMMYFUNCTION("""COMPUTED_VALUE"""),41438.645833333336)</f>
        <v>41438.64583</v>
      </c>
      <c r="B609" s="1">
        <f>IFERROR(__xludf.DUMMYFUNCTION("""COMPUTED_VALUE"""),16280.0)</f>
        <v>16280</v>
      </c>
      <c r="C609" s="1">
        <f>IFERROR(__xludf.DUMMYFUNCTION("""COMPUTED_VALUE"""),16620.0)</f>
        <v>16620</v>
      </c>
      <c r="D609" s="1">
        <f>IFERROR(__xludf.DUMMYFUNCTION("""COMPUTED_VALUE"""),16200.0)</f>
        <v>16200</v>
      </c>
      <c r="E609" s="1">
        <f>IFERROR(__xludf.DUMMYFUNCTION("""COMPUTED_VALUE"""),16400.0)</f>
        <v>16400</v>
      </c>
      <c r="F609" s="1">
        <f>IFERROR(__xludf.DUMMYFUNCTION("""COMPUTED_VALUE"""),69843.0)</f>
        <v>69843</v>
      </c>
    </row>
    <row r="610">
      <c r="A610" s="2">
        <f>IFERROR(__xludf.DUMMYFUNCTION("""COMPUTED_VALUE"""),41439.645833333336)</f>
        <v>41439.64583</v>
      </c>
      <c r="B610" s="1">
        <f>IFERROR(__xludf.DUMMYFUNCTION("""COMPUTED_VALUE"""),16360.0)</f>
        <v>16360</v>
      </c>
      <c r="C610" s="1">
        <f>IFERROR(__xludf.DUMMYFUNCTION("""COMPUTED_VALUE"""),16580.0)</f>
        <v>16580</v>
      </c>
      <c r="D610" s="1">
        <f>IFERROR(__xludf.DUMMYFUNCTION("""COMPUTED_VALUE"""),16360.0)</f>
        <v>16360</v>
      </c>
      <c r="E610" s="1">
        <f>IFERROR(__xludf.DUMMYFUNCTION("""COMPUTED_VALUE"""),16580.0)</f>
        <v>16580</v>
      </c>
      <c r="F610" s="1">
        <f>IFERROR(__xludf.DUMMYFUNCTION("""COMPUTED_VALUE"""),30536.0)</f>
        <v>30536</v>
      </c>
    </row>
    <row r="611">
      <c r="A611" s="2">
        <f>IFERROR(__xludf.DUMMYFUNCTION("""COMPUTED_VALUE"""),41442.645833333336)</f>
        <v>41442.64583</v>
      </c>
      <c r="B611" s="1">
        <f>IFERROR(__xludf.DUMMYFUNCTION("""COMPUTED_VALUE"""),16500.0)</f>
        <v>16500</v>
      </c>
      <c r="C611" s="1">
        <f>IFERROR(__xludf.DUMMYFUNCTION("""COMPUTED_VALUE"""),16540.0)</f>
        <v>16540</v>
      </c>
      <c r="D611" s="1">
        <f>IFERROR(__xludf.DUMMYFUNCTION("""COMPUTED_VALUE"""),15920.0)</f>
        <v>15920</v>
      </c>
      <c r="E611" s="1">
        <f>IFERROR(__xludf.DUMMYFUNCTION("""COMPUTED_VALUE"""),16220.0)</f>
        <v>16220</v>
      </c>
      <c r="F611" s="1">
        <f>IFERROR(__xludf.DUMMYFUNCTION("""COMPUTED_VALUE"""),46625.0)</f>
        <v>46625</v>
      </c>
    </row>
    <row r="612">
      <c r="A612" s="2">
        <f>IFERROR(__xludf.DUMMYFUNCTION("""COMPUTED_VALUE"""),41443.645833333336)</f>
        <v>41443.64583</v>
      </c>
      <c r="B612" s="1">
        <f>IFERROR(__xludf.DUMMYFUNCTION("""COMPUTED_VALUE"""),16200.0)</f>
        <v>16200</v>
      </c>
      <c r="C612" s="1">
        <f>IFERROR(__xludf.DUMMYFUNCTION("""COMPUTED_VALUE"""),16420.0)</f>
        <v>16420</v>
      </c>
      <c r="D612" s="1">
        <f>IFERROR(__xludf.DUMMYFUNCTION("""COMPUTED_VALUE"""),16200.0)</f>
        <v>16200</v>
      </c>
      <c r="E612" s="1">
        <f>IFERROR(__xludf.DUMMYFUNCTION("""COMPUTED_VALUE"""),16280.0)</f>
        <v>16280</v>
      </c>
      <c r="F612" s="1">
        <f>IFERROR(__xludf.DUMMYFUNCTION("""COMPUTED_VALUE"""),35010.0)</f>
        <v>35010</v>
      </c>
    </row>
    <row r="613">
      <c r="A613" s="2">
        <f>IFERROR(__xludf.DUMMYFUNCTION("""COMPUTED_VALUE"""),41444.645833333336)</f>
        <v>41444.64583</v>
      </c>
      <c r="B613" s="1">
        <f>IFERROR(__xludf.DUMMYFUNCTION("""COMPUTED_VALUE"""),16300.0)</f>
        <v>16300</v>
      </c>
      <c r="C613" s="1">
        <f>IFERROR(__xludf.DUMMYFUNCTION("""COMPUTED_VALUE"""),16420.0)</f>
        <v>16420</v>
      </c>
      <c r="D613" s="1">
        <f>IFERROR(__xludf.DUMMYFUNCTION("""COMPUTED_VALUE"""),16140.0)</f>
        <v>16140</v>
      </c>
      <c r="E613" s="1">
        <f>IFERROR(__xludf.DUMMYFUNCTION("""COMPUTED_VALUE"""),16360.0)</f>
        <v>16360</v>
      </c>
      <c r="F613" s="1">
        <f>IFERROR(__xludf.DUMMYFUNCTION("""COMPUTED_VALUE"""),39518.0)</f>
        <v>39518</v>
      </c>
    </row>
    <row r="614">
      <c r="A614" s="2">
        <f>IFERROR(__xludf.DUMMYFUNCTION("""COMPUTED_VALUE"""),41445.645833333336)</f>
        <v>41445.64583</v>
      </c>
      <c r="B614" s="1">
        <f>IFERROR(__xludf.DUMMYFUNCTION("""COMPUTED_VALUE"""),16200.0)</f>
        <v>16200</v>
      </c>
      <c r="C614" s="1">
        <f>IFERROR(__xludf.DUMMYFUNCTION("""COMPUTED_VALUE"""),16380.0)</f>
        <v>16380</v>
      </c>
      <c r="D614" s="1">
        <f>IFERROR(__xludf.DUMMYFUNCTION("""COMPUTED_VALUE"""),16140.0)</f>
        <v>16140</v>
      </c>
      <c r="E614" s="1">
        <f>IFERROR(__xludf.DUMMYFUNCTION("""COMPUTED_VALUE"""),16280.0)</f>
        <v>16280</v>
      </c>
      <c r="F614" s="1">
        <f>IFERROR(__xludf.DUMMYFUNCTION("""COMPUTED_VALUE"""),68941.0)</f>
        <v>68941</v>
      </c>
    </row>
    <row r="615">
      <c r="A615" s="2">
        <f>IFERROR(__xludf.DUMMYFUNCTION("""COMPUTED_VALUE"""),41446.645833333336)</f>
        <v>41446.64583</v>
      </c>
      <c r="B615" s="1">
        <f>IFERROR(__xludf.DUMMYFUNCTION("""COMPUTED_VALUE"""),16280.0)</f>
        <v>16280</v>
      </c>
      <c r="C615" s="1">
        <f>IFERROR(__xludf.DUMMYFUNCTION("""COMPUTED_VALUE"""),16340.0)</f>
        <v>16340</v>
      </c>
      <c r="D615" s="1">
        <f>IFERROR(__xludf.DUMMYFUNCTION("""COMPUTED_VALUE"""),16080.0)</f>
        <v>16080</v>
      </c>
      <c r="E615" s="1">
        <f>IFERROR(__xludf.DUMMYFUNCTION("""COMPUTED_VALUE"""),16300.0)</f>
        <v>16300</v>
      </c>
      <c r="F615" s="1">
        <f>IFERROR(__xludf.DUMMYFUNCTION("""COMPUTED_VALUE"""),65569.0)</f>
        <v>65569</v>
      </c>
    </row>
    <row r="616">
      <c r="A616" s="2">
        <f>IFERROR(__xludf.DUMMYFUNCTION("""COMPUTED_VALUE"""),41449.645833333336)</f>
        <v>41449.64583</v>
      </c>
      <c r="B616" s="1">
        <f>IFERROR(__xludf.DUMMYFUNCTION("""COMPUTED_VALUE"""),16460.0)</f>
        <v>16460</v>
      </c>
      <c r="C616" s="1">
        <f>IFERROR(__xludf.DUMMYFUNCTION("""COMPUTED_VALUE"""),16480.0)</f>
        <v>16480</v>
      </c>
      <c r="D616" s="1">
        <f>IFERROR(__xludf.DUMMYFUNCTION("""COMPUTED_VALUE"""),16000.0)</f>
        <v>16000</v>
      </c>
      <c r="E616" s="1">
        <f>IFERROR(__xludf.DUMMYFUNCTION("""COMPUTED_VALUE"""),16360.0)</f>
        <v>16360</v>
      </c>
      <c r="F616" s="1">
        <f>IFERROR(__xludf.DUMMYFUNCTION("""COMPUTED_VALUE"""),39366.0)</f>
        <v>39366</v>
      </c>
    </row>
    <row r="617">
      <c r="A617" s="2">
        <f>IFERROR(__xludf.DUMMYFUNCTION("""COMPUTED_VALUE"""),41450.645833333336)</f>
        <v>41450.64583</v>
      </c>
      <c r="B617" s="1">
        <f>IFERROR(__xludf.DUMMYFUNCTION("""COMPUTED_VALUE"""),16240.0)</f>
        <v>16240</v>
      </c>
      <c r="C617" s="1">
        <f>IFERROR(__xludf.DUMMYFUNCTION("""COMPUTED_VALUE"""),16360.0)</f>
        <v>16360</v>
      </c>
      <c r="D617" s="1">
        <f>IFERROR(__xludf.DUMMYFUNCTION("""COMPUTED_VALUE"""),15900.0)</f>
        <v>15900</v>
      </c>
      <c r="E617" s="1">
        <f>IFERROR(__xludf.DUMMYFUNCTION("""COMPUTED_VALUE"""),16240.0)</f>
        <v>16240</v>
      </c>
      <c r="F617" s="1">
        <f>IFERROR(__xludf.DUMMYFUNCTION("""COMPUTED_VALUE"""),80714.0)</f>
        <v>80714</v>
      </c>
    </row>
    <row r="618">
      <c r="A618" s="2">
        <f>IFERROR(__xludf.DUMMYFUNCTION("""COMPUTED_VALUE"""),41451.645833333336)</f>
        <v>41451.64583</v>
      </c>
      <c r="B618" s="1">
        <f>IFERROR(__xludf.DUMMYFUNCTION("""COMPUTED_VALUE"""),16100.0)</f>
        <v>16100</v>
      </c>
      <c r="C618" s="1">
        <f>IFERROR(__xludf.DUMMYFUNCTION("""COMPUTED_VALUE"""),16320.0)</f>
        <v>16320</v>
      </c>
      <c r="D618" s="1">
        <f>IFERROR(__xludf.DUMMYFUNCTION("""COMPUTED_VALUE"""),15540.0)</f>
        <v>15540</v>
      </c>
      <c r="E618" s="1">
        <f>IFERROR(__xludf.DUMMYFUNCTION("""COMPUTED_VALUE"""),15660.0)</f>
        <v>15660</v>
      </c>
      <c r="F618" s="1">
        <f>IFERROR(__xludf.DUMMYFUNCTION("""COMPUTED_VALUE"""),114170.0)</f>
        <v>114170</v>
      </c>
    </row>
    <row r="619">
      <c r="A619" s="2">
        <f>IFERROR(__xludf.DUMMYFUNCTION("""COMPUTED_VALUE"""),41452.645833333336)</f>
        <v>41452.64583</v>
      </c>
      <c r="B619" s="1">
        <f>IFERROR(__xludf.DUMMYFUNCTION("""COMPUTED_VALUE"""),15800.0)</f>
        <v>15800</v>
      </c>
      <c r="C619" s="1">
        <f>IFERROR(__xludf.DUMMYFUNCTION("""COMPUTED_VALUE"""),15960.0)</f>
        <v>15960</v>
      </c>
      <c r="D619" s="1">
        <f>IFERROR(__xludf.DUMMYFUNCTION("""COMPUTED_VALUE"""),15680.0)</f>
        <v>15680</v>
      </c>
      <c r="E619" s="1">
        <f>IFERROR(__xludf.DUMMYFUNCTION("""COMPUTED_VALUE"""),15860.0)</f>
        <v>15860</v>
      </c>
      <c r="F619" s="1">
        <f>IFERROR(__xludf.DUMMYFUNCTION("""COMPUTED_VALUE"""),45997.0)</f>
        <v>45997</v>
      </c>
    </row>
    <row r="620">
      <c r="A620" s="2">
        <f>IFERROR(__xludf.DUMMYFUNCTION("""COMPUTED_VALUE"""),41453.645833333336)</f>
        <v>41453.64583</v>
      </c>
      <c r="B620" s="1">
        <f>IFERROR(__xludf.DUMMYFUNCTION("""COMPUTED_VALUE"""),15860.0)</f>
        <v>15860</v>
      </c>
      <c r="C620" s="1">
        <f>IFERROR(__xludf.DUMMYFUNCTION("""COMPUTED_VALUE"""),15960.0)</f>
        <v>15960</v>
      </c>
      <c r="D620" s="1">
        <f>IFERROR(__xludf.DUMMYFUNCTION("""COMPUTED_VALUE"""),15660.0)</f>
        <v>15660</v>
      </c>
      <c r="E620" s="1">
        <f>IFERROR(__xludf.DUMMYFUNCTION("""COMPUTED_VALUE"""),15780.0)</f>
        <v>15780</v>
      </c>
      <c r="F620" s="1">
        <f>IFERROR(__xludf.DUMMYFUNCTION("""COMPUTED_VALUE"""),67668.0)</f>
        <v>67668</v>
      </c>
    </row>
    <row r="621">
      <c r="A621" s="2">
        <f>IFERROR(__xludf.DUMMYFUNCTION("""COMPUTED_VALUE"""),41456.645833333336)</f>
        <v>41456.64583</v>
      </c>
      <c r="B621" s="1">
        <f>IFERROR(__xludf.DUMMYFUNCTION("""COMPUTED_VALUE"""),15820.0)</f>
        <v>15820</v>
      </c>
      <c r="C621" s="1">
        <f>IFERROR(__xludf.DUMMYFUNCTION("""COMPUTED_VALUE"""),16080.0)</f>
        <v>16080</v>
      </c>
      <c r="D621" s="1">
        <f>IFERROR(__xludf.DUMMYFUNCTION("""COMPUTED_VALUE"""),15780.0)</f>
        <v>15780</v>
      </c>
      <c r="E621" s="1">
        <f>IFERROR(__xludf.DUMMYFUNCTION("""COMPUTED_VALUE"""),16000.0)</f>
        <v>16000</v>
      </c>
      <c r="F621" s="1">
        <f>IFERROR(__xludf.DUMMYFUNCTION("""COMPUTED_VALUE"""),36491.0)</f>
        <v>36491</v>
      </c>
    </row>
    <row r="622">
      <c r="A622" s="2">
        <f>IFERROR(__xludf.DUMMYFUNCTION("""COMPUTED_VALUE"""),41457.645833333336)</f>
        <v>41457.64583</v>
      </c>
      <c r="B622" s="1">
        <f>IFERROR(__xludf.DUMMYFUNCTION("""COMPUTED_VALUE"""),15960.0)</f>
        <v>15960</v>
      </c>
      <c r="C622" s="1">
        <f>IFERROR(__xludf.DUMMYFUNCTION("""COMPUTED_VALUE"""),16600.0)</f>
        <v>16600</v>
      </c>
      <c r="D622" s="1">
        <f>IFERROR(__xludf.DUMMYFUNCTION("""COMPUTED_VALUE"""),15960.0)</f>
        <v>15960</v>
      </c>
      <c r="E622" s="1">
        <f>IFERROR(__xludf.DUMMYFUNCTION("""COMPUTED_VALUE"""),16460.0)</f>
        <v>16460</v>
      </c>
      <c r="F622" s="1">
        <f>IFERROR(__xludf.DUMMYFUNCTION("""COMPUTED_VALUE"""),68237.0)</f>
        <v>68237</v>
      </c>
    </row>
    <row r="623">
      <c r="A623" s="2">
        <f>IFERROR(__xludf.DUMMYFUNCTION("""COMPUTED_VALUE"""),41458.645833333336)</f>
        <v>41458.64583</v>
      </c>
      <c r="B623" s="1">
        <f>IFERROR(__xludf.DUMMYFUNCTION("""COMPUTED_VALUE"""),16560.0)</f>
        <v>16560</v>
      </c>
      <c r="C623" s="1">
        <f>IFERROR(__xludf.DUMMYFUNCTION("""COMPUTED_VALUE"""),16760.0)</f>
        <v>16760</v>
      </c>
      <c r="D623" s="1">
        <f>IFERROR(__xludf.DUMMYFUNCTION("""COMPUTED_VALUE"""),16280.0)</f>
        <v>16280</v>
      </c>
      <c r="E623" s="1">
        <f>IFERROR(__xludf.DUMMYFUNCTION("""COMPUTED_VALUE"""),16460.0)</f>
        <v>16460</v>
      </c>
      <c r="F623" s="1">
        <f>IFERROR(__xludf.DUMMYFUNCTION("""COMPUTED_VALUE"""),57362.0)</f>
        <v>57362</v>
      </c>
    </row>
    <row r="624">
      <c r="A624" s="2">
        <f>IFERROR(__xludf.DUMMYFUNCTION("""COMPUTED_VALUE"""),41459.645833333336)</f>
        <v>41459.64583</v>
      </c>
      <c r="B624" s="1">
        <f>IFERROR(__xludf.DUMMYFUNCTION("""COMPUTED_VALUE"""),16620.0)</f>
        <v>16620</v>
      </c>
      <c r="C624" s="1">
        <f>IFERROR(__xludf.DUMMYFUNCTION("""COMPUTED_VALUE"""),16720.0)</f>
        <v>16720</v>
      </c>
      <c r="D624" s="1">
        <f>IFERROR(__xludf.DUMMYFUNCTION("""COMPUTED_VALUE"""),16420.0)</f>
        <v>16420</v>
      </c>
      <c r="E624" s="1">
        <f>IFERROR(__xludf.DUMMYFUNCTION("""COMPUTED_VALUE"""),16680.0)</f>
        <v>16680</v>
      </c>
      <c r="F624" s="1">
        <f>IFERROR(__xludf.DUMMYFUNCTION("""COMPUTED_VALUE"""),39513.0)</f>
        <v>39513</v>
      </c>
    </row>
    <row r="625">
      <c r="A625" s="2">
        <f>IFERROR(__xludf.DUMMYFUNCTION("""COMPUTED_VALUE"""),41460.645833333336)</f>
        <v>41460.64583</v>
      </c>
      <c r="B625" s="1">
        <f>IFERROR(__xludf.DUMMYFUNCTION("""COMPUTED_VALUE"""),16680.0)</f>
        <v>16680</v>
      </c>
      <c r="C625" s="1">
        <f>IFERROR(__xludf.DUMMYFUNCTION("""COMPUTED_VALUE"""),16840.0)</f>
        <v>16840</v>
      </c>
      <c r="D625" s="1">
        <f>IFERROR(__xludf.DUMMYFUNCTION("""COMPUTED_VALUE"""),16540.0)</f>
        <v>16540</v>
      </c>
      <c r="E625" s="1">
        <f>IFERROR(__xludf.DUMMYFUNCTION("""COMPUTED_VALUE"""),16720.0)</f>
        <v>16720</v>
      </c>
      <c r="F625" s="1">
        <f>IFERROR(__xludf.DUMMYFUNCTION("""COMPUTED_VALUE"""),47123.0)</f>
        <v>47123</v>
      </c>
    </row>
    <row r="626">
      <c r="A626" s="2">
        <f>IFERROR(__xludf.DUMMYFUNCTION("""COMPUTED_VALUE"""),41463.645833333336)</f>
        <v>41463.64583</v>
      </c>
      <c r="B626" s="1">
        <f>IFERROR(__xludf.DUMMYFUNCTION("""COMPUTED_VALUE"""),16620.0)</f>
        <v>16620</v>
      </c>
      <c r="C626" s="1">
        <f>IFERROR(__xludf.DUMMYFUNCTION("""COMPUTED_VALUE"""),16900.0)</f>
        <v>16900</v>
      </c>
      <c r="D626" s="1">
        <f>IFERROR(__xludf.DUMMYFUNCTION("""COMPUTED_VALUE"""),16500.0)</f>
        <v>16500</v>
      </c>
      <c r="E626" s="1">
        <f>IFERROR(__xludf.DUMMYFUNCTION("""COMPUTED_VALUE"""),16800.0)</f>
        <v>16800</v>
      </c>
      <c r="F626" s="1">
        <f>IFERROR(__xludf.DUMMYFUNCTION("""COMPUTED_VALUE"""),38779.0)</f>
        <v>38779</v>
      </c>
    </row>
    <row r="627">
      <c r="A627" s="2">
        <f>IFERROR(__xludf.DUMMYFUNCTION("""COMPUTED_VALUE"""),41464.645833333336)</f>
        <v>41464.64583</v>
      </c>
      <c r="B627" s="1">
        <f>IFERROR(__xludf.DUMMYFUNCTION("""COMPUTED_VALUE"""),16820.0)</f>
        <v>16820</v>
      </c>
      <c r="C627" s="1">
        <f>IFERROR(__xludf.DUMMYFUNCTION("""COMPUTED_VALUE"""),16840.0)</f>
        <v>16840</v>
      </c>
      <c r="D627" s="1">
        <f>IFERROR(__xludf.DUMMYFUNCTION("""COMPUTED_VALUE"""),16540.0)</f>
        <v>16540</v>
      </c>
      <c r="E627" s="1">
        <f>IFERROR(__xludf.DUMMYFUNCTION("""COMPUTED_VALUE"""),16800.0)</f>
        <v>16800</v>
      </c>
      <c r="F627" s="1">
        <f>IFERROR(__xludf.DUMMYFUNCTION("""COMPUTED_VALUE"""),105680.0)</f>
        <v>105680</v>
      </c>
    </row>
    <row r="628">
      <c r="A628" s="2">
        <f>IFERROR(__xludf.DUMMYFUNCTION("""COMPUTED_VALUE"""),41465.645833333336)</f>
        <v>41465.64583</v>
      </c>
      <c r="B628" s="1">
        <f>IFERROR(__xludf.DUMMYFUNCTION("""COMPUTED_VALUE"""),16740.0)</f>
        <v>16740</v>
      </c>
      <c r="C628" s="1">
        <f>IFERROR(__xludf.DUMMYFUNCTION("""COMPUTED_VALUE"""),16840.0)</f>
        <v>16840</v>
      </c>
      <c r="D628" s="1">
        <f>IFERROR(__xludf.DUMMYFUNCTION("""COMPUTED_VALUE"""),16440.0)</f>
        <v>16440</v>
      </c>
      <c r="E628" s="1">
        <f>IFERROR(__xludf.DUMMYFUNCTION("""COMPUTED_VALUE"""),16820.0)</f>
        <v>16820</v>
      </c>
      <c r="F628" s="1">
        <f>IFERROR(__xludf.DUMMYFUNCTION("""COMPUTED_VALUE"""),58037.0)</f>
        <v>58037</v>
      </c>
    </row>
    <row r="629">
      <c r="A629" s="2">
        <f>IFERROR(__xludf.DUMMYFUNCTION("""COMPUTED_VALUE"""),41466.645833333336)</f>
        <v>41466.64583</v>
      </c>
      <c r="B629" s="1">
        <f>IFERROR(__xludf.DUMMYFUNCTION("""COMPUTED_VALUE"""),16680.0)</f>
        <v>16680</v>
      </c>
      <c r="C629" s="1">
        <f>IFERROR(__xludf.DUMMYFUNCTION("""COMPUTED_VALUE"""),16860.0)</f>
        <v>16860</v>
      </c>
      <c r="D629" s="1">
        <f>IFERROR(__xludf.DUMMYFUNCTION("""COMPUTED_VALUE"""),16640.0)</f>
        <v>16640</v>
      </c>
      <c r="E629" s="1">
        <f>IFERROR(__xludf.DUMMYFUNCTION("""COMPUTED_VALUE"""),16820.0)</f>
        <v>16820</v>
      </c>
      <c r="F629" s="1">
        <f>IFERROR(__xludf.DUMMYFUNCTION("""COMPUTED_VALUE"""),41612.0)</f>
        <v>41612</v>
      </c>
    </row>
    <row r="630">
      <c r="A630" s="2">
        <f>IFERROR(__xludf.DUMMYFUNCTION("""COMPUTED_VALUE"""),41467.645833333336)</f>
        <v>41467.64583</v>
      </c>
      <c r="B630" s="1">
        <f>IFERROR(__xludf.DUMMYFUNCTION("""COMPUTED_VALUE"""),16960.0)</f>
        <v>16960</v>
      </c>
      <c r="C630" s="1">
        <f>IFERROR(__xludf.DUMMYFUNCTION("""COMPUTED_VALUE"""),16960.0)</f>
        <v>16960</v>
      </c>
      <c r="D630" s="1">
        <f>IFERROR(__xludf.DUMMYFUNCTION("""COMPUTED_VALUE"""),16660.0)</f>
        <v>16660</v>
      </c>
      <c r="E630" s="1">
        <f>IFERROR(__xludf.DUMMYFUNCTION("""COMPUTED_VALUE"""),16680.0)</f>
        <v>16680</v>
      </c>
      <c r="F630" s="1">
        <f>IFERROR(__xludf.DUMMYFUNCTION("""COMPUTED_VALUE"""),58944.0)</f>
        <v>58944</v>
      </c>
    </row>
    <row r="631">
      <c r="A631" s="2">
        <f>IFERROR(__xludf.DUMMYFUNCTION("""COMPUTED_VALUE"""),41470.645833333336)</f>
        <v>41470.64583</v>
      </c>
      <c r="B631" s="1">
        <f>IFERROR(__xludf.DUMMYFUNCTION("""COMPUTED_VALUE"""),16660.0)</f>
        <v>16660</v>
      </c>
      <c r="C631" s="1">
        <f>IFERROR(__xludf.DUMMYFUNCTION("""COMPUTED_VALUE"""),16900.0)</f>
        <v>16900</v>
      </c>
      <c r="D631" s="1">
        <f>IFERROR(__xludf.DUMMYFUNCTION("""COMPUTED_VALUE"""),16660.0)</f>
        <v>16660</v>
      </c>
      <c r="E631" s="1">
        <f>IFERROR(__xludf.DUMMYFUNCTION("""COMPUTED_VALUE"""),16720.0)</f>
        <v>16720</v>
      </c>
      <c r="F631" s="1">
        <f>IFERROR(__xludf.DUMMYFUNCTION("""COMPUTED_VALUE"""),71186.0)</f>
        <v>71186</v>
      </c>
    </row>
    <row r="632">
      <c r="A632" s="2">
        <f>IFERROR(__xludf.DUMMYFUNCTION("""COMPUTED_VALUE"""),41471.645833333336)</f>
        <v>41471.64583</v>
      </c>
      <c r="B632" s="1">
        <f>IFERROR(__xludf.DUMMYFUNCTION("""COMPUTED_VALUE"""),16620.0)</f>
        <v>16620</v>
      </c>
      <c r="C632" s="1">
        <f>IFERROR(__xludf.DUMMYFUNCTION("""COMPUTED_VALUE"""),16820.0)</f>
        <v>16820</v>
      </c>
      <c r="D632" s="1">
        <f>IFERROR(__xludf.DUMMYFUNCTION("""COMPUTED_VALUE"""),16620.0)</f>
        <v>16620</v>
      </c>
      <c r="E632" s="1">
        <f>IFERROR(__xludf.DUMMYFUNCTION("""COMPUTED_VALUE"""),16740.0)</f>
        <v>16740</v>
      </c>
      <c r="F632" s="1">
        <f>IFERROR(__xludf.DUMMYFUNCTION("""COMPUTED_VALUE"""),26331.0)</f>
        <v>26331</v>
      </c>
    </row>
    <row r="633">
      <c r="A633" s="2">
        <f>IFERROR(__xludf.DUMMYFUNCTION("""COMPUTED_VALUE"""),41472.645833333336)</f>
        <v>41472.64583</v>
      </c>
      <c r="B633" s="1">
        <f>IFERROR(__xludf.DUMMYFUNCTION("""COMPUTED_VALUE"""),16800.0)</f>
        <v>16800</v>
      </c>
      <c r="C633" s="1">
        <f>IFERROR(__xludf.DUMMYFUNCTION("""COMPUTED_VALUE"""),16940.0)</f>
        <v>16940</v>
      </c>
      <c r="D633" s="1">
        <f>IFERROR(__xludf.DUMMYFUNCTION("""COMPUTED_VALUE"""),16740.0)</f>
        <v>16740</v>
      </c>
      <c r="E633" s="1">
        <f>IFERROR(__xludf.DUMMYFUNCTION("""COMPUTED_VALUE"""),16780.0)</f>
        <v>16780</v>
      </c>
      <c r="F633" s="1">
        <f>IFERROR(__xludf.DUMMYFUNCTION("""COMPUTED_VALUE"""),24083.0)</f>
        <v>24083</v>
      </c>
    </row>
    <row r="634">
      <c r="A634" s="2">
        <f>IFERROR(__xludf.DUMMYFUNCTION("""COMPUTED_VALUE"""),41473.645833333336)</f>
        <v>41473.64583</v>
      </c>
      <c r="B634" s="1">
        <f>IFERROR(__xludf.DUMMYFUNCTION("""COMPUTED_VALUE"""),16800.0)</f>
        <v>16800</v>
      </c>
      <c r="C634" s="1">
        <f>IFERROR(__xludf.DUMMYFUNCTION("""COMPUTED_VALUE"""),16840.0)</f>
        <v>16840</v>
      </c>
      <c r="D634" s="1">
        <f>IFERROR(__xludf.DUMMYFUNCTION("""COMPUTED_VALUE"""),16680.0)</f>
        <v>16680</v>
      </c>
      <c r="E634" s="1">
        <f>IFERROR(__xludf.DUMMYFUNCTION("""COMPUTED_VALUE"""),16760.0)</f>
        <v>16760</v>
      </c>
      <c r="F634" s="1">
        <f>IFERROR(__xludf.DUMMYFUNCTION("""COMPUTED_VALUE"""),46176.0)</f>
        <v>46176</v>
      </c>
    </row>
    <row r="635">
      <c r="A635" s="2">
        <f>IFERROR(__xludf.DUMMYFUNCTION("""COMPUTED_VALUE"""),41474.645833333336)</f>
        <v>41474.64583</v>
      </c>
      <c r="B635" s="1">
        <f>IFERROR(__xludf.DUMMYFUNCTION("""COMPUTED_VALUE"""),16800.0)</f>
        <v>16800</v>
      </c>
      <c r="C635" s="1">
        <f>IFERROR(__xludf.DUMMYFUNCTION("""COMPUTED_VALUE"""),17200.0)</f>
        <v>17200</v>
      </c>
      <c r="D635" s="1">
        <f>IFERROR(__xludf.DUMMYFUNCTION("""COMPUTED_VALUE"""),16600.0)</f>
        <v>16600</v>
      </c>
      <c r="E635" s="1">
        <f>IFERROR(__xludf.DUMMYFUNCTION("""COMPUTED_VALUE"""),17140.0)</f>
        <v>17140</v>
      </c>
      <c r="F635" s="1">
        <f>IFERROR(__xludf.DUMMYFUNCTION("""COMPUTED_VALUE"""),69157.0)</f>
        <v>69157</v>
      </c>
    </row>
    <row r="636">
      <c r="A636" s="2">
        <f>IFERROR(__xludf.DUMMYFUNCTION("""COMPUTED_VALUE"""),41477.645833333336)</f>
        <v>41477.64583</v>
      </c>
      <c r="B636" s="1">
        <f>IFERROR(__xludf.DUMMYFUNCTION("""COMPUTED_VALUE"""),17220.0)</f>
        <v>17220</v>
      </c>
      <c r="C636" s="1">
        <f>IFERROR(__xludf.DUMMYFUNCTION("""COMPUTED_VALUE"""),17620.0)</f>
        <v>17620</v>
      </c>
      <c r="D636" s="1">
        <f>IFERROR(__xludf.DUMMYFUNCTION("""COMPUTED_VALUE"""),17080.0)</f>
        <v>17080</v>
      </c>
      <c r="E636" s="1">
        <f>IFERROR(__xludf.DUMMYFUNCTION("""COMPUTED_VALUE"""),17520.0)</f>
        <v>17520</v>
      </c>
      <c r="F636" s="1">
        <f>IFERROR(__xludf.DUMMYFUNCTION("""COMPUTED_VALUE"""),78019.0)</f>
        <v>78019</v>
      </c>
    </row>
    <row r="637">
      <c r="A637" s="2">
        <f>IFERROR(__xludf.DUMMYFUNCTION("""COMPUTED_VALUE"""),41478.645833333336)</f>
        <v>41478.64583</v>
      </c>
      <c r="B637" s="1">
        <f>IFERROR(__xludf.DUMMYFUNCTION("""COMPUTED_VALUE"""),17400.0)</f>
        <v>17400</v>
      </c>
      <c r="C637" s="1">
        <f>IFERROR(__xludf.DUMMYFUNCTION("""COMPUTED_VALUE"""),17620.0)</f>
        <v>17620</v>
      </c>
      <c r="D637" s="1">
        <f>IFERROR(__xludf.DUMMYFUNCTION("""COMPUTED_VALUE"""),17380.0)</f>
        <v>17380</v>
      </c>
      <c r="E637" s="1">
        <f>IFERROR(__xludf.DUMMYFUNCTION("""COMPUTED_VALUE"""),17520.0)</f>
        <v>17520</v>
      </c>
      <c r="F637" s="1">
        <f>IFERROR(__xludf.DUMMYFUNCTION("""COMPUTED_VALUE"""),70299.0)</f>
        <v>70299</v>
      </c>
    </row>
    <row r="638">
      <c r="A638" s="2">
        <f>IFERROR(__xludf.DUMMYFUNCTION("""COMPUTED_VALUE"""),41479.645833333336)</f>
        <v>41479.64583</v>
      </c>
      <c r="B638" s="1">
        <f>IFERROR(__xludf.DUMMYFUNCTION("""COMPUTED_VALUE"""),17440.0)</f>
        <v>17440</v>
      </c>
      <c r="C638" s="1">
        <f>IFERROR(__xludf.DUMMYFUNCTION("""COMPUTED_VALUE"""),17540.0)</f>
        <v>17540</v>
      </c>
      <c r="D638" s="1">
        <f>IFERROR(__xludf.DUMMYFUNCTION("""COMPUTED_VALUE"""),17260.0)</f>
        <v>17260</v>
      </c>
      <c r="E638" s="1">
        <f>IFERROR(__xludf.DUMMYFUNCTION("""COMPUTED_VALUE"""),17420.0)</f>
        <v>17420</v>
      </c>
      <c r="F638" s="1">
        <f>IFERROR(__xludf.DUMMYFUNCTION("""COMPUTED_VALUE"""),65051.0)</f>
        <v>65051</v>
      </c>
    </row>
    <row r="639">
      <c r="A639" s="2">
        <f>IFERROR(__xludf.DUMMYFUNCTION("""COMPUTED_VALUE"""),41480.645833333336)</f>
        <v>41480.64583</v>
      </c>
      <c r="B639" s="1">
        <f>IFERROR(__xludf.DUMMYFUNCTION("""COMPUTED_VALUE"""),17380.0)</f>
        <v>17380</v>
      </c>
      <c r="C639" s="1">
        <f>IFERROR(__xludf.DUMMYFUNCTION("""COMPUTED_VALUE"""),17600.0)</f>
        <v>17600</v>
      </c>
      <c r="D639" s="1">
        <f>IFERROR(__xludf.DUMMYFUNCTION("""COMPUTED_VALUE"""),17300.0)</f>
        <v>17300</v>
      </c>
      <c r="E639" s="1">
        <f>IFERROR(__xludf.DUMMYFUNCTION("""COMPUTED_VALUE"""),17360.0)</f>
        <v>17360</v>
      </c>
      <c r="F639" s="1">
        <f>IFERROR(__xludf.DUMMYFUNCTION("""COMPUTED_VALUE"""),33240.0)</f>
        <v>33240</v>
      </c>
    </row>
    <row r="640">
      <c r="A640" s="2">
        <f>IFERROR(__xludf.DUMMYFUNCTION("""COMPUTED_VALUE"""),41481.645833333336)</f>
        <v>41481.64583</v>
      </c>
      <c r="B640" s="1">
        <f>IFERROR(__xludf.DUMMYFUNCTION("""COMPUTED_VALUE"""),17560.0)</f>
        <v>17560</v>
      </c>
      <c r="C640" s="1">
        <f>IFERROR(__xludf.DUMMYFUNCTION("""COMPUTED_VALUE"""),17740.0)</f>
        <v>17740</v>
      </c>
      <c r="D640" s="1">
        <f>IFERROR(__xludf.DUMMYFUNCTION("""COMPUTED_VALUE"""),17440.0)</f>
        <v>17440</v>
      </c>
      <c r="E640" s="1">
        <f>IFERROR(__xludf.DUMMYFUNCTION("""COMPUTED_VALUE"""),17660.0)</f>
        <v>17660</v>
      </c>
      <c r="F640" s="1">
        <f>IFERROR(__xludf.DUMMYFUNCTION("""COMPUTED_VALUE"""),42536.0)</f>
        <v>42536</v>
      </c>
    </row>
    <row r="641">
      <c r="A641" s="2">
        <f>IFERROR(__xludf.DUMMYFUNCTION("""COMPUTED_VALUE"""),41484.645833333336)</f>
        <v>41484.64583</v>
      </c>
      <c r="B641" s="1">
        <f>IFERROR(__xludf.DUMMYFUNCTION("""COMPUTED_VALUE"""),17660.0)</f>
        <v>17660</v>
      </c>
      <c r="C641" s="1">
        <f>IFERROR(__xludf.DUMMYFUNCTION("""COMPUTED_VALUE"""),17700.0)</f>
        <v>17700</v>
      </c>
      <c r="D641" s="1">
        <f>IFERROR(__xludf.DUMMYFUNCTION("""COMPUTED_VALUE"""),17020.0)</f>
        <v>17020</v>
      </c>
      <c r="E641" s="1">
        <f>IFERROR(__xludf.DUMMYFUNCTION("""COMPUTED_VALUE"""),17500.0)</f>
        <v>17500</v>
      </c>
      <c r="F641" s="1">
        <f>IFERROR(__xludf.DUMMYFUNCTION("""COMPUTED_VALUE"""),70435.0)</f>
        <v>70435</v>
      </c>
    </row>
    <row r="642">
      <c r="A642" s="2">
        <f>IFERROR(__xludf.DUMMYFUNCTION("""COMPUTED_VALUE"""),41485.645833333336)</f>
        <v>41485.64583</v>
      </c>
      <c r="B642" s="1">
        <f>IFERROR(__xludf.DUMMYFUNCTION("""COMPUTED_VALUE"""),17480.0)</f>
        <v>17480</v>
      </c>
      <c r="C642" s="1">
        <f>IFERROR(__xludf.DUMMYFUNCTION("""COMPUTED_VALUE"""),17560.0)</f>
        <v>17560</v>
      </c>
      <c r="D642" s="1">
        <f>IFERROR(__xludf.DUMMYFUNCTION("""COMPUTED_VALUE"""),17300.0)</f>
        <v>17300</v>
      </c>
      <c r="E642" s="1">
        <f>IFERROR(__xludf.DUMMYFUNCTION("""COMPUTED_VALUE"""),17540.0)</f>
        <v>17540</v>
      </c>
      <c r="F642" s="1">
        <f>IFERROR(__xludf.DUMMYFUNCTION("""COMPUTED_VALUE"""),36419.0)</f>
        <v>36419</v>
      </c>
    </row>
    <row r="643">
      <c r="A643" s="2">
        <f>IFERROR(__xludf.DUMMYFUNCTION("""COMPUTED_VALUE"""),41486.645833333336)</f>
        <v>41486.64583</v>
      </c>
      <c r="B643" s="1">
        <f>IFERROR(__xludf.DUMMYFUNCTION("""COMPUTED_VALUE"""),17500.0)</f>
        <v>17500</v>
      </c>
      <c r="C643" s="1">
        <f>IFERROR(__xludf.DUMMYFUNCTION("""COMPUTED_VALUE"""),17540.0)</f>
        <v>17540</v>
      </c>
      <c r="D643" s="1">
        <f>IFERROR(__xludf.DUMMYFUNCTION("""COMPUTED_VALUE"""),17360.0)</f>
        <v>17360</v>
      </c>
      <c r="E643" s="1">
        <f>IFERROR(__xludf.DUMMYFUNCTION("""COMPUTED_VALUE"""),17540.0)</f>
        <v>17540</v>
      </c>
      <c r="F643" s="1">
        <f>IFERROR(__xludf.DUMMYFUNCTION("""COMPUTED_VALUE"""),27573.0)</f>
        <v>27573</v>
      </c>
    </row>
    <row r="644">
      <c r="A644" s="2">
        <f>IFERROR(__xludf.DUMMYFUNCTION("""COMPUTED_VALUE"""),41487.645833333336)</f>
        <v>41487.64583</v>
      </c>
      <c r="B644" s="1">
        <f>IFERROR(__xludf.DUMMYFUNCTION("""COMPUTED_VALUE"""),17580.0)</f>
        <v>17580</v>
      </c>
      <c r="C644" s="1">
        <f>IFERROR(__xludf.DUMMYFUNCTION("""COMPUTED_VALUE"""),17600.0)</f>
        <v>17600</v>
      </c>
      <c r="D644" s="1">
        <f>IFERROR(__xludf.DUMMYFUNCTION("""COMPUTED_VALUE"""),17400.0)</f>
        <v>17400</v>
      </c>
      <c r="E644" s="1">
        <f>IFERROR(__xludf.DUMMYFUNCTION("""COMPUTED_VALUE"""),17540.0)</f>
        <v>17540</v>
      </c>
      <c r="F644" s="1">
        <f>IFERROR(__xludf.DUMMYFUNCTION("""COMPUTED_VALUE"""),17317.0)</f>
        <v>17317</v>
      </c>
    </row>
    <row r="645">
      <c r="A645" s="2">
        <f>IFERROR(__xludf.DUMMYFUNCTION("""COMPUTED_VALUE"""),41488.645833333336)</f>
        <v>41488.64583</v>
      </c>
      <c r="B645" s="1">
        <f>IFERROR(__xludf.DUMMYFUNCTION("""COMPUTED_VALUE"""),17600.0)</f>
        <v>17600</v>
      </c>
      <c r="C645" s="1">
        <f>IFERROR(__xludf.DUMMYFUNCTION("""COMPUTED_VALUE"""),17660.0)</f>
        <v>17660</v>
      </c>
      <c r="D645" s="1">
        <f>IFERROR(__xludf.DUMMYFUNCTION("""COMPUTED_VALUE"""),17340.0)</f>
        <v>17340</v>
      </c>
      <c r="E645" s="1">
        <f>IFERROR(__xludf.DUMMYFUNCTION("""COMPUTED_VALUE"""),17560.0)</f>
        <v>17560</v>
      </c>
      <c r="F645" s="1">
        <f>IFERROR(__xludf.DUMMYFUNCTION("""COMPUTED_VALUE"""),53370.0)</f>
        <v>53370</v>
      </c>
    </row>
    <row r="646">
      <c r="A646" s="2">
        <f>IFERROR(__xludf.DUMMYFUNCTION("""COMPUTED_VALUE"""),41491.645833333336)</f>
        <v>41491.64583</v>
      </c>
      <c r="B646" s="1">
        <f>IFERROR(__xludf.DUMMYFUNCTION("""COMPUTED_VALUE"""),17500.0)</f>
        <v>17500</v>
      </c>
      <c r="C646" s="1">
        <f>IFERROR(__xludf.DUMMYFUNCTION("""COMPUTED_VALUE"""),17680.0)</f>
        <v>17680</v>
      </c>
      <c r="D646" s="1">
        <f>IFERROR(__xludf.DUMMYFUNCTION("""COMPUTED_VALUE"""),17400.0)</f>
        <v>17400</v>
      </c>
      <c r="E646" s="1">
        <f>IFERROR(__xludf.DUMMYFUNCTION("""COMPUTED_VALUE"""),17640.0)</f>
        <v>17640</v>
      </c>
      <c r="F646" s="1">
        <f>IFERROR(__xludf.DUMMYFUNCTION("""COMPUTED_VALUE"""),31723.0)</f>
        <v>31723</v>
      </c>
    </row>
    <row r="647">
      <c r="A647" s="2">
        <f>IFERROR(__xludf.DUMMYFUNCTION("""COMPUTED_VALUE"""),41492.645833333336)</f>
        <v>41492.64583</v>
      </c>
      <c r="B647" s="1">
        <f>IFERROR(__xludf.DUMMYFUNCTION("""COMPUTED_VALUE"""),17660.0)</f>
        <v>17660</v>
      </c>
      <c r="C647" s="1">
        <f>IFERROR(__xludf.DUMMYFUNCTION("""COMPUTED_VALUE"""),17980.0)</f>
        <v>17980</v>
      </c>
      <c r="D647" s="1">
        <f>IFERROR(__xludf.DUMMYFUNCTION("""COMPUTED_VALUE"""),17640.0)</f>
        <v>17640</v>
      </c>
      <c r="E647" s="1">
        <f>IFERROR(__xludf.DUMMYFUNCTION("""COMPUTED_VALUE"""),17720.0)</f>
        <v>17720</v>
      </c>
      <c r="F647" s="1">
        <f>IFERROR(__xludf.DUMMYFUNCTION("""COMPUTED_VALUE"""),74253.0)</f>
        <v>74253</v>
      </c>
    </row>
    <row r="648">
      <c r="A648" s="2">
        <f>IFERROR(__xludf.DUMMYFUNCTION("""COMPUTED_VALUE"""),41493.645833333336)</f>
        <v>41493.64583</v>
      </c>
      <c r="B648" s="1">
        <f>IFERROR(__xludf.DUMMYFUNCTION("""COMPUTED_VALUE"""),17720.0)</f>
        <v>17720</v>
      </c>
      <c r="C648" s="1">
        <f>IFERROR(__xludf.DUMMYFUNCTION("""COMPUTED_VALUE"""),17940.0)</f>
        <v>17940</v>
      </c>
      <c r="D648" s="1">
        <f>IFERROR(__xludf.DUMMYFUNCTION("""COMPUTED_VALUE"""),17680.0)</f>
        <v>17680</v>
      </c>
      <c r="E648" s="1">
        <f>IFERROR(__xludf.DUMMYFUNCTION("""COMPUTED_VALUE"""),17880.0)</f>
        <v>17880</v>
      </c>
      <c r="F648" s="1">
        <f>IFERROR(__xludf.DUMMYFUNCTION("""COMPUTED_VALUE"""),49058.0)</f>
        <v>49058</v>
      </c>
    </row>
    <row r="649">
      <c r="A649" s="2">
        <f>IFERROR(__xludf.DUMMYFUNCTION("""COMPUTED_VALUE"""),41494.645833333336)</f>
        <v>41494.64583</v>
      </c>
      <c r="B649" s="1">
        <f>IFERROR(__xludf.DUMMYFUNCTION("""COMPUTED_VALUE"""),17840.0)</f>
        <v>17840</v>
      </c>
      <c r="C649" s="1">
        <f>IFERROR(__xludf.DUMMYFUNCTION("""COMPUTED_VALUE"""),18000.0)</f>
        <v>18000</v>
      </c>
      <c r="D649" s="1">
        <f>IFERROR(__xludf.DUMMYFUNCTION("""COMPUTED_VALUE"""),17760.0)</f>
        <v>17760</v>
      </c>
      <c r="E649" s="1">
        <f>IFERROR(__xludf.DUMMYFUNCTION("""COMPUTED_VALUE"""),17900.0)</f>
        <v>17900</v>
      </c>
      <c r="F649" s="1">
        <f>IFERROR(__xludf.DUMMYFUNCTION("""COMPUTED_VALUE"""),51107.0)</f>
        <v>51107</v>
      </c>
    </row>
    <row r="650">
      <c r="A650" s="2">
        <f>IFERROR(__xludf.DUMMYFUNCTION("""COMPUTED_VALUE"""),41495.645833333336)</f>
        <v>41495.64583</v>
      </c>
      <c r="B650" s="1">
        <f>IFERROR(__xludf.DUMMYFUNCTION("""COMPUTED_VALUE"""),17760.0)</f>
        <v>17760</v>
      </c>
      <c r="C650" s="1">
        <f>IFERROR(__xludf.DUMMYFUNCTION("""COMPUTED_VALUE"""),17860.0)</f>
        <v>17860</v>
      </c>
      <c r="D650" s="1">
        <f>IFERROR(__xludf.DUMMYFUNCTION("""COMPUTED_VALUE"""),17400.0)</f>
        <v>17400</v>
      </c>
      <c r="E650" s="1">
        <f>IFERROR(__xludf.DUMMYFUNCTION("""COMPUTED_VALUE"""),17840.0)</f>
        <v>17840</v>
      </c>
      <c r="F650" s="1">
        <f>IFERROR(__xludf.DUMMYFUNCTION("""COMPUTED_VALUE"""),57964.0)</f>
        <v>57964</v>
      </c>
    </row>
    <row r="651">
      <c r="A651" s="2">
        <f>IFERROR(__xludf.DUMMYFUNCTION("""COMPUTED_VALUE"""),41498.645833333336)</f>
        <v>41498.64583</v>
      </c>
      <c r="B651" s="1">
        <f>IFERROR(__xludf.DUMMYFUNCTION("""COMPUTED_VALUE"""),17460.0)</f>
        <v>17460</v>
      </c>
      <c r="C651" s="1">
        <f>IFERROR(__xludf.DUMMYFUNCTION("""COMPUTED_VALUE"""),17640.0)</f>
        <v>17640</v>
      </c>
      <c r="D651" s="1">
        <f>IFERROR(__xludf.DUMMYFUNCTION("""COMPUTED_VALUE"""),17180.0)</f>
        <v>17180</v>
      </c>
      <c r="E651" s="1">
        <f>IFERROR(__xludf.DUMMYFUNCTION("""COMPUTED_VALUE"""),17200.0)</f>
        <v>17200</v>
      </c>
      <c r="F651" s="1">
        <f>IFERROR(__xludf.DUMMYFUNCTION("""COMPUTED_VALUE"""),74873.0)</f>
        <v>74873</v>
      </c>
    </row>
    <row r="652">
      <c r="A652" s="2">
        <f>IFERROR(__xludf.DUMMYFUNCTION("""COMPUTED_VALUE"""),41499.645833333336)</f>
        <v>41499.64583</v>
      </c>
      <c r="B652" s="1">
        <f>IFERROR(__xludf.DUMMYFUNCTION("""COMPUTED_VALUE"""),17100.0)</f>
        <v>17100</v>
      </c>
      <c r="C652" s="1">
        <f>IFERROR(__xludf.DUMMYFUNCTION("""COMPUTED_VALUE"""),17440.0)</f>
        <v>17440</v>
      </c>
      <c r="D652" s="1">
        <f>IFERROR(__xludf.DUMMYFUNCTION("""COMPUTED_VALUE"""),17000.0)</f>
        <v>17000</v>
      </c>
      <c r="E652" s="1">
        <f>IFERROR(__xludf.DUMMYFUNCTION("""COMPUTED_VALUE"""),17360.0)</f>
        <v>17360</v>
      </c>
      <c r="F652" s="1">
        <f>IFERROR(__xludf.DUMMYFUNCTION("""COMPUTED_VALUE"""),38791.0)</f>
        <v>38791</v>
      </c>
    </row>
    <row r="653">
      <c r="A653" s="2">
        <f>IFERROR(__xludf.DUMMYFUNCTION("""COMPUTED_VALUE"""),41500.645833333336)</f>
        <v>41500.64583</v>
      </c>
      <c r="B653" s="1">
        <f>IFERROR(__xludf.DUMMYFUNCTION("""COMPUTED_VALUE"""),17200.0)</f>
        <v>17200</v>
      </c>
      <c r="C653" s="1">
        <f>IFERROR(__xludf.DUMMYFUNCTION("""COMPUTED_VALUE"""),17360.0)</f>
        <v>17360</v>
      </c>
      <c r="D653" s="1">
        <f>IFERROR(__xludf.DUMMYFUNCTION("""COMPUTED_VALUE"""),17120.0)</f>
        <v>17120</v>
      </c>
      <c r="E653" s="1">
        <f>IFERROR(__xludf.DUMMYFUNCTION("""COMPUTED_VALUE"""),17220.0)</f>
        <v>17220</v>
      </c>
      <c r="F653" s="1">
        <f>IFERROR(__xludf.DUMMYFUNCTION("""COMPUTED_VALUE"""),28785.0)</f>
        <v>28785</v>
      </c>
    </row>
    <row r="654">
      <c r="A654" s="2">
        <f>IFERROR(__xludf.DUMMYFUNCTION("""COMPUTED_VALUE"""),41502.645833333336)</f>
        <v>41502.64583</v>
      </c>
      <c r="B654" s="1">
        <f>IFERROR(__xludf.DUMMYFUNCTION("""COMPUTED_VALUE"""),16980.0)</f>
        <v>16980</v>
      </c>
      <c r="C654" s="1">
        <f>IFERROR(__xludf.DUMMYFUNCTION("""COMPUTED_VALUE"""),17580.0)</f>
        <v>17580</v>
      </c>
      <c r="D654" s="1">
        <f>IFERROR(__xludf.DUMMYFUNCTION("""COMPUTED_VALUE"""),16980.0)</f>
        <v>16980</v>
      </c>
      <c r="E654" s="1">
        <f>IFERROR(__xludf.DUMMYFUNCTION("""COMPUTED_VALUE"""),17460.0)</f>
        <v>17460</v>
      </c>
      <c r="F654" s="1">
        <f>IFERROR(__xludf.DUMMYFUNCTION("""COMPUTED_VALUE"""),47539.0)</f>
        <v>47539</v>
      </c>
    </row>
    <row r="655">
      <c r="A655" s="2">
        <f>IFERROR(__xludf.DUMMYFUNCTION("""COMPUTED_VALUE"""),41505.645833333336)</f>
        <v>41505.64583</v>
      </c>
      <c r="B655" s="1">
        <f>IFERROR(__xludf.DUMMYFUNCTION("""COMPUTED_VALUE"""),17600.0)</f>
        <v>17600</v>
      </c>
      <c r="C655" s="1">
        <f>IFERROR(__xludf.DUMMYFUNCTION("""COMPUTED_VALUE"""),17620.0)</f>
        <v>17620</v>
      </c>
      <c r="D655" s="1">
        <f>IFERROR(__xludf.DUMMYFUNCTION("""COMPUTED_VALUE"""),17420.0)</f>
        <v>17420</v>
      </c>
      <c r="E655" s="1">
        <f>IFERROR(__xludf.DUMMYFUNCTION("""COMPUTED_VALUE"""),17600.0)</f>
        <v>17600</v>
      </c>
      <c r="F655" s="1">
        <f>IFERROR(__xludf.DUMMYFUNCTION("""COMPUTED_VALUE"""),33423.0)</f>
        <v>33423</v>
      </c>
    </row>
    <row r="656">
      <c r="A656" s="2">
        <f>IFERROR(__xludf.DUMMYFUNCTION("""COMPUTED_VALUE"""),41506.645833333336)</f>
        <v>41506.64583</v>
      </c>
      <c r="B656" s="1">
        <f>IFERROR(__xludf.DUMMYFUNCTION("""COMPUTED_VALUE"""),17440.0)</f>
        <v>17440</v>
      </c>
      <c r="C656" s="1">
        <f>IFERROR(__xludf.DUMMYFUNCTION("""COMPUTED_VALUE"""),17640.0)</f>
        <v>17640</v>
      </c>
      <c r="D656" s="1">
        <f>IFERROR(__xludf.DUMMYFUNCTION("""COMPUTED_VALUE"""),17440.0)</f>
        <v>17440</v>
      </c>
      <c r="E656" s="1">
        <f>IFERROR(__xludf.DUMMYFUNCTION("""COMPUTED_VALUE"""),17600.0)</f>
        <v>17600</v>
      </c>
      <c r="F656" s="1">
        <f>IFERROR(__xludf.DUMMYFUNCTION("""COMPUTED_VALUE"""),53858.0)</f>
        <v>53858</v>
      </c>
    </row>
    <row r="657">
      <c r="A657" s="2">
        <f>IFERROR(__xludf.DUMMYFUNCTION("""COMPUTED_VALUE"""),41507.645833333336)</f>
        <v>41507.64583</v>
      </c>
      <c r="B657" s="1">
        <f>IFERROR(__xludf.DUMMYFUNCTION("""COMPUTED_VALUE"""),17480.0)</f>
        <v>17480</v>
      </c>
      <c r="C657" s="1">
        <f>IFERROR(__xludf.DUMMYFUNCTION("""COMPUTED_VALUE"""),17620.0)</f>
        <v>17620</v>
      </c>
      <c r="D657" s="1">
        <f>IFERROR(__xludf.DUMMYFUNCTION("""COMPUTED_VALUE"""),17440.0)</f>
        <v>17440</v>
      </c>
      <c r="E657" s="1">
        <f>IFERROR(__xludf.DUMMYFUNCTION("""COMPUTED_VALUE"""),17600.0)</f>
        <v>17600</v>
      </c>
      <c r="F657" s="1">
        <f>IFERROR(__xludf.DUMMYFUNCTION("""COMPUTED_VALUE"""),41482.0)</f>
        <v>41482</v>
      </c>
    </row>
    <row r="658">
      <c r="A658" s="2">
        <f>IFERROR(__xludf.DUMMYFUNCTION("""COMPUTED_VALUE"""),41508.645833333336)</f>
        <v>41508.64583</v>
      </c>
      <c r="B658" s="1">
        <f>IFERROR(__xludf.DUMMYFUNCTION("""COMPUTED_VALUE"""),17580.0)</f>
        <v>17580</v>
      </c>
      <c r="C658" s="1">
        <f>IFERROR(__xludf.DUMMYFUNCTION("""COMPUTED_VALUE"""),17700.0)</f>
        <v>17700</v>
      </c>
      <c r="D658" s="1">
        <f>IFERROR(__xludf.DUMMYFUNCTION("""COMPUTED_VALUE"""),17360.0)</f>
        <v>17360</v>
      </c>
      <c r="E658" s="1">
        <f>IFERROR(__xludf.DUMMYFUNCTION("""COMPUTED_VALUE"""),17500.0)</f>
        <v>17500</v>
      </c>
      <c r="F658" s="1">
        <f>IFERROR(__xludf.DUMMYFUNCTION("""COMPUTED_VALUE"""),71646.0)</f>
        <v>71646</v>
      </c>
    </row>
    <row r="659">
      <c r="A659" s="2">
        <f>IFERROR(__xludf.DUMMYFUNCTION("""COMPUTED_VALUE"""),41509.645833333336)</f>
        <v>41509.64583</v>
      </c>
      <c r="B659" s="1">
        <f>IFERROR(__xludf.DUMMYFUNCTION("""COMPUTED_VALUE"""),17520.0)</f>
        <v>17520</v>
      </c>
      <c r="C659" s="1">
        <f>IFERROR(__xludf.DUMMYFUNCTION("""COMPUTED_VALUE"""),17740.0)</f>
        <v>17740</v>
      </c>
      <c r="D659" s="1">
        <f>IFERROR(__xludf.DUMMYFUNCTION("""COMPUTED_VALUE"""),17460.0)</f>
        <v>17460</v>
      </c>
      <c r="E659" s="1">
        <f>IFERROR(__xludf.DUMMYFUNCTION("""COMPUTED_VALUE"""),17720.0)</f>
        <v>17720</v>
      </c>
      <c r="F659" s="1">
        <f>IFERROR(__xludf.DUMMYFUNCTION("""COMPUTED_VALUE"""),59828.0)</f>
        <v>59828</v>
      </c>
    </row>
    <row r="660">
      <c r="A660" s="2">
        <f>IFERROR(__xludf.DUMMYFUNCTION("""COMPUTED_VALUE"""),41512.645833333336)</f>
        <v>41512.64583</v>
      </c>
      <c r="B660" s="1">
        <f>IFERROR(__xludf.DUMMYFUNCTION("""COMPUTED_VALUE"""),17720.0)</f>
        <v>17720</v>
      </c>
      <c r="C660" s="1">
        <f>IFERROR(__xludf.DUMMYFUNCTION("""COMPUTED_VALUE"""),17860.0)</f>
        <v>17860</v>
      </c>
      <c r="D660" s="1">
        <f>IFERROR(__xludf.DUMMYFUNCTION("""COMPUTED_VALUE"""),17440.0)</f>
        <v>17440</v>
      </c>
      <c r="E660" s="1">
        <f>IFERROR(__xludf.DUMMYFUNCTION("""COMPUTED_VALUE"""),17540.0)</f>
        <v>17540</v>
      </c>
      <c r="F660" s="1">
        <f>IFERROR(__xludf.DUMMYFUNCTION("""COMPUTED_VALUE"""),39371.0)</f>
        <v>39371</v>
      </c>
    </row>
    <row r="661">
      <c r="A661" s="2">
        <f>IFERROR(__xludf.DUMMYFUNCTION("""COMPUTED_VALUE"""),41513.645833333336)</f>
        <v>41513.64583</v>
      </c>
      <c r="B661" s="1">
        <f>IFERROR(__xludf.DUMMYFUNCTION("""COMPUTED_VALUE"""),17440.0)</f>
        <v>17440</v>
      </c>
      <c r="C661" s="1">
        <f>IFERROR(__xludf.DUMMYFUNCTION("""COMPUTED_VALUE"""),17660.0)</f>
        <v>17660</v>
      </c>
      <c r="D661" s="1">
        <f>IFERROR(__xludf.DUMMYFUNCTION("""COMPUTED_VALUE"""),17340.0)</f>
        <v>17340</v>
      </c>
      <c r="E661" s="1">
        <f>IFERROR(__xludf.DUMMYFUNCTION("""COMPUTED_VALUE"""),17460.0)</f>
        <v>17460</v>
      </c>
      <c r="F661" s="1">
        <f>IFERROR(__xludf.DUMMYFUNCTION("""COMPUTED_VALUE"""),36333.0)</f>
        <v>36333</v>
      </c>
    </row>
    <row r="662">
      <c r="A662" s="2">
        <f>IFERROR(__xludf.DUMMYFUNCTION("""COMPUTED_VALUE"""),41514.645833333336)</f>
        <v>41514.64583</v>
      </c>
      <c r="B662" s="1">
        <f>IFERROR(__xludf.DUMMYFUNCTION("""COMPUTED_VALUE"""),17400.0)</f>
        <v>17400</v>
      </c>
      <c r="C662" s="1">
        <f>IFERROR(__xludf.DUMMYFUNCTION("""COMPUTED_VALUE"""),17440.0)</f>
        <v>17440</v>
      </c>
      <c r="D662" s="1">
        <f>IFERROR(__xludf.DUMMYFUNCTION("""COMPUTED_VALUE"""),17100.0)</f>
        <v>17100</v>
      </c>
      <c r="E662" s="1">
        <f>IFERROR(__xludf.DUMMYFUNCTION("""COMPUTED_VALUE"""),17200.0)</f>
        <v>17200</v>
      </c>
      <c r="F662" s="1">
        <f>IFERROR(__xludf.DUMMYFUNCTION("""COMPUTED_VALUE"""),109307.0)</f>
        <v>109307</v>
      </c>
    </row>
    <row r="663">
      <c r="A663" s="2">
        <f>IFERROR(__xludf.DUMMYFUNCTION("""COMPUTED_VALUE"""),41515.645833333336)</f>
        <v>41515.64583</v>
      </c>
      <c r="B663" s="1">
        <f>IFERROR(__xludf.DUMMYFUNCTION("""COMPUTED_VALUE"""),17280.0)</f>
        <v>17280</v>
      </c>
      <c r="C663" s="1">
        <f>IFERROR(__xludf.DUMMYFUNCTION("""COMPUTED_VALUE"""),17740.0)</f>
        <v>17740</v>
      </c>
      <c r="D663" s="1">
        <f>IFERROR(__xludf.DUMMYFUNCTION("""COMPUTED_VALUE"""),17280.0)</f>
        <v>17280</v>
      </c>
      <c r="E663" s="1">
        <f>IFERROR(__xludf.DUMMYFUNCTION("""COMPUTED_VALUE"""),17580.0)</f>
        <v>17580</v>
      </c>
      <c r="F663" s="1">
        <f>IFERROR(__xludf.DUMMYFUNCTION("""COMPUTED_VALUE"""),73387.0)</f>
        <v>73387</v>
      </c>
    </row>
    <row r="664">
      <c r="A664" s="2">
        <f>IFERROR(__xludf.DUMMYFUNCTION("""COMPUTED_VALUE"""),41516.645833333336)</f>
        <v>41516.64583</v>
      </c>
      <c r="B664" s="1">
        <f>IFERROR(__xludf.DUMMYFUNCTION("""COMPUTED_VALUE"""),17600.0)</f>
        <v>17600</v>
      </c>
      <c r="C664" s="1">
        <f>IFERROR(__xludf.DUMMYFUNCTION("""COMPUTED_VALUE"""),17600.0)</f>
        <v>17600</v>
      </c>
      <c r="D664" s="1">
        <f>IFERROR(__xludf.DUMMYFUNCTION("""COMPUTED_VALUE"""),16860.0)</f>
        <v>16860</v>
      </c>
      <c r="E664" s="1">
        <f>IFERROR(__xludf.DUMMYFUNCTION("""COMPUTED_VALUE"""),17000.0)</f>
        <v>17000</v>
      </c>
      <c r="F664" s="1">
        <f>IFERROR(__xludf.DUMMYFUNCTION("""COMPUTED_VALUE"""),144996.0)</f>
        <v>144996</v>
      </c>
    </row>
    <row r="665">
      <c r="A665" s="2">
        <f>IFERROR(__xludf.DUMMYFUNCTION("""COMPUTED_VALUE"""),41519.645833333336)</f>
        <v>41519.64583</v>
      </c>
      <c r="B665" s="1">
        <f>IFERROR(__xludf.DUMMYFUNCTION("""COMPUTED_VALUE"""),17000.0)</f>
        <v>17000</v>
      </c>
      <c r="C665" s="1">
        <f>IFERROR(__xludf.DUMMYFUNCTION("""COMPUTED_VALUE"""),17380.0)</f>
        <v>17380</v>
      </c>
      <c r="D665" s="1">
        <f>IFERROR(__xludf.DUMMYFUNCTION("""COMPUTED_VALUE"""),16900.0)</f>
        <v>16900</v>
      </c>
      <c r="E665" s="1">
        <f>IFERROR(__xludf.DUMMYFUNCTION("""COMPUTED_VALUE"""),17360.0)</f>
        <v>17360</v>
      </c>
      <c r="F665" s="1">
        <f>IFERROR(__xludf.DUMMYFUNCTION("""COMPUTED_VALUE"""),49702.0)</f>
        <v>49702</v>
      </c>
    </row>
    <row r="666">
      <c r="A666" s="2">
        <f>IFERROR(__xludf.DUMMYFUNCTION("""COMPUTED_VALUE"""),41520.645833333336)</f>
        <v>41520.64583</v>
      </c>
      <c r="B666" s="1">
        <f>IFERROR(__xludf.DUMMYFUNCTION("""COMPUTED_VALUE"""),17200.0)</f>
        <v>17200</v>
      </c>
      <c r="C666" s="1">
        <f>IFERROR(__xludf.DUMMYFUNCTION("""COMPUTED_VALUE"""),17440.0)</f>
        <v>17440</v>
      </c>
      <c r="D666" s="1">
        <f>IFERROR(__xludf.DUMMYFUNCTION("""COMPUTED_VALUE"""),17120.0)</f>
        <v>17120</v>
      </c>
      <c r="E666" s="1">
        <f>IFERROR(__xludf.DUMMYFUNCTION("""COMPUTED_VALUE"""),17120.0)</f>
        <v>17120</v>
      </c>
      <c r="F666" s="1">
        <f>IFERROR(__xludf.DUMMYFUNCTION("""COMPUTED_VALUE"""),43736.0)</f>
        <v>43736</v>
      </c>
    </row>
    <row r="667">
      <c r="A667" s="2">
        <f>IFERROR(__xludf.DUMMYFUNCTION("""COMPUTED_VALUE"""),41521.645833333336)</f>
        <v>41521.64583</v>
      </c>
      <c r="B667" s="1">
        <f>IFERROR(__xludf.DUMMYFUNCTION("""COMPUTED_VALUE"""),17080.0)</f>
        <v>17080</v>
      </c>
      <c r="C667" s="1">
        <f>IFERROR(__xludf.DUMMYFUNCTION("""COMPUTED_VALUE"""),17380.0)</f>
        <v>17380</v>
      </c>
      <c r="D667" s="1">
        <f>IFERROR(__xludf.DUMMYFUNCTION("""COMPUTED_VALUE"""),17080.0)</f>
        <v>17080</v>
      </c>
      <c r="E667" s="1">
        <f>IFERROR(__xludf.DUMMYFUNCTION("""COMPUTED_VALUE"""),17180.0)</f>
        <v>17180</v>
      </c>
      <c r="F667" s="1">
        <f>IFERROR(__xludf.DUMMYFUNCTION("""COMPUTED_VALUE"""),43256.0)</f>
        <v>43256</v>
      </c>
    </row>
    <row r="668">
      <c r="A668" s="2">
        <f>IFERROR(__xludf.DUMMYFUNCTION("""COMPUTED_VALUE"""),41522.645833333336)</f>
        <v>41522.64583</v>
      </c>
      <c r="B668" s="1">
        <f>IFERROR(__xludf.DUMMYFUNCTION("""COMPUTED_VALUE"""),17240.0)</f>
        <v>17240</v>
      </c>
      <c r="C668" s="1">
        <f>IFERROR(__xludf.DUMMYFUNCTION("""COMPUTED_VALUE"""),17400.0)</f>
        <v>17400</v>
      </c>
      <c r="D668" s="1">
        <f>IFERROR(__xludf.DUMMYFUNCTION("""COMPUTED_VALUE"""),17180.0)</f>
        <v>17180</v>
      </c>
      <c r="E668" s="1">
        <f>IFERROR(__xludf.DUMMYFUNCTION("""COMPUTED_VALUE"""),17260.0)</f>
        <v>17260</v>
      </c>
      <c r="F668" s="1">
        <f>IFERROR(__xludf.DUMMYFUNCTION("""COMPUTED_VALUE"""),35466.0)</f>
        <v>35466</v>
      </c>
    </row>
    <row r="669">
      <c r="A669" s="2">
        <f>IFERROR(__xludf.DUMMYFUNCTION("""COMPUTED_VALUE"""),41523.645833333336)</f>
        <v>41523.64583</v>
      </c>
      <c r="B669" s="1">
        <f>IFERROR(__xludf.DUMMYFUNCTION("""COMPUTED_VALUE"""),17300.0)</f>
        <v>17300</v>
      </c>
      <c r="C669" s="1">
        <f>IFERROR(__xludf.DUMMYFUNCTION("""COMPUTED_VALUE"""),17540.0)</f>
        <v>17540</v>
      </c>
      <c r="D669" s="1">
        <f>IFERROR(__xludf.DUMMYFUNCTION("""COMPUTED_VALUE"""),17180.0)</f>
        <v>17180</v>
      </c>
      <c r="E669" s="1">
        <f>IFERROR(__xludf.DUMMYFUNCTION("""COMPUTED_VALUE"""),17500.0)</f>
        <v>17500</v>
      </c>
      <c r="F669" s="1">
        <f>IFERROR(__xludf.DUMMYFUNCTION("""COMPUTED_VALUE"""),59093.0)</f>
        <v>59093</v>
      </c>
    </row>
    <row r="670">
      <c r="A670" s="2">
        <f>IFERROR(__xludf.DUMMYFUNCTION("""COMPUTED_VALUE"""),41526.645833333336)</f>
        <v>41526.64583</v>
      </c>
      <c r="B670" s="1">
        <f>IFERROR(__xludf.DUMMYFUNCTION("""COMPUTED_VALUE"""),17580.0)</f>
        <v>17580</v>
      </c>
      <c r="C670" s="1">
        <f>IFERROR(__xludf.DUMMYFUNCTION("""COMPUTED_VALUE"""),17580.0)</f>
        <v>17580</v>
      </c>
      <c r="D670" s="1">
        <f>IFERROR(__xludf.DUMMYFUNCTION("""COMPUTED_VALUE"""),17380.0)</f>
        <v>17380</v>
      </c>
      <c r="E670" s="1">
        <f>IFERROR(__xludf.DUMMYFUNCTION("""COMPUTED_VALUE"""),17500.0)</f>
        <v>17500</v>
      </c>
      <c r="F670" s="1">
        <f>IFERROR(__xludf.DUMMYFUNCTION("""COMPUTED_VALUE"""),44213.0)</f>
        <v>44213</v>
      </c>
    </row>
    <row r="671">
      <c r="A671" s="2">
        <f>IFERROR(__xludf.DUMMYFUNCTION("""COMPUTED_VALUE"""),41527.645833333336)</f>
        <v>41527.64583</v>
      </c>
      <c r="B671" s="1">
        <f>IFERROR(__xludf.DUMMYFUNCTION("""COMPUTED_VALUE"""),17500.0)</f>
        <v>17500</v>
      </c>
      <c r="C671" s="1">
        <f>IFERROR(__xludf.DUMMYFUNCTION("""COMPUTED_VALUE"""),17800.0)</f>
        <v>17800</v>
      </c>
      <c r="D671" s="1">
        <f>IFERROR(__xludf.DUMMYFUNCTION("""COMPUTED_VALUE"""),17420.0)</f>
        <v>17420</v>
      </c>
      <c r="E671" s="1">
        <f>IFERROR(__xludf.DUMMYFUNCTION("""COMPUTED_VALUE"""),17600.0)</f>
        <v>17600</v>
      </c>
      <c r="F671" s="1">
        <f>IFERROR(__xludf.DUMMYFUNCTION("""COMPUTED_VALUE"""),91651.0)</f>
        <v>91651</v>
      </c>
    </row>
    <row r="672">
      <c r="A672" s="2">
        <f>IFERROR(__xludf.DUMMYFUNCTION("""COMPUTED_VALUE"""),41528.645833333336)</f>
        <v>41528.64583</v>
      </c>
      <c r="B672" s="1">
        <f>IFERROR(__xludf.DUMMYFUNCTION("""COMPUTED_VALUE"""),17800.0)</f>
        <v>17800</v>
      </c>
      <c r="C672" s="1">
        <f>IFERROR(__xludf.DUMMYFUNCTION("""COMPUTED_VALUE"""),18020.0)</f>
        <v>18020</v>
      </c>
      <c r="D672" s="1">
        <f>IFERROR(__xludf.DUMMYFUNCTION("""COMPUTED_VALUE"""),17780.0)</f>
        <v>17780</v>
      </c>
      <c r="E672" s="1">
        <f>IFERROR(__xludf.DUMMYFUNCTION("""COMPUTED_VALUE"""),17960.0)</f>
        <v>17960</v>
      </c>
      <c r="F672" s="1">
        <f>IFERROR(__xludf.DUMMYFUNCTION("""COMPUTED_VALUE"""),129153.0)</f>
        <v>129153</v>
      </c>
    </row>
    <row r="673">
      <c r="A673" s="2">
        <f>IFERROR(__xludf.DUMMYFUNCTION("""COMPUTED_VALUE"""),41529.645833333336)</f>
        <v>41529.64583</v>
      </c>
      <c r="B673" s="1">
        <f>IFERROR(__xludf.DUMMYFUNCTION("""COMPUTED_VALUE"""),18020.0)</f>
        <v>18020</v>
      </c>
      <c r="C673" s="1">
        <f>IFERROR(__xludf.DUMMYFUNCTION("""COMPUTED_VALUE"""),18120.0)</f>
        <v>18120</v>
      </c>
      <c r="D673" s="1">
        <f>IFERROR(__xludf.DUMMYFUNCTION("""COMPUTED_VALUE"""),17780.0)</f>
        <v>17780</v>
      </c>
      <c r="E673" s="1">
        <f>IFERROR(__xludf.DUMMYFUNCTION("""COMPUTED_VALUE"""),18120.0)</f>
        <v>18120</v>
      </c>
      <c r="F673" s="1">
        <f>IFERROR(__xludf.DUMMYFUNCTION("""COMPUTED_VALUE"""),83757.0)</f>
        <v>83757</v>
      </c>
    </row>
    <row r="674">
      <c r="A674" s="2">
        <f>IFERROR(__xludf.DUMMYFUNCTION("""COMPUTED_VALUE"""),41530.645833333336)</f>
        <v>41530.64583</v>
      </c>
      <c r="B674" s="1">
        <f>IFERROR(__xludf.DUMMYFUNCTION("""COMPUTED_VALUE"""),18120.0)</f>
        <v>18120</v>
      </c>
      <c r="C674" s="1">
        <f>IFERROR(__xludf.DUMMYFUNCTION("""COMPUTED_VALUE"""),18460.0)</f>
        <v>18460</v>
      </c>
      <c r="D674" s="1">
        <f>IFERROR(__xludf.DUMMYFUNCTION("""COMPUTED_VALUE"""),18020.0)</f>
        <v>18020</v>
      </c>
      <c r="E674" s="1">
        <f>IFERROR(__xludf.DUMMYFUNCTION("""COMPUTED_VALUE"""),18240.0)</f>
        <v>18240</v>
      </c>
      <c r="F674" s="1">
        <f>IFERROR(__xludf.DUMMYFUNCTION("""COMPUTED_VALUE"""),46494.0)</f>
        <v>46494</v>
      </c>
    </row>
    <row r="675">
      <c r="A675" s="2">
        <f>IFERROR(__xludf.DUMMYFUNCTION("""COMPUTED_VALUE"""),41533.645833333336)</f>
        <v>41533.64583</v>
      </c>
      <c r="B675" s="1">
        <f>IFERROR(__xludf.DUMMYFUNCTION("""COMPUTED_VALUE"""),18200.0)</f>
        <v>18200</v>
      </c>
      <c r="C675" s="1">
        <f>IFERROR(__xludf.DUMMYFUNCTION("""COMPUTED_VALUE"""),18400.0)</f>
        <v>18400</v>
      </c>
      <c r="D675" s="1">
        <f>IFERROR(__xludf.DUMMYFUNCTION("""COMPUTED_VALUE"""),18020.0)</f>
        <v>18020</v>
      </c>
      <c r="E675" s="1">
        <f>IFERROR(__xludf.DUMMYFUNCTION("""COMPUTED_VALUE"""),18260.0)</f>
        <v>18260</v>
      </c>
      <c r="F675" s="1">
        <f>IFERROR(__xludf.DUMMYFUNCTION("""COMPUTED_VALUE"""),19996.0)</f>
        <v>19996</v>
      </c>
    </row>
    <row r="676">
      <c r="A676" s="2">
        <f>IFERROR(__xludf.DUMMYFUNCTION("""COMPUTED_VALUE"""),41534.645833333336)</f>
        <v>41534.64583</v>
      </c>
      <c r="B676" s="1">
        <f>IFERROR(__xludf.DUMMYFUNCTION("""COMPUTED_VALUE"""),18200.0)</f>
        <v>18200</v>
      </c>
      <c r="C676" s="1">
        <f>IFERROR(__xludf.DUMMYFUNCTION("""COMPUTED_VALUE"""),18460.0)</f>
        <v>18460</v>
      </c>
      <c r="D676" s="1">
        <f>IFERROR(__xludf.DUMMYFUNCTION("""COMPUTED_VALUE"""),17800.0)</f>
        <v>17800</v>
      </c>
      <c r="E676" s="1">
        <f>IFERROR(__xludf.DUMMYFUNCTION("""COMPUTED_VALUE"""),18460.0)</f>
        <v>18460</v>
      </c>
      <c r="F676" s="1">
        <f>IFERROR(__xludf.DUMMYFUNCTION("""COMPUTED_VALUE"""),51472.0)</f>
        <v>51472</v>
      </c>
    </row>
    <row r="677">
      <c r="A677" s="2">
        <f>IFERROR(__xludf.DUMMYFUNCTION("""COMPUTED_VALUE"""),41540.645833333336)</f>
        <v>41540.64583</v>
      </c>
      <c r="B677" s="1">
        <f>IFERROR(__xludf.DUMMYFUNCTION("""COMPUTED_VALUE"""),18460.0)</f>
        <v>18460</v>
      </c>
      <c r="C677" s="1">
        <f>IFERROR(__xludf.DUMMYFUNCTION("""COMPUTED_VALUE"""),18580.0)</f>
        <v>18580</v>
      </c>
      <c r="D677" s="1">
        <f>IFERROR(__xludf.DUMMYFUNCTION("""COMPUTED_VALUE"""),18280.0)</f>
        <v>18280</v>
      </c>
      <c r="E677" s="1">
        <f>IFERROR(__xludf.DUMMYFUNCTION("""COMPUTED_VALUE"""),18400.0)</f>
        <v>18400</v>
      </c>
      <c r="F677" s="1">
        <f>IFERROR(__xludf.DUMMYFUNCTION("""COMPUTED_VALUE"""),78873.0)</f>
        <v>78873</v>
      </c>
    </row>
    <row r="678">
      <c r="A678" s="2">
        <f>IFERROR(__xludf.DUMMYFUNCTION("""COMPUTED_VALUE"""),41541.645833333336)</f>
        <v>41541.64583</v>
      </c>
      <c r="B678" s="1">
        <f>IFERROR(__xludf.DUMMYFUNCTION("""COMPUTED_VALUE"""),18220.0)</f>
        <v>18220</v>
      </c>
      <c r="C678" s="1">
        <f>IFERROR(__xludf.DUMMYFUNCTION("""COMPUTED_VALUE"""),18780.0)</f>
        <v>18780</v>
      </c>
      <c r="D678" s="1">
        <f>IFERROR(__xludf.DUMMYFUNCTION("""COMPUTED_VALUE"""),18160.0)</f>
        <v>18160</v>
      </c>
      <c r="E678" s="1">
        <f>IFERROR(__xludf.DUMMYFUNCTION("""COMPUTED_VALUE"""),18660.0)</f>
        <v>18660</v>
      </c>
      <c r="F678" s="1">
        <f>IFERROR(__xludf.DUMMYFUNCTION("""COMPUTED_VALUE"""),82264.0)</f>
        <v>82264</v>
      </c>
    </row>
    <row r="679">
      <c r="A679" s="2">
        <f>IFERROR(__xludf.DUMMYFUNCTION("""COMPUTED_VALUE"""),41542.645833333336)</f>
        <v>41542.64583</v>
      </c>
      <c r="B679" s="1">
        <f>IFERROR(__xludf.DUMMYFUNCTION("""COMPUTED_VALUE"""),18560.0)</f>
        <v>18560</v>
      </c>
      <c r="C679" s="1">
        <f>IFERROR(__xludf.DUMMYFUNCTION("""COMPUTED_VALUE"""),18740.0)</f>
        <v>18740</v>
      </c>
      <c r="D679" s="1">
        <f>IFERROR(__xludf.DUMMYFUNCTION("""COMPUTED_VALUE"""),18480.0)</f>
        <v>18480</v>
      </c>
      <c r="E679" s="1">
        <f>IFERROR(__xludf.DUMMYFUNCTION("""COMPUTED_VALUE"""),18720.0)</f>
        <v>18720</v>
      </c>
      <c r="F679" s="1">
        <f>IFERROR(__xludf.DUMMYFUNCTION("""COMPUTED_VALUE"""),51641.0)</f>
        <v>51641</v>
      </c>
    </row>
    <row r="680">
      <c r="A680" s="2">
        <f>IFERROR(__xludf.DUMMYFUNCTION("""COMPUTED_VALUE"""),41543.645833333336)</f>
        <v>41543.64583</v>
      </c>
      <c r="B680" s="1">
        <f>IFERROR(__xludf.DUMMYFUNCTION("""COMPUTED_VALUE"""),18640.0)</f>
        <v>18640</v>
      </c>
      <c r="C680" s="1">
        <f>IFERROR(__xludf.DUMMYFUNCTION("""COMPUTED_VALUE"""),18760.0)</f>
        <v>18760</v>
      </c>
      <c r="D680" s="1">
        <f>IFERROR(__xludf.DUMMYFUNCTION("""COMPUTED_VALUE"""),18300.0)</f>
        <v>18300</v>
      </c>
      <c r="E680" s="1">
        <f>IFERROR(__xludf.DUMMYFUNCTION("""COMPUTED_VALUE"""),18720.0)</f>
        <v>18720</v>
      </c>
      <c r="F680" s="1">
        <f>IFERROR(__xludf.DUMMYFUNCTION("""COMPUTED_VALUE"""),66875.0)</f>
        <v>66875</v>
      </c>
    </row>
    <row r="681">
      <c r="A681" s="2">
        <f>IFERROR(__xludf.DUMMYFUNCTION("""COMPUTED_VALUE"""),41544.645833333336)</f>
        <v>41544.64583</v>
      </c>
      <c r="B681" s="1">
        <f>IFERROR(__xludf.DUMMYFUNCTION("""COMPUTED_VALUE"""),18640.0)</f>
        <v>18640</v>
      </c>
      <c r="C681" s="1">
        <f>IFERROR(__xludf.DUMMYFUNCTION("""COMPUTED_VALUE"""),18800.0)</f>
        <v>18800</v>
      </c>
      <c r="D681" s="1">
        <f>IFERROR(__xludf.DUMMYFUNCTION("""COMPUTED_VALUE"""),18500.0)</f>
        <v>18500</v>
      </c>
      <c r="E681" s="1">
        <f>IFERROR(__xludf.DUMMYFUNCTION("""COMPUTED_VALUE"""),18760.0)</f>
        <v>18760</v>
      </c>
      <c r="F681" s="1">
        <f>IFERROR(__xludf.DUMMYFUNCTION("""COMPUTED_VALUE"""),40276.0)</f>
        <v>40276</v>
      </c>
    </row>
    <row r="682">
      <c r="A682" s="2">
        <f>IFERROR(__xludf.DUMMYFUNCTION("""COMPUTED_VALUE"""),41547.645833333336)</f>
        <v>41547.64583</v>
      </c>
      <c r="B682" s="1">
        <f>IFERROR(__xludf.DUMMYFUNCTION("""COMPUTED_VALUE"""),18740.0)</f>
        <v>18740</v>
      </c>
      <c r="C682" s="1">
        <f>IFERROR(__xludf.DUMMYFUNCTION("""COMPUTED_VALUE"""),18760.0)</f>
        <v>18760</v>
      </c>
      <c r="D682" s="1">
        <f>IFERROR(__xludf.DUMMYFUNCTION("""COMPUTED_VALUE"""),18520.0)</f>
        <v>18520</v>
      </c>
      <c r="E682" s="1">
        <f>IFERROR(__xludf.DUMMYFUNCTION("""COMPUTED_VALUE"""),18540.0)</f>
        <v>18540</v>
      </c>
      <c r="F682" s="1">
        <f>IFERROR(__xludf.DUMMYFUNCTION("""COMPUTED_VALUE"""),9883.0)</f>
        <v>9883</v>
      </c>
    </row>
    <row r="683">
      <c r="A683" s="2">
        <f>IFERROR(__xludf.DUMMYFUNCTION("""COMPUTED_VALUE"""),41548.645833333336)</f>
        <v>41548.64583</v>
      </c>
      <c r="B683" s="1">
        <f>IFERROR(__xludf.DUMMYFUNCTION("""COMPUTED_VALUE"""),18400.0)</f>
        <v>18400</v>
      </c>
      <c r="C683" s="1">
        <f>IFERROR(__xludf.DUMMYFUNCTION("""COMPUTED_VALUE"""),18980.0)</f>
        <v>18980</v>
      </c>
      <c r="D683" s="1">
        <f>IFERROR(__xludf.DUMMYFUNCTION("""COMPUTED_VALUE"""),18400.0)</f>
        <v>18400</v>
      </c>
      <c r="E683" s="1">
        <f>IFERROR(__xludf.DUMMYFUNCTION("""COMPUTED_VALUE"""),18900.0)</f>
        <v>18900</v>
      </c>
      <c r="F683" s="1">
        <f>IFERROR(__xludf.DUMMYFUNCTION("""COMPUTED_VALUE"""),45417.0)</f>
        <v>45417</v>
      </c>
    </row>
    <row r="684">
      <c r="A684" s="2">
        <f>IFERROR(__xludf.DUMMYFUNCTION("""COMPUTED_VALUE"""),41549.645833333336)</f>
        <v>41549.64583</v>
      </c>
      <c r="B684" s="1">
        <f>IFERROR(__xludf.DUMMYFUNCTION("""COMPUTED_VALUE"""),18700.0)</f>
        <v>18700</v>
      </c>
      <c r="C684" s="1">
        <f>IFERROR(__xludf.DUMMYFUNCTION("""COMPUTED_VALUE"""),19180.0)</f>
        <v>19180</v>
      </c>
      <c r="D684" s="1">
        <f>IFERROR(__xludf.DUMMYFUNCTION("""COMPUTED_VALUE"""),18660.0)</f>
        <v>18660</v>
      </c>
      <c r="E684" s="1">
        <f>IFERROR(__xludf.DUMMYFUNCTION("""COMPUTED_VALUE"""),19100.0)</f>
        <v>19100</v>
      </c>
      <c r="F684" s="1">
        <f>IFERROR(__xludf.DUMMYFUNCTION("""COMPUTED_VALUE"""),39660.0)</f>
        <v>39660</v>
      </c>
    </row>
    <row r="685">
      <c r="A685" s="2">
        <f>IFERROR(__xludf.DUMMYFUNCTION("""COMPUTED_VALUE"""),41551.645833333336)</f>
        <v>41551.64583</v>
      </c>
      <c r="B685" s="1">
        <f>IFERROR(__xludf.DUMMYFUNCTION("""COMPUTED_VALUE"""),19100.0)</f>
        <v>19100</v>
      </c>
      <c r="C685" s="1">
        <f>IFERROR(__xludf.DUMMYFUNCTION("""COMPUTED_VALUE"""),19100.0)</f>
        <v>19100</v>
      </c>
      <c r="D685" s="1">
        <f>IFERROR(__xludf.DUMMYFUNCTION("""COMPUTED_VALUE"""),18860.0)</f>
        <v>18860</v>
      </c>
      <c r="E685" s="1">
        <f>IFERROR(__xludf.DUMMYFUNCTION("""COMPUTED_VALUE"""),18900.0)</f>
        <v>18900</v>
      </c>
      <c r="F685" s="1">
        <f>IFERROR(__xludf.DUMMYFUNCTION("""COMPUTED_VALUE"""),48902.0)</f>
        <v>48902</v>
      </c>
    </row>
    <row r="686">
      <c r="A686" s="2">
        <f>IFERROR(__xludf.DUMMYFUNCTION("""COMPUTED_VALUE"""),41554.645833333336)</f>
        <v>41554.64583</v>
      </c>
      <c r="B686" s="1">
        <f>IFERROR(__xludf.DUMMYFUNCTION("""COMPUTED_VALUE"""),18800.0)</f>
        <v>18800</v>
      </c>
      <c r="C686" s="1">
        <f>IFERROR(__xludf.DUMMYFUNCTION("""COMPUTED_VALUE"""),18980.0)</f>
        <v>18980</v>
      </c>
      <c r="D686" s="1">
        <f>IFERROR(__xludf.DUMMYFUNCTION("""COMPUTED_VALUE"""),18720.0)</f>
        <v>18720</v>
      </c>
      <c r="E686" s="1">
        <f>IFERROR(__xludf.DUMMYFUNCTION("""COMPUTED_VALUE"""),18940.0)</f>
        <v>18940</v>
      </c>
      <c r="F686" s="1">
        <f>IFERROR(__xludf.DUMMYFUNCTION("""COMPUTED_VALUE"""),36533.0)</f>
        <v>36533</v>
      </c>
    </row>
    <row r="687">
      <c r="A687" s="2">
        <f>IFERROR(__xludf.DUMMYFUNCTION("""COMPUTED_VALUE"""),41555.645833333336)</f>
        <v>41555.64583</v>
      </c>
      <c r="B687" s="1">
        <f>IFERROR(__xludf.DUMMYFUNCTION("""COMPUTED_VALUE"""),18940.0)</f>
        <v>18940</v>
      </c>
      <c r="C687" s="1">
        <f>IFERROR(__xludf.DUMMYFUNCTION("""COMPUTED_VALUE"""),19000.0)</f>
        <v>19000</v>
      </c>
      <c r="D687" s="1">
        <f>IFERROR(__xludf.DUMMYFUNCTION("""COMPUTED_VALUE"""),18540.0)</f>
        <v>18540</v>
      </c>
      <c r="E687" s="1">
        <f>IFERROR(__xludf.DUMMYFUNCTION("""COMPUTED_VALUE"""),18920.0)</f>
        <v>18920</v>
      </c>
      <c r="F687" s="1">
        <f>IFERROR(__xludf.DUMMYFUNCTION("""COMPUTED_VALUE"""),44582.0)</f>
        <v>44582</v>
      </c>
    </row>
    <row r="688">
      <c r="A688" s="2">
        <f>IFERROR(__xludf.DUMMYFUNCTION("""COMPUTED_VALUE"""),41557.645833333336)</f>
        <v>41557.64583</v>
      </c>
      <c r="B688" s="1">
        <f>IFERROR(__xludf.DUMMYFUNCTION("""COMPUTED_VALUE"""),18980.0)</f>
        <v>18980</v>
      </c>
      <c r="C688" s="1">
        <f>IFERROR(__xludf.DUMMYFUNCTION("""COMPUTED_VALUE"""),19100.0)</f>
        <v>19100</v>
      </c>
      <c r="D688" s="1">
        <f>IFERROR(__xludf.DUMMYFUNCTION("""COMPUTED_VALUE"""),18780.0)</f>
        <v>18780</v>
      </c>
      <c r="E688" s="1">
        <f>IFERROR(__xludf.DUMMYFUNCTION("""COMPUTED_VALUE"""),18800.0)</f>
        <v>18800</v>
      </c>
      <c r="F688" s="1">
        <f>IFERROR(__xludf.DUMMYFUNCTION("""COMPUTED_VALUE"""),58754.0)</f>
        <v>58754</v>
      </c>
    </row>
    <row r="689">
      <c r="A689" s="2">
        <f>IFERROR(__xludf.DUMMYFUNCTION("""COMPUTED_VALUE"""),41558.645833333336)</f>
        <v>41558.64583</v>
      </c>
      <c r="B689" s="1">
        <f>IFERROR(__xludf.DUMMYFUNCTION("""COMPUTED_VALUE"""),18860.0)</f>
        <v>18860</v>
      </c>
      <c r="C689" s="1">
        <f>IFERROR(__xludf.DUMMYFUNCTION("""COMPUTED_VALUE"""),19000.0)</f>
        <v>19000</v>
      </c>
      <c r="D689" s="1">
        <f>IFERROR(__xludf.DUMMYFUNCTION("""COMPUTED_VALUE"""),18720.0)</f>
        <v>18720</v>
      </c>
      <c r="E689" s="1">
        <f>IFERROR(__xludf.DUMMYFUNCTION("""COMPUTED_VALUE"""),18800.0)</f>
        <v>18800</v>
      </c>
      <c r="F689" s="1">
        <f>IFERROR(__xludf.DUMMYFUNCTION("""COMPUTED_VALUE"""),64796.0)</f>
        <v>64796</v>
      </c>
    </row>
    <row r="690">
      <c r="A690" s="2">
        <f>IFERROR(__xludf.DUMMYFUNCTION("""COMPUTED_VALUE"""),41561.645833333336)</f>
        <v>41561.64583</v>
      </c>
      <c r="B690" s="1">
        <f>IFERROR(__xludf.DUMMYFUNCTION("""COMPUTED_VALUE"""),18660.0)</f>
        <v>18660</v>
      </c>
      <c r="C690" s="1">
        <f>IFERROR(__xludf.DUMMYFUNCTION("""COMPUTED_VALUE"""),18760.0)</f>
        <v>18760</v>
      </c>
      <c r="D690" s="1">
        <f>IFERROR(__xludf.DUMMYFUNCTION("""COMPUTED_VALUE"""),18460.0)</f>
        <v>18460</v>
      </c>
      <c r="E690" s="1">
        <f>IFERROR(__xludf.DUMMYFUNCTION("""COMPUTED_VALUE"""),18460.0)</f>
        <v>18460</v>
      </c>
      <c r="F690" s="1">
        <f>IFERROR(__xludf.DUMMYFUNCTION("""COMPUTED_VALUE"""),32173.0)</f>
        <v>32173</v>
      </c>
    </row>
    <row r="691">
      <c r="A691" s="2">
        <f>IFERROR(__xludf.DUMMYFUNCTION("""COMPUTED_VALUE"""),41562.645833333336)</f>
        <v>41562.64583</v>
      </c>
      <c r="B691" s="1">
        <f>IFERROR(__xludf.DUMMYFUNCTION("""COMPUTED_VALUE"""),18500.0)</f>
        <v>18500</v>
      </c>
      <c r="C691" s="1">
        <f>IFERROR(__xludf.DUMMYFUNCTION("""COMPUTED_VALUE"""),18700.0)</f>
        <v>18700</v>
      </c>
      <c r="D691" s="1">
        <f>IFERROR(__xludf.DUMMYFUNCTION("""COMPUTED_VALUE"""),18360.0)</f>
        <v>18360</v>
      </c>
      <c r="E691" s="1">
        <f>IFERROR(__xludf.DUMMYFUNCTION("""COMPUTED_VALUE"""),18580.0)</f>
        <v>18580</v>
      </c>
      <c r="F691" s="1">
        <f>IFERROR(__xludf.DUMMYFUNCTION("""COMPUTED_VALUE"""),45435.0)</f>
        <v>45435</v>
      </c>
    </row>
    <row r="692">
      <c r="A692" s="2">
        <f>IFERROR(__xludf.DUMMYFUNCTION("""COMPUTED_VALUE"""),41563.645833333336)</f>
        <v>41563.64583</v>
      </c>
      <c r="B692" s="1">
        <f>IFERROR(__xludf.DUMMYFUNCTION("""COMPUTED_VALUE"""),18600.0)</f>
        <v>18600</v>
      </c>
      <c r="C692" s="1">
        <f>IFERROR(__xludf.DUMMYFUNCTION("""COMPUTED_VALUE"""),18680.0)</f>
        <v>18680</v>
      </c>
      <c r="D692" s="1">
        <f>IFERROR(__xludf.DUMMYFUNCTION("""COMPUTED_VALUE"""),17880.0)</f>
        <v>17880</v>
      </c>
      <c r="E692" s="1">
        <f>IFERROR(__xludf.DUMMYFUNCTION("""COMPUTED_VALUE"""),17940.0)</f>
        <v>17940</v>
      </c>
      <c r="F692" s="1">
        <f>IFERROR(__xludf.DUMMYFUNCTION("""COMPUTED_VALUE"""),58939.0)</f>
        <v>58939</v>
      </c>
    </row>
    <row r="693">
      <c r="A693" s="2">
        <f>IFERROR(__xludf.DUMMYFUNCTION("""COMPUTED_VALUE"""),41564.645833333336)</f>
        <v>41564.64583</v>
      </c>
      <c r="B693" s="1">
        <f>IFERROR(__xludf.DUMMYFUNCTION("""COMPUTED_VALUE"""),18120.0)</f>
        <v>18120</v>
      </c>
      <c r="C693" s="1">
        <f>IFERROR(__xludf.DUMMYFUNCTION("""COMPUTED_VALUE"""),18120.0)</f>
        <v>18120</v>
      </c>
      <c r="D693" s="1">
        <f>IFERROR(__xludf.DUMMYFUNCTION("""COMPUTED_VALUE"""),17360.0)</f>
        <v>17360</v>
      </c>
      <c r="E693" s="1">
        <f>IFERROR(__xludf.DUMMYFUNCTION("""COMPUTED_VALUE"""),17940.0)</f>
        <v>17940</v>
      </c>
      <c r="F693" s="1">
        <f>IFERROR(__xludf.DUMMYFUNCTION("""COMPUTED_VALUE"""),76060.0)</f>
        <v>76060</v>
      </c>
    </row>
    <row r="694">
      <c r="A694" s="2">
        <f>IFERROR(__xludf.DUMMYFUNCTION("""COMPUTED_VALUE"""),41565.645833333336)</f>
        <v>41565.64583</v>
      </c>
      <c r="B694" s="1">
        <f>IFERROR(__xludf.DUMMYFUNCTION("""COMPUTED_VALUE"""),17820.0)</f>
        <v>17820</v>
      </c>
      <c r="C694" s="1">
        <f>IFERROR(__xludf.DUMMYFUNCTION("""COMPUTED_VALUE"""),17880.0)</f>
        <v>17880</v>
      </c>
      <c r="D694" s="1">
        <f>IFERROR(__xludf.DUMMYFUNCTION("""COMPUTED_VALUE"""),17420.0)</f>
        <v>17420</v>
      </c>
      <c r="E694" s="1">
        <f>IFERROR(__xludf.DUMMYFUNCTION("""COMPUTED_VALUE"""),17580.0)</f>
        <v>17580</v>
      </c>
      <c r="F694" s="1">
        <f>IFERROR(__xludf.DUMMYFUNCTION("""COMPUTED_VALUE"""),47383.0)</f>
        <v>47383</v>
      </c>
    </row>
    <row r="695">
      <c r="A695" s="2">
        <f>IFERROR(__xludf.DUMMYFUNCTION("""COMPUTED_VALUE"""),41568.645833333336)</f>
        <v>41568.64583</v>
      </c>
      <c r="B695" s="1">
        <f>IFERROR(__xludf.DUMMYFUNCTION("""COMPUTED_VALUE"""),17600.0)</f>
        <v>17600</v>
      </c>
      <c r="C695" s="1">
        <f>IFERROR(__xludf.DUMMYFUNCTION("""COMPUTED_VALUE"""),17960.0)</f>
        <v>17960</v>
      </c>
      <c r="D695" s="1">
        <f>IFERROR(__xludf.DUMMYFUNCTION("""COMPUTED_VALUE"""),17600.0)</f>
        <v>17600</v>
      </c>
      <c r="E695" s="1">
        <f>IFERROR(__xludf.DUMMYFUNCTION("""COMPUTED_VALUE"""),17840.0)</f>
        <v>17840</v>
      </c>
      <c r="F695" s="1">
        <f>IFERROR(__xludf.DUMMYFUNCTION("""COMPUTED_VALUE"""),31188.0)</f>
        <v>31188</v>
      </c>
    </row>
    <row r="696">
      <c r="A696" s="2">
        <f>IFERROR(__xludf.DUMMYFUNCTION("""COMPUTED_VALUE"""),41569.645833333336)</f>
        <v>41569.64583</v>
      </c>
      <c r="B696" s="1">
        <f>IFERROR(__xludf.DUMMYFUNCTION("""COMPUTED_VALUE"""),17760.0)</f>
        <v>17760</v>
      </c>
      <c r="C696" s="1">
        <f>IFERROR(__xludf.DUMMYFUNCTION("""COMPUTED_VALUE"""),18120.0)</f>
        <v>18120</v>
      </c>
      <c r="D696" s="1">
        <f>IFERROR(__xludf.DUMMYFUNCTION("""COMPUTED_VALUE"""),17760.0)</f>
        <v>17760</v>
      </c>
      <c r="E696" s="1">
        <f>IFERROR(__xludf.DUMMYFUNCTION("""COMPUTED_VALUE"""),17960.0)</f>
        <v>17960</v>
      </c>
      <c r="F696" s="1">
        <f>IFERROR(__xludf.DUMMYFUNCTION("""COMPUTED_VALUE"""),41361.0)</f>
        <v>41361</v>
      </c>
    </row>
    <row r="697">
      <c r="A697" s="2">
        <f>IFERROR(__xludf.DUMMYFUNCTION("""COMPUTED_VALUE"""),41570.645833333336)</f>
        <v>41570.64583</v>
      </c>
      <c r="B697" s="1">
        <f>IFERROR(__xludf.DUMMYFUNCTION("""COMPUTED_VALUE"""),17960.0)</f>
        <v>17960</v>
      </c>
      <c r="C697" s="1">
        <f>IFERROR(__xludf.DUMMYFUNCTION("""COMPUTED_VALUE"""),17960.0)</f>
        <v>17960</v>
      </c>
      <c r="D697" s="1">
        <f>IFERROR(__xludf.DUMMYFUNCTION("""COMPUTED_VALUE"""),17700.0)</f>
        <v>17700</v>
      </c>
      <c r="E697" s="1">
        <f>IFERROR(__xludf.DUMMYFUNCTION("""COMPUTED_VALUE"""),17700.0)</f>
        <v>17700</v>
      </c>
      <c r="F697" s="1">
        <f>IFERROR(__xludf.DUMMYFUNCTION("""COMPUTED_VALUE"""),18679.0)</f>
        <v>18679</v>
      </c>
    </row>
    <row r="698">
      <c r="A698" s="2">
        <f>IFERROR(__xludf.DUMMYFUNCTION("""COMPUTED_VALUE"""),41571.645833333336)</f>
        <v>41571.64583</v>
      </c>
      <c r="B698" s="1">
        <f>IFERROR(__xludf.DUMMYFUNCTION("""COMPUTED_VALUE"""),17800.0)</f>
        <v>17800</v>
      </c>
      <c r="C698" s="1">
        <f>IFERROR(__xludf.DUMMYFUNCTION("""COMPUTED_VALUE"""),18040.0)</f>
        <v>18040</v>
      </c>
      <c r="D698" s="1">
        <f>IFERROR(__xludf.DUMMYFUNCTION("""COMPUTED_VALUE"""),17700.0)</f>
        <v>17700</v>
      </c>
      <c r="E698" s="1">
        <f>IFERROR(__xludf.DUMMYFUNCTION("""COMPUTED_VALUE"""),17940.0)</f>
        <v>17940</v>
      </c>
      <c r="F698" s="1">
        <f>IFERROR(__xludf.DUMMYFUNCTION("""COMPUTED_VALUE"""),27700.0)</f>
        <v>27700</v>
      </c>
    </row>
    <row r="699">
      <c r="A699" s="2">
        <f>IFERROR(__xludf.DUMMYFUNCTION("""COMPUTED_VALUE"""),41572.645833333336)</f>
        <v>41572.64583</v>
      </c>
      <c r="B699" s="1">
        <f>IFERROR(__xludf.DUMMYFUNCTION("""COMPUTED_VALUE"""),18020.0)</f>
        <v>18020</v>
      </c>
      <c r="C699" s="1">
        <f>IFERROR(__xludf.DUMMYFUNCTION("""COMPUTED_VALUE"""),18020.0)</f>
        <v>18020</v>
      </c>
      <c r="D699" s="1">
        <f>IFERROR(__xludf.DUMMYFUNCTION("""COMPUTED_VALUE"""),17700.0)</f>
        <v>17700</v>
      </c>
      <c r="E699" s="1">
        <f>IFERROR(__xludf.DUMMYFUNCTION("""COMPUTED_VALUE"""),17780.0)</f>
        <v>17780</v>
      </c>
      <c r="F699" s="1">
        <f>IFERROR(__xludf.DUMMYFUNCTION("""COMPUTED_VALUE"""),27731.0)</f>
        <v>27731</v>
      </c>
    </row>
    <row r="700">
      <c r="A700" s="2">
        <f>IFERROR(__xludf.DUMMYFUNCTION("""COMPUTED_VALUE"""),41575.645833333336)</f>
        <v>41575.64583</v>
      </c>
      <c r="B700" s="1">
        <f>IFERROR(__xludf.DUMMYFUNCTION("""COMPUTED_VALUE"""),17800.0)</f>
        <v>17800</v>
      </c>
      <c r="C700" s="1">
        <f>IFERROR(__xludf.DUMMYFUNCTION("""COMPUTED_VALUE"""),17980.0)</f>
        <v>17980</v>
      </c>
      <c r="D700" s="1">
        <f>IFERROR(__xludf.DUMMYFUNCTION("""COMPUTED_VALUE"""),17520.0)</f>
        <v>17520</v>
      </c>
      <c r="E700" s="1">
        <f>IFERROR(__xludf.DUMMYFUNCTION("""COMPUTED_VALUE"""),17960.0)</f>
        <v>17960</v>
      </c>
      <c r="F700" s="1">
        <f>IFERROR(__xludf.DUMMYFUNCTION("""COMPUTED_VALUE"""),32963.0)</f>
        <v>32963</v>
      </c>
    </row>
    <row r="701">
      <c r="A701" s="2">
        <f>IFERROR(__xludf.DUMMYFUNCTION("""COMPUTED_VALUE"""),41576.645833333336)</f>
        <v>41576.64583</v>
      </c>
      <c r="B701" s="1">
        <f>IFERROR(__xludf.DUMMYFUNCTION("""COMPUTED_VALUE"""),17960.0)</f>
        <v>17960</v>
      </c>
      <c r="C701" s="1">
        <f>IFERROR(__xludf.DUMMYFUNCTION("""COMPUTED_VALUE"""),18060.0)</f>
        <v>18060</v>
      </c>
      <c r="D701" s="1">
        <f>IFERROR(__xludf.DUMMYFUNCTION("""COMPUTED_VALUE"""),17860.0)</f>
        <v>17860</v>
      </c>
      <c r="E701" s="1">
        <f>IFERROR(__xludf.DUMMYFUNCTION("""COMPUTED_VALUE"""),18000.0)</f>
        <v>18000</v>
      </c>
      <c r="F701" s="1">
        <f>IFERROR(__xludf.DUMMYFUNCTION("""COMPUTED_VALUE"""),24027.0)</f>
        <v>24027</v>
      </c>
    </row>
    <row r="702">
      <c r="A702" s="2">
        <f>IFERROR(__xludf.DUMMYFUNCTION("""COMPUTED_VALUE"""),41577.645833333336)</f>
        <v>41577.64583</v>
      </c>
      <c r="B702" s="1">
        <f>IFERROR(__xludf.DUMMYFUNCTION("""COMPUTED_VALUE"""),18000.0)</f>
        <v>18000</v>
      </c>
      <c r="C702" s="1">
        <f>IFERROR(__xludf.DUMMYFUNCTION("""COMPUTED_VALUE"""),18100.0)</f>
        <v>18100</v>
      </c>
      <c r="D702" s="1">
        <f>IFERROR(__xludf.DUMMYFUNCTION("""COMPUTED_VALUE"""),17660.0)</f>
        <v>17660</v>
      </c>
      <c r="E702" s="1">
        <f>IFERROR(__xludf.DUMMYFUNCTION("""COMPUTED_VALUE"""),17820.0)</f>
        <v>17820</v>
      </c>
      <c r="F702" s="1">
        <f>IFERROR(__xludf.DUMMYFUNCTION("""COMPUTED_VALUE"""),38907.0)</f>
        <v>38907</v>
      </c>
    </row>
    <row r="703">
      <c r="A703" s="2">
        <f>IFERROR(__xludf.DUMMYFUNCTION("""COMPUTED_VALUE"""),41578.645833333336)</f>
        <v>41578.64583</v>
      </c>
      <c r="B703" s="1">
        <f>IFERROR(__xludf.DUMMYFUNCTION("""COMPUTED_VALUE"""),17880.0)</f>
        <v>17880</v>
      </c>
      <c r="C703" s="1">
        <f>IFERROR(__xludf.DUMMYFUNCTION("""COMPUTED_VALUE"""),17880.0)</f>
        <v>17880</v>
      </c>
      <c r="D703" s="1">
        <f>IFERROR(__xludf.DUMMYFUNCTION("""COMPUTED_VALUE"""),17500.0)</f>
        <v>17500</v>
      </c>
      <c r="E703" s="1">
        <f>IFERROR(__xludf.DUMMYFUNCTION("""COMPUTED_VALUE"""),17700.0)</f>
        <v>17700</v>
      </c>
      <c r="F703" s="1">
        <f>IFERROR(__xludf.DUMMYFUNCTION("""COMPUTED_VALUE"""),63430.0)</f>
        <v>63430</v>
      </c>
    </row>
    <row r="704">
      <c r="A704" s="2">
        <f>IFERROR(__xludf.DUMMYFUNCTION("""COMPUTED_VALUE"""),41579.645833333336)</f>
        <v>41579.64583</v>
      </c>
      <c r="B704" s="1">
        <f>IFERROR(__xludf.DUMMYFUNCTION("""COMPUTED_VALUE"""),17560.0)</f>
        <v>17560</v>
      </c>
      <c r="C704" s="1">
        <f>IFERROR(__xludf.DUMMYFUNCTION("""COMPUTED_VALUE"""),17700.0)</f>
        <v>17700</v>
      </c>
      <c r="D704" s="1">
        <f>IFERROR(__xludf.DUMMYFUNCTION("""COMPUTED_VALUE"""),17460.0)</f>
        <v>17460</v>
      </c>
      <c r="E704" s="1">
        <f>IFERROR(__xludf.DUMMYFUNCTION("""COMPUTED_VALUE"""),17580.0)</f>
        <v>17580</v>
      </c>
      <c r="F704" s="1">
        <f>IFERROR(__xludf.DUMMYFUNCTION("""COMPUTED_VALUE"""),21356.0)</f>
        <v>21356</v>
      </c>
    </row>
    <row r="705">
      <c r="A705" s="2">
        <f>IFERROR(__xludf.DUMMYFUNCTION("""COMPUTED_VALUE"""),41582.645833333336)</f>
        <v>41582.64583</v>
      </c>
      <c r="B705" s="1">
        <f>IFERROR(__xludf.DUMMYFUNCTION("""COMPUTED_VALUE"""),17600.0)</f>
        <v>17600</v>
      </c>
      <c r="C705" s="1">
        <f>IFERROR(__xludf.DUMMYFUNCTION("""COMPUTED_VALUE"""),17660.0)</f>
        <v>17660</v>
      </c>
      <c r="D705" s="1">
        <f>IFERROR(__xludf.DUMMYFUNCTION("""COMPUTED_VALUE"""),17420.0)</f>
        <v>17420</v>
      </c>
      <c r="E705" s="1">
        <f>IFERROR(__xludf.DUMMYFUNCTION("""COMPUTED_VALUE"""),17500.0)</f>
        <v>17500</v>
      </c>
      <c r="F705" s="1">
        <f>IFERROR(__xludf.DUMMYFUNCTION("""COMPUTED_VALUE"""),13667.0)</f>
        <v>13667</v>
      </c>
    </row>
    <row r="706">
      <c r="A706" s="2">
        <f>IFERROR(__xludf.DUMMYFUNCTION("""COMPUTED_VALUE"""),41583.645833333336)</f>
        <v>41583.64583</v>
      </c>
      <c r="B706" s="1">
        <f>IFERROR(__xludf.DUMMYFUNCTION("""COMPUTED_VALUE"""),17420.0)</f>
        <v>17420</v>
      </c>
      <c r="C706" s="1">
        <f>IFERROR(__xludf.DUMMYFUNCTION("""COMPUTED_VALUE"""),17480.0)</f>
        <v>17480</v>
      </c>
      <c r="D706" s="1">
        <f>IFERROR(__xludf.DUMMYFUNCTION("""COMPUTED_VALUE"""),17180.0)</f>
        <v>17180</v>
      </c>
      <c r="E706" s="1">
        <f>IFERROR(__xludf.DUMMYFUNCTION("""COMPUTED_VALUE"""),17220.0)</f>
        <v>17220</v>
      </c>
      <c r="F706" s="1">
        <f>IFERROR(__xludf.DUMMYFUNCTION("""COMPUTED_VALUE"""),14973.0)</f>
        <v>14973</v>
      </c>
    </row>
    <row r="707">
      <c r="A707" s="2">
        <f>IFERROR(__xludf.DUMMYFUNCTION("""COMPUTED_VALUE"""),41584.645833333336)</f>
        <v>41584.64583</v>
      </c>
      <c r="B707" s="1">
        <f>IFERROR(__xludf.DUMMYFUNCTION("""COMPUTED_VALUE"""),17260.0)</f>
        <v>17260</v>
      </c>
      <c r="C707" s="1">
        <f>IFERROR(__xludf.DUMMYFUNCTION("""COMPUTED_VALUE"""),17560.0)</f>
        <v>17560</v>
      </c>
      <c r="D707" s="1">
        <f>IFERROR(__xludf.DUMMYFUNCTION("""COMPUTED_VALUE"""),17260.0)</f>
        <v>17260</v>
      </c>
      <c r="E707" s="1">
        <f>IFERROR(__xludf.DUMMYFUNCTION("""COMPUTED_VALUE"""),17500.0)</f>
        <v>17500</v>
      </c>
      <c r="F707" s="1">
        <f>IFERROR(__xludf.DUMMYFUNCTION("""COMPUTED_VALUE"""),9641.0)</f>
        <v>9641</v>
      </c>
    </row>
    <row r="708">
      <c r="A708" s="2">
        <f>IFERROR(__xludf.DUMMYFUNCTION("""COMPUTED_VALUE"""),41585.645833333336)</f>
        <v>41585.64583</v>
      </c>
      <c r="B708" s="1">
        <f>IFERROR(__xludf.DUMMYFUNCTION("""COMPUTED_VALUE"""),17420.0)</f>
        <v>17420</v>
      </c>
      <c r="C708" s="1">
        <f>IFERROR(__xludf.DUMMYFUNCTION("""COMPUTED_VALUE"""),17580.0)</f>
        <v>17580</v>
      </c>
      <c r="D708" s="1">
        <f>IFERROR(__xludf.DUMMYFUNCTION("""COMPUTED_VALUE"""),17420.0)</f>
        <v>17420</v>
      </c>
      <c r="E708" s="1">
        <f>IFERROR(__xludf.DUMMYFUNCTION("""COMPUTED_VALUE"""),17460.0)</f>
        <v>17460</v>
      </c>
      <c r="F708" s="1">
        <f>IFERROR(__xludf.DUMMYFUNCTION("""COMPUTED_VALUE"""),16899.0)</f>
        <v>16899</v>
      </c>
    </row>
    <row r="709">
      <c r="A709" s="2">
        <f>IFERROR(__xludf.DUMMYFUNCTION("""COMPUTED_VALUE"""),41586.645833333336)</f>
        <v>41586.64583</v>
      </c>
      <c r="B709" s="1">
        <f>IFERROR(__xludf.DUMMYFUNCTION("""COMPUTED_VALUE"""),17140.0)</f>
        <v>17140</v>
      </c>
      <c r="C709" s="1">
        <f>IFERROR(__xludf.DUMMYFUNCTION("""COMPUTED_VALUE"""),17540.0)</f>
        <v>17540</v>
      </c>
      <c r="D709" s="1">
        <f>IFERROR(__xludf.DUMMYFUNCTION("""COMPUTED_VALUE"""),17140.0)</f>
        <v>17140</v>
      </c>
      <c r="E709" s="1">
        <f>IFERROR(__xludf.DUMMYFUNCTION("""COMPUTED_VALUE"""),17480.0)</f>
        <v>17480</v>
      </c>
      <c r="F709" s="1">
        <f>IFERROR(__xludf.DUMMYFUNCTION("""COMPUTED_VALUE"""),65135.0)</f>
        <v>65135</v>
      </c>
    </row>
    <row r="710">
      <c r="A710" s="2">
        <f>IFERROR(__xludf.DUMMYFUNCTION("""COMPUTED_VALUE"""),41589.645833333336)</f>
        <v>41589.64583</v>
      </c>
      <c r="B710" s="1">
        <f>IFERROR(__xludf.DUMMYFUNCTION("""COMPUTED_VALUE"""),17360.0)</f>
        <v>17360</v>
      </c>
      <c r="C710" s="1">
        <f>IFERROR(__xludf.DUMMYFUNCTION("""COMPUTED_VALUE"""),17640.0)</f>
        <v>17640</v>
      </c>
      <c r="D710" s="1">
        <f>IFERROR(__xludf.DUMMYFUNCTION("""COMPUTED_VALUE"""),17180.0)</f>
        <v>17180</v>
      </c>
      <c r="E710" s="1">
        <f>IFERROR(__xludf.DUMMYFUNCTION("""COMPUTED_VALUE"""),17420.0)</f>
        <v>17420</v>
      </c>
      <c r="F710" s="1">
        <f>IFERROR(__xludf.DUMMYFUNCTION("""COMPUTED_VALUE"""),46241.0)</f>
        <v>46241</v>
      </c>
    </row>
    <row r="711">
      <c r="A711" s="2">
        <f>IFERROR(__xludf.DUMMYFUNCTION("""COMPUTED_VALUE"""),41590.645833333336)</f>
        <v>41590.64583</v>
      </c>
      <c r="B711" s="1">
        <f>IFERROR(__xludf.DUMMYFUNCTION("""COMPUTED_VALUE"""),17400.0)</f>
        <v>17400</v>
      </c>
      <c r="C711" s="1">
        <f>IFERROR(__xludf.DUMMYFUNCTION("""COMPUTED_VALUE"""),17480.0)</f>
        <v>17480</v>
      </c>
      <c r="D711" s="1">
        <f>IFERROR(__xludf.DUMMYFUNCTION("""COMPUTED_VALUE"""),17020.0)</f>
        <v>17020</v>
      </c>
      <c r="E711" s="1">
        <f>IFERROR(__xludf.DUMMYFUNCTION("""COMPUTED_VALUE"""),17040.0)</f>
        <v>17040</v>
      </c>
      <c r="F711" s="1">
        <f>IFERROR(__xludf.DUMMYFUNCTION("""COMPUTED_VALUE"""),37629.0)</f>
        <v>37629</v>
      </c>
    </row>
    <row r="712">
      <c r="A712" s="2">
        <f>IFERROR(__xludf.DUMMYFUNCTION("""COMPUTED_VALUE"""),41591.645833333336)</f>
        <v>41591.64583</v>
      </c>
      <c r="B712" s="1">
        <f>IFERROR(__xludf.DUMMYFUNCTION("""COMPUTED_VALUE"""),17000.0)</f>
        <v>17000</v>
      </c>
      <c r="C712" s="1">
        <f>IFERROR(__xludf.DUMMYFUNCTION("""COMPUTED_VALUE"""),17020.0)</f>
        <v>17020</v>
      </c>
      <c r="D712" s="1">
        <f>IFERROR(__xludf.DUMMYFUNCTION("""COMPUTED_VALUE"""),16680.0)</f>
        <v>16680</v>
      </c>
      <c r="E712" s="1">
        <f>IFERROR(__xludf.DUMMYFUNCTION("""COMPUTED_VALUE"""),16700.0)</f>
        <v>16700</v>
      </c>
      <c r="F712" s="1">
        <f>IFERROR(__xludf.DUMMYFUNCTION("""COMPUTED_VALUE"""),60763.0)</f>
        <v>60763</v>
      </c>
    </row>
    <row r="713">
      <c r="A713" s="2">
        <f>IFERROR(__xludf.DUMMYFUNCTION("""COMPUTED_VALUE"""),41592.645833333336)</f>
        <v>41592.64583</v>
      </c>
      <c r="B713" s="1">
        <f>IFERROR(__xludf.DUMMYFUNCTION("""COMPUTED_VALUE"""),16740.0)</f>
        <v>16740</v>
      </c>
      <c r="C713" s="1">
        <f>IFERROR(__xludf.DUMMYFUNCTION("""COMPUTED_VALUE"""),16780.0)</f>
        <v>16780</v>
      </c>
      <c r="D713" s="1">
        <f>IFERROR(__xludf.DUMMYFUNCTION("""COMPUTED_VALUE"""),16300.0)</f>
        <v>16300</v>
      </c>
      <c r="E713" s="1">
        <f>IFERROR(__xludf.DUMMYFUNCTION("""COMPUTED_VALUE"""),16380.0)</f>
        <v>16380</v>
      </c>
      <c r="F713" s="1">
        <f>IFERROR(__xludf.DUMMYFUNCTION("""COMPUTED_VALUE"""),51497.0)</f>
        <v>51497</v>
      </c>
    </row>
    <row r="714">
      <c r="A714" s="2">
        <f>IFERROR(__xludf.DUMMYFUNCTION("""COMPUTED_VALUE"""),41593.645833333336)</f>
        <v>41593.64583</v>
      </c>
      <c r="B714" s="1">
        <f>IFERROR(__xludf.DUMMYFUNCTION("""COMPUTED_VALUE"""),16380.0)</f>
        <v>16380</v>
      </c>
      <c r="C714" s="1">
        <f>IFERROR(__xludf.DUMMYFUNCTION("""COMPUTED_VALUE"""),16540.0)</f>
        <v>16540</v>
      </c>
      <c r="D714" s="1">
        <f>IFERROR(__xludf.DUMMYFUNCTION("""COMPUTED_VALUE"""),16280.0)</f>
        <v>16280</v>
      </c>
      <c r="E714" s="1">
        <f>IFERROR(__xludf.DUMMYFUNCTION("""COMPUTED_VALUE"""),16320.0)</f>
        <v>16320</v>
      </c>
      <c r="F714" s="1">
        <f>IFERROR(__xludf.DUMMYFUNCTION("""COMPUTED_VALUE"""),46409.0)</f>
        <v>46409</v>
      </c>
    </row>
    <row r="715">
      <c r="A715" s="2">
        <f>IFERROR(__xludf.DUMMYFUNCTION("""COMPUTED_VALUE"""),41596.645833333336)</f>
        <v>41596.64583</v>
      </c>
      <c r="B715" s="1">
        <f>IFERROR(__xludf.DUMMYFUNCTION("""COMPUTED_VALUE"""),16400.0)</f>
        <v>16400</v>
      </c>
      <c r="C715" s="1">
        <f>IFERROR(__xludf.DUMMYFUNCTION("""COMPUTED_VALUE"""),16620.0)</f>
        <v>16620</v>
      </c>
      <c r="D715" s="1">
        <f>IFERROR(__xludf.DUMMYFUNCTION("""COMPUTED_VALUE"""),16380.0)</f>
        <v>16380</v>
      </c>
      <c r="E715" s="1">
        <f>IFERROR(__xludf.DUMMYFUNCTION("""COMPUTED_VALUE"""),16540.0)</f>
        <v>16540</v>
      </c>
      <c r="F715" s="1">
        <f>IFERROR(__xludf.DUMMYFUNCTION("""COMPUTED_VALUE"""),51151.0)</f>
        <v>51151</v>
      </c>
    </row>
    <row r="716">
      <c r="A716" s="2">
        <f>IFERROR(__xludf.DUMMYFUNCTION("""COMPUTED_VALUE"""),41597.645833333336)</f>
        <v>41597.64583</v>
      </c>
      <c r="B716" s="1">
        <f>IFERROR(__xludf.DUMMYFUNCTION("""COMPUTED_VALUE"""),16540.0)</f>
        <v>16540</v>
      </c>
      <c r="C716" s="1">
        <f>IFERROR(__xludf.DUMMYFUNCTION("""COMPUTED_VALUE"""),16960.0)</f>
        <v>16960</v>
      </c>
      <c r="D716" s="1">
        <f>IFERROR(__xludf.DUMMYFUNCTION("""COMPUTED_VALUE"""),16540.0)</f>
        <v>16540</v>
      </c>
      <c r="E716" s="1">
        <f>IFERROR(__xludf.DUMMYFUNCTION("""COMPUTED_VALUE"""),16960.0)</f>
        <v>16960</v>
      </c>
      <c r="F716" s="1">
        <f>IFERROR(__xludf.DUMMYFUNCTION("""COMPUTED_VALUE"""),31427.0)</f>
        <v>31427</v>
      </c>
    </row>
    <row r="717">
      <c r="A717" s="2">
        <f>IFERROR(__xludf.DUMMYFUNCTION("""COMPUTED_VALUE"""),41598.645833333336)</f>
        <v>41598.64583</v>
      </c>
      <c r="B717" s="1">
        <f>IFERROR(__xludf.DUMMYFUNCTION("""COMPUTED_VALUE"""),16800.0)</f>
        <v>16800</v>
      </c>
      <c r="C717" s="1">
        <f>IFERROR(__xludf.DUMMYFUNCTION("""COMPUTED_VALUE"""),16820.0)</f>
        <v>16820</v>
      </c>
      <c r="D717" s="1">
        <f>IFERROR(__xludf.DUMMYFUNCTION("""COMPUTED_VALUE"""),16560.0)</f>
        <v>16560</v>
      </c>
      <c r="E717" s="1">
        <f>IFERROR(__xludf.DUMMYFUNCTION("""COMPUTED_VALUE"""),16600.0)</f>
        <v>16600</v>
      </c>
      <c r="F717" s="1">
        <f>IFERROR(__xludf.DUMMYFUNCTION("""COMPUTED_VALUE"""),72883.0)</f>
        <v>72883</v>
      </c>
    </row>
    <row r="718">
      <c r="A718" s="2">
        <f>IFERROR(__xludf.DUMMYFUNCTION("""COMPUTED_VALUE"""),41599.645833333336)</f>
        <v>41599.64583</v>
      </c>
      <c r="B718" s="1">
        <f>IFERROR(__xludf.DUMMYFUNCTION("""COMPUTED_VALUE"""),16640.0)</f>
        <v>16640</v>
      </c>
      <c r="C718" s="1">
        <f>IFERROR(__xludf.DUMMYFUNCTION("""COMPUTED_VALUE"""),16820.0)</f>
        <v>16820</v>
      </c>
      <c r="D718" s="1">
        <f>IFERROR(__xludf.DUMMYFUNCTION("""COMPUTED_VALUE"""),16520.0)</f>
        <v>16520</v>
      </c>
      <c r="E718" s="1">
        <f>IFERROR(__xludf.DUMMYFUNCTION("""COMPUTED_VALUE"""),16700.0)</f>
        <v>16700</v>
      </c>
      <c r="F718" s="1">
        <f>IFERROR(__xludf.DUMMYFUNCTION("""COMPUTED_VALUE"""),20784.0)</f>
        <v>20784</v>
      </c>
    </row>
    <row r="719">
      <c r="A719" s="2">
        <f>IFERROR(__xludf.DUMMYFUNCTION("""COMPUTED_VALUE"""),41600.645833333336)</f>
        <v>41600.64583</v>
      </c>
      <c r="B719" s="1">
        <f>IFERROR(__xludf.DUMMYFUNCTION("""COMPUTED_VALUE"""),16680.0)</f>
        <v>16680</v>
      </c>
      <c r="C719" s="1">
        <f>IFERROR(__xludf.DUMMYFUNCTION("""COMPUTED_VALUE"""),16760.0)</f>
        <v>16760</v>
      </c>
      <c r="D719" s="1">
        <f>IFERROR(__xludf.DUMMYFUNCTION("""COMPUTED_VALUE"""),16500.0)</f>
        <v>16500</v>
      </c>
      <c r="E719" s="1">
        <f>IFERROR(__xludf.DUMMYFUNCTION("""COMPUTED_VALUE"""),16640.0)</f>
        <v>16640</v>
      </c>
      <c r="F719" s="1">
        <f>IFERROR(__xludf.DUMMYFUNCTION("""COMPUTED_VALUE"""),24471.0)</f>
        <v>24471</v>
      </c>
    </row>
    <row r="720">
      <c r="A720" s="2">
        <f>IFERROR(__xludf.DUMMYFUNCTION("""COMPUTED_VALUE"""),41603.645833333336)</f>
        <v>41603.64583</v>
      </c>
      <c r="B720" s="1">
        <f>IFERROR(__xludf.DUMMYFUNCTION("""COMPUTED_VALUE"""),16680.0)</f>
        <v>16680</v>
      </c>
      <c r="C720" s="1">
        <f>IFERROR(__xludf.DUMMYFUNCTION("""COMPUTED_VALUE"""),17000.0)</f>
        <v>17000</v>
      </c>
      <c r="D720" s="1">
        <f>IFERROR(__xludf.DUMMYFUNCTION("""COMPUTED_VALUE"""),16540.0)</f>
        <v>16540</v>
      </c>
      <c r="E720" s="1">
        <f>IFERROR(__xludf.DUMMYFUNCTION("""COMPUTED_VALUE"""),16580.0)</f>
        <v>16580</v>
      </c>
      <c r="F720" s="1">
        <f>IFERROR(__xludf.DUMMYFUNCTION("""COMPUTED_VALUE"""),15262.0)</f>
        <v>15262</v>
      </c>
    </row>
    <row r="721">
      <c r="A721" s="2">
        <f>IFERROR(__xludf.DUMMYFUNCTION("""COMPUTED_VALUE"""),41604.645833333336)</f>
        <v>41604.64583</v>
      </c>
      <c r="B721" s="1">
        <f>IFERROR(__xludf.DUMMYFUNCTION("""COMPUTED_VALUE"""),16620.0)</f>
        <v>16620</v>
      </c>
      <c r="C721" s="1">
        <f>IFERROR(__xludf.DUMMYFUNCTION("""COMPUTED_VALUE"""),16700.0)</f>
        <v>16700</v>
      </c>
      <c r="D721" s="1">
        <f>IFERROR(__xludf.DUMMYFUNCTION("""COMPUTED_VALUE"""),16440.0)</f>
        <v>16440</v>
      </c>
      <c r="E721" s="1">
        <f>IFERROR(__xludf.DUMMYFUNCTION("""COMPUTED_VALUE"""),16500.0)</f>
        <v>16500</v>
      </c>
      <c r="F721" s="1">
        <f>IFERROR(__xludf.DUMMYFUNCTION("""COMPUTED_VALUE"""),18817.0)</f>
        <v>18817</v>
      </c>
    </row>
    <row r="722">
      <c r="A722" s="2">
        <f>IFERROR(__xludf.DUMMYFUNCTION("""COMPUTED_VALUE"""),41605.645833333336)</f>
        <v>41605.64583</v>
      </c>
      <c r="B722" s="1">
        <f>IFERROR(__xludf.DUMMYFUNCTION("""COMPUTED_VALUE"""),16500.0)</f>
        <v>16500</v>
      </c>
      <c r="C722" s="1">
        <f>IFERROR(__xludf.DUMMYFUNCTION("""COMPUTED_VALUE"""),16600.0)</f>
        <v>16600</v>
      </c>
      <c r="D722" s="1">
        <f>IFERROR(__xludf.DUMMYFUNCTION("""COMPUTED_VALUE"""),16320.0)</f>
        <v>16320</v>
      </c>
      <c r="E722" s="1">
        <f>IFERROR(__xludf.DUMMYFUNCTION("""COMPUTED_VALUE"""),16520.0)</f>
        <v>16520</v>
      </c>
      <c r="F722" s="1">
        <f>IFERROR(__xludf.DUMMYFUNCTION("""COMPUTED_VALUE"""),31439.0)</f>
        <v>31439</v>
      </c>
    </row>
    <row r="723">
      <c r="A723" s="2">
        <f>IFERROR(__xludf.DUMMYFUNCTION("""COMPUTED_VALUE"""),41606.645833333336)</f>
        <v>41606.64583</v>
      </c>
      <c r="B723" s="1">
        <f>IFERROR(__xludf.DUMMYFUNCTION("""COMPUTED_VALUE"""),16620.0)</f>
        <v>16620</v>
      </c>
      <c r="C723" s="1">
        <f>IFERROR(__xludf.DUMMYFUNCTION("""COMPUTED_VALUE"""),17040.0)</f>
        <v>17040</v>
      </c>
      <c r="D723" s="1">
        <f>IFERROR(__xludf.DUMMYFUNCTION("""COMPUTED_VALUE"""),16620.0)</f>
        <v>16620</v>
      </c>
      <c r="E723" s="1">
        <f>IFERROR(__xludf.DUMMYFUNCTION("""COMPUTED_VALUE"""),16960.0)</f>
        <v>16960</v>
      </c>
      <c r="F723" s="1">
        <f>IFERROR(__xludf.DUMMYFUNCTION("""COMPUTED_VALUE"""),76094.0)</f>
        <v>76094</v>
      </c>
    </row>
    <row r="724">
      <c r="A724" s="2">
        <f>IFERROR(__xludf.DUMMYFUNCTION("""COMPUTED_VALUE"""),41607.645833333336)</f>
        <v>41607.64583</v>
      </c>
      <c r="B724" s="1">
        <f>IFERROR(__xludf.DUMMYFUNCTION("""COMPUTED_VALUE"""),17000.0)</f>
        <v>17000</v>
      </c>
      <c r="C724" s="1">
        <f>IFERROR(__xludf.DUMMYFUNCTION("""COMPUTED_VALUE"""),17080.0)</f>
        <v>17080</v>
      </c>
      <c r="D724" s="1">
        <f>IFERROR(__xludf.DUMMYFUNCTION("""COMPUTED_VALUE"""),16880.0)</f>
        <v>16880</v>
      </c>
      <c r="E724" s="1">
        <f>IFERROR(__xludf.DUMMYFUNCTION("""COMPUTED_VALUE"""),16980.0)</f>
        <v>16980</v>
      </c>
      <c r="F724" s="1">
        <f>IFERROR(__xludf.DUMMYFUNCTION("""COMPUTED_VALUE"""),27289.0)</f>
        <v>27289</v>
      </c>
    </row>
    <row r="725">
      <c r="A725" s="2">
        <f>IFERROR(__xludf.DUMMYFUNCTION("""COMPUTED_VALUE"""),41610.645833333336)</f>
        <v>41610.64583</v>
      </c>
      <c r="B725" s="1">
        <f>IFERROR(__xludf.DUMMYFUNCTION("""COMPUTED_VALUE"""),17060.0)</f>
        <v>17060</v>
      </c>
      <c r="C725" s="1">
        <f>IFERROR(__xludf.DUMMYFUNCTION("""COMPUTED_VALUE"""),17140.0)</f>
        <v>17140</v>
      </c>
      <c r="D725" s="1">
        <f>IFERROR(__xludf.DUMMYFUNCTION("""COMPUTED_VALUE"""),16780.0)</f>
        <v>16780</v>
      </c>
      <c r="E725" s="1">
        <f>IFERROR(__xludf.DUMMYFUNCTION("""COMPUTED_VALUE"""),16980.0)</f>
        <v>16980</v>
      </c>
      <c r="F725" s="1">
        <f>IFERROR(__xludf.DUMMYFUNCTION("""COMPUTED_VALUE"""),22658.0)</f>
        <v>22658</v>
      </c>
    </row>
    <row r="726">
      <c r="A726" s="2">
        <f>IFERROR(__xludf.DUMMYFUNCTION("""COMPUTED_VALUE"""),41611.645833333336)</f>
        <v>41611.64583</v>
      </c>
      <c r="B726" s="1">
        <f>IFERROR(__xludf.DUMMYFUNCTION("""COMPUTED_VALUE"""),16840.0)</f>
        <v>16840</v>
      </c>
      <c r="C726" s="1">
        <f>IFERROR(__xludf.DUMMYFUNCTION("""COMPUTED_VALUE"""),17260.0)</f>
        <v>17260</v>
      </c>
      <c r="D726" s="1">
        <f>IFERROR(__xludf.DUMMYFUNCTION("""COMPUTED_VALUE"""),16840.0)</f>
        <v>16840</v>
      </c>
      <c r="E726" s="1">
        <f>IFERROR(__xludf.DUMMYFUNCTION("""COMPUTED_VALUE"""),16960.0)</f>
        <v>16960</v>
      </c>
      <c r="F726" s="1">
        <f>IFERROR(__xludf.DUMMYFUNCTION("""COMPUTED_VALUE"""),26687.0)</f>
        <v>26687</v>
      </c>
    </row>
    <row r="727">
      <c r="A727" s="2">
        <f>IFERROR(__xludf.DUMMYFUNCTION("""COMPUTED_VALUE"""),41612.645833333336)</f>
        <v>41612.64583</v>
      </c>
      <c r="B727" s="1">
        <f>IFERROR(__xludf.DUMMYFUNCTION("""COMPUTED_VALUE"""),17000.0)</f>
        <v>17000</v>
      </c>
      <c r="C727" s="1">
        <f>IFERROR(__xludf.DUMMYFUNCTION("""COMPUTED_VALUE"""),17100.0)</f>
        <v>17100</v>
      </c>
      <c r="D727" s="1">
        <f>IFERROR(__xludf.DUMMYFUNCTION("""COMPUTED_VALUE"""),16800.0)</f>
        <v>16800</v>
      </c>
      <c r="E727" s="1">
        <f>IFERROR(__xludf.DUMMYFUNCTION("""COMPUTED_VALUE"""),16940.0)</f>
        <v>16940</v>
      </c>
      <c r="F727" s="1">
        <f>IFERROR(__xludf.DUMMYFUNCTION("""COMPUTED_VALUE"""),26553.0)</f>
        <v>26553</v>
      </c>
    </row>
    <row r="728">
      <c r="A728" s="2">
        <f>IFERROR(__xludf.DUMMYFUNCTION("""COMPUTED_VALUE"""),41613.645833333336)</f>
        <v>41613.64583</v>
      </c>
      <c r="B728" s="1">
        <f>IFERROR(__xludf.DUMMYFUNCTION("""COMPUTED_VALUE"""),16940.0)</f>
        <v>16940</v>
      </c>
      <c r="C728" s="1">
        <f>IFERROR(__xludf.DUMMYFUNCTION("""COMPUTED_VALUE"""),17040.0)</f>
        <v>17040</v>
      </c>
      <c r="D728" s="1">
        <f>IFERROR(__xludf.DUMMYFUNCTION("""COMPUTED_VALUE"""),16820.0)</f>
        <v>16820</v>
      </c>
      <c r="E728" s="1">
        <f>IFERROR(__xludf.DUMMYFUNCTION("""COMPUTED_VALUE"""),16880.0)</f>
        <v>16880</v>
      </c>
      <c r="F728" s="1">
        <f>IFERROR(__xludf.DUMMYFUNCTION("""COMPUTED_VALUE"""),13064.0)</f>
        <v>13064</v>
      </c>
    </row>
    <row r="729">
      <c r="A729" s="2">
        <f>IFERROR(__xludf.DUMMYFUNCTION("""COMPUTED_VALUE"""),41614.645833333336)</f>
        <v>41614.64583</v>
      </c>
      <c r="B729" s="1">
        <f>IFERROR(__xludf.DUMMYFUNCTION("""COMPUTED_VALUE"""),16880.0)</f>
        <v>16880</v>
      </c>
      <c r="C729" s="1">
        <f>IFERROR(__xludf.DUMMYFUNCTION("""COMPUTED_VALUE"""),17360.0)</f>
        <v>17360</v>
      </c>
      <c r="D729" s="1">
        <f>IFERROR(__xludf.DUMMYFUNCTION("""COMPUTED_VALUE"""),16880.0)</f>
        <v>16880</v>
      </c>
      <c r="E729" s="1">
        <f>IFERROR(__xludf.DUMMYFUNCTION("""COMPUTED_VALUE"""),17360.0)</f>
        <v>17360</v>
      </c>
      <c r="F729" s="1">
        <f>IFERROR(__xludf.DUMMYFUNCTION("""COMPUTED_VALUE"""),57082.0)</f>
        <v>57082</v>
      </c>
    </row>
    <row r="730">
      <c r="A730" s="2">
        <f>IFERROR(__xludf.DUMMYFUNCTION("""COMPUTED_VALUE"""),41617.645833333336)</f>
        <v>41617.64583</v>
      </c>
      <c r="B730" s="1">
        <f>IFERROR(__xludf.DUMMYFUNCTION("""COMPUTED_VALUE"""),17300.0)</f>
        <v>17300</v>
      </c>
      <c r="C730" s="1">
        <f>IFERROR(__xludf.DUMMYFUNCTION("""COMPUTED_VALUE"""),17340.0)</f>
        <v>17340</v>
      </c>
      <c r="D730" s="1">
        <f>IFERROR(__xludf.DUMMYFUNCTION("""COMPUTED_VALUE"""),16980.0)</f>
        <v>16980</v>
      </c>
      <c r="E730" s="1">
        <f>IFERROR(__xludf.DUMMYFUNCTION("""COMPUTED_VALUE"""),17140.0)</f>
        <v>17140</v>
      </c>
      <c r="F730" s="1">
        <f>IFERROR(__xludf.DUMMYFUNCTION("""COMPUTED_VALUE"""),26760.0)</f>
        <v>26760</v>
      </c>
    </row>
    <row r="731">
      <c r="A731" s="2">
        <f>IFERROR(__xludf.DUMMYFUNCTION("""COMPUTED_VALUE"""),41618.645833333336)</f>
        <v>41618.64583</v>
      </c>
      <c r="B731" s="1">
        <f>IFERROR(__xludf.DUMMYFUNCTION("""COMPUTED_VALUE"""),17040.0)</f>
        <v>17040</v>
      </c>
      <c r="C731" s="1">
        <f>IFERROR(__xludf.DUMMYFUNCTION("""COMPUTED_VALUE"""),17400.0)</f>
        <v>17400</v>
      </c>
      <c r="D731" s="1">
        <f>IFERROR(__xludf.DUMMYFUNCTION("""COMPUTED_VALUE"""),16900.0)</f>
        <v>16900</v>
      </c>
      <c r="E731" s="1">
        <f>IFERROR(__xludf.DUMMYFUNCTION("""COMPUTED_VALUE"""),17400.0)</f>
        <v>17400</v>
      </c>
      <c r="F731" s="1">
        <f>IFERROR(__xludf.DUMMYFUNCTION("""COMPUTED_VALUE"""),35960.0)</f>
        <v>35960</v>
      </c>
    </row>
    <row r="732">
      <c r="A732" s="2">
        <f>IFERROR(__xludf.DUMMYFUNCTION("""COMPUTED_VALUE"""),41619.645833333336)</f>
        <v>41619.64583</v>
      </c>
      <c r="B732" s="1">
        <f>IFERROR(__xludf.DUMMYFUNCTION("""COMPUTED_VALUE"""),17480.0)</f>
        <v>17480</v>
      </c>
      <c r="C732" s="1">
        <f>IFERROR(__xludf.DUMMYFUNCTION("""COMPUTED_VALUE"""),17760.0)</f>
        <v>17760</v>
      </c>
      <c r="D732" s="1">
        <f>IFERROR(__xludf.DUMMYFUNCTION("""COMPUTED_VALUE"""),17360.0)</f>
        <v>17360</v>
      </c>
      <c r="E732" s="1">
        <f>IFERROR(__xludf.DUMMYFUNCTION("""COMPUTED_VALUE"""),17400.0)</f>
        <v>17400</v>
      </c>
      <c r="F732" s="1">
        <f>IFERROR(__xludf.DUMMYFUNCTION("""COMPUTED_VALUE"""),41043.0)</f>
        <v>41043</v>
      </c>
    </row>
    <row r="733">
      <c r="A733" s="2">
        <f>IFERROR(__xludf.DUMMYFUNCTION("""COMPUTED_VALUE"""),41620.645833333336)</f>
        <v>41620.64583</v>
      </c>
      <c r="B733" s="1">
        <f>IFERROR(__xludf.DUMMYFUNCTION("""COMPUTED_VALUE"""),17520.0)</f>
        <v>17520</v>
      </c>
      <c r="C733" s="1">
        <f>IFERROR(__xludf.DUMMYFUNCTION("""COMPUTED_VALUE"""),17540.0)</f>
        <v>17540</v>
      </c>
      <c r="D733" s="1">
        <f>IFERROR(__xludf.DUMMYFUNCTION("""COMPUTED_VALUE"""),17040.0)</f>
        <v>17040</v>
      </c>
      <c r="E733" s="1">
        <f>IFERROR(__xludf.DUMMYFUNCTION("""COMPUTED_VALUE"""),17140.0)</f>
        <v>17140</v>
      </c>
      <c r="F733" s="1">
        <f>IFERROR(__xludf.DUMMYFUNCTION("""COMPUTED_VALUE"""),24216.0)</f>
        <v>24216</v>
      </c>
    </row>
    <row r="734">
      <c r="A734" s="2">
        <f>IFERROR(__xludf.DUMMYFUNCTION("""COMPUTED_VALUE"""),41621.645833333336)</f>
        <v>41621.64583</v>
      </c>
      <c r="B734" s="1">
        <f>IFERROR(__xludf.DUMMYFUNCTION("""COMPUTED_VALUE"""),17080.0)</f>
        <v>17080</v>
      </c>
      <c r="C734" s="1">
        <f>IFERROR(__xludf.DUMMYFUNCTION("""COMPUTED_VALUE"""),17300.0)</f>
        <v>17300</v>
      </c>
      <c r="D734" s="1">
        <f>IFERROR(__xludf.DUMMYFUNCTION("""COMPUTED_VALUE"""),17000.0)</f>
        <v>17000</v>
      </c>
      <c r="E734" s="1">
        <f>IFERROR(__xludf.DUMMYFUNCTION("""COMPUTED_VALUE"""),17120.0)</f>
        <v>17120</v>
      </c>
      <c r="F734" s="1">
        <f>IFERROR(__xludf.DUMMYFUNCTION("""COMPUTED_VALUE"""),14228.0)</f>
        <v>14228</v>
      </c>
    </row>
    <row r="735">
      <c r="A735" s="2">
        <f>IFERROR(__xludf.DUMMYFUNCTION("""COMPUTED_VALUE"""),41624.645833333336)</f>
        <v>41624.64583</v>
      </c>
      <c r="B735" s="1">
        <f>IFERROR(__xludf.DUMMYFUNCTION("""COMPUTED_VALUE"""),17120.0)</f>
        <v>17120</v>
      </c>
      <c r="C735" s="1">
        <f>IFERROR(__xludf.DUMMYFUNCTION("""COMPUTED_VALUE"""),17460.0)</f>
        <v>17460</v>
      </c>
      <c r="D735" s="1">
        <f>IFERROR(__xludf.DUMMYFUNCTION("""COMPUTED_VALUE"""),17040.0)</f>
        <v>17040</v>
      </c>
      <c r="E735" s="1">
        <f>IFERROR(__xludf.DUMMYFUNCTION("""COMPUTED_VALUE"""),17300.0)</f>
        <v>17300</v>
      </c>
      <c r="F735" s="1">
        <f>IFERROR(__xludf.DUMMYFUNCTION("""COMPUTED_VALUE"""),44301.0)</f>
        <v>44301</v>
      </c>
    </row>
    <row r="736">
      <c r="A736" s="2">
        <f>IFERROR(__xludf.DUMMYFUNCTION("""COMPUTED_VALUE"""),41625.645833333336)</f>
        <v>41625.64583</v>
      </c>
      <c r="B736" s="1">
        <f>IFERROR(__xludf.DUMMYFUNCTION("""COMPUTED_VALUE"""),17440.0)</f>
        <v>17440</v>
      </c>
      <c r="C736" s="1">
        <f>IFERROR(__xludf.DUMMYFUNCTION("""COMPUTED_VALUE"""),17760.0)</f>
        <v>17760</v>
      </c>
      <c r="D736" s="1">
        <f>IFERROR(__xludf.DUMMYFUNCTION("""COMPUTED_VALUE"""),17300.0)</f>
        <v>17300</v>
      </c>
      <c r="E736" s="1">
        <f>IFERROR(__xludf.DUMMYFUNCTION("""COMPUTED_VALUE"""),17660.0)</f>
        <v>17660</v>
      </c>
      <c r="F736" s="1">
        <f>IFERROR(__xludf.DUMMYFUNCTION("""COMPUTED_VALUE"""),34046.0)</f>
        <v>34046</v>
      </c>
    </row>
    <row r="737">
      <c r="A737" s="2">
        <f>IFERROR(__xludf.DUMMYFUNCTION("""COMPUTED_VALUE"""),41626.645833333336)</f>
        <v>41626.64583</v>
      </c>
      <c r="B737" s="1">
        <f>IFERROR(__xludf.DUMMYFUNCTION("""COMPUTED_VALUE"""),17560.0)</f>
        <v>17560</v>
      </c>
      <c r="C737" s="1">
        <f>IFERROR(__xludf.DUMMYFUNCTION("""COMPUTED_VALUE"""),17700.0)</f>
        <v>17700</v>
      </c>
      <c r="D737" s="1">
        <f>IFERROR(__xludf.DUMMYFUNCTION("""COMPUTED_VALUE"""),17300.0)</f>
        <v>17300</v>
      </c>
      <c r="E737" s="1">
        <f>IFERROR(__xludf.DUMMYFUNCTION("""COMPUTED_VALUE"""),17700.0)</f>
        <v>17700</v>
      </c>
      <c r="F737" s="1">
        <f>IFERROR(__xludf.DUMMYFUNCTION("""COMPUTED_VALUE"""),40494.0)</f>
        <v>40494</v>
      </c>
    </row>
    <row r="738">
      <c r="A738" s="2">
        <f>IFERROR(__xludf.DUMMYFUNCTION("""COMPUTED_VALUE"""),41627.645833333336)</f>
        <v>41627.64583</v>
      </c>
      <c r="B738" s="1">
        <f>IFERROR(__xludf.DUMMYFUNCTION("""COMPUTED_VALUE"""),17760.0)</f>
        <v>17760</v>
      </c>
      <c r="C738" s="1">
        <f>IFERROR(__xludf.DUMMYFUNCTION("""COMPUTED_VALUE"""),17760.0)</f>
        <v>17760</v>
      </c>
      <c r="D738" s="1">
        <f>IFERROR(__xludf.DUMMYFUNCTION("""COMPUTED_VALUE"""),17340.0)</f>
        <v>17340</v>
      </c>
      <c r="E738" s="1">
        <f>IFERROR(__xludf.DUMMYFUNCTION("""COMPUTED_VALUE"""),17360.0)</f>
        <v>17360</v>
      </c>
      <c r="F738" s="1">
        <f>IFERROR(__xludf.DUMMYFUNCTION("""COMPUTED_VALUE"""),76689.0)</f>
        <v>76689</v>
      </c>
    </row>
    <row r="739">
      <c r="A739" s="2">
        <f>IFERROR(__xludf.DUMMYFUNCTION("""COMPUTED_VALUE"""),41628.645833333336)</f>
        <v>41628.64583</v>
      </c>
      <c r="B739" s="1">
        <f>IFERROR(__xludf.DUMMYFUNCTION("""COMPUTED_VALUE"""),17400.0)</f>
        <v>17400</v>
      </c>
      <c r="C739" s="1">
        <f>IFERROR(__xludf.DUMMYFUNCTION("""COMPUTED_VALUE"""),17620.0)</f>
        <v>17620</v>
      </c>
      <c r="D739" s="1">
        <f>IFERROR(__xludf.DUMMYFUNCTION("""COMPUTED_VALUE"""),17380.0)</f>
        <v>17380</v>
      </c>
      <c r="E739" s="1">
        <f>IFERROR(__xludf.DUMMYFUNCTION("""COMPUTED_VALUE"""),17580.0)</f>
        <v>17580</v>
      </c>
      <c r="F739" s="1">
        <f>IFERROR(__xludf.DUMMYFUNCTION("""COMPUTED_VALUE"""),42963.0)</f>
        <v>42963</v>
      </c>
    </row>
    <row r="740">
      <c r="A740" s="2">
        <f>IFERROR(__xludf.DUMMYFUNCTION("""COMPUTED_VALUE"""),41631.645833333336)</f>
        <v>41631.64583</v>
      </c>
      <c r="B740" s="1">
        <f>IFERROR(__xludf.DUMMYFUNCTION("""COMPUTED_VALUE"""),17620.0)</f>
        <v>17620</v>
      </c>
      <c r="C740" s="1">
        <f>IFERROR(__xludf.DUMMYFUNCTION("""COMPUTED_VALUE"""),17720.0)</f>
        <v>17720</v>
      </c>
      <c r="D740" s="1">
        <f>IFERROR(__xludf.DUMMYFUNCTION("""COMPUTED_VALUE"""),17280.0)</f>
        <v>17280</v>
      </c>
      <c r="E740" s="1">
        <f>IFERROR(__xludf.DUMMYFUNCTION("""COMPUTED_VALUE"""),17340.0)</f>
        <v>17340</v>
      </c>
      <c r="F740" s="1">
        <f>IFERROR(__xludf.DUMMYFUNCTION("""COMPUTED_VALUE"""),17655.0)</f>
        <v>17655</v>
      </c>
    </row>
    <row r="741">
      <c r="A741" s="2">
        <f>IFERROR(__xludf.DUMMYFUNCTION("""COMPUTED_VALUE"""),41632.645833333336)</f>
        <v>41632.64583</v>
      </c>
      <c r="B741" s="1">
        <f>IFERROR(__xludf.DUMMYFUNCTION("""COMPUTED_VALUE"""),17280.0)</f>
        <v>17280</v>
      </c>
      <c r="C741" s="1">
        <f>IFERROR(__xludf.DUMMYFUNCTION("""COMPUTED_VALUE"""),17560.0)</f>
        <v>17560</v>
      </c>
      <c r="D741" s="1">
        <f>IFERROR(__xludf.DUMMYFUNCTION("""COMPUTED_VALUE"""),17280.0)</f>
        <v>17280</v>
      </c>
      <c r="E741" s="1">
        <f>IFERROR(__xludf.DUMMYFUNCTION("""COMPUTED_VALUE"""),17500.0)</f>
        <v>17500</v>
      </c>
      <c r="F741" s="1">
        <f>IFERROR(__xludf.DUMMYFUNCTION("""COMPUTED_VALUE"""),18320.0)</f>
        <v>18320</v>
      </c>
    </row>
    <row r="742">
      <c r="A742" s="2">
        <f>IFERROR(__xludf.DUMMYFUNCTION("""COMPUTED_VALUE"""),41634.645833333336)</f>
        <v>41634.64583</v>
      </c>
      <c r="B742" s="1">
        <f>IFERROR(__xludf.DUMMYFUNCTION("""COMPUTED_VALUE"""),17500.0)</f>
        <v>17500</v>
      </c>
      <c r="C742" s="1">
        <f>IFERROR(__xludf.DUMMYFUNCTION("""COMPUTED_VALUE"""),17520.0)</f>
        <v>17520</v>
      </c>
      <c r="D742" s="1">
        <f>IFERROR(__xludf.DUMMYFUNCTION("""COMPUTED_VALUE"""),17120.0)</f>
        <v>17120</v>
      </c>
      <c r="E742" s="1">
        <f>IFERROR(__xludf.DUMMYFUNCTION("""COMPUTED_VALUE"""),17120.0)</f>
        <v>17120</v>
      </c>
      <c r="F742" s="1">
        <f>IFERROR(__xludf.DUMMYFUNCTION("""COMPUTED_VALUE"""),18395.0)</f>
        <v>18395</v>
      </c>
    </row>
    <row r="743">
      <c r="A743" s="2">
        <f>IFERROR(__xludf.DUMMYFUNCTION("""COMPUTED_VALUE"""),41635.645833333336)</f>
        <v>41635.64583</v>
      </c>
      <c r="B743" s="1">
        <f>IFERROR(__xludf.DUMMYFUNCTION("""COMPUTED_VALUE"""),17120.0)</f>
        <v>17120</v>
      </c>
      <c r="C743" s="1">
        <f>IFERROR(__xludf.DUMMYFUNCTION("""COMPUTED_VALUE"""),17200.0)</f>
        <v>17200</v>
      </c>
      <c r="D743" s="1">
        <f>IFERROR(__xludf.DUMMYFUNCTION("""COMPUTED_VALUE"""),17020.0)</f>
        <v>17020</v>
      </c>
      <c r="E743" s="1">
        <f>IFERROR(__xludf.DUMMYFUNCTION("""COMPUTED_VALUE"""),17040.0)</f>
        <v>17040</v>
      </c>
      <c r="F743" s="1">
        <f>IFERROR(__xludf.DUMMYFUNCTION("""COMPUTED_VALUE"""),21422.0)</f>
        <v>21422</v>
      </c>
    </row>
    <row r="744">
      <c r="A744" s="2">
        <f>IFERROR(__xludf.DUMMYFUNCTION("""COMPUTED_VALUE"""),41638.645833333336)</f>
        <v>41638.64583</v>
      </c>
      <c r="B744" s="1">
        <f>IFERROR(__xludf.DUMMYFUNCTION("""COMPUTED_VALUE"""),17040.0)</f>
        <v>17040</v>
      </c>
      <c r="C744" s="1">
        <f>IFERROR(__xludf.DUMMYFUNCTION("""COMPUTED_VALUE"""),17060.0)</f>
        <v>17060</v>
      </c>
      <c r="D744" s="1">
        <f>IFERROR(__xludf.DUMMYFUNCTION("""COMPUTED_VALUE"""),16640.0)</f>
        <v>16640</v>
      </c>
      <c r="E744" s="1">
        <f>IFERROR(__xludf.DUMMYFUNCTION("""COMPUTED_VALUE"""),16800.0)</f>
        <v>16800</v>
      </c>
      <c r="F744" s="1">
        <f>IFERROR(__xludf.DUMMYFUNCTION("""COMPUTED_VALUE"""),27729.0)</f>
        <v>27729</v>
      </c>
    </row>
    <row r="745">
      <c r="A745" s="2">
        <f>IFERROR(__xludf.DUMMYFUNCTION("""COMPUTED_VALUE"""),41641.645833333336)</f>
        <v>41641.64583</v>
      </c>
      <c r="B745" s="1">
        <f>IFERROR(__xludf.DUMMYFUNCTION("""COMPUTED_VALUE"""),16960.0)</f>
        <v>16960</v>
      </c>
      <c r="C745" s="1">
        <f>IFERROR(__xludf.DUMMYFUNCTION("""COMPUTED_VALUE"""),17160.0)</f>
        <v>17160</v>
      </c>
      <c r="D745" s="1">
        <f>IFERROR(__xludf.DUMMYFUNCTION("""COMPUTED_VALUE"""),16840.0)</f>
        <v>16840</v>
      </c>
      <c r="E745" s="1">
        <f>IFERROR(__xludf.DUMMYFUNCTION("""COMPUTED_VALUE"""),17000.0)</f>
        <v>17000</v>
      </c>
      <c r="F745" s="1">
        <f>IFERROR(__xludf.DUMMYFUNCTION("""COMPUTED_VALUE"""),26117.0)</f>
        <v>26117</v>
      </c>
    </row>
    <row r="746">
      <c r="A746" s="2">
        <f>IFERROR(__xludf.DUMMYFUNCTION("""COMPUTED_VALUE"""),41642.645833333336)</f>
        <v>41642.64583</v>
      </c>
      <c r="B746" s="1">
        <f>IFERROR(__xludf.DUMMYFUNCTION("""COMPUTED_VALUE"""),17140.0)</f>
        <v>17140</v>
      </c>
      <c r="C746" s="1">
        <f>IFERROR(__xludf.DUMMYFUNCTION("""COMPUTED_VALUE"""),17140.0)</f>
        <v>17140</v>
      </c>
      <c r="D746" s="1">
        <f>IFERROR(__xludf.DUMMYFUNCTION("""COMPUTED_VALUE"""),16840.0)</f>
        <v>16840</v>
      </c>
      <c r="E746" s="1">
        <f>IFERROR(__xludf.DUMMYFUNCTION("""COMPUTED_VALUE"""),16900.0)</f>
        <v>16900</v>
      </c>
      <c r="F746" s="1">
        <f>IFERROR(__xludf.DUMMYFUNCTION("""COMPUTED_VALUE"""),14093.0)</f>
        <v>14093</v>
      </c>
    </row>
    <row r="747">
      <c r="A747" s="2">
        <f>IFERROR(__xludf.DUMMYFUNCTION("""COMPUTED_VALUE"""),41645.645833333336)</f>
        <v>41645.64583</v>
      </c>
      <c r="B747" s="1">
        <f>IFERROR(__xludf.DUMMYFUNCTION("""COMPUTED_VALUE"""),17080.0)</f>
        <v>17080</v>
      </c>
      <c r="C747" s="1">
        <f>IFERROR(__xludf.DUMMYFUNCTION("""COMPUTED_VALUE"""),17080.0)</f>
        <v>17080</v>
      </c>
      <c r="D747" s="1">
        <f>IFERROR(__xludf.DUMMYFUNCTION("""COMPUTED_VALUE"""),16760.0)</f>
        <v>16760</v>
      </c>
      <c r="E747" s="1">
        <f>IFERROR(__xludf.DUMMYFUNCTION("""COMPUTED_VALUE"""),16940.0)</f>
        <v>16940</v>
      </c>
      <c r="F747" s="1">
        <f>IFERROR(__xludf.DUMMYFUNCTION("""COMPUTED_VALUE"""),22197.0)</f>
        <v>22197</v>
      </c>
    </row>
    <row r="748">
      <c r="A748" s="2">
        <f>IFERROR(__xludf.DUMMYFUNCTION("""COMPUTED_VALUE"""),41646.645833333336)</f>
        <v>41646.64583</v>
      </c>
      <c r="B748" s="1">
        <f>IFERROR(__xludf.DUMMYFUNCTION("""COMPUTED_VALUE"""),16840.0)</f>
        <v>16840</v>
      </c>
      <c r="C748" s="1">
        <f>IFERROR(__xludf.DUMMYFUNCTION("""COMPUTED_VALUE"""),17260.0)</f>
        <v>17260</v>
      </c>
      <c r="D748" s="1">
        <f>IFERROR(__xludf.DUMMYFUNCTION("""COMPUTED_VALUE"""),16820.0)</f>
        <v>16820</v>
      </c>
      <c r="E748" s="1">
        <f>IFERROR(__xludf.DUMMYFUNCTION("""COMPUTED_VALUE"""),17140.0)</f>
        <v>17140</v>
      </c>
      <c r="F748" s="1">
        <f>IFERROR(__xludf.DUMMYFUNCTION("""COMPUTED_VALUE"""),51675.0)</f>
        <v>51675</v>
      </c>
    </row>
    <row r="749">
      <c r="A749" s="2">
        <f>IFERROR(__xludf.DUMMYFUNCTION("""COMPUTED_VALUE"""),41647.645833333336)</f>
        <v>41647.64583</v>
      </c>
      <c r="B749" s="1">
        <f>IFERROR(__xludf.DUMMYFUNCTION("""COMPUTED_VALUE"""),17160.0)</f>
        <v>17160</v>
      </c>
      <c r="C749" s="1">
        <f>IFERROR(__xludf.DUMMYFUNCTION("""COMPUTED_VALUE"""),17440.0)</f>
        <v>17440</v>
      </c>
      <c r="D749" s="1">
        <f>IFERROR(__xludf.DUMMYFUNCTION("""COMPUTED_VALUE"""),16960.0)</f>
        <v>16960</v>
      </c>
      <c r="E749" s="1">
        <f>IFERROR(__xludf.DUMMYFUNCTION("""COMPUTED_VALUE"""),16980.0)</f>
        <v>16980</v>
      </c>
      <c r="F749" s="1">
        <f>IFERROR(__xludf.DUMMYFUNCTION("""COMPUTED_VALUE"""),38350.0)</f>
        <v>38350</v>
      </c>
    </row>
    <row r="750">
      <c r="A750" s="2">
        <f>IFERROR(__xludf.DUMMYFUNCTION("""COMPUTED_VALUE"""),41648.645833333336)</f>
        <v>41648.64583</v>
      </c>
      <c r="B750" s="1">
        <f>IFERROR(__xludf.DUMMYFUNCTION("""COMPUTED_VALUE"""),16980.0)</f>
        <v>16980</v>
      </c>
      <c r="C750" s="1">
        <f>IFERROR(__xludf.DUMMYFUNCTION("""COMPUTED_VALUE"""),17140.0)</f>
        <v>17140</v>
      </c>
      <c r="D750" s="1">
        <f>IFERROR(__xludf.DUMMYFUNCTION("""COMPUTED_VALUE"""),16580.0)</f>
        <v>16580</v>
      </c>
      <c r="E750" s="1">
        <f>IFERROR(__xludf.DUMMYFUNCTION("""COMPUTED_VALUE"""),16680.0)</f>
        <v>16680</v>
      </c>
      <c r="F750" s="1">
        <f>IFERROR(__xludf.DUMMYFUNCTION("""COMPUTED_VALUE"""),55010.0)</f>
        <v>55010</v>
      </c>
    </row>
    <row r="751">
      <c r="A751" s="2">
        <f>IFERROR(__xludf.DUMMYFUNCTION("""COMPUTED_VALUE"""),41649.645833333336)</f>
        <v>41649.64583</v>
      </c>
      <c r="B751" s="1">
        <f>IFERROR(__xludf.DUMMYFUNCTION("""COMPUTED_VALUE"""),16840.0)</f>
        <v>16840</v>
      </c>
      <c r="C751" s="1">
        <f>IFERROR(__xludf.DUMMYFUNCTION("""COMPUTED_VALUE"""),17000.0)</f>
        <v>17000</v>
      </c>
      <c r="D751" s="1">
        <f>IFERROR(__xludf.DUMMYFUNCTION("""COMPUTED_VALUE"""),16620.0)</f>
        <v>16620</v>
      </c>
      <c r="E751" s="1">
        <f>IFERROR(__xludf.DUMMYFUNCTION("""COMPUTED_VALUE"""),16960.0)</f>
        <v>16960</v>
      </c>
      <c r="F751" s="1">
        <f>IFERROR(__xludf.DUMMYFUNCTION("""COMPUTED_VALUE"""),29821.0)</f>
        <v>29821</v>
      </c>
    </row>
    <row r="752">
      <c r="A752" s="2">
        <f>IFERROR(__xludf.DUMMYFUNCTION("""COMPUTED_VALUE"""),41652.645833333336)</f>
        <v>41652.64583</v>
      </c>
      <c r="B752" s="1">
        <f>IFERROR(__xludf.DUMMYFUNCTION("""COMPUTED_VALUE"""),17000.0)</f>
        <v>17000</v>
      </c>
      <c r="C752" s="1">
        <f>IFERROR(__xludf.DUMMYFUNCTION("""COMPUTED_VALUE"""),17180.0)</f>
        <v>17180</v>
      </c>
      <c r="D752" s="1">
        <f>IFERROR(__xludf.DUMMYFUNCTION("""COMPUTED_VALUE"""),16840.0)</f>
        <v>16840</v>
      </c>
      <c r="E752" s="1">
        <f>IFERROR(__xludf.DUMMYFUNCTION("""COMPUTED_VALUE"""),17000.0)</f>
        <v>17000</v>
      </c>
      <c r="F752" s="1">
        <f>IFERROR(__xludf.DUMMYFUNCTION("""COMPUTED_VALUE"""),36886.0)</f>
        <v>36886</v>
      </c>
    </row>
    <row r="753">
      <c r="A753" s="2">
        <f>IFERROR(__xludf.DUMMYFUNCTION("""COMPUTED_VALUE"""),41653.645833333336)</f>
        <v>41653.64583</v>
      </c>
      <c r="B753" s="1">
        <f>IFERROR(__xludf.DUMMYFUNCTION("""COMPUTED_VALUE"""),17040.0)</f>
        <v>17040</v>
      </c>
      <c r="C753" s="1">
        <f>IFERROR(__xludf.DUMMYFUNCTION("""COMPUTED_VALUE"""),17140.0)</f>
        <v>17140</v>
      </c>
      <c r="D753" s="1">
        <f>IFERROR(__xludf.DUMMYFUNCTION("""COMPUTED_VALUE"""),16760.0)</f>
        <v>16760</v>
      </c>
      <c r="E753" s="1">
        <f>IFERROR(__xludf.DUMMYFUNCTION("""COMPUTED_VALUE"""),17000.0)</f>
        <v>17000</v>
      </c>
      <c r="F753" s="1">
        <f>IFERROR(__xludf.DUMMYFUNCTION("""COMPUTED_VALUE"""),58115.0)</f>
        <v>58115</v>
      </c>
    </row>
    <row r="754">
      <c r="A754" s="2">
        <f>IFERROR(__xludf.DUMMYFUNCTION("""COMPUTED_VALUE"""),41654.645833333336)</f>
        <v>41654.64583</v>
      </c>
      <c r="B754" s="1">
        <f>IFERROR(__xludf.DUMMYFUNCTION("""COMPUTED_VALUE"""),17180.0)</f>
        <v>17180</v>
      </c>
      <c r="C754" s="1">
        <f>IFERROR(__xludf.DUMMYFUNCTION("""COMPUTED_VALUE"""),17200.0)</f>
        <v>17200</v>
      </c>
      <c r="D754" s="1">
        <f>IFERROR(__xludf.DUMMYFUNCTION("""COMPUTED_VALUE"""),16680.0)</f>
        <v>16680</v>
      </c>
      <c r="E754" s="1">
        <f>IFERROR(__xludf.DUMMYFUNCTION("""COMPUTED_VALUE"""),16720.0)</f>
        <v>16720</v>
      </c>
      <c r="F754" s="1">
        <f>IFERROR(__xludf.DUMMYFUNCTION("""COMPUTED_VALUE"""),77377.0)</f>
        <v>77377</v>
      </c>
    </row>
    <row r="755">
      <c r="A755" s="2">
        <f>IFERROR(__xludf.DUMMYFUNCTION("""COMPUTED_VALUE"""),41655.645833333336)</f>
        <v>41655.64583</v>
      </c>
      <c r="B755" s="1">
        <f>IFERROR(__xludf.DUMMYFUNCTION("""COMPUTED_VALUE"""),16600.0)</f>
        <v>16600</v>
      </c>
      <c r="C755" s="1">
        <f>IFERROR(__xludf.DUMMYFUNCTION("""COMPUTED_VALUE"""),16720.0)</f>
        <v>16720</v>
      </c>
      <c r="D755" s="1">
        <f>IFERROR(__xludf.DUMMYFUNCTION("""COMPUTED_VALUE"""),16460.0)</f>
        <v>16460</v>
      </c>
      <c r="E755" s="1">
        <f>IFERROR(__xludf.DUMMYFUNCTION("""COMPUTED_VALUE"""),16460.0)</f>
        <v>16460</v>
      </c>
      <c r="F755" s="1">
        <f>IFERROR(__xludf.DUMMYFUNCTION("""COMPUTED_VALUE"""),109685.0)</f>
        <v>109685</v>
      </c>
    </row>
    <row r="756">
      <c r="A756" s="2">
        <f>IFERROR(__xludf.DUMMYFUNCTION("""COMPUTED_VALUE"""),41656.645833333336)</f>
        <v>41656.64583</v>
      </c>
      <c r="B756" s="1">
        <f>IFERROR(__xludf.DUMMYFUNCTION("""COMPUTED_VALUE"""),16420.0)</f>
        <v>16420</v>
      </c>
      <c r="C756" s="1">
        <f>IFERROR(__xludf.DUMMYFUNCTION("""COMPUTED_VALUE"""),16440.0)</f>
        <v>16440</v>
      </c>
      <c r="D756" s="1">
        <f>IFERROR(__xludf.DUMMYFUNCTION("""COMPUTED_VALUE"""),16120.0)</f>
        <v>16120</v>
      </c>
      <c r="E756" s="1">
        <f>IFERROR(__xludf.DUMMYFUNCTION("""COMPUTED_VALUE"""),16240.0)</f>
        <v>16240</v>
      </c>
      <c r="F756" s="1">
        <f>IFERROR(__xludf.DUMMYFUNCTION("""COMPUTED_VALUE"""),143294.0)</f>
        <v>143294</v>
      </c>
    </row>
    <row r="757">
      <c r="A757" s="2">
        <f>IFERROR(__xludf.DUMMYFUNCTION("""COMPUTED_VALUE"""),41659.645833333336)</f>
        <v>41659.64583</v>
      </c>
      <c r="B757" s="1">
        <f>IFERROR(__xludf.DUMMYFUNCTION("""COMPUTED_VALUE"""),16180.0)</f>
        <v>16180</v>
      </c>
      <c r="C757" s="1">
        <f>IFERROR(__xludf.DUMMYFUNCTION("""COMPUTED_VALUE"""),16280.0)</f>
        <v>16280</v>
      </c>
      <c r="D757" s="1">
        <f>IFERROR(__xludf.DUMMYFUNCTION("""COMPUTED_VALUE"""),16080.0)</f>
        <v>16080</v>
      </c>
      <c r="E757" s="1">
        <f>IFERROR(__xludf.DUMMYFUNCTION("""COMPUTED_VALUE"""),16180.0)</f>
        <v>16180</v>
      </c>
      <c r="F757" s="1">
        <f>IFERROR(__xludf.DUMMYFUNCTION("""COMPUTED_VALUE"""),104841.0)</f>
        <v>104841</v>
      </c>
    </row>
    <row r="758">
      <c r="A758" s="2">
        <f>IFERROR(__xludf.DUMMYFUNCTION("""COMPUTED_VALUE"""),41660.645833333336)</f>
        <v>41660.64583</v>
      </c>
      <c r="B758" s="1">
        <f>IFERROR(__xludf.DUMMYFUNCTION("""COMPUTED_VALUE"""),16160.0)</f>
        <v>16160</v>
      </c>
      <c r="C758" s="1">
        <f>IFERROR(__xludf.DUMMYFUNCTION("""COMPUTED_VALUE"""),16280.0)</f>
        <v>16280</v>
      </c>
      <c r="D758" s="1">
        <f>IFERROR(__xludf.DUMMYFUNCTION("""COMPUTED_VALUE"""),16040.0)</f>
        <v>16040</v>
      </c>
      <c r="E758" s="1">
        <f>IFERROR(__xludf.DUMMYFUNCTION("""COMPUTED_VALUE"""),16260.0)</f>
        <v>16260</v>
      </c>
      <c r="F758" s="1">
        <f>IFERROR(__xludf.DUMMYFUNCTION("""COMPUTED_VALUE"""),77631.0)</f>
        <v>77631</v>
      </c>
    </row>
    <row r="759">
      <c r="A759" s="2">
        <f>IFERROR(__xludf.DUMMYFUNCTION("""COMPUTED_VALUE"""),41661.645833333336)</f>
        <v>41661.64583</v>
      </c>
      <c r="B759" s="1">
        <f>IFERROR(__xludf.DUMMYFUNCTION("""COMPUTED_VALUE"""),16180.0)</f>
        <v>16180</v>
      </c>
      <c r="C759" s="1">
        <f>IFERROR(__xludf.DUMMYFUNCTION("""COMPUTED_VALUE"""),16460.0)</f>
        <v>16460</v>
      </c>
      <c r="D759" s="1">
        <f>IFERROR(__xludf.DUMMYFUNCTION("""COMPUTED_VALUE"""),16180.0)</f>
        <v>16180</v>
      </c>
      <c r="E759" s="1">
        <f>IFERROR(__xludf.DUMMYFUNCTION("""COMPUTED_VALUE"""),16360.0)</f>
        <v>16360</v>
      </c>
      <c r="F759" s="1">
        <f>IFERROR(__xludf.DUMMYFUNCTION("""COMPUTED_VALUE"""),66985.0)</f>
        <v>66985</v>
      </c>
    </row>
    <row r="760">
      <c r="A760" s="2">
        <f>IFERROR(__xludf.DUMMYFUNCTION("""COMPUTED_VALUE"""),41662.645833333336)</f>
        <v>41662.64583</v>
      </c>
      <c r="B760" s="1">
        <f>IFERROR(__xludf.DUMMYFUNCTION("""COMPUTED_VALUE"""),16380.0)</f>
        <v>16380</v>
      </c>
      <c r="C760" s="1">
        <f>IFERROR(__xludf.DUMMYFUNCTION("""COMPUTED_VALUE"""),16580.0)</f>
        <v>16580</v>
      </c>
      <c r="D760" s="1">
        <f>IFERROR(__xludf.DUMMYFUNCTION("""COMPUTED_VALUE"""),16380.0)</f>
        <v>16380</v>
      </c>
      <c r="E760" s="1">
        <f>IFERROR(__xludf.DUMMYFUNCTION("""COMPUTED_VALUE"""),16460.0)</f>
        <v>16460</v>
      </c>
      <c r="F760" s="1">
        <f>IFERROR(__xludf.DUMMYFUNCTION("""COMPUTED_VALUE"""),63151.0)</f>
        <v>63151</v>
      </c>
    </row>
    <row r="761">
      <c r="A761" s="2">
        <f>IFERROR(__xludf.DUMMYFUNCTION("""COMPUTED_VALUE"""),41663.645833333336)</f>
        <v>41663.64583</v>
      </c>
      <c r="B761" s="1">
        <f>IFERROR(__xludf.DUMMYFUNCTION("""COMPUTED_VALUE"""),16420.0)</f>
        <v>16420</v>
      </c>
      <c r="C761" s="1">
        <f>IFERROR(__xludf.DUMMYFUNCTION("""COMPUTED_VALUE"""),16420.0)</f>
        <v>16420</v>
      </c>
      <c r="D761" s="1">
        <f>IFERROR(__xludf.DUMMYFUNCTION("""COMPUTED_VALUE"""),16080.0)</f>
        <v>16080</v>
      </c>
      <c r="E761" s="1">
        <f>IFERROR(__xludf.DUMMYFUNCTION("""COMPUTED_VALUE"""),16100.0)</f>
        <v>16100</v>
      </c>
      <c r="F761" s="1">
        <f>IFERROR(__xludf.DUMMYFUNCTION("""COMPUTED_VALUE"""),58186.0)</f>
        <v>58186</v>
      </c>
    </row>
    <row r="762">
      <c r="A762" s="2">
        <f>IFERROR(__xludf.DUMMYFUNCTION("""COMPUTED_VALUE"""),41666.645833333336)</f>
        <v>41666.64583</v>
      </c>
      <c r="B762" s="1">
        <f>IFERROR(__xludf.DUMMYFUNCTION("""COMPUTED_VALUE"""),15800.0)</f>
        <v>15800</v>
      </c>
      <c r="C762" s="1">
        <f>IFERROR(__xludf.DUMMYFUNCTION("""COMPUTED_VALUE"""),15820.0)</f>
        <v>15820</v>
      </c>
      <c r="D762" s="1">
        <f>IFERROR(__xludf.DUMMYFUNCTION("""COMPUTED_VALUE"""),15440.0)</f>
        <v>15440</v>
      </c>
      <c r="E762" s="1">
        <f>IFERROR(__xludf.DUMMYFUNCTION("""COMPUTED_VALUE"""),15580.0)</f>
        <v>15580</v>
      </c>
      <c r="F762" s="1">
        <f>IFERROR(__xludf.DUMMYFUNCTION("""COMPUTED_VALUE"""),93135.0)</f>
        <v>93135</v>
      </c>
    </row>
    <row r="763">
      <c r="A763" s="2">
        <f>IFERROR(__xludf.DUMMYFUNCTION("""COMPUTED_VALUE"""),41667.645833333336)</f>
        <v>41667.64583</v>
      </c>
      <c r="B763" s="1">
        <f>IFERROR(__xludf.DUMMYFUNCTION("""COMPUTED_VALUE"""),15640.0)</f>
        <v>15640</v>
      </c>
      <c r="C763" s="1">
        <f>IFERROR(__xludf.DUMMYFUNCTION("""COMPUTED_VALUE"""),15760.0)</f>
        <v>15760</v>
      </c>
      <c r="D763" s="1">
        <f>IFERROR(__xludf.DUMMYFUNCTION("""COMPUTED_VALUE"""),15520.0)</f>
        <v>15520</v>
      </c>
      <c r="E763" s="1">
        <f>IFERROR(__xludf.DUMMYFUNCTION("""COMPUTED_VALUE"""),15720.0)</f>
        <v>15720</v>
      </c>
      <c r="F763" s="1">
        <f>IFERROR(__xludf.DUMMYFUNCTION("""COMPUTED_VALUE"""),54543.0)</f>
        <v>54543</v>
      </c>
    </row>
    <row r="764">
      <c r="A764" s="2">
        <f>IFERROR(__xludf.DUMMYFUNCTION("""COMPUTED_VALUE"""),41668.645833333336)</f>
        <v>41668.64583</v>
      </c>
      <c r="B764" s="1">
        <f>IFERROR(__xludf.DUMMYFUNCTION("""COMPUTED_VALUE"""),15720.0)</f>
        <v>15720</v>
      </c>
      <c r="C764" s="1">
        <f>IFERROR(__xludf.DUMMYFUNCTION("""COMPUTED_VALUE"""),16000.0)</f>
        <v>16000</v>
      </c>
      <c r="D764" s="1">
        <f>IFERROR(__xludf.DUMMYFUNCTION("""COMPUTED_VALUE"""),15720.0)</f>
        <v>15720</v>
      </c>
      <c r="E764" s="1">
        <f>IFERROR(__xludf.DUMMYFUNCTION("""COMPUTED_VALUE"""),16000.0)</f>
        <v>16000</v>
      </c>
      <c r="F764" s="1">
        <f>IFERROR(__xludf.DUMMYFUNCTION("""COMPUTED_VALUE"""),35304.0)</f>
        <v>35304</v>
      </c>
    </row>
    <row r="765">
      <c r="A765" s="2">
        <f>IFERROR(__xludf.DUMMYFUNCTION("""COMPUTED_VALUE"""),41673.645833333336)</f>
        <v>41673.64583</v>
      </c>
      <c r="B765" s="1">
        <f>IFERROR(__xludf.DUMMYFUNCTION("""COMPUTED_VALUE"""),16000.0)</f>
        <v>16000</v>
      </c>
      <c r="C765" s="1">
        <f>IFERROR(__xludf.DUMMYFUNCTION("""COMPUTED_VALUE"""),16140.0)</f>
        <v>16140</v>
      </c>
      <c r="D765" s="1">
        <f>IFERROR(__xludf.DUMMYFUNCTION("""COMPUTED_VALUE"""),15940.0)</f>
        <v>15940</v>
      </c>
      <c r="E765" s="1">
        <f>IFERROR(__xludf.DUMMYFUNCTION("""COMPUTED_VALUE"""),16060.0)</f>
        <v>16060</v>
      </c>
      <c r="F765" s="1">
        <f>IFERROR(__xludf.DUMMYFUNCTION("""COMPUTED_VALUE"""),71100.0)</f>
        <v>71100</v>
      </c>
    </row>
    <row r="766">
      <c r="A766" s="2">
        <f>IFERROR(__xludf.DUMMYFUNCTION("""COMPUTED_VALUE"""),41674.645833333336)</f>
        <v>41674.64583</v>
      </c>
      <c r="B766" s="1">
        <f>IFERROR(__xludf.DUMMYFUNCTION("""COMPUTED_VALUE"""),15940.0)</f>
        <v>15940</v>
      </c>
      <c r="C766" s="1">
        <f>IFERROR(__xludf.DUMMYFUNCTION("""COMPUTED_VALUE"""),16040.0)</f>
        <v>16040</v>
      </c>
      <c r="D766" s="1">
        <f>IFERROR(__xludf.DUMMYFUNCTION("""COMPUTED_VALUE"""),15620.0)</f>
        <v>15620</v>
      </c>
      <c r="E766" s="1">
        <f>IFERROR(__xludf.DUMMYFUNCTION("""COMPUTED_VALUE"""),16000.0)</f>
        <v>16000</v>
      </c>
      <c r="F766" s="1">
        <f>IFERROR(__xludf.DUMMYFUNCTION("""COMPUTED_VALUE"""),71552.0)</f>
        <v>71552</v>
      </c>
    </row>
    <row r="767">
      <c r="A767" s="2">
        <f>IFERROR(__xludf.DUMMYFUNCTION("""COMPUTED_VALUE"""),41675.645833333336)</f>
        <v>41675.64583</v>
      </c>
      <c r="B767" s="1">
        <f>IFERROR(__xludf.DUMMYFUNCTION("""COMPUTED_VALUE"""),16000.0)</f>
        <v>16000</v>
      </c>
      <c r="C767" s="1">
        <f>IFERROR(__xludf.DUMMYFUNCTION("""COMPUTED_VALUE"""),16020.0)</f>
        <v>16020</v>
      </c>
      <c r="D767" s="1">
        <f>IFERROR(__xludf.DUMMYFUNCTION("""COMPUTED_VALUE"""),15800.0)</f>
        <v>15800</v>
      </c>
      <c r="E767" s="1">
        <f>IFERROR(__xludf.DUMMYFUNCTION("""COMPUTED_VALUE"""),16000.0)</f>
        <v>16000</v>
      </c>
      <c r="F767" s="1">
        <f>IFERROR(__xludf.DUMMYFUNCTION("""COMPUTED_VALUE"""),72902.0)</f>
        <v>72902</v>
      </c>
    </row>
    <row r="768">
      <c r="A768" s="2">
        <f>IFERROR(__xludf.DUMMYFUNCTION("""COMPUTED_VALUE"""),41676.645833333336)</f>
        <v>41676.64583</v>
      </c>
      <c r="B768" s="1">
        <f>IFERROR(__xludf.DUMMYFUNCTION("""COMPUTED_VALUE"""),15980.0)</f>
        <v>15980</v>
      </c>
      <c r="C768" s="1">
        <f>IFERROR(__xludf.DUMMYFUNCTION("""COMPUTED_VALUE"""),16100.0)</f>
        <v>16100</v>
      </c>
      <c r="D768" s="1">
        <f>IFERROR(__xludf.DUMMYFUNCTION("""COMPUTED_VALUE"""),15760.0)</f>
        <v>15760</v>
      </c>
      <c r="E768" s="1">
        <f>IFERROR(__xludf.DUMMYFUNCTION("""COMPUTED_VALUE"""),15760.0)</f>
        <v>15760</v>
      </c>
      <c r="F768" s="1">
        <f>IFERROR(__xludf.DUMMYFUNCTION("""COMPUTED_VALUE"""),40961.0)</f>
        <v>40961</v>
      </c>
    </row>
    <row r="769">
      <c r="A769" s="2">
        <f>IFERROR(__xludf.DUMMYFUNCTION("""COMPUTED_VALUE"""),41677.645833333336)</f>
        <v>41677.64583</v>
      </c>
      <c r="B769" s="1">
        <f>IFERROR(__xludf.DUMMYFUNCTION("""COMPUTED_VALUE"""),15900.0)</f>
        <v>15900</v>
      </c>
      <c r="C769" s="1">
        <f>IFERROR(__xludf.DUMMYFUNCTION("""COMPUTED_VALUE"""),15900.0)</f>
        <v>15900</v>
      </c>
      <c r="D769" s="1">
        <f>IFERROR(__xludf.DUMMYFUNCTION("""COMPUTED_VALUE"""),15640.0)</f>
        <v>15640</v>
      </c>
      <c r="E769" s="1">
        <f>IFERROR(__xludf.DUMMYFUNCTION("""COMPUTED_VALUE"""),15840.0)</f>
        <v>15840</v>
      </c>
      <c r="F769" s="1">
        <f>IFERROR(__xludf.DUMMYFUNCTION("""COMPUTED_VALUE"""),52878.0)</f>
        <v>52878</v>
      </c>
    </row>
    <row r="770">
      <c r="A770" s="2">
        <f>IFERROR(__xludf.DUMMYFUNCTION("""COMPUTED_VALUE"""),41680.645833333336)</f>
        <v>41680.64583</v>
      </c>
      <c r="B770" s="1">
        <f>IFERROR(__xludf.DUMMYFUNCTION("""COMPUTED_VALUE"""),15900.0)</f>
        <v>15900</v>
      </c>
      <c r="C770" s="1">
        <f>IFERROR(__xludf.DUMMYFUNCTION("""COMPUTED_VALUE"""),15900.0)</f>
        <v>15900</v>
      </c>
      <c r="D770" s="1">
        <f>IFERROR(__xludf.DUMMYFUNCTION("""COMPUTED_VALUE"""),15600.0)</f>
        <v>15600</v>
      </c>
      <c r="E770" s="1">
        <f>IFERROR(__xludf.DUMMYFUNCTION("""COMPUTED_VALUE"""),15620.0)</f>
        <v>15620</v>
      </c>
      <c r="F770" s="1">
        <f>IFERROR(__xludf.DUMMYFUNCTION("""COMPUTED_VALUE"""),30547.0)</f>
        <v>30547</v>
      </c>
    </row>
    <row r="771">
      <c r="A771" s="2">
        <f>IFERROR(__xludf.DUMMYFUNCTION("""COMPUTED_VALUE"""),41681.645833333336)</f>
        <v>41681.64583</v>
      </c>
      <c r="B771" s="1">
        <f>IFERROR(__xludf.DUMMYFUNCTION("""COMPUTED_VALUE"""),15680.0)</f>
        <v>15680</v>
      </c>
      <c r="C771" s="1">
        <f>IFERROR(__xludf.DUMMYFUNCTION("""COMPUTED_VALUE"""),15740.0)</f>
        <v>15740</v>
      </c>
      <c r="D771" s="1">
        <f>IFERROR(__xludf.DUMMYFUNCTION("""COMPUTED_VALUE"""),15560.0)</f>
        <v>15560</v>
      </c>
      <c r="E771" s="1">
        <f>IFERROR(__xludf.DUMMYFUNCTION("""COMPUTED_VALUE"""),15600.0)</f>
        <v>15600</v>
      </c>
      <c r="F771" s="1">
        <f>IFERROR(__xludf.DUMMYFUNCTION("""COMPUTED_VALUE"""),30196.0)</f>
        <v>30196</v>
      </c>
    </row>
    <row r="772">
      <c r="A772" s="2">
        <f>IFERROR(__xludf.DUMMYFUNCTION("""COMPUTED_VALUE"""),41682.645833333336)</f>
        <v>41682.64583</v>
      </c>
      <c r="B772" s="1">
        <f>IFERROR(__xludf.DUMMYFUNCTION("""COMPUTED_VALUE"""),15600.0)</f>
        <v>15600</v>
      </c>
      <c r="C772" s="1">
        <f>IFERROR(__xludf.DUMMYFUNCTION("""COMPUTED_VALUE"""),15640.0)</f>
        <v>15640</v>
      </c>
      <c r="D772" s="1">
        <f>IFERROR(__xludf.DUMMYFUNCTION("""COMPUTED_VALUE"""),15420.0)</f>
        <v>15420</v>
      </c>
      <c r="E772" s="1">
        <f>IFERROR(__xludf.DUMMYFUNCTION("""COMPUTED_VALUE"""),15500.0)</f>
        <v>15500</v>
      </c>
      <c r="F772" s="1">
        <f>IFERROR(__xludf.DUMMYFUNCTION("""COMPUTED_VALUE"""),59877.0)</f>
        <v>59877</v>
      </c>
    </row>
    <row r="773">
      <c r="A773" s="2">
        <f>IFERROR(__xludf.DUMMYFUNCTION("""COMPUTED_VALUE"""),41683.645833333336)</f>
        <v>41683.64583</v>
      </c>
      <c r="B773" s="1">
        <f>IFERROR(__xludf.DUMMYFUNCTION("""COMPUTED_VALUE"""),15460.0)</f>
        <v>15460</v>
      </c>
      <c r="C773" s="1">
        <f>IFERROR(__xludf.DUMMYFUNCTION("""COMPUTED_VALUE"""),15680.0)</f>
        <v>15680</v>
      </c>
      <c r="D773" s="1">
        <f>IFERROR(__xludf.DUMMYFUNCTION("""COMPUTED_VALUE"""),15460.0)</f>
        <v>15460</v>
      </c>
      <c r="E773" s="1">
        <f>IFERROR(__xludf.DUMMYFUNCTION("""COMPUTED_VALUE"""),15460.0)</f>
        <v>15460</v>
      </c>
      <c r="F773" s="1">
        <f>IFERROR(__xludf.DUMMYFUNCTION("""COMPUTED_VALUE"""),44052.0)</f>
        <v>44052</v>
      </c>
    </row>
    <row r="774">
      <c r="A774" s="2">
        <f>IFERROR(__xludf.DUMMYFUNCTION("""COMPUTED_VALUE"""),41684.645833333336)</f>
        <v>41684.64583</v>
      </c>
      <c r="B774" s="1">
        <f>IFERROR(__xludf.DUMMYFUNCTION("""COMPUTED_VALUE"""),15500.0)</f>
        <v>15500</v>
      </c>
      <c r="C774" s="1">
        <f>IFERROR(__xludf.DUMMYFUNCTION("""COMPUTED_VALUE"""),15540.0)</f>
        <v>15540</v>
      </c>
      <c r="D774" s="1">
        <f>IFERROR(__xludf.DUMMYFUNCTION("""COMPUTED_VALUE"""),15200.0)</f>
        <v>15200</v>
      </c>
      <c r="E774" s="1">
        <f>IFERROR(__xludf.DUMMYFUNCTION("""COMPUTED_VALUE"""),15300.0)</f>
        <v>15300</v>
      </c>
      <c r="F774" s="1">
        <f>IFERROR(__xludf.DUMMYFUNCTION("""COMPUTED_VALUE"""),132783.0)</f>
        <v>132783</v>
      </c>
    </row>
    <row r="775">
      <c r="A775" s="2">
        <f>IFERROR(__xludf.DUMMYFUNCTION("""COMPUTED_VALUE"""),41687.645833333336)</f>
        <v>41687.64583</v>
      </c>
      <c r="B775" s="1">
        <f>IFERROR(__xludf.DUMMYFUNCTION("""COMPUTED_VALUE"""),15260.0)</f>
        <v>15260</v>
      </c>
      <c r="C775" s="1">
        <f>IFERROR(__xludf.DUMMYFUNCTION("""COMPUTED_VALUE"""),15400.0)</f>
        <v>15400</v>
      </c>
      <c r="D775" s="1">
        <f>IFERROR(__xludf.DUMMYFUNCTION("""COMPUTED_VALUE"""),15100.0)</f>
        <v>15100</v>
      </c>
      <c r="E775" s="1">
        <f>IFERROR(__xludf.DUMMYFUNCTION("""COMPUTED_VALUE"""),15240.0)</f>
        <v>15240</v>
      </c>
      <c r="F775" s="1">
        <f>IFERROR(__xludf.DUMMYFUNCTION("""COMPUTED_VALUE"""),175143.0)</f>
        <v>175143</v>
      </c>
    </row>
    <row r="776">
      <c r="A776" s="2">
        <f>IFERROR(__xludf.DUMMYFUNCTION("""COMPUTED_VALUE"""),41688.645833333336)</f>
        <v>41688.64583</v>
      </c>
      <c r="B776" s="1">
        <f>IFERROR(__xludf.DUMMYFUNCTION("""COMPUTED_VALUE"""),15240.0)</f>
        <v>15240</v>
      </c>
      <c r="C776" s="1">
        <f>IFERROR(__xludf.DUMMYFUNCTION("""COMPUTED_VALUE"""),15360.0)</f>
        <v>15360</v>
      </c>
      <c r="D776" s="1">
        <f>IFERROR(__xludf.DUMMYFUNCTION("""COMPUTED_VALUE"""),15160.0)</f>
        <v>15160</v>
      </c>
      <c r="E776" s="1">
        <f>IFERROR(__xludf.DUMMYFUNCTION("""COMPUTED_VALUE"""),15280.0)</f>
        <v>15280</v>
      </c>
      <c r="F776" s="1">
        <f>IFERROR(__xludf.DUMMYFUNCTION("""COMPUTED_VALUE"""),56185.0)</f>
        <v>56185</v>
      </c>
    </row>
    <row r="777">
      <c r="A777" s="2">
        <f>IFERROR(__xludf.DUMMYFUNCTION("""COMPUTED_VALUE"""),41690.645833333336)</f>
        <v>41690.64583</v>
      </c>
      <c r="B777" s="1">
        <f>IFERROR(__xludf.DUMMYFUNCTION("""COMPUTED_VALUE"""),15240.0)</f>
        <v>15240</v>
      </c>
      <c r="C777" s="1">
        <f>IFERROR(__xludf.DUMMYFUNCTION("""COMPUTED_VALUE"""),15300.0)</f>
        <v>15300</v>
      </c>
      <c r="D777" s="1">
        <f>IFERROR(__xludf.DUMMYFUNCTION("""COMPUTED_VALUE"""),15120.0)</f>
        <v>15120</v>
      </c>
      <c r="E777" s="1">
        <f>IFERROR(__xludf.DUMMYFUNCTION("""COMPUTED_VALUE"""),15180.0)</f>
        <v>15180</v>
      </c>
      <c r="F777" s="1">
        <f>IFERROR(__xludf.DUMMYFUNCTION("""COMPUTED_VALUE"""),94852.0)</f>
        <v>94852</v>
      </c>
    </row>
    <row r="778">
      <c r="A778" s="2">
        <f>IFERROR(__xludf.DUMMYFUNCTION("""COMPUTED_VALUE"""),41691.645833333336)</f>
        <v>41691.64583</v>
      </c>
      <c r="B778" s="1">
        <f>IFERROR(__xludf.DUMMYFUNCTION("""COMPUTED_VALUE"""),15140.0)</f>
        <v>15140</v>
      </c>
      <c r="C778" s="1">
        <f>IFERROR(__xludf.DUMMYFUNCTION("""COMPUTED_VALUE"""),15240.0)</f>
        <v>15240</v>
      </c>
      <c r="D778" s="1">
        <f>IFERROR(__xludf.DUMMYFUNCTION("""COMPUTED_VALUE"""),15100.0)</f>
        <v>15100</v>
      </c>
      <c r="E778" s="1">
        <f>IFERROR(__xludf.DUMMYFUNCTION("""COMPUTED_VALUE"""),15120.0)</f>
        <v>15120</v>
      </c>
      <c r="F778" s="1">
        <f>IFERROR(__xludf.DUMMYFUNCTION("""COMPUTED_VALUE"""),64058.0)</f>
        <v>64058</v>
      </c>
    </row>
    <row r="779">
      <c r="A779" s="2">
        <f>IFERROR(__xludf.DUMMYFUNCTION("""COMPUTED_VALUE"""),41694.645833333336)</f>
        <v>41694.64583</v>
      </c>
      <c r="B779" s="1">
        <f>IFERROR(__xludf.DUMMYFUNCTION("""COMPUTED_VALUE"""),15140.0)</f>
        <v>15140</v>
      </c>
      <c r="C779" s="1">
        <f>IFERROR(__xludf.DUMMYFUNCTION("""COMPUTED_VALUE"""),15160.0)</f>
        <v>15160</v>
      </c>
      <c r="D779" s="1">
        <f>IFERROR(__xludf.DUMMYFUNCTION("""COMPUTED_VALUE"""),14360.0)</f>
        <v>14360</v>
      </c>
      <c r="E779" s="1">
        <f>IFERROR(__xludf.DUMMYFUNCTION("""COMPUTED_VALUE"""),14360.0)</f>
        <v>14360</v>
      </c>
      <c r="F779" s="1">
        <f>IFERROR(__xludf.DUMMYFUNCTION("""COMPUTED_VALUE"""),160674.0)</f>
        <v>160674</v>
      </c>
    </row>
    <row r="780">
      <c r="A780" s="2">
        <f>IFERROR(__xludf.DUMMYFUNCTION("""COMPUTED_VALUE"""),41695.645833333336)</f>
        <v>41695.64583</v>
      </c>
      <c r="B780" s="1">
        <f>IFERROR(__xludf.DUMMYFUNCTION("""COMPUTED_VALUE"""),14440.0)</f>
        <v>14440</v>
      </c>
      <c r="C780" s="1">
        <f>IFERROR(__xludf.DUMMYFUNCTION("""COMPUTED_VALUE"""),14580.0)</f>
        <v>14580</v>
      </c>
      <c r="D780" s="1">
        <f>IFERROR(__xludf.DUMMYFUNCTION("""COMPUTED_VALUE"""),14380.0)</f>
        <v>14380</v>
      </c>
      <c r="E780" s="1">
        <f>IFERROR(__xludf.DUMMYFUNCTION("""COMPUTED_VALUE"""),14580.0)</f>
        <v>14580</v>
      </c>
      <c r="F780" s="1">
        <f>IFERROR(__xludf.DUMMYFUNCTION("""COMPUTED_VALUE"""),94678.0)</f>
        <v>94678</v>
      </c>
    </row>
    <row r="781">
      <c r="A781" s="2">
        <f>IFERROR(__xludf.DUMMYFUNCTION("""COMPUTED_VALUE"""),41696.645833333336)</f>
        <v>41696.64583</v>
      </c>
      <c r="B781" s="1">
        <f>IFERROR(__xludf.DUMMYFUNCTION("""COMPUTED_VALUE"""),14620.0)</f>
        <v>14620</v>
      </c>
      <c r="C781" s="1">
        <f>IFERROR(__xludf.DUMMYFUNCTION("""COMPUTED_VALUE"""),14680.0)</f>
        <v>14680</v>
      </c>
      <c r="D781" s="1">
        <f>IFERROR(__xludf.DUMMYFUNCTION("""COMPUTED_VALUE"""),14360.0)</f>
        <v>14360</v>
      </c>
      <c r="E781" s="1">
        <f>IFERROR(__xludf.DUMMYFUNCTION("""COMPUTED_VALUE"""),14360.0)</f>
        <v>14360</v>
      </c>
      <c r="F781" s="1">
        <f>IFERROR(__xludf.DUMMYFUNCTION("""COMPUTED_VALUE"""),72668.0)</f>
        <v>72668</v>
      </c>
    </row>
    <row r="782">
      <c r="A782" s="2">
        <f>IFERROR(__xludf.DUMMYFUNCTION("""COMPUTED_VALUE"""),41697.645833333336)</f>
        <v>41697.64583</v>
      </c>
      <c r="B782" s="1">
        <f>IFERROR(__xludf.DUMMYFUNCTION("""COMPUTED_VALUE"""),14400.0)</f>
        <v>14400</v>
      </c>
      <c r="C782" s="1">
        <f>IFERROR(__xludf.DUMMYFUNCTION("""COMPUTED_VALUE"""),14420.0)</f>
        <v>14420</v>
      </c>
      <c r="D782" s="1">
        <f>IFERROR(__xludf.DUMMYFUNCTION("""COMPUTED_VALUE"""),14180.0)</f>
        <v>14180</v>
      </c>
      <c r="E782" s="1">
        <f>IFERROR(__xludf.DUMMYFUNCTION("""COMPUTED_VALUE"""),14200.0)</f>
        <v>14200</v>
      </c>
      <c r="F782" s="1">
        <f>IFERROR(__xludf.DUMMYFUNCTION("""COMPUTED_VALUE"""),70227.0)</f>
        <v>70227</v>
      </c>
    </row>
    <row r="783">
      <c r="A783" s="2">
        <f>IFERROR(__xludf.DUMMYFUNCTION("""COMPUTED_VALUE"""),41698.645833333336)</f>
        <v>41698.64583</v>
      </c>
      <c r="B783" s="1">
        <f>IFERROR(__xludf.DUMMYFUNCTION("""COMPUTED_VALUE"""),14280.0)</f>
        <v>14280</v>
      </c>
      <c r="C783" s="1">
        <f>IFERROR(__xludf.DUMMYFUNCTION("""COMPUTED_VALUE"""),14280.0)</f>
        <v>14280</v>
      </c>
      <c r="D783" s="1">
        <f>IFERROR(__xludf.DUMMYFUNCTION("""COMPUTED_VALUE"""),13920.0)</f>
        <v>13920</v>
      </c>
      <c r="E783" s="1">
        <f>IFERROR(__xludf.DUMMYFUNCTION("""COMPUTED_VALUE"""),14000.0)</f>
        <v>14000</v>
      </c>
      <c r="F783" s="1">
        <f>IFERROR(__xludf.DUMMYFUNCTION("""COMPUTED_VALUE"""),104304.0)</f>
        <v>104304</v>
      </c>
    </row>
    <row r="784">
      <c r="A784" s="2">
        <f>IFERROR(__xludf.DUMMYFUNCTION("""COMPUTED_VALUE"""),41701.645833333336)</f>
        <v>41701.64583</v>
      </c>
      <c r="B784" s="1">
        <f>IFERROR(__xludf.DUMMYFUNCTION("""COMPUTED_VALUE"""),14000.0)</f>
        <v>14000</v>
      </c>
      <c r="C784" s="1">
        <f>IFERROR(__xludf.DUMMYFUNCTION("""COMPUTED_VALUE"""),14100.0)</f>
        <v>14100</v>
      </c>
      <c r="D784" s="1">
        <f>IFERROR(__xludf.DUMMYFUNCTION("""COMPUTED_VALUE"""),13840.0)</f>
        <v>13840</v>
      </c>
      <c r="E784" s="1">
        <f>IFERROR(__xludf.DUMMYFUNCTION("""COMPUTED_VALUE"""),13880.0)</f>
        <v>13880</v>
      </c>
      <c r="F784" s="1">
        <f>IFERROR(__xludf.DUMMYFUNCTION("""COMPUTED_VALUE"""),83840.0)</f>
        <v>83840</v>
      </c>
    </row>
    <row r="785">
      <c r="A785" s="2">
        <f>IFERROR(__xludf.DUMMYFUNCTION("""COMPUTED_VALUE"""),41702.645833333336)</f>
        <v>41702.64583</v>
      </c>
      <c r="B785" s="1">
        <f>IFERROR(__xludf.DUMMYFUNCTION("""COMPUTED_VALUE"""),13880.0)</f>
        <v>13880</v>
      </c>
      <c r="C785" s="1">
        <f>IFERROR(__xludf.DUMMYFUNCTION("""COMPUTED_VALUE"""),14060.0)</f>
        <v>14060</v>
      </c>
      <c r="D785" s="1">
        <f>IFERROR(__xludf.DUMMYFUNCTION("""COMPUTED_VALUE"""),13680.0)</f>
        <v>13680</v>
      </c>
      <c r="E785" s="1">
        <f>IFERROR(__xludf.DUMMYFUNCTION("""COMPUTED_VALUE"""),13740.0)</f>
        <v>13740</v>
      </c>
      <c r="F785" s="1">
        <f>IFERROR(__xludf.DUMMYFUNCTION("""COMPUTED_VALUE"""),108343.0)</f>
        <v>108343</v>
      </c>
    </row>
    <row r="786">
      <c r="A786" s="2">
        <f>IFERROR(__xludf.DUMMYFUNCTION("""COMPUTED_VALUE"""),41703.645833333336)</f>
        <v>41703.64583</v>
      </c>
      <c r="B786" s="1">
        <f>IFERROR(__xludf.DUMMYFUNCTION("""COMPUTED_VALUE"""),13840.0)</f>
        <v>13840</v>
      </c>
      <c r="C786" s="1">
        <f>IFERROR(__xludf.DUMMYFUNCTION("""COMPUTED_VALUE"""),14040.0)</f>
        <v>14040</v>
      </c>
      <c r="D786" s="1">
        <f>IFERROR(__xludf.DUMMYFUNCTION("""COMPUTED_VALUE"""),13800.0)</f>
        <v>13800</v>
      </c>
      <c r="E786" s="1">
        <f>IFERROR(__xludf.DUMMYFUNCTION("""COMPUTED_VALUE"""),13880.0)</f>
        <v>13880</v>
      </c>
      <c r="F786" s="1">
        <f>IFERROR(__xludf.DUMMYFUNCTION("""COMPUTED_VALUE"""),123999.0)</f>
        <v>123999</v>
      </c>
    </row>
    <row r="787">
      <c r="A787" s="2">
        <f>IFERROR(__xludf.DUMMYFUNCTION("""COMPUTED_VALUE"""),41704.645833333336)</f>
        <v>41704.64583</v>
      </c>
      <c r="B787" s="1">
        <f>IFERROR(__xludf.DUMMYFUNCTION("""COMPUTED_VALUE"""),14000.0)</f>
        <v>14000</v>
      </c>
      <c r="C787" s="1">
        <f>IFERROR(__xludf.DUMMYFUNCTION("""COMPUTED_VALUE"""),14220.0)</f>
        <v>14220</v>
      </c>
      <c r="D787" s="1">
        <f>IFERROR(__xludf.DUMMYFUNCTION("""COMPUTED_VALUE"""),13860.0)</f>
        <v>13860</v>
      </c>
      <c r="E787" s="1">
        <f>IFERROR(__xludf.DUMMYFUNCTION("""COMPUTED_VALUE"""),13880.0)</f>
        <v>13880</v>
      </c>
      <c r="F787" s="1">
        <f>IFERROR(__xludf.DUMMYFUNCTION("""COMPUTED_VALUE"""),221204.0)</f>
        <v>221204</v>
      </c>
    </row>
    <row r="788">
      <c r="A788" s="2">
        <f>IFERROR(__xludf.DUMMYFUNCTION("""COMPUTED_VALUE"""),41705.645833333336)</f>
        <v>41705.64583</v>
      </c>
      <c r="B788" s="1">
        <f>IFERROR(__xludf.DUMMYFUNCTION("""COMPUTED_VALUE"""),13960.0)</f>
        <v>13960</v>
      </c>
      <c r="C788" s="1">
        <f>IFERROR(__xludf.DUMMYFUNCTION("""COMPUTED_VALUE"""),13960.0)</f>
        <v>13960</v>
      </c>
      <c r="D788" s="1">
        <f>IFERROR(__xludf.DUMMYFUNCTION("""COMPUTED_VALUE"""),13780.0)</f>
        <v>13780</v>
      </c>
      <c r="E788" s="1">
        <f>IFERROR(__xludf.DUMMYFUNCTION("""COMPUTED_VALUE"""),13880.0)</f>
        <v>13880</v>
      </c>
      <c r="F788" s="1">
        <f>IFERROR(__xludf.DUMMYFUNCTION("""COMPUTED_VALUE"""),196192.0)</f>
        <v>196192</v>
      </c>
    </row>
    <row r="789">
      <c r="A789" s="2">
        <f>IFERROR(__xludf.DUMMYFUNCTION("""COMPUTED_VALUE"""),41708.645833333336)</f>
        <v>41708.64583</v>
      </c>
      <c r="B789" s="1">
        <f>IFERROR(__xludf.DUMMYFUNCTION("""COMPUTED_VALUE"""),13900.0)</f>
        <v>13900</v>
      </c>
      <c r="C789" s="1">
        <f>IFERROR(__xludf.DUMMYFUNCTION("""COMPUTED_VALUE"""),14080.0)</f>
        <v>14080</v>
      </c>
      <c r="D789" s="1">
        <f>IFERROR(__xludf.DUMMYFUNCTION("""COMPUTED_VALUE"""),13860.0)</f>
        <v>13860</v>
      </c>
      <c r="E789" s="1">
        <f>IFERROR(__xludf.DUMMYFUNCTION("""COMPUTED_VALUE"""),13880.0)</f>
        <v>13880</v>
      </c>
      <c r="F789" s="1">
        <f>IFERROR(__xludf.DUMMYFUNCTION("""COMPUTED_VALUE"""),135674.0)</f>
        <v>135674</v>
      </c>
    </row>
    <row r="790">
      <c r="A790" s="2">
        <f>IFERROR(__xludf.DUMMYFUNCTION("""COMPUTED_VALUE"""),41709.645833333336)</f>
        <v>41709.64583</v>
      </c>
      <c r="B790" s="1">
        <f>IFERROR(__xludf.DUMMYFUNCTION("""COMPUTED_VALUE"""),13940.0)</f>
        <v>13940</v>
      </c>
      <c r="C790" s="1">
        <f>IFERROR(__xludf.DUMMYFUNCTION("""COMPUTED_VALUE"""),14080.0)</f>
        <v>14080</v>
      </c>
      <c r="D790" s="1">
        <f>IFERROR(__xludf.DUMMYFUNCTION("""COMPUTED_VALUE"""),13820.0)</f>
        <v>13820</v>
      </c>
      <c r="E790" s="1">
        <f>IFERROR(__xludf.DUMMYFUNCTION("""COMPUTED_VALUE"""),13880.0)</f>
        <v>13880</v>
      </c>
      <c r="F790" s="1">
        <f>IFERROR(__xludf.DUMMYFUNCTION("""COMPUTED_VALUE"""),145881.0)</f>
        <v>145881</v>
      </c>
    </row>
    <row r="791">
      <c r="A791" s="2">
        <f>IFERROR(__xludf.DUMMYFUNCTION("""COMPUTED_VALUE"""),41710.645833333336)</f>
        <v>41710.64583</v>
      </c>
      <c r="B791" s="1">
        <f>IFERROR(__xludf.DUMMYFUNCTION("""COMPUTED_VALUE"""),13880.0)</f>
        <v>13880</v>
      </c>
      <c r="C791" s="1">
        <f>IFERROR(__xludf.DUMMYFUNCTION("""COMPUTED_VALUE"""),14080.0)</f>
        <v>14080</v>
      </c>
      <c r="D791" s="1">
        <f>IFERROR(__xludf.DUMMYFUNCTION("""COMPUTED_VALUE"""),13800.0)</f>
        <v>13800</v>
      </c>
      <c r="E791" s="1">
        <f>IFERROR(__xludf.DUMMYFUNCTION("""COMPUTED_VALUE"""),14020.0)</f>
        <v>14020</v>
      </c>
      <c r="F791" s="1">
        <f>IFERROR(__xludf.DUMMYFUNCTION("""COMPUTED_VALUE"""),119795.0)</f>
        <v>119795</v>
      </c>
    </row>
    <row r="792">
      <c r="A792" s="2">
        <f>IFERROR(__xludf.DUMMYFUNCTION("""COMPUTED_VALUE"""),41711.645833333336)</f>
        <v>41711.64583</v>
      </c>
      <c r="B792" s="1">
        <f>IFERROR(__xludf.DUMMYFUNCTION("""COMPUTED_VALUE"""),14040.0)</f>
        <v>14040</v>
      </c>
      <c r="C792" s="1">
        <f>IFERROR(__xludf.DUMMYFUNCTION("""COMPUTED_VALUE"""),14120.0)</f>
        <v>14120</v>
      </c>
      <c r="D792" s="1">
        <f>IFERROR(__xludf.DUMMYFUNCTION("""COMPUTED_VALUE"""),13900.0)</f>
        <v>13900</v>
      </c>
      <c r="E792" s="1">
        <f>IFERROR(__xludf.DUMMYFUNCTION("""COMPUTED_VALUE"""),13980.0)</f>
        <v>13980</v>
      </c>
      <c r="F792" s="1">
        <f>IFERROR(__xludf.DUMMYFUNCTION("""COMPUTED_VALUE"""),105165.0)</f>
        <v>105165</v>
      </c>
    </row>
    <row r="793">
      <c r="A793" s="2">
        <f>IFERROR(__xludf.DUMMYFUNCTION("""COMPUTED_VALUE"""),41712.645833333336)</f>
        <v>41712.64583</v>
      </c>
      <c r="B793" s="1">
        <f>IFERROR(__xludf.DUMMYFUNCTION("""COMPUTED_VALUE"""),13940.0)</f>
        <v>13940</v>
      </c>
      <c r="C793" s="1">
        <f>IFERROR(__xludf.DUMMYFUNCTION("""COMPUTED_VALUE"""),15440.0)</f>
        <v>15440</v>
      </c>
      <c r="D793" s="1">
        <f>IFERROR(__xludf.DUMMYFUNCTION("""COMPUTED_VALUE"""),13900.0)</f>
        <v>13900</v>
      </c>
      <c r="E793" s="1">
        <f>IFERROR(__xludf.DUMMYFUNCTION("""COMPUTED_VALUE"""),15300.0)</f>
        <v>15300</v>
      </c>
      <c r="F793" s="1">
        <f>IFERROR(__xludf.DUMMYFUNCTION("""COMPUTED_VALUE"""),532914.0)</f>
        <v>532914</v>
      </c>
    </row>
    <row r="794">
      <c r="A794" s="2">
        <f>IFERROR(__xludf.DUMMYFUNCTION("""COMPUTED_VALUE"""),41715.645833333336)</f>
        <v>41715.64583</v>
      </c>
      <c r="B794" s="1">
        <f>IFERROR(__xludf.DUMMYFUNCTION("""COMPUTED_VALUE"""),15200.0)</f>
        <v>15200</v>
      </c>
      <c r="C794" s="1">
        <f>IFERROR(__xludf.DUMMYFUNCTION("""COMPUTED_VALUE"""),15500.0)</f>
        <v>15500</v>
      </c>
      <c r="D794" s="1">
        <f>IFERROR(__xludf.DUMMYFUNCTION("""COMPUTED_VALUE"""),14960.0)</f>
        <v>14960</v>
      </c>
      <c r="E794" s="1">
        <f>IFERROR(__xludf.DUMMYFUNCTION("""COMPUTED_VALUE"""),15200.0)</f>
        <v>15200</v>
      </c>
      <c r="F794" s="1">
        <f>IFERROR(__xludf.DUMMYFUNCTION("""COMPUTED_VALUE"""),194542.0)</f>
        <v>194542</v>
      </c>
    </row>
    <row r="795">
      <c r="A795" s="2">
        <f>IFERROR(__xludf.DUMMYFUNCTION("""COMPUTED_VALUE"""),41716.645833333336)</f>
        <v>41716.64583</v>
      </c>
      <c r="B795" s="1">
        <f>IFERROR(__xludf.DUMMYFUNCTION("""COMPUTED_VALUE"""),15240.0)</f>
        <v>15240</v>
      </c>
      <c r="C795" s="1">
        <f>IFERROR(__xludf.DUMMYFUNCTION("""COMPUTED_VALUE"""),15320.0)</f>
        <v>15320</v>
      </c>
      <c r="D795" s="1">
        <f>IFERROR(__xludf.DUMMYFUNCTION("""COMPUTED_VALUE"""),15000.0)</f>
        <v>15000</v>
      </c>
      <c r="E795" s="1">
        <f>IFERROR(__xludf.DUMMYFUNCTION("""COMPUTED_VALUE"""),15220.0)</f>
        <v>15220</v>
      </c>
      <c r="F795" s="1">
        <f>IFERROR(__xludf.DUMMYFUNCTION("""COMPUTED_VALUE"""),123075.0)</f>
        <v>123075</v>
      </c>
    </row>
    <row r="796">
      <c r="A796" s="2">
        <f>IFERROR(__xludf.DUMMYFUNCTION("""COMPUTED_VALUE"""),41717.645833333336)</f>
        <v>41717.64583</v>
      </c>
      <c r="B796" s="1">
        <f>IFERROR(__xludf.DUMMYFUNCTION("""COMPUTED_VALUE"""),15320.0)</f>
        <v>15320</v>
      </c>
      <c r="C796" s="1">
        <f>IFERROR(__xludf.DUMMYFUNCTION("""COMPUTED_VALUE"""),16040.0)</f>
        <v>16040</v>
      </c>
      <c r="D796" s="1">
        <f>IFERROR(__xludf.DUMMYFUNCTION("""COMPUTED_VALUE"""),15080.0)</f>
        <v>15080</v>
      </c>
      <c r="E796" s="1">
        <f>IFERROR(__xludf.DUMMYFUNCTION("""COMPUTED_VALUE"""),15960.0)</f>
        <v>15960</v>
      </c>
      <c r="F796" s="1">
        <f>IFERROR(__xludf.DUMMYFUNCTION("""COMPUTED_VALUE"""),275170.0)</f>
        <v>275170</v>
      </c>
    </row>
    <row r="797">
      <c r="A797" s="2">
        <f>IFERROR(__xludf.DUMMYFUNCTION("""COMPUTED_VALUE"""),41718.645833333336)</f>
        <v>41718.64583</v>
      </c>
      <c r="B797" s="1">
        <f>IFERROR(__xludf.DUMMYFUNCTION("""COMPUTED_VALUE"""),15800.0)</f>
        <v>15800</v>
      </c>
      <c r="C797" s="1">
        <f>IFERROR(__xludf.DUMMYFUNCTION("""COMPUTED_VALUE"""),16040.0)</f>
        <v>16040</v>
      </c>
      <c r="D797" s="1">
        <f>IFERROR(__xludf.DUMMYFUNCTION("""COMPUTED_VALUE"""),15520.0)</f>
        <v>15520</v>
      </c>
      <c r="E797" s="1">
        <f>IFERROR(__xludf.DUMMYFUNCTION("""COMPUTED_VALUE"""),15960.0)</f>
        <v>15960</v>
      </c>
      <c r="F797" s="1">
        <f>IFERROR(__xludf.DUMMYFUNCTION("""COMPUTED_VALUE"""),128668.0)</f>
        <v>128668</v>
      </c>
    </row>
    <row r="798">
      <c r="A798" s="2">
        <f>IFERROR(__xludf.DUMMYFUNCTION("""COMPUTED_VALUE"""),41719.645833333336)</f>
        <v>41719.64583</v>
      </c>
      <c r="B798" s="1">
        <f>IFERROR(__xludf.DUMMYFUNCTION("""COMPUTED_VALUE"""),16100.0)</f>
        <v>16100</v>
      </c>
      <c r="C798" s="1">
        <f>IFERROR(__xludf.DUMMYFUNCTION("""COMPUTED_VALUE"""),16100.0)</f>
        <v>16100</v>
      </c>
      <c r="D798" s="1">
        <f>IFERROR(__xludf.DUMMYFUNCTION("""COMPUTED_VALUE"""),15720.0)</f>
        <v>15720</v>
      </c>
      <c r="E798" s="1">
        <f>IFERROR(__xludf.DUMMYFUNCTION("""COMPUTED_VALUE"""),15780.0)</f>
        <v>15780</v>
      </c>
      <c r="F798" s="1">
        <f>IFERROR(__xludf.DUMMYFUNCTION("""COMPUTED_VALUE"""),101451.0)</f>
        <v>101451</v>
      </c>
    </row>
    <row r="799">
      <c r="A799" s="2">
        <f>IFERROR(__xludf.DUMMYFUNCTION("""COMPUTED_VALUE"""),41722.645833333336)</f>
        <v>41722.64583</v>
      </c>
      <c r="B799" s="1">
        <f>IFERROR(__xludf.DUMMYFUNCTION("""COMPUTED_VALUE"""),15700.0)</f>
        <v>15700</v>
      </c>
      <c r="C799" s="1">
        <f>IFERROR(__xludf.DUMMYFUNCTION("""COMPUTED_VALUE"""),15880.0)</f>
        <v>15880</v>
      </c>
      <c r="D799" s="1">
        <f>IFERROR(__xludf.DUMMYFUNCTION("""COMPUTED_VALUE"""),15360.0)</f>
        <v>15360</v>
      </c>
      <c r="E799" s="1">
        <f>IFERROR(__xludf.DUMMYFUNCTION("""COMPUTED_VALUE"""),15760.0)</f>
        <v>15760</v>
      </c>
      <c r="F799" s="1">
        <f>IFERROR(__xludf.DUMMYFUNCTION("""COMPUTED_VALUE"""),86580.0)</f>
        <v>86580</v>
      </c>
    </row>
    <row r="800">
      <c r="A800" s="2">
        <f>IFERROR(__xludf.DUMMYFUNCTION("""COMPUTED_VALUE"""),41723.645833333336)</f>
        <v>41723.64583</v>
      </c>
      <c r="B800" s="1">
        <f>IFERROR(__xludf.DUMMYFUNCTION("""COMPUTED_VALUE"""),15760.0)</f>
        <v>15760</v>
      </c>
      <c r="C800" s="1">
        <f>IFERROR(__xludf.DUMMYFUNCTION("""COMPUTED_VALUE"""),15820.0)</f>
        <v>15820</v>
      </c>
      <c r="D800" s="1">
        <f>IFERROR(__xludf.DUMMYFUNCTION("""COMPUTED_VALUE"""),15420.0)</f>
        <v>15420</v>
      </c>
      <c r="E800" s="1">
        <f>IFERROR(__xludf.DUMMYFUNCTION("""COMPUTED_VALUE"""),15420.0)</f>
        <v>15420</v>
      </c>
      <c r="F800" s="1">
        <f>IFERROR(__xludf.DUMMYFUNCTION("""COMPUTED_VALUE"""),49555.0)</f>
        <v>49555</v>
      </c>
    </row>
    <row r="801">
      <c r="A801" s="2">
        <f>IFERROR(__xludf.DUMMYFUNCTION("""COMPUTED_VALUE"""),41724.645833333336)</f>
        <v>41724.64583</v>
      </c>
      <c r="B801" s="1">
        <f>IFERROR(__xludf.DUMMYFUNCTION("""COMPUTED_VALUE"""),15500.0)</f>
        <v>15500</v>
      </c>
      <c r="C801" s="1">
        <f>IFERROR(__xludf.DUMMYFUNCTION("""COMPUTED_VALUE"""),15780.0)</f>
        <v>15780</v>
      </c>
      <c r="D801" s="1">
        <f>IFERROR(__xludf.DUMMYFUNCTION("""COMPUTED_VALUE"""),15380.0)</f>
        <v>15380</v>
      </c>
      <c r="E801" s="1">
        <f>IFERROR(__xludf.DUMMYFUNCTION("""COMPUTED_VALUE"""),15560.0)</f>
        <v>15560</v>
      </c>
      <c r="F801" s="1">
        <f>IFERROR(__xludf.DUMMYFUNCTION("""COMPUTED_VALUE"""),47627.0)</f>
        <v>47627</v>
      </c>
    </row>
    <row r="802">
      <c r="A802" s="2">
        <f>IFERROR(__xludf.DUMMYFUNCTION("""COMPUTED_VALUE"""),41725.645833333336)</f>
        <v>41725.64583</v>
      </c>
      <c r="B802" s="1">
        <f>IFERROR(__xludf.DUMMYFUNCTION("""COMPUTED_VALUE"""),15520.0)</f>
        <v>15520</v>
      </c>
      <c r="C802" s="1">
        <f>IFERROR(__xludf.DUMMYFUNCTION("""COMPUTED_VALUE"""),15760.0)</f>
        <v>15760</v>
      </c>
      <c r="D802" s="1">
        <f>IFERROR(__xludf.DUMMYFUNCTION("""COMPUTED_VALUE"""),15220.0)</f>
        <v>15220</v>
      </c>
      <c r="E802" s="1">
        <f>IFERROR(__xludf.DUMMYFUNCTION("""COMPUTED_VALUE"""),15480.0)</f>
        <v>15480</v>
      </c>
      <c r="F802" s="1">
        <f>IFERROR(__xludf.DUMMYFUNCTION("""COMPUTED_VALUE"""),69946.0)</f>
        <v>69946</v>
      </c>
    </row>
    <row r="803">
      <c r="A803" s="2">
        <f>IFERROR(__xludf.DUMMYFUNCTION("""COMPUTED_VALUE"""),41726.645833333336)</f>
        <v>41726.64583</v>
      </c>
      <c r="B803" s="1">
        <f>IFERROR(__xludf.DUMMYFUNCTION("""COMPUTED_VALUE"""),15480.0)</f>
        <v>15480</v>
      </c>
      <c r="C803" s="1">
        <f>IFERROR(__xludf.DUMMYFUNCTION("""COMPUTED_VALUE"""),15480.0)</f>
        <v>15480</v>
      </c>
      <c r="D803" s="1">
        <f>IFERROR(__xludf.DUMMYFUNCTION("""COMPUTED_VALUE"""),15100.0)</f>
        <v>15100</v>
      </c>
      <c r="E803" s="1">
        <f>IFERROR(__xludf.DUMMYFUNCTION("""COMPUTED_VALUE"""),15460.0)</f>
        <v>15460</v>
      </c>
      <c r="F803" s="1">
        <f>IFERROR(__xludf.DUMMYFUNCTION("""COMPUTED_VALUE"""),72448.0)</f>
        <v>72448</v>
      </c>
    </row>
    <row r="804">
      <c r="A804" s="2">
        <f>IFERROR(__xludf.DUMMYFUNCTION("""COMPUTED_VALUE"""),41729.645833333336)</f>
        <v>41729.64583</v>
      </c>
      <c r="B804" s="1">
        <f>IFERROR(__xludf.DUMMYFUNCTION("""COMPUTED_VALUE"""),15420.0)</f>
        <v>15420</v>
      </c>
      <c r="C804" s="1">
        <f>IFERROR(__xludf.DUMMYFUNCTION("""COMPUTED_VALUE"""),15680.0)</f>
        <v>15680</v>
      </c>
      <c r="D804" s="1">
        <f>IFERROR(__xludf.DUMMYFUNCTION("""COMPUTED_VALUE"""),15380.0)</f>
        <v>15380</v>
      </c>
      <c r="E804" s="1">
        <f>IFERROR(__xludf.DUMMYFUNCTION("""COMPUTED_VALUE"""),15640.0)</f>
        <v>15640</v>
      </c>
      <c r="F804" s="1">
        <f>IFERROR(__xludf.DUMMYFUNCTION("""COMPUTED_VALUE"""),94802.0)</f>
        <v>94802</v>
      </c>
    </row>
    <row r="805">
      <c r="A805" s="2">
        <f>IFERROR(__xludf.DUMMYFUNCTION("""COMPUTED_VALUE"""),41730.645833333336)</f>
        <v>41730.64583</v>
      </c>
      <c r="B805" s="1">
        <f>IFERROR(__xludf.DUMMYFUNCTION("""COMPUTED_VALUE"""),15820.0)</f>
        <v>15820</v>
      </c>
      <c r="C805" s="1">
        <f>IFERROR(__xludf.DUMMYFUNCTION("""COMPUTED_VALUE"""),16340.0)</f>
        <v>16340</v>
      </c>
      <c r="D805" s="1">
        <f>IFERROR(__xludf.DUMMYFUNCTION("""COMPUTED_VALUE"""),15500.0)</f>
        <v>15500</v>
      </c>
      <c r="E805" s="1">
        <f>IFERROR(__xludf.DUMMYFUNCTION("""COMPUTED_VALUE"""),15580.0)</f>
        <v>15580</v>
      </c>
      <c r="F805" s="1">
        <f>IFERROR(__xludf.DUMMYFUNCTION("""COMPUTED_VALUE"""),179358.0)</f>
        <v>179358</v>
      </c>
    </row>
    <row r="806">
      <c r="A806" s="2">
        <f>IFERROR(__xludf.DUMMYFUNCTION("""COMPUTED_VALUE"""),41731.645833333336)</f>
        <v>41731.64583</v>
      </c>
      <c r="B806" s="1">
        <f>IFERROR(__xludf.DUMMYFUNCTION("""COMPUTED_VALUE"""),15540.0)</f>
        <v>15540</v>
      </c>
      <c r="C806" s="1">
        <f>IFERROR(__xludf.DUMMYFUNCTION("""COMPUTED_VALUE"""),15860.0)</f>
        <v>15860</v>
      </c>
      <c r="D806" s="1">
        <f>IFERROR(__xludf.DUMMYFUNCTION("""COMPUTED_VALUE"""),15460.0)</f>
        <v>15460</v>
      </c>
      <c r="E806" s="1">
        <f>IFERROR(__xludf.DUMMYFUNCTION("""COMPUTED_VALUE"""),15740.0)</f>
        <v>15740</v>
      </c>
      <c r="F806" s="1">
        <f>IFERROR(__xludf.DUMMYFUNCTION("""COMPUTED_VALUE"""),74564.0)</f>
        <v>74564</v>
      </c>
    </row>
    <row r="807">
      <c r="A807" s="2">
        <f>IFERROR(__xludf.DUMMYFUNCTION("""COMPUTED_VALUE"""),41732.645833333336)</f>
        <v>41732.64583</v>
      </c>
      <c r="B807" s="1">
        <f>IFERROR(__xludf.DUMMYFUNCTION("""COMPUTED_VALUE"""),15760.0)</f>
        <v>15760</v>
      </c>
      <c r="C807" s="1">
        <f>IFERROR(__xludf.DUMMYFUNCTION("""COMPUTED_VALUE"""),15900.0)</f>
        <v>15900</v>
      </c>
      <c r="D807" s="1">
        <f>IFERROR(__xludf.DUMMYFUNCTION("""COMPUTED_VALUE"""),15360.0)</f>
        <v>15360</v>
      </c>
      <c r="E807" s="1">
        <f>IFERROR(__xludf.DUMMYFUNCTION("""COMPUTED_VALUE"""),15380.0)</f>
        <v>15380</v>
      </c>
      <c r="F807" s="1">
        <f>IFERROR(__xludf.DUMMYFUNCTION("""COMPUTED_VALUE"""),57328.0)</f>
        <v>57328</v>
      </c>
    </row>
    <row r="808">
      <c r="A808" s="2">
        <f>IFERROR(__xludf.DUMMYFUNCTION("""COMPUTED_VALUE"""),41733.645833333336)</f>
        <v>41733.64583</v>
      </c>
      <c r="B808" s="1">
        <f>IFERROR(__xludf.DUMMYFUNCTION("""COMPUTED_VALUE"""),15220.0)</f>
        <v>15220</v>
      </c>
      <c r="C808" s="1">
        <f>IFERROR(__xludf.DUMMYFUNCTION("""COMPUTED_VALUE"""),15560.0)</f>
        <v>15560</v>
      </c>
      <c r="D808" s="1">
        <f>IFERROR(__xludf.DUMMYFUNCTION("""COMPUTED_VALUE"""),15040.0)</f>
        <v>15040</v>
      </c>
      <c r="E808" s="1">
        <f>IFERROR(__xludf.DUMMYFUNCTION("""COMPUTED_VALUE"""),15160.0)</f>
        <v>15160</v>
      </c>
      <c r="F808" s="1">
        <f>IFERROR(__xludf.DUMMYFUNCTION("""COMPUTED_VALUE"""),114976.0)</f>
        <v>114976</v>
      </c>
    </row>
    <row r="809">
      <c r="A809" s="2">
        <f>IFERROR(__xludf.DUMMYFUNCTION("""COMPUTED_VALUE"""),41736.645833333336)</f>
        <v>41736.64583</v>
      </c>
      <c r="B809" s="1">
        <f>IFERROR(__xludf.DUMMYFUNCTION("""COMPUTED_VALUE"""),15200.0)</f>
        <v>15200</v>
      </c>
      <c r="C809" s="1">
        <f>IFERROR(__xludf.DUMMYFUNCTION("""COMPUTED_VALUE"""),15480.0)</f>
        <v>15480</v>
      </c>
      <c r="D809" s="1">
        <f>IFERROR(__xludf.DUMMYFUNCTION("""COMPUTED_VALUE"""),15000.0)</f>
        <v>15000</v>
      </c>
      <c r="E809" s="1">
        <f>IFERROR(__xludf.DUMMYFUNCTION("""COMPUTED_VALUE"""),15020.0)</f>
        <v>15020</v>
      </c>
      <c r="F809" s="1">
        <f>IFERROR(__xludf.DUMMYFUNCTION("""COMPUTED_VALUE"""),67020.0)</f>
        <v>67020</v>
      </c>
    </row>
    <row r="810">
      <c r="A810" s="2">
        <f>IFERROR(__xludf.DUMMYFUNCTION("""COMPUTED_VALUE"""),41737.645833333336)</f>
        <v>41737.64583</v>
      </c>
      <c r="B810" s="1">
        <f>IFERROR(__xludf.DUMMYFUNCTION("""COMPUTED_VALUE"""),14900.0)</f>
        <v>14900</v>
      </c>
      <c r="C810" s="1">
        <f>IFERROR(__xludf.DUMMYFUNCTION("""COMPUTED_VALUE"""),14960.0)</f>
        <v>14960</v>
      </c>
      <c r="D810" s="1">
        <f>IFERROR(__xludf.DUMMYFUNCTION("""COMPUTED_VALUE"""),14760.0)</f>
        <v>14760</v>
      </c>
      <c r="E810" s="1">
        <f>IFERROR(__xludf.DUMMYFUNCTION("""COMPUTED_VALUE"""),14820.0)</f>
        <v>14820</v>
      </c>
      <c r="F810" s="1">
        <f>IFERROR(__xludf.DUMMYFUNCTION("""COMPUTED_VALUE"""),115341.0)</f>
        <v>115341</v>
      </c>
    </row>
    <row r="811">
      <c r="A811" s="2">
        <f>IFERROR(__xludf.DUMMYFUNCTION("""COMPUTED_VALUE"""),41738.645833333336)</f>
        <v>41738.64583</v>
      </c>
      <c r="B811" s="1">
        <f>IFERROR(__xludf.DUMMYFUNCTION("""COMPUTED_VALUE"""),14880.0)</f>
        <v>14880</v>
      </c>
      <c r="C811" s="1">
        <f>IFERROR(__xludf.DUMMYFUNCTION("""COMPUTED_VALUE"""),14960.0)</f>
        <v>14960</v>
      </c>
      <c r="D811" s="1">
        <f>IFERROR(__xludf.DUMMYFUNCTION("""COMPUTED_VALUE"""),14800.0)</f>
        <v>14800</v>
      </c>
      <c r="E811" s="1">
        <f>IFERROR(__xludf.DUMMYFUNCTION("""COMPUTED_VALUE"""),14880.0)</f>
        <v>14880</v>
      </c>
      <c r="F811" s="1">
        <f>IFERROR(__xludf.DUMMYFUNCTION("""COMPUTED_VALUE"""),56407.0)</f>
        <v>56407</v>
      </c>
    </row>
    <row r="812">
      <c r="A812" s="2">
        <f>IFERROR(__xludf.DUMMYFUNCTION("""COMPUTED_VALUE"""),41739.645833333336)</f>
        <v>41739.64583</v>
      </c>
      <c r="B812" s="1">
        <f>IFERROR(__xludf.DUMMYFUNCTION("""COMPUTED_VALUE"""),15000.0)</f>
        <v>15000</v>
      </c>
      <c r="C812" s="1">
        <f>IFERROR(__xludf.DUMMYFUNCTION("""COMPUTED_VALUE"""),15000.0)</f>
        <v>15000</v>
      </c>
      <c r="D812" s="1">
        <f>IFERROR(__xludf.DUMMYFUNCTION("""COMPUTED_VALUE"""),14660.0)</f>
        <v>14660</v>
      </c>
      <c r="E812" s="1">
        <f>IFERROR(__xludf.DUMMYFUNCTION("""COMPUTED_VALUE"""),14700.0)</f>
        <v>14700</v>
      </c>
      <c r="F812" s="1">
        <f>IFERROR(__xludf.DUMMYFUNCTION("""COMPUTED_VALUE"""),93163.0)</f>
        <v>93163</v>
      </c>
    </row>
    <row r="813">
      <c r="A813" s="2">
        <f>IFERROR(__xludf.DUMMYFUNCTION("""COMPUTED_VALUE"""),41740.645833333336)</f>
        <v>41740.64583</v>
      </c>
      <c r="B813" s="1">
        <f>IFERROR(__xludf.DUMMYFUNCTION("""COMPUTED_VALUE"""),14580.0)</f>
        <v>14580</v>
      </c>
      <c r="C813" s="1">
        <f>IFERROR(__xludf.DUMMYFUNCTION("""COMPUTED_VALUE"""),14680.0)</f>
        <v>14680</v>
      </c>
      <c r="D813" s="1">
        <f>IFERROR(__xludf.DUMMYFUNCTION("""COMPUTED_VALUE"""),14440.0)</f>
        <v>14440</v>
      </c>
      <c r="E813" s="1">
        <f>IFERROR(__xludf.DUMMYFUNCTION("""COMPUTED_VALUE"""),14640.0)</f>
        <v>14640</v>
      </c>
      <c r="F813" s="1">
        <f>IFERROR(__xludf.DUMMYFUNCTION("""COMPUTED_VALUE"""),64926.0)</f>
        <v>64926</v>
      </c>
    </row>
    <row r="814">
      <c r="A814" s="2">
        <f>IFERROR(__xludf.DUMMYFUNCTION("""COMPUTED_VALUE"""),41743.645833333336)</f>
        <v>41743.64583</v>
      </c>
      <c r="B814" s="1">
        <f>IFERROR(__xludf.DUMMYFUNCTION("""COMPUTED_VALUE"""),14580.0)</f>
        <v>14580</v>
      </c>
      <c r="C814" s="1">
        <f>IFERROR(__xludf.DUMMYFUNCTION("""COMPUTED_VALUE"""),14800.0)</f>
        <v>14800</v>
      </c>
      <c r="D814" s="1">
        <f>IFERROR(__xludf.DUMMYFUNCTION("""COMPUTED_VALUE"""),14520.0)</f>
        <v>14520</v>
      </c>
      <c r="E814" s="1">
        <f>IFERROR(__xludf.DUMMYFUNCTION("""COMPUTED_VALUE"""),14800.0)</f>
        <v>14800</v>
      </c>
      <c r="F814" s="1">
        <f>IFERROR(__xludf.DUMMYFUNCTION("""COMPUTED_VALUE"""),37025.0)</f>
        <v>37025</v>
      </c>
    </row>
    <row r="815">
      <c r="A815" s="2">
        <f>IFERROR(__xludf.DUMMYFUNCTION("""COMPUTED_VALUE"""),41744.645833333336)</f>
        <v>41744.64583</v>
      </c>
      <c r="B815" s="1">
        <f>IFERROR(__xludf.DUMMYFUNCTION("""COMPUTED_VALUE"""),14880.0)</f>
        <v>14880</v>
      </c>
      <c r="C815" s="1">
        <f>IFERROR(__xludf.DUMMYFUNCTION("""COMPUTED_VALUE"""),14940.0)</f>
        <v>14940</v>
      </c>
      <c r="D815" s="1">
        <f>IFERROR(__xludf.DUMMYFUNCTION("""COMPUTED_VALUE"""),14800.0)</f>
        <v>14800</v>
      </c>
      <c r="E815" s="1">
        <f>IFERROR(__xludf.DUMMYFUNCTION("""COMPUTED_VALUE"""),14840.0)</f>
        <v>14840</v>
      </c>
      <c r="F815" s="1">
        <f>IFERROR(__xludf.DUMMYFUNCTION("""COMPUTED_VALUE"""),20437.0)</f>
        <v>20437</v>
      </c>
    </row>
    <row r="816">
      <c r="A816" s="2">
        <f>IFERROR(__xludf.DUMMYFUNCTION("""COMPUTED_VALUE"""),41745.645833333336)</f>
        <v>41745.64583</v>
      </c>
      <c r="B816" s="1">
        <f>IFERROR(__xludf.DUMMYFUNCTION("""COMPUTED_VALUE"""),14900.0)</f>
        <v>14900</v>
      </c>
      <c r="C816" s="1">
        <f>IFERROR(__xludf.DUMMYFUNCTION("""COMPUTED_VALUE"""),14960.0)</f>
        <v>14960</v>
      </c>
      <c r="D816" s="1">
        <f>IFERROR(__xludf.DUMMYFUNCTION("""COMPUTED_VALUE"""),14660.0)</f>
        <v>14660</v>
      </c>
      <c r="E816" s="1">
        <f>IFERROR(__xludf.DUMMYFUNCTION("""COMPUTED_VALUE"""),14820.0)</f>
        <v>14820</v>
      </c>
      <c r="F816" s="1">
        <f>IFERROR(__xludf.DUMMYFUNCTION("""COMPUTED_VALUE"""),32679.0)</f>
        <v>32679</v>
      </c>
    </row>
    <row r="817">
      <c r="A817" s="2">
        <f>IFERROR(__xludf.DUMMYFUNCTION("""COMPUTED_VALUE"""),41746.645833333336)</f>
        <v>41746.64583</v>
      </c>
      <c r="B817" s="1">
        <f>IFERROR(__xludf.DUMMYFUNCTION("""COMPUTED_VALUE"""),14840.0)</f>
        <v>14840</v>
      </c>
      <c r="C817" s="1">
        <f>IFERROR(__xludf.DUMMYFUNCTION("""COMPUTED_VALUE"""),14960.0)</f>
        <v>14960</v>
      </c>
      <c r="D817" s="1">
        <f>IFERROR(__xludf.DUMMYFUNCTION("""COMPUTED_VALUE"""),14720.0)</f>
        <v>14720</v>
      </c>
      <c r="E817" s="1">
        <f>IFERROR(__xludf.DUMMYFUNCTION("""COMPUTED_VALUE"""),14880.0)</f>
        <v>14880</v>
      </c>
      <c r="F817" s="1">
        <f>IFERROR(__xludf.DUMMYFUNCTION("""COMPUTED_VALUE"""),44524.0)</f>
        <v>44524</v>
      </c>
    </row>
    <row r="818">
      <c r="A818" s="2">
        <f>IFERROR(__xludf.DUMMYFUNCTION("""COMPUTED_VALUE"""),41747.645833333336)</f>
        <v>41747.64583</v>
      </c>
      <c r="B818" s="1">
        <f>IFERROR(__xludf.DUMMYFUNCTION("""COMPUTED_VALUE"""),14880.0)</f>
        <v>14880</v>
      </c>
      <c r="C818" s="1">
        <f>IFERROR(__xludf.DUMMYFUNCTION("""COMPUTED_VALUE"""),15040.0)</f>
        <v>15040</v>
      </c>
      <c r="D818" s="1">
        <f>IFERROR(__xludf.DUMMYFUNCTION("""COMPUTED_VALUE"""),14760.0)</f>
        <v>14760</v>
      </c>
      <c r="E818" s="1">
        <f>IFERROR(__xludf.DUMMYFUNCTION("""COMPUTED_VALUE"""),15020.0)</f>
        <v>15020</v>
      </c>
      <c r="F818" s="1">
        <f>IFERROR(__xludf.DUMMYFUNCTION("""COMPUTED_VALUE"""),36248.0)</f>
        <v>36248</v>
      </c>
    </row>
    <row r="819">
      <c r="A819" s="2">
        <f>IFERROR(__xludf.DUMMYFUNCTION("""COMPUTED_VALUE"""),41750.645833333336)</f>
        <v>41750.64583</v>
      </c>
      <c r="B819" s="1">
        <f>IFERROR(__xludf.DUMMYFUNCTION("""COMPUTED_VALUE"""),15060.0)</f>
        <v>15060</v>
      </c>
      <c r="C819" s="1">
        <f>IFERROR(__xludf.DUMMYFUNCTION("""COMPUTED_VALUE"""),15100.0)</f>
        <v>15100</v>
      </c>
      <c r="D819" s="1">
        <f>IFERROR(__xludf.DUMMYFUNCTION("""COMPUTED_VALUE"""),14920.0)</f>
        <v>14920</v>
      </c>
      <c r="E819" s="1">
        <f>IFERROR(__xludf.DUMMYFUNCTION("""COMPUTED_VALUE"""),15000.0)</f>
        <v>15000</v>
      </c>
      <c r="F819" s="1">
        <f>IFERROR(__xludf.DUMMYFUNCTION("""COMPUTED_VALUE"""),27219.0)</f>
        <v>27219</v>
      </c>
    </row>
    <row r="820">
      <c r="A820" s="2">
        <f>IFERROR(__xludf.DUMMYFUNCTION("""COMPUTED_VALUE"""),41751.645833333336)</f>
        <v>41751.64583</v>
      </c>
      <c r="B820" s="1">
        <f>IFERROR(__xludf.DUMMYFUNCTION("""COMPUTED_VALUE"""),15000.0)</f>
        <v>15000</v>
      </c>
      <c r="C820" s="1">
        <f>IFERROR(__xludf.DUMMYFUNCTION("""COMPUTED_VALUE"""),15000.0)</f>
        <v>15000</v>
      </c>
      <c r="D820" s="1">
        <f>IFERROR(__xludf.DUMMYFUNCTION("""COMPUTED_VALUE"""),14780.0)</f>
        <v>14780</v>
      </c>
      <c r="E820" s="1">
        <f>IFERROR(__xludf.DUMMYFUNCTION("""COMPUTED_VALUE"""),14840.0)</f>
        <v>14840</v>
      </c>
      <c r="F820" s="1">
        <f>IFERROR(__xludf.DUMMYFUNCTION("""COMPUTED_VALUE"""),62553.0)</f>
        <v>62553</v>
      </c>
    </row>
    <row r="821">
      <c r="A821" s="2">
        <f>IFERROR(__xludf.DUMMYFUNCTION("""COMPUTED_VALUE"""),41752.645833333336)</f>
        <v>41752.64583</v>
      </c>
      <c r="B821" s="1">
        <f>IFERROR(__xludf.DUMMYFUNCTION("""COMPUTED_VALUE"""),14840.0)</f>
        <v>14840</v>
      </c>
      <c r="C821" s="1">
        <f>IFERROR(__xludf.DUMMYFUNCTION("""COMPUTED_VALUE"""),14880.0)</f>
        <v>14880</v>
      </c>
      <c r="D821" s="1">
        <f>IFERROR(__xludf.DUMMYFUNCTION("""COMPUTED_VALUE"""),14660.0)</f>
        <v>14660</v>
      </c>
      <c r="E821" s="1">
        <f>IFERROR(__xludf.DUMMYFUNCTION("""COMPUTED_VALUE"""),14660.0)</f>
        <v>14660</v>
      </c>
      <c r="F821" s="1">
        <f>IFERROR(__xludf.DUMMYFUNCTION("""COMPUTED_VALUE"""),61139.0)</f>
        <v>61139</v>
      </c>
    </row>
    <row r="822">
      <c r="A822" s="2">
        <f>IFERROR(__xludf.DUMMYFUNCTION("""COMPUTED_VALUE"""),41753.645833333336)</f>
        <v>41753.64583</v>
      </c>
      <c r="B822" s="1">
        <f>IFERROR(__xludf.DUMMYFUNCTION("""COMPUTED_VALUE"""),14660.0)</f>
        <v>14660</v>
      </c>
      <c r="C822" s="1">
        <f>IFERROR(__xludf.DUMMYFUNCTION("""COMPUTED_VALUE"""),14740.0)</f>
        <v>14740</v>
      </c>
      <c r="D822" s="1">
        <f>IFERROR(__xludf.DUMMYFUNCTION("""COMPUTED_VALUE"""),14260.0)</f>
        <v>14260</v>
      </c>
      <c r="E822" s="1">
        <f>IFERROR(__xludf.DUMMYFUNCTION("""COMPUTED_VALUE"""),14400.0)</f>
        <v>14400</v>
      </c>
      <c r="F822" s="1">
        <f>IFERROR(__xludf.DUMMYFUNCTION("""COMPUTED_VALUE"""),65483.0)</f>
        <v>65483</v>
      </c>
    </row>
    <row r="823">
      <c r="A823" s="2">
        <f>IFERROR(__xludf.DUMMYFUNCTION("""COMPUTED_VALUE"""),41754.645833333336)</f>
        <v>41754.64583</v>
      </c>
      <c r="B823" s="1">
        <f>IFERROR(__xludf.DUMMYFUNCTION("""COMPUTED_VALUE"""),14500.0)</f>
        <v>14500</v>
      </c>
      <c r="C823" s="1">
        <f>IFERROR(__xludf.DUMMYFUNCTION("""COMPUTED_VALUE"""),14680.0)</f>
        <v>14680</v>
      </c>
      <c r="D823" s="1">
        <f>IFERROR(__xludf.DUMMYFUNCTION("""COMPUTED_VALUE"""),14340.0)</f>
        <v>14340</v>
      </c>
      <c r="E823" s="1">
        <f>IFERROR(__xludf.DUMMYFUNCTION("""COMPUTED_VALUE"""),14460.0)</f>
        <v>14460</v>
      </c>
      <c r="F823" s="1">
        <f>IFERROR(__xludf.DUMMYFUNCTION("""COMPUTED_VALUE"""),76046.0)</f>
        <v>76046</v>
      </c>
    </row>
    <row r="824">
      <c r="A824" s="2">
        <f>IFERROR(__xludf.DUMMYFUNCTION("""COMPUTED_VALUE"""),41757.645833333336)</f>
        <v>41757.64583</v>
      </c>
      <c r="B824" s="1">
        <f>IFERROR(__xludf.DUMMYFUNCTION("""COMPUTED_VALUE"""),14480.0)</f>
        <v>14480</v>
      </c>
      <c r="C824" s="1">
        <f>IFERROR(__xludf.DUMMYFUNCTION("""COMPUTED_VALUE"""),15340.0)</f>
        <v>15340</v>
      </c>
      <c r="D824" s="1">
        <f>IFERROR(__xludf.DUMMYFUNCTION("""COMPUTED_VALUE"""),14480.0)</f>
        <v>14480</v>
      </c>
      <c r="E824" s="1">
        <f>IFERROR(__xludf.DUMMYFUNCTION("""COMPUTED_VALUE"""),14820.0)</f>
        <v>14820</v>
      </c>
      <c r="F824" s="1">
        <f>IFERROR(__xludf.DUMMYFUNCTION("""COMPUTED_VALUE"""),191976.0)</f>
        <v>191976</v>
      </c>
    </row>
    <row r="825">
      <c r="A825" s="2">
        <f>IFERROR(__xludf.DUMMYFUNCTION("""COMPUTED_VALUE"""),41758.645833333336)</f>
        <v>41758.64583</v>
      </c>
      <c r="B825" s="1">
        <f>IFERROR(__xludf.DUMMYFUNCTION("""COMPUTED_VALUE"""),14880.0)</f>
        <v>14880</v>
      </c>
      <c r="C825" s="1">
        <f>IFERROR(__xludf.DUMMYFUNCTION("""COMPUTED_VALUE"""),15120.0)</f>
        <v>15120</v>
      </c>
      <c r="D825" s="1">
        <f>IFERROR(__xludf.DUMMYFUNCTION("""COMPUTED_VALUE"""),14780.0)</f>
        <v>14780</v>
      </c>
      <c r="E825" s="1">
        <f>IFERROR(__xludf.DUMMYFUNCTION("""COMPUTED_VALUE"""),14980.0)</f>
        <v>14980</v>
      </c>
      <c r="F825" s="1">
        <f>IFERROR(__xludf.DUMMYFUNCTION("""COMPUTED_VALUE"""),83148.0)</f>
        <v>83148</v>
      </c>
    </row>
    <row r="826">
      <c r="A826" s="2">
        <f>IFERROR(__xludf.DUMMYFUNCTION("""COMPUTED_VALUE"""),41759.645833333336)</f>
        <v>41759.64583</v>
      </c>
      <c r="B826" s="1">
        <f>IFERROR(__xludf.DUMMYFUNCTION("""COMPUTED_VALUE"""),15100.0)</f>
        <v>15100</v>
      </c>
      <c r="C826" s="1">
        <f>IFERROR(__xludf.DUMMYFUNCTION("""COMPUTED_VALUE"""),15160.0)</f>
        <v>15160</v>
      </c>
      <c r="D826" s="1">
        <f>IFERROR(__xludf.DUMMYFUNCTION("""COMPUTED_VALUE"""),14820.0)</f>
        <v>14820</v>
      </c>
      <c r="E826" s="1">
        <f>IFERROR(__xludf.DUMMYFUNCTION("""COMPUTED_VALUE"""),14980.0)</f>
        <v>14980</v>
      </c>
      <c r="F826" s="1">
        <f>IFERROR(__xludf.DUMMYFUNCTION("""COMPUTED_VALUE"""),74965.0)</f>
        <v>74965</v>
      </c>
    </row>
    <row r="827">
      <c r="A827" s="2">
        <f>IFERROR(__xludf.DUMMYFUNCTION("""COMPUTED_VALUE"""),41761.645833333336)</f>
        <v>41761.64583</v>
      </c>
      <c r="B827" s="1">
        <f>IFERROR(__xludf.DUMMYFUNCTION("""COMPUTED_VALUE"""),14960.0)</f>
        <v>14960</v>
      </c>
      <c r="C827" s="1">
        <f>IFERROR(__xludf.DUMMYFUNCTION("""COMPUTED_VALUE"""),15140.0)</f>
        <v>15140</v>
      </c>
      <c r="D827" s="1">
        <f>IFERROR(__xludf.DUMMYFUNCTION("""COMPUTED_VALUE"""),14960.0)</f>
        <v>14960</v>
      </c>
      <c r="E827" s="1">
        <f>IFERROR(__xludf.DUMMYFUNCTION("""COMPUTED_VALUE"""),14960.0)</f>
        <v>14960</v>
      </c>
      <c r="F827" s="1">
        <f>IFERROR(__xludf.DUMMYFUNCTION("""COMPUTED_VALUE"""),76566.0)</f>
        <v>76566</v>
      </c>
    </row>
    <row r="828">
      <c r="A828" s="2">
        <f>IFERROR(__xludf.DUMMYFUNCTION("""COMPUTED_VALUE"""),41766.645833333336)</f>
        <v>41766.64583</v>
      </c>
      <c r="B828" s="1">
        <f>IFERROR(__xludf.DUMMYFUNCTION("""COMPUTED_VALUE"""),14940.0)</f>
        <v>14940</v>
      </c>
      <c r="C828" s="1">
        <f>IFERROR(__xludf.DUMMYFUNCTION("""COMPUTED_VALUE"""),15020.0)</f>
        <v>15020</v>
      </c>
      <c r="D828" s="1">
        <f>IFERROR(__xludf.DUMMYFUNCTION("""COMPUTED_VALUE"""),14560.0)</f>
        <v>14560</v>
      </c>
      <c r="E828" s="1">
        <f>IFERROR(__xludf.DUMMYFUNCTION("""COMPUTED_VALUE"""),14800.0)</f>
        <v>14800</v>
      </c>
      <c r="F828" s="1">
        <f>IFERROR(__xludf.DUMMYFUNCTION("""COMPUTED_VALUE"""),78998.0)</f>
        <v>78998</v>
      </c>
    </row>
    <row r="829">
      <c r="A829" s="2">
        <f>IFERROR(__xludf.DUMMYFUNCTION("""COMPUTED_VALUE"""),41767.645833333336)</f>
        <v>41767.64583</v>
      </c>
      <c r="B829" s="1">
        <f>IFERROR(__xludf.DUMMYFUNCTION("""COMPUTED_VALUE"""),14780.0)</f>
        <v>14780</v>
      </c>
      <c r="C829" s="1">
        <f>IFERROR(__xludf.DUMMYFUNCTION("""COMPUTED_VALUE"""),14840.0)</f>
        <v>14840</v>
      </c>
      <c r="D829" s="1">
        <f>IFERROR(__xludf.DUMMYFUNCTION("""COMPUTED_VALUE"""),14580.0)</f>
        <v>14580</v>
      </c>
      <c r="E829" s="1">
        <f>IFERROR(__xludf.DUMMYFUNCTION("""COMPUTED_VALUE"""),14640.0)</f>
        <v>14640</v>
      </c>
      <c r="F829" s="1">
        <f>IFERROR(__xludf.DUMMYFUNCTION("""COMPUTED_VALUE"""),31290.0)</f>
        <v>31290</v>
      </c>
    </row>
    <row r="830">
      <c r="A830" s="2">
        <f>IFERROR(__xludf.DUMMYFUNCTION("""COMPUTED_VALUE"""),41768.645833333336)</f>
        <v>41768.64583</v>
      </c>
      <c r="B830" s="1">
        <f>IFERROR(__xludf.DUMMYFUNCTION("""COMPUTED_VALUE"""),14640.0)</f>
        <v>14640</v>
      </c>
      <c r="C830" s="1">
        <f>IFERROR(__xludf.DUMMYFUNCTION("""COMPUTED_VALUE"""),14940.0)</f>
        <v>14940</v>
      </c>
      <c r="D830" s="1">
        <f>IFERROR(__xludf.DUMMYFUNCTION("""COMPUTED_VALUE"""),14580.0)</f>
        <v>14580</v>
      </c>
      <c r="E830" s="1">
        <f>IFERROR(__xludf.DUMMYFUNCTION("""COMPUTED_VALUE"""),14580.0)</f>
        <v>14580</v>
      </c>
      <c r="F830" s="1">
        <f>IFERROR(__xludf.DUMMYFUNCTION("""COMPUTED_VALUE"""),26575.0)</f>
        <v>26575</v>
      </c>
    </row>
    <row r="831">
      <c r="A831" s="2">
        <f>IFERROR(__xludf.DUMMYFUNCTION("""COMPUTED_VALUE"""),41771.645833333336)</f>
        <v>41771.64583</v>
      </c>
      <c r="B831" s="1">
        <f>IFERROR(__xludf.DUMMYFUNCTION("""COMPUTED_VALUE"""),14780.0)</f>
        <v>14780</v>
      </c>
      <c r="C831" s="1">
        <f>IFERROR(__xludf.DUMMYFUNCTION("""COMPUTED_VALUE"""),14800.0)</f>
        <v>14800</v>
      </c>
      <c r="D831" s="1">
        <f>IFERROR(__xludf.DUMMYFUNCTION("""COMPUTED_VALUE"""),14440.0)</f>
        <v>14440</v>
      </c>
      <c r="E831" s="1">
        <f>IFERROR(__xludf.DUMMYFUNCTION("""COMPUTED_VALUE"""),14520.0)</f>
        <v>14520</v>
      </c>
      <c r="F831" s="1">
        <f>IFERROR(__xludf.DUMMYFUNCTION("""COMPUTED_VALUE"""),69086.0)</f>
        <v>69086</v>
      </c>
    </row>
    <row r="832">
      <c r="A832" s="2">
        <f>IFERROR(__xludf.DUMMYFUNCTION("""COMPUTED_VALUE"""),41772.645833333336)</f>
        <v>41772.64583</v>
      </c>
      <c r="B832" s="1">
        <f>IFERROR(__xludf.DUMMYFUNCTION("""COMPUTED_VALUE"""),14540.0)</f>
        <v>14540</v>
      </c>
      <c r="C832" s="1">
        <f>IFERROR(__xludf.DUMMYFUNCTION("""COMPUTED_VALUE"""),14680.0)</f>
        <v>14680</v>
      </c>
      <c r="D832" s="1">
        <f>IFERROR(__xludf.DUMMYFUNCTION("""COMPUTED_VALUE"""),14300.0)</f>
        <v>14300</v>
      </c>
      <c r="E832" s="1">
        <f>IFERROR(__xludf.DUMMYFUNCTION("""COMPUTED_VALUE"""),14560.0)</f>
        <v>14560</v>
      </c>
      <c r="F832" s="1">
        <f>IFERROR(__xludf.DUMMYFUNCTION("""COMPUTED_VALUE"""),112750.0)</f>
        <v>112750</v>
      </c>
    </row>
    <row r="833">
      <c r="A833" s="2">
        <f>IFERROR(__xludf.DUMMYFUNCTION("""COMPUTED_VALUE"""),41773.645833333336)</f>
        <v>41773.64583</v>
      </c>
      <c r="B833" s="1">
        <f>IFERROR(__xludf.DUMMYFUNCTION("""COMPUTED_VALUE"""),14580.0)</f>
        <v>14580</v>
      </c>
      <c r="C833" s="1">
        <f>IFERROR(__xludf.DUMMYFUNCTION("""COMPUTED_VALUE"""),14660.0)</f>
        <v>14660</v>
      </c>
      <c r="D833" s="1">
        <f>IFERROR(__xludf.DUMMYFUNCTION("""COMPUTED_VALUE"""),14340.0)</f>
        <v>14340</v>
      </c>
      <c r="E833" s="1">
        <f>IFERROR(__xludf.DUMMYFUNCTION("""COMPUTED_VALUE"""),14560.0)</f>
        <v>14560</v>
      </c>
      <c r="F833" s="1">
        <f>IFERROR(__xludf.DUMMYFUNCTION("""COMPUTED_VALUE"""),86351.0)</f>
        <v>86351</v>
      </c>
    </row>
    <row r="834">
      <c r="A834" s="2">
        <f>IFERROR(__xludf.DUMMYFUNCTION("""COMPUTED_VALUE"""),41774.645833333336)</f>
        <v>41774.64583</v>
      </c>
      <c r="B834" s="1">
        <f>IFERROR(__xludf.DUMMYFUNCTION("""COMPUTED_VALUE"""),14600.0)</f>
        <v>14600</v>
      </c>
      <c r="C834" s="1">
        <f>IFERROR(__xludf.DUMMYFUNCTION("""COMPUTED_VALUE"""),14680.0)</f>
        <v>14680</v>
      </c>
      <c r="D834" s="1">
        <f>IFERROR(__xludf.DUMMYFUNCTION("""COMPUTED_VALUE"""),14460.0)</f>
        <v>14460</v>
      </c>
      <c r="E834" s="1">
        <f>IFERROR(__xludf.DUMMYFUNCTION("""COMPUTED_VALUE"""),14600.0)</f>
        <v>14600</v>
      </c>
      <c r="F834" s="1">
        <f>IFERROR(__xludf.DUMMYFUNCTION("""COMPUTED_VALUE"""),59422.0)</f>
        <v>59422</v>
      </c>
    </row>
    <row r="835">
      <c r="A835" s="2">
        <f>IFERROR(__xludf.DUMMYFUNCTION("""COMPUTED_VALUE"""),41775.645833333336)</f>
        <v>41775.64583</v>
      </c>
      <c r="B835" s="1">
        <f>IFERROR(__xludf.DUMMYFUNCTION("""COMPUTED_VALUE"""),14540.0)</f>
        <v>14540</v>
      </c>
      <c r="C835" s="1">
        <f>IFERROR(__xludf.DUMMYFUNCTION("""COMPUTED_VALUE"""),14620.0)</f>
        <v>14620</v>
      </c>
      <c r="D835" s="1">
        <f>IFERROR(__xludf.DUMMYFUNCTION("""COMPUTED_VALUE"""),14360.0)</f>
        <v>14360</v>
      </c>
      <c r="E835" s="1">
        <f>IFERROR(__xludf.DUMMYFUNCTION("""COMPUTED_VALUE"""),14500.0)</f>
        <v>14500</v>
      </c>
      <c r="F835" s="1">
        <f>IFERROR(__xludf.DUMMYFUNCTION("""COMPUTED_VALUE"""),87198.0)</f>
        <v>87198</v>
      </c>
    </row>
    <row r="836">
      <c r="A836" s="2">
        <f>IFERROR(__xludf.DUMMYFUNCTION("""COMPUTED_VALUE"""),41778.645833333336)</f>
        <v>41778.64583</v>
      </c>
      <c r="B836" s="1">
        <f>IFERROR(__xludf.DUMMYFUNCTION("""COMPUTED_VALUE"""),14560.0)</f>
        <v>14560</v>
      </c>
      <c r="C836" s="1">
        <f>IFERROR(__xludf.DUMMYFUNCTION("""COMPUTED_VALUE"""),14600.0)</f>
        <v>14600</v>
      </c>
      <c r="D836" s="1">
        <f>IFERROR(__xludf.DUMMYFUNCTION("""COMPUTED_VALUE"""),14300.0)</f>
        <v>14300</v>
      </c>
      <c r="E836" s="1">
        <f>IFERROR(__xludf.DUMMYFUNCTION("""COMPUTED_VALUE"""),14360.0)</f>
        <v>14360</v>
      </c>
      <c r="F836" s="1">
        <f>IFERROR(__xludf.DUMMYFUNCTION("""COMPUTED_VALUE"""),46998.0)</f>
        <v>46998</v>
      </c>
    </row>
    <row r="837">
      <c r="A837" s="2">
        <f>IFERROR(__xludf.DUMMYFUNCTION("""COMPUTED_VALUE"""),41779.645833333336)</f>
        <v>41779.64583</v>
      </c>
      <c r="B837" s="1">
        <f>IFERROR(__xludf.DUMMYFUNCTION("""COMPUTED_VALUE"""),14440.0)</f>
        <v>14440</v>
      </c>
      <c r="C837" s="1">
        <f>IFERROR(__xludf.DUMMYFUNCTION("""COMPUTED_VALUE"""),14440.0)</f>
        <v>14440</v>
      </c>
      <c r="D837" s="1">
        <f>IFERROR(__xludf.DUMMYFUNCTION("""COMPUTED_VALUE"""),14080.0)</f>
        <v>14080</v>
      </c>
      <c r="E837" s="1">
        <f>IFERROR(__xludf.DUMMYFUNCTION("""COMPUTED_VALUE"""),14340.0)</f>
        <v>14340</v>
      </c>
      <c r="F837" s="1">
        <f>IFERROR(__xludf.DUMMYFUNCTION("""COMPUTED_VALUE"""),57662.0)</f>
        <v>57662</v>
      </c>
    </row>
    <row r="838">
      <c r="A838" s="2">
        <f>IFERROR(__xludf.DUMMYFUNCTION("""COMPUTED_VALUE"""),41780.645833333336)</f>
        <v>41780.64583</v>
      </c>
      <c r="B838" s="1">
        <f>IFERROR(__xludf.DUMMYFUNCTION("""COMPUTED_VALUE"""),14280.0)</f>
        <v>14280</v>
      </c>
      <c r="C838" s="1">
        <f>IFERROR(__xludf.DUMMYFUNCTION("""COMPUTED_VALUE"""),14520.0)</f>
        <v>14520</v>
      </c>
      <c r="D838" s="1">
        <f>IFERROR(__xludf.DUMMYFUNCTION("""COMPUTED_VALUE"""),14280.0)</f>
        <v>14280</v>
      </c>
      <c r="E838" s="1">
        <f>IFERROR(__xludf.DUMMYFUNCTION("""COMPUTED_VALUE"""),14320.0)</f>
        <v>14320</v>
      </c>
      <c r="F838" s="1">
        <f>IFERROR(__xludf.DUMMYFUNCTION("""COMPUTED_VALUE"""),30891.0)</f>
        <v>30891</v>
      </c>
    </row>
    <row r="839">
      <c r="A839" s="2">
        <f>IFERROR(__xludf.DUMMYFUNCTION("""COMPUTED_VALUE"""),41781.645833333336)</f>
        <v>41781.64583</v>
      </c>
      <c r="B839" s="1">
        <f>IFERROR(__xludf.DUMMYFUNCTION("""COMPUTED_VALUE"""),14340.0)</f>
        <v>14340</v>
      </c>
      <c r="C839" s="1">
        <f>IFERROR(__xludf.DUMMYFUNCTION("""COMPUTED_VALUE"""),14680.0)</f>
        <v>14680</v>
      </c>
      <c r="D839" s="1">
        <f>IFERROR(__xludf.DUMMYFUNCTION("""COMPUTED_VALUE"""),14320.0)</f>
        <v>14320</v>
      </c>
      <c r="E839" s="1">
        <f>IFERROR(__xludf.DUMMYFUNCTION("""COMPUTED_VALUE"""),14640.0)</f>
        <v>14640</v>
      </c>
      <c r="F839" s="1">
        <f>IFERROR(__xludf.DUMMYFUNCTION("""COMPUTED_VALUE"""),59556.0)</f>
        <v>59556</v>
      </c>
    </row>
    <row r="840">
      <c r="A840" s="2">
        <f>IFERROR(__xludf.DUMMYFUNCTION("""COMPUTED_VALUE"""),41782.645833333336)</f>
        <v>41782.64583</v>
      </c>
      <c r="B840" s="1">
        <f>IFERROR(__xludf.DUMMYFUNCTION("""COMPUTED_VALUE"""),15080.0)</f>
        <v>15080</v>
      </c>
      <c r="C840" s="1">
        <f>IFERROR(__xludf.DUMMYFUNCTION("""COMPUTED_VALUE"""),15900.0)</f>
        <v>15900</v>
      </c>
      <c r="D840" s="1">
        <f>IFERROR(__xludf.DUMMYFUNCTION("""COMPUTED_VALUE"""),15060.0)</f>
        <v>15060</v>
      </c>
      <c r="E840" s="1">
        <f>IFERROR(__xludf.DUMMYFUNCTION("""COMPUTED_VALUE"""),15620.0)</f>
        <v>15620</v>
      </c>
      <c r="F840" s="1">
        <f>IFERROR(__xludf.DUMMYFUNCTION("""COMPUTED_VALUE"""),467873.0)</f>
        <v>467873</v>
      </c>
    </row>
    <row r="841">
      <c r="A841" s="2">
        <f>IFERROR(__xludf.DUMMYFUNCTION("""COMPUTED_VALUE"""),41786.645833333336)</f>
        <v>41786.64583</v>
      </c>
      <c r="B841" s="1">
        <f>IFERROR(__xludf.DUMMYFUNCTION("""COMPUTED_VALUE"""),17960.0)</f>
        <v>17960</v>
      </c>
      <c r="C841" s="1">
        <f>IFERROR(__xludf.DUMMYFUNCTION("""COMPUTED_VALUE"""),17960.0)</f>
        <v>17960</v>
      </c>
      <c r="D841" s="1">
        <f>IFERROR(__xludf.DUMMYFUNCTION("""COMPUTED_VALUE"""),17960.0)</f>
        <v>17960</v>
      </c>
      <c r="E841" s="1">
        <f>IFERROR(__xludf.DUMMYFUNCTION("""COMPUTED_VALUE"""),17960.0)</f>
        <v>17960</v>
      </c>
      <c r="F841" s="1">
        <f>IFERROR(__xludf.DUMMYFUNCTION("""COMPUTED_VALUE"""),13630.0)</f>
        <v>13630</v>
      </c>
    </row>
    <row r="842">
      <c r="A842" s="2">
        <f>IFERROR(__xludf.DUMMYFUNCTION("""COMPUTED_VALUE"""),41787.645833333336)</f>
        <v>41787.64583</v>
      </c>
      <c r="B842" s="1">
        <f>IFERROR(__xludf.DUMMYFUNCTION("""COMPUTED_VALUE"""),20640.0)</f>
        <v>20640</v>
      </c>
      <c r="C842" s="1">
        <f>IFERROR(__xludf.DUMMYFUNCTION("""COMPUTED_VALUE"""),20640.0)</f>
        <v>20640</v>
      </c>
      <c r="D842" s="1">
        <f>IFERROR(__xludf.DUMMYFUNCTION("""COMPUTED_VALUE"""),20640.0)</f>
        <v>20640</v>
      </c>
      <c r="E842" s="1">
        <f>IFERROR(__xludf.DUMMYFUNCTION("""COMPUTED_VALUE"""),20640.0)</f>
        <v>20640</v>
      </c>
      <c r="F842" s="1">
        <f>IFERROR(__xludf.DUMMYFUNCTION("""COMPUTED_VALUE"""),1776649.0)</f>
        <v>1776649</v>
      </c>
    </row>
    <row r="843">
      <c r="A843" s="2">
        <f>IFERROR(__xludf.DUMMYFUNCTION("""COMPUTED_VALUE"""),41788.645833333336)</f>
        <v>41788.64583</v>
      </c>
      <c r="B843" s="1">
        <f>IFERROR(__xludf.DUMMYFUNCTION("""COMPUTED_VALUE"""),20980.0)</f>
        <v>20980</v>
      </c>
      <c r="C843" s="1">
        <f>IFERROR(__xludf.DUMMYFUNCTION("""COMPUTED_VALUE"""),21520.0)</f>
        <v>21520</v>
      </c>
      <c r="D843" s="1">
        <f>IFERROR(__xludf.DUMMYFUNCTION("""COMPUTED_VALUE"""),20300.0)</f>
        <v>20300</v>
      </c>
      <c r="E843" s="1">
        <f>IFERROR(__xludf.DUMMYFUNCTION("""COMPUTED_VALUE"""),20640.0)</f>
        <v>20640</v>
      </c>
      <c r="F843" s="1">
        <f>IFERROR(__xludf.DUMMYFUNCTION("""COMPUTED_VALUE"""),3642174.0)</f>
        <v>3642174</v>
      </c>
    </row>
    <row r="844">
      <c r="A844" s="2">
        <f>IFERROR(__xludf.DUMMYFUNCTION("""COMPUTED_VALUE"""),41789.645833333336)</f>
        <v>41789.64583</v>
      </c>
      <c r="B844" s="1">
        <f>IFERROR(__xludf.DUMMYFUNCTION("""COMPUTED_VALUE"""),20600.0)</f>
        <v>20600</v>
      </c>
      <c r="C844" s="1">
        <f>IFERROR(__xludf.DUMMYFUNCTION("""COMPUTED_VALUE"""),20860.0)</f>
        <v>20860</v>
      </c>
      <c r="D844" s="1">
        <f>IFERROR(__xludf.DUMMYFUNCTION("""COMPUTED_VALUE"""),19520.0)</f>
        <v>19520</v>
      </c>
      <c r="E844" s="1">
        <f>IFERROR(__xludf.DUMMYFUNCTION("""COMPUTED_VALUE"""),19560.0)</f>
        <v>19560</v>
      </c>
      <c r="F844" s="1">
        <f>IFERROR(__xludf.DUMMYFUNCTION("""COMPUTED_VALUE"""),1163090.0)</f>
        <v>1163090</v>
      </c>
    </row>
    <row r="845">
      <c r="A845" s="2">
        <f>IFERROR(__xludf.DUMMYFUNCTION("""COMPUTED_VALUE"""),41792.645833333336)</f>
        <v>41792.64583</v>
      </c>
      <c r="B845" s="1">
        <f>IFERROR(__xludf.DUMMYFUNCTION("""COMPUTED_VALUE"""),19660.0)</f>
        <v>19660</v>
      </c>
      <c r="C845" s="1">
        <f>IFERROR(__xludf.DUMMYFUNCTION("""COMPUTED_VALUE"""),19900.0)</f>
        <v>19900</v>
      </c>
      <c r="D845" s="1">
        <f>IFERROR(__xludf.DUMMYFUNCTION("""COMPUTED_VALUE"""),18720.0)</f>
        <v>18720</v>
      </c>
      <c r="E845" s="1">
        <f>IFERROR(__xludf.DUMMYFUNCTION("""COMPUTED_VALUE"""),18800.0)</f>
        <v>18800</v>
      </c>
      <c r="F845" s="1">
        <f>IFERROR(__xludf.DUMMYFUNCTION("""COMPUTED_VALUE"""),824386.0)</f>
        <v>824386</v>
      </c>
    </row>
    <row r="846">
      <c r="A846" s="2">
        <f>IFERROR(__xludf.DUMMYFUNCTION("""COMPUTED_VALUE"""),41793.645833333336)</f>
        <v>41793.64583</v>
      </c>
      <c r="B846" s="1">
        <f>IFERROR(__xludf.DUMMYFUNCTION("""COMPUTED_VALUE"""),18620.0)</f>
        <v>18620</v>
      </c>
      <c r="C846" s="1">
        <f>IFERROR(__xludf.DUMMYFUNCTION("""COMPUTED_VALUE"""),19440.0)</f>
        <v>19440</v>
      </c>
      <c r="D846" s="1">
        <f>IFERROR(__xludf.DUMMYFUNCTION("""COMPUTED_VALUE"""),18620.0)</f>
        <v>18620</v>
      </c>
      <c r="E846" s="1">
        <f>IFERROR(__xludf.DUMMYFUNCTION("""COMPUTED_VALUE"""),19280.0)</f>
        <v>19280</v>
      </c>
      <c r="F846" s="1">
        <f>IFERROR(__xludf.DUMMYFUNCTION("""COMPUTED_VALUE"""),801473.0)</f>
        <v>801473</v>
      </c>
    </row>
    <row r="847">
      <c r="A847" s="2">
        <f>IFERROR(__xludf.DUMMYFUNCTION("""COMPUTED_VALUE"""),41795.645833333336)</f>
        <v>41795.64583</v>
      </c>
      <c r="B847" s="1">
        <f>IFERROR(__xludf.DUMMYFUNCTION("""COMPUTED_VALUE"""),19100.0)</f>
        <v>19100</v>
      </c>
      <c r="C847" s="1">
        <f>IFERROR(__xludf.DUMMYFUNCTION("""COMPUTED_VALUE"""),19220.0)</f>
        <v>19220</v>
      </c>
      <c r="D847" s="1">
        <f>IFERROR(__xludf.DUMMYFUNCTION("""COMPUTED_VALUE"""),18360.0)</f>
        <v>18360</v>
      </c>
      <c r="E847" s="1">
        <f>IFERROR(__xludf.DUMMYFUNCTION("""COMPUTED_VALUE"""),18420.0)</f>
        <v>18420</v>
      </c>
      <c r="F847" s="1">
        <f>IFERROR(__xludf.DUMMYFUNCTION("""COMPUTED_VALUE"""),466795.0)</f>
        <v>466795</v>
      </c>
    </row>
    <row r="848">
      <c r="A848" s="2">
        <f>IFERROR(__xludf.DUMMYFUNCTION("""COMPUTED_VALUE"""),41799.645833333336)</f>
        <v>41799.64583</v>
      </c>
      <c r="B848" s="1">
        <f>IFERROR(__xludf.DUMMYFUNCTION("""COMPUTED_VALUE"""),18640.0)</f>
        <v>18640</v>
      </c>
      <c r="C848" s="1">
        <f>IFERROR(__xludf.DUMMYFUNCTION("""COMPUTED_VALUE"""),19280.0)</f>
        <v>19280</v>
      </c>
      <c r="D848" s="1">
        <f>IFERROR(__xludf.DUMMYFUNCTION("""COMPUTED_VALUE"""),18460.0)</f>
        <v>18460</v>
      </c>
      <c r="E848" s="1">
        <f>IFERROR(__xludf.DUMMYFUNCTION("""COMPUTED_VALUE"""),18540.0)</f>
        <v>18540</v>
      </c>
      <c r="F848" s="1">
        <f>IFERROR(__xludf.DUMMYFUNCTION("""COMPUTED_VALUE"""),399171.0)</f>
        <v>399171</v>
      </c>
    </row>
    <row r="849">
      <c r="A849" s="2">
        <f>IFERROR(__xludf.DUMMYFUNCTION("""COMPUTED_VALUE"""),41800.645833333336)</f>
        <v>41800.64583</v>
      </c>
      <c r="B849" s="1">
        <f>IFERROR(__xludf.DUMMYFUNCTION("""COMPUTED_VALUE"""),18620.0)</f>
        <v>18620</v>
      </c>
      <c r="C849" s="1">
        <f>IFERROR(__xludf.DUMMYFUNCTION("""COMPUTED_VALUE"""),18980.0)</f>
        <v>18980</v>
      </c>
      <c r="D849" s="1">
        <f>IFERROR(__xludf.DUMMYFUNCTION("""COMPUTED_VALUE"""),18480.0)</f>
        <v>18480</v>
      </c>
      <c r="E849" s="1">
        <f>IFERROR(__xludf.DUMMYFUNCTION("""COMPUTED_VALUE"""),18560.0)</f>
        <v>18560</v>
      </c>
      <c r="F849" s="1">
        <f>IFERROR(__xludf.DUMMYFUNCTION("""COMPUTED_VALUE"""),301846.0)</f>
        <v>301846</v>
      </c>
    </row>
    <row r="850">
      <c r="A850" s="2">
        <f>IFERROR(__xludf.DUMMYFUNCTION("""COMPUTED_VALUE"""),41801.645833333336)</f>
        <v>41801.64583</v>
      </c>
      <c r="B850" s="1">
        <f>IFERROR(__xludf.DUMMYFUNCTION("""COMPUTED_VALUE"""),18580.0)</f>
        <v>18580</v>
      </c>
      <c r="C850" s="1">
        <f>IFERROR(__xludf.DUMMYFUNCTION("""COMPUTED_VALUE"""),18580.0)</f>
        <v>18580</v>
      </c>
      <c r="D850" s="1">
        <f>IFERROR(__xludf.DUMMYFUNCTION("""COMPUTED_VALUE"""),18140.0)</f>
        <v>18140</v>
      </c>
      <c r="E850" s="1">
        <f>IFERROR(__xludf.DUMMYFUNCTION("""COMPUTED_VALUE"""),18300.0)</f>
        <v>18300</v>
      </c>
      <c r="F850" s="1">
        <f>IFERROR(__xludf.DUMMYFUNCTION("""COMPUTED_VALUE"""),329907.0)</f>
        <v>329907</v>
      </c>
    </row>
    <row r="851">
      <c r="A851" s="2">
        <f>IFERROR(__xludf.DUMMYFUNCTION("""COMPUTED_VALUE"""),41802.645833333336)</f>
        <v>41802.64583</v>
      </c>
      <c r="B851" s="1">
        <f>IFERROR(__xludf.DUMMYFUNCTION("""COMPUTED_VALUE"""),18300.0)</f>
        <v>18300</v>
      </c>
      <c r="C851" s="1">
        <f>IFERROR(__xludf.DUMMYFUNCTION("""COMPUTED_VALUE"""),19040.0)</f>
        <v>19040</v>
      </c>
      <c r="D851" s="1">
        <f>IFERROR(__xludf.DUMMYFUNCTION("""COMPUTED_VALUE"""),18300.0)</f>
        <v>18300</v>
      </c>
      <c r="E851" s="1">
        <f>IFERROR(__xludf.DUMMYFUNCTION("""COMPUTED_VALUE"""),18900.0)</f>
        <v>18900</v>
      </c>
      <c r="F851" s="1">
        <f>IFERROR(__xludf.DUMMYFUNCTION("""COMPUTED_VALUE"""),404762.0)</f>
        <v>404762</v>
      </c>
    </row>
    <row r="852">
      <c r="A852" s="2">
        <f>IFERROR(__xludf.DUMMYFUNCTION("""COMPUTED_VALUE"""),41803.645833333336)</f>
        <v>41803.64583</v>
      </c>
      <c r="B852" s="1">
        <f>IFERROR(__xludf.DUMMYFUNCTION("""COMPUTED_VALUE"""),18900.0)</f>
        <v>18900</v>
      </c>
      <c r="C852" s="1">
        <f>IFERROR(__xludf.DUMMYFUNCTION("""COMPUTED_VALUE"""),19040.0)</f>
        <v>19040</v>
      </c>
      <c r="D852" s="1">
        <f>IFERROR(__xludf.DUMMYFUNCTION("""COMPUTED_VALUE"""),18480.0)</f>
        <v>18480</v>
      </c>
      <c r="E852" s="1">
        <f>IFERROR(__xludf.DUMMYFUNCTION("""COMPUTED_VALUE"""),18820.0)</f>
        <v>18820</v>
      </c>
      <c r="F852" s="1">
        <f>IFERROR(__xludf.DUMMYFUNCTION("""COMPUTED_VALUE"""),241693.0)</f>
        <v>241693</v>
      </c>
    </row>
    <row r="853">
      <c r="A853" s="2">
        <f>IFERROR(__xludf.DUMMYFUNCTION("""COMPUTED_VALUE"""),41806.645833333336)</f>
        <v>41806.64583</v>
      </c>
      <c r="B853" s="1">
        <f>IFERROR(__xludf.DUMMYFUNCTION("""COMPUTED_VALUE"""),18800.0)</f>
        <v>18800</v>
      </c>
      <c r="C853" s="1">
        <f>IFERROR(__xludf.DUMMYFUNCTION("""COMPUTED_VALUE"""),18880.0)</f>
        <v>18880</v>
      </c>
      <c r="D853" s="1">
        <f>IFERROR(__xludf.DUMMYFUNCTION("""COMPUTED_VALUE"""),18480.0)</f>
        <v>18480</v>
      </c>
      <c r="E853" s="1">
        <f>IFERROR(__xludf.DUMMYFUNCTION("""COMPUTED_VALUE"""),18680.0)</f>
        <v>18680</v>
      </c>
      <c r="F853" s="1">
        <f>IFERROR(__xludf.DUMMYFUNCTION("""COMPUTED_VALUE"""),179171.0)</f>
        <v>179171</v>
      </c>
    </row>
    <row r="854">
      <c r="A854" s="2">
        <f>IFERROR(__xludf.DUMMYFUNCTION("""COMPUTED_VALUE"""),41807.645833333336)</f>
        <v>41807.64583</v>
      </c>
      <c r="B854" s="1">
        <f>IFERROR(__xludf.DUMMYFUNCTION("""COMPUTED_VALUE"""),18780.0)</f>
        <v>18780</v>
      </c>
      <c r="C854" s="1">
        <f>IFERROR(__xludf.DUMMYFUNCTION("""COMPUTED_VALUE"""),19260.0)</f>
        <v>19260</v>
      </c>
      <c r="D854" s="1">
        <f>IFERROR(__xludf.DUMMYFUNCTION("""COMPUTED_VALUE"""),18760.0)</f>
        <v>18760</v>
      </c>
      <c r="E854" s="1">
        <f>IFERROR(__xludf.DUMMYFUNCTION("""COMPUTED_VALUE"""),19140.0)</f>
        <v>19140</v>
      </c>
      <c r="F854" s="1">
        <f>IFERROR(__xludf.DUMMYFUNCTION("""COMPUTED_VALUE"""),315157.0)</f>
        <v>315157</v>
      </c>
    </row>
    <row r="855">
      <c r="A855" s="2">
        <f>IFERROR(__xludf.DUMMYFUNCTION("""COMPUTED_VALUE"""),41808.645833333336)</f>
        <v>41808.64583</v>
      </c>
      <c r="B855" s="1">
        <f>IFERROR(__xludf.DUMMYFUNCTION("""COMPUTED_VALUE"""),19240.0)</f>
        <v>19240</v>
      </c>
      <c r="C855" s="1">
        <f>IFERROR(__xludf.DUMMYFUNCTION("""COMPUTED_VALUE"""),19300.0)</f>
        <v>19300</v>
      </c>
      <c r="D855" s="1">
        <f>IFERROR(__xludf.DUMMYFUNCTION("""COMPUTED_VALUE"""),18840.0)</f>
        <v>18840</v>
      </c>
      <c r="E855" s="1">
        <f>IFERROR(__xludf.DUMMYFUNCTION("""COMPUTED_VALUE"""),18860.0)</f>
        <v>18860</v>
      </c>
      <c r="F855" s="1">
        <f>IFERROR(__xludf.DUMMYFUNCTION("""COMPUTED_VALUE"""),218652.0)</f>
        <v>218652</v>
      </c>
    </row>
    <row r="856">
      <c r="A856" s="2">
        <f>IFERROR(__xludf.DUMMYFUNCTION("""COMPUTED_VALUE"""),41809.645833333336)</f>
        <v>41809.64583</v>
      </c>
      <c r="B856" s="1">
        <f>IFERROR(__xludf.DUMMYFUNCTION("""COMPUTED_VALUE"""),19020.0)</f>
        <v>19020</v>
      </c>
      <c r="C856" s="1">
        <f>IFERROR(__xludf.DUMMYFUNCTION("""COMPUTED_VALUE"""),19140.0)</f>
        <v>19140</v>
      </c>
      <c r="D856" s="1">
        <f>IFERROR(__xludf.DUMMYFUNCTION("""COMPUTED_VALUE"""),18840.0)</f>
        <v>18840</v>
      </c>
      <c r="E856" s="1">
        <f>IFERROR(__xludf.DUMMYFUNCTION("""COMPUTED_VALUE"""),18940.0)</f>
        <v>18940</v>
      </c>
      <c r="F856" s="1">
        <f>IFERROR(__xludf.DUMMYFUNCTION("""COMPUTED_VALUE"""),149061.0)</f>
        <v>149061</v>
      </c>
    </row>
    <row r="857">
      <c r="A857" s="2">
        <f>IFERROR(__xludf.DUMMYFUNCTION("""COMPUTED_VALUE"""),41810.645833333336)</f>
        <v>41810.64583</v>
      </c>
      <c r="B857" s="1">
        <f>IFERROR(__xludf.DUMMYFUNCTION("""COMPUTED_VALUE"""),19000.0)</f>
        <v>19000</v>
      </c>
      <c r="C857" s="1">
        <f>IFERROR(__xludf.DUMMYFUNCTION("""COMPUTED_VALUE"""),21400.0)</f>
        <v>21400</v>
      </c>
      <c r="D857" s="1">
        <f>IFERROR(__xludf.DUMMYFUNCTION("""COMPUTED_VALUE"""),18960.0)</f>
        <v>18960</v>
      </c>
      <c r="E857" s="1">
        <f>IFERROR(__xludf.DUMMYFUNCTION("""COMPUTED_VALUE"""),20260.0)</f>
        <v>20260</v>
      </c>
      <c r="F857" s="1">
        <f>IFERROR(__xludf.DUMMYFUNCTION("""COMPUTED_VALUE"""),1307123.0)</f>
        <v>1307123</v>
      </c>
    </row>
    <row r="858">
      <c r="A858" s="2">
        <f>IFERROR(__xludf.DUMMYFUNCTION("""COMPUTED_VALUE"""),41813.645833333336)</f>
        <v>41813.64583</v>
      </c>
      <c r="B858" s="1">
        <f>IFERROR(__xludf.DUMMYFUNCTION("""COMPUTED_VALUE"""),20760.0)</f>
        <v>20760</v>
      </c>
      <c r="C858" s="1">
        <f>IFERROR(__xludf.DUMMYFUNCTION("""COMPUTED_VALUE"""),23280.0)</f>
        <v>23280</v>
      </c>
      <c r="D858" s="1">
        <f>IFERROR(__xludf.DUMMYFUNCTION("""COMPUTED_VALUE"""),20640.0)</f>
        <v>20640</v>
      </c>
      <c r="E858" s="1">
        <f>IFERROR(__xludf.DUMMYFUNCTION("""COMPUTED_VALUE"""),23280.0)</f>
        <v>23280</v>
      </c>
      <c r="F858" s="1">
        <f>IFERROR(__xludf.DUMMYFUNCTION("""COMPUTED_VALUE"""),1614383.0)</f>
        <v>1614383</v>
      </c>
    </row>
    <row r="859">
      <c r="A859" s="2">
        <f>IFERROR(__xludf.DUMMYFUNCTION("""COMPUTED_VALUE"""),41814.645833333336)</f>
        <v>41814.64583</v>
      </c>
      <c r="B859" s="1">
        <f>IFERROR(__xludf.DUMMYFUNCTION("""COMPUTED_VALUE"""),23440.0)</f>
        <v>23440</v>
      </c>
      <c r="C859" s="1">
        <f>IFERROR(__xludf.DUMMYFUNCTION("""COMPUTED_VALUE"""),23920.0)</f>
        <v>23920</v>
      </c>
      <c r="D859" s="1">
        <f>IFERROR(__xludf.DUMMYFUNCTION("""COMPUTED_VALUE"""),22160.0)</f>
        <v>22160</v>
      </c>
      <c r="E859" s="1">
        <f>IFERROR(__xludf.DUMMYFUNCTION("""COMPUTED_VALUE"""),22840.0)</f>
        <v>22840</v>
      </c>
      <c r="F859" s="1">
        <f>IFERROR(__xludf.DUMMYFUNCTION("""COMPUTED_VALUE"""),1467963.0)</f>
        <v>1467963</v>
      </c>
    </row>
    <row r="860">
      <c r="A860" s="2">
        <f>IFERROR(__xludf.DUMMYFUNCTION("""COMPUTED_VALUE"""),41815.645833333336)</f>
        <v>41815.64583</v>
      </c>
      <c r="B860" s="1">
        <f>IFERROR(__xludf.DUMMYFUNCTION("""COMPUTED_VALUE"""),23140.0)</f>
        <v>23140</v>
      </c>
      <c r="C860" s="1">
        <f>IFERROR(__xludf.DUMMYFUNCTION("""COMPUTED_VALUE"""),24360.0)</f>
        <v>24360</v>
      </c>
      <c r="D860" s="1">
        <f>IFERROR(__xludf.DUMMYFUNCTION("""COMPUTED_VALUE"""),22860.0)</f>
        <v>22860</v>
      </c>
      <c r="E860" s="1">
        <f>IFERROR(__xludf.DUMMYFUNCTION("""COMPUTED_VALUE"""),23280.0)</f>
        <v>23280</v>
      </c>
      <c r="F860" s="1">
        <f>IFERROR(__xludf.DUMMYFUNCTION("""COMPUTED_VALUE"""),1351549.0)</f>
        <v>1351549</v>
      </c>
    </row>
    <row r="861">
      <c r="A861" s="2">
        <f>IFERROR(__xludf.DUMMYFUNCTION("""COMPUTED_VALUE"""),41816.645833333336)</f>
        <v>41816.64583</v>
      </c>
      <c r="B861" s="1">
        <f>IFERROR(__xludf.DUMMYFUNCTION("""COMPUTED_VALUE"""),23400.0)</f>
        <v>23400</v>
      </c>
      <c r="C861" s="1">
        <f>IFERROR(__xludf.DUMMYFUNCTION("""COMPUTED_VALUE"""),24220.0)</f>
        <v>24220</v>
      </c>
      <c r="D861" s="1">
        <f>IFERROR(__xludf.DUMMYFUNCTION("""COMPUTED_VALUE"""),23100.0)</f>
        <v>23100</v>
      </c>
      <c r="E861" s="1">
        <f>IFERROR(__xludf.DUMMYFUNCTION("""COMPUTED_VALUE"""),23660.0)</f>
        <v>23660</v>
      </c>
      <c r="F861" s="1">
        <f>IFERROR(__xludf.DUMMYFUNCTION("""COMPUTED_VALUE"""),922581.0)</f>
        <v>922581</v>
      </c>
    </row>
    <row r="862">
      <c r="A862" s="2">
        <f>IFERROR(__xludf.DUMMYFUNCTION("""COMPUTED_VALUE"""),41817.645833333336)</f>
        <v>41817.64583</v>
      </c>
      <c r="B862" s="1">
        <f>IFERROR(__xludf.DUMMYFUNCTION("""COMPUTED_VALUE"""),23700.0)</f>
        <v>23700</v>
      </c>
      <c r="C862" s="1">
        <f>IFERROR(__xludf.DUMMYFUNCTION("""COMPUTED_VALUE"""),24140.0)</f>
        <v>24140</v>
      </c>
      <c r="D862" s="1">
        <f>IFERROR(__xludf.DUMMYFUNCTION("""COMPUTED_VALUE"""),23080.0)</f>
        <v>23080</v>
      </c>
      <c r="E862" s="1">
        <f>IFERROR(__xludf.DUMMYFUNCTION("""COMPUTED_VALUE"""),23160.0)</f>
        <v>23160</v>
      </c>
      <c r="F862" s="1">
        <f>IFERROR(__xludf.DUMMYFUNCTION("""COMPUTED_VALUE"""),548713.0)</f>
        <v>548713</v>
      </c>
    </row>
    <row r="863">
      <c r="A863" s="2">
        <f>IFERROR(__xludf.DUMMYFUNCTION("""COMPUTED_VALUE"""),41820.645833333336)</f>
        <v>41820.64583</v>
      </c>
      <c r="B863" s="1">
        <f>IFERROR(__xludf.DUMMYFUNCTION("""COMPUTED_VALUE"""),22800.0)</f>
        <v>22800</v>
      </c>
      <c r="C863" s="1">
        <f>IFERROR(__xludf.DUMMYFUNCTION("""COMPUTED_VALUE"""),23560.0)</f>
        <v>23560</v>
      </c>
      <c r="D863" s="1">
        <f>IFERROR(__xludf.DUMMYFUNCTION("""COMPUTED_VALUE"""),22760.0)</f>
        <v>22760</v>
      </c>
      <c r="E863" s="1">
        <f>IFERROR(__xludf.DUMMYFUNCTION("""COMPUTED_VALUE"""),23400.0)</f>
        <v>23400</v>
      </c>
      <c r="F863" s="1">
        <f>IFERROR(__xludf.DUMMYFUNCTION("""COMPUTED_VALUE"""),348072.0)</f>
        <v>348072</v>
      </c>
    </row>
    <row r="864">
      <c r="A864" s="2">
        <f>IFERROR(__xludf.DUMMYFUNCTION("""COMPUTED_VALUE"""),41821.645833333336)</f>
        <v>41821.64583</v>
      </c>
      <c r="B864" s="1">
        <f>IFERROR(__xludf.DUMMYFUNCTION("""COMPUTED_VALUE"""),23400.0)</f>
        <v>23400</v>
      </c>
      <c r="C864" s="1">
        <f>IFERROR(__xludf.DUMMYFUNCTION("""COMPUTED_VALUE"""),24480.0)</f>
        <v>24480</v>
      </c>
      <c r="D864" s="1">
        <f>IFERROR(__xludf.DUMMYFUNCTION("""COMPUTED_VALUE"""),23220.0)</f>
        <v>23220</v>
      </c>
      <c r="E864" s="1">
        <f>IFERROR(__xludf.DUMMYFUNCTION("""COMPUTED_VALUE"""),24100.0)</f>
        <v>24100</v>
      </c>
      <c r="F864" s="1">
        <f>IFERROR(__xludf.DUMMYFUNCTION("""COMPUTED_VALUE"""),571991.0)</f>
        <v>571991</v>
      </c>
    </row>
    <row r="865">
      <c r="A865" s="2">
        <f>IFERROR(__xludf.DUMMYFUNCTION("""COMPUTED_VALUE"""),41822.645833333336)</f>
        <v>41822.64583</v>
      </c>
      <c r="B865" s="1">
        <f>IFERROR(__xludf.DUMMYFUNCTION("""COMPUTED_VALUE"""),24320.0)</f>
        <v>24320</v>
      </c>
      <c r="C865" s="1">
        <f>IFERROR(__xludf.DUMMYFUNCTION("""COMPUTED_VALUE"""),25140.0)</f>
        <v>25140</v>
      </c>
      <c r="D865" s="1">
        <f>IFERROR(__xludf.DUMMYFUNCTION("""COMPUTED_VALUE"""),23700.0)</f>
        <v>23700</v>
      </c>
      <c r="E865" s="1">
        <f>IFERROR(__xludf.DUMMYFUNCTION("""COMPUTED_VALUE"""),23940.0)</f>
        <v>23940</v>
      </c>
      <c r="F865" s="1">
        <f>IFERROR(__xludf.DUMMYFUNCTION("""COMPUTED_VALUE"""),650895.0)</f>
        <v>650895</v>
      </c>
    </row>
    <row r="866">
      <c r="A866" s="2">
        <f>IFERROR(__xludf.DUMMYFUNCTION("""COMPUTED_VALUE"""),41823.645833333336)</f>
        <v>41823.64583</v>
      </c>
      <c r="B866" s="1">
        <f>IFERROR(__xludf.DUMMYFUNCTION("""COMPUTED_VALUE"""),24020.0)</f>
        <v>24020</v>
      </c>
      <c r="C866" s="1">
        <f>IFERROR(__xludf.DUMMYFUNCTION("""COMPUTED_VALUE"""),24460.0)</f>
        <v>24460</v>
      </c>
      <c r="D866" s="1">
        <f>IFERROR(__xludf.DUMMYFUNCTION("""COMPUTED_VALUE"""),23500.0)</f>
        <v>23500</v>
      </c>
      <c r="E866" s="1">
        <f>IFERROR(__xludf.DUMMYFUNCTION("""COMPUTED_VALUE"""),24200.0)</f>
        <v>24200</v>
      </c>
      <c r="F866" s="1">
        <f>IFERROR(__xludf.DUMMYFUNCTION("""COMPUTED_VALUE"""),366688.0)</f>
        <v>366688</v>
      </c>
    </row>
    <row r="867">
      <c r="A867" s="2">
        <f>IFERROR(__xludf.DUMMYFUNCTION("""COMPUTED_VALUE"""),41824.645833333336)</f>
        <v>41824.64583</v>
      </c>
      <c r="B867" s="1">
        <f>IFERROR(__xludf.DUMMYFUNCTION("""COMPUTED_VALUE"""),24080.0)</f>
        <v>24080</v>
      </c>
      <c r="C867" s="1">
        <f>IFERROR(__xludf.DUMMYFUNCTION("""COMPUTED_VALUE"""),24280.0)</f>
        <v>24280</v>
      </c>
      <c r="D867" s="1">
        <f>IFERROR(__xludf.DUMMYFUNCTION("""COMPUTED_VALUE"""),23400.0)</f>
        <v>23400</v>
      </c>
      <c r="E867" s="1">
        <f>IFERROR(__xludf.DUMMYFUNCTION("""COMPUTED_VALUE"""),23500.0)</f>
        <v>23500</v>
      </c>
      <c r="F867" s="1">
        <f>IFERROR(__xludf.DUMMYFUNCTION("""COMPUTED_VALUE"""),443659.0)</f>
        <v>443659</v>
      </c>
    </row>
    <row r="868">
      <c r="A868" s="2">
        <f>IFERROR(__xludf.DUMMYFUNCTION("""COMPUTED_VALUE"""),41827.645833333336)</f>
        <v>41827.64583</v>
      </c>
      <c r="B868" s="1">
        <f>IFERROR(__xludf.DUMMYFUNCTION("""COMPUTED_VALUE"""),23200.0)</f>
        <v>23200</v>
      </c>
      <c r="C868" s="1">
        <f>IFERROR(__xludf.DUMMYFUNCTION("""COMPUTED_VALUE"""),23360.0)</f>
        <v>23360</v>
      </c>
      <c r="D868" s="1">
        <f>IFERROR(__xludf.DUMMYFUNCTION("""COMPUTED_VALUE"""),22720.0)</f>
        <v>22720</v>
      </c>
      <c r="E868" s="1">
        <f>IFERROR(__xludf.DUMMYFUNCTION("""COMPUTED_VALUE"""),23200.0)</f>
        <v>23200</v>
      </c>
      <c r="F868" s="1">
        <f>IFERROR(__xludf.DUMMYFUNCTION("""COMPUTED_VALUE"""),439474.0)</f>
        <v>439474</v>
      </c>
    </row>
    <row r="869">
      <c r="A869" s="2">
        <f>IFERROR(__xludf.DUMMYFUNCTION("""COMPUTED_VALUE"""),41828.645833333336)</f>
        <v>41828.64583</v>
      </c>
      <c r="B869" s="1">
        <f>IFERROR(__xludf.DUMMYFUNCTION("""COMPUTED_VALUE"""),23040.0)</f>
        <v>23040</v>
      </c>
      <c r="C869" s="1">
        <f>IFERROR(__xludf.DUMMYFUNCTION("""COMPUTED_VALUE"""),23140.0)</f>
        <v>23140</v>
      </c>
      <c r="D869" s="1">
        <f>IFERROR(__xludf.DUMMYFUNCTION("""COMPUTED_VALUE"""),22740.0)</f>
        <v>22740</v>
      </c>
      <c r="E869" s="1">
        <f>IFERROR(__xludf.DUMMYFUNCTION("""COMPUTED_VALUE"""),22820.0)</f>
        <v>22820</v>
      </c>
      <c r="F869" s="1">
        <f>IFERROR(__xludf.DUMMYFUNCTION("""COMPUTED_VALUE"""),244600.0)</f>
        <v>244600</v>
      </c>
    </row>
    <row r="870">
      <c r="A870" s="2">
        <f>IFERROR(__xludf.DUMMYFUNCTION("""COMPUTED_VALUE"""),41829.645833333336)</f>
        <v>41829.64583</v>
      </c>
      <c r="B870" s="1">
        <f>IFERROR(__xludf.DUMMYFUNCTION("""COMPUTED_VALUE"""),22600.0)</f>
        <v>22600</v>
      </c>
      <c r="C870" s="1">
        <f>IFERROR(__xludf.DUMMYFUNCTION("""COMPUTED_VALUE"""),23460.0)</f>
        <v>23460</v>
      </c>
      <c r="D870" s="1">
        <f>IFERROR(__xludf.DUMMYFUNCTION("""COMPUTED_VALUE"""),22200.0)</f>
        <v>22200</v>
      </c>
      <c r="E870" s="1">
        <f>IFERROR(__xludf.DUMMYFUNCTION("""COMPUTED_VALUE"""),22680.0)</f>
        <v>22680</v>
      </c>
      <c r="F870" s="1">
        <f>IFERROR(__xludf.DUMMYFUNCTION("""COMPUTED_VALUE"""),464490.0)</f>
        <v>464490</v>
      </c>
    </row>
    <row r="871">
      <c r="A871" s="2">
        <f>IFERROR(__xludf.DUMMYFUNCTION("""COMPUTED_VALUE"""),41830.645833333336)</f>
        <v>41830.64583</v>
      </c>
      <c r="B871" s="1">
        <f>IFERROR(__xludf.DUMMYFUNCTION("""COMPUTED_VALUE"""),23400.0)</f>
        <v>23400</v>
      </c>
      <c r="C871" s="1">
        <f>IFERROR(__xludf.DUMMYFUNCTION("""COMPUTED_VALUE"""),24140.0)</f>
        <v>24140</v>
      </c>
      <c r="D871" s="1">
        <f>IFERROR(__xludf.DUMMYFUNCTION("""COMPUTED_VALUE"""),23340.0)</f>
        <v>23340</v>
      </c>
      <c r="E871" s="1">
        <f>IFERROR(__xludf.DUMMYFUNCTION("""COMPUTED_VALUE"""),23980.0)</f>
        <v>23980</v>
      </c>
      <c r="F871" s="1">
        <f>IFERROR(__xludf.DUMMYFUNCTION("""COMPUTED_VALUE"""),636196.0)</f>
        <v>636196</v>
      </c>
    </row>
    <row r="872">
      <c r="A872" s="2">
        <f>IFERROR(__xludf.DUMMYFUNCTION("""COMPUTED_VALUE"""),41831.645833333336)</f>
        <v>41831.64583</v>
      </c>
      <c r="B872" s="1">
        <f>IFERROR(__xludf.DUMMYFUNCTION("""COMPUTED_VALUE"""),24320.0)</f>
        <v>24320</v>
      </c>
      <c r="C872" s="1">
        <f>IFERROR(__xludf.DUMMYFUNCTION("""COMPUTED_VALUE"""),24360.0)</f>
        <v>24360</v>
      </c>
      <c r="D872" s="1">
        <f>IFERROR(__xludf.DUMMYFUNCTION("""COMPUTED_VALUE"""),23560.0)</f>
        <v>23560</v>
      </c>
      <c r="E872" s="1">
        <f>IFERROR(__xludf.DUMMYFUNCTION("""COMPUTED_VALUE"""),23560.0)</f>
        <v>23560</v>
      </c>
      <c r="F872" s="1">
        <f>IFERROR(__xludf.DUMMYFUNCTION("""COMPUTED_VALUE"""),340036.0)</f>
        <v>340036</v>
      </c>
    </row>
    <row r="873">
      <c r="A873" s="2">
        <f>IFERROR(__xludf.DUMMYFUNCTION("""COMPUTED_VALUE"""),41834.645833333336)</f>
        <v>41834.64583</v>
      </c>
      <c r="B873" s="1">
        <f>IFERROR(__xludf.DUMMYFUNCTION("""COMPUTED_VALUE"""),23560.0)</f>
        <v>23560</v>
      </c>
      <c r="C873" s="1">
        <f>IFERROR(__xludf.DUMMYFUNCTION("""COMPUTED_VALUE"""),23760.0)</f>
        <v>23760</v>
      </c>
      <c r="D873" s="1">
        <f>IFERROR(__xludf.DUMMYFUNCTION("""COMPUTED_VALUE"""),23240.0)</f>
        <v>23240</v>
      </c>
      <c r="E873" s="1">
        <f>IFERROR(__xludf.DUMMYFUNCTION("""COMPUTED_VALUE"""),23660.0)</f>
        <v>23660</v>
      </c>
      <c r="F873" s="1">
        <f>IFERROR(__xludf.DUMMYFUNCTION("""COMPUTED_VALUE"""),183828.0)</f>
        <v>183828</v>
      </c>
    </row>
    <row r="874">
      <c r="A874" s="2">
        <f>IFERROR(__xludf.DUMMYFUNCTION("""COMPUTED_VALUE"""),41835.645833333336)</f>
        <v>41835.64583</v>
      </c>
      <c r="B874" s="1">
        <f>IFERROR(__xludf.DUMMYFUNCTION("""COMPUTED_VALUE"""),23960.0)</f>
        <v>23960</v>
      </c>
      <c r="C874" s="1">
        <f>IFERROR(__xludf.DUMMYFUNCTION("""COMPUTED_VALUE"""),24980.0)</f>
        <v>24980</v>
      </c>
      <c r="D874" s="1">
        <f>IFERROR(__xludf.DUMMYFUNCTION("""COMPUTED_VALUE"""),23800.0)</f>
        <v>23800</v>
      </c>
      <c r="E874" s="1">
        <f>IFERROR(__xludf.DUMMYFUNCTION("""COMPUTED_VALUE"""),24500.0)</f>
        <v>24500</v>
      </c>
      <c r="F874" s="1">
        <f>IFERROR(__xludf.DUMMYFUNCTION("""COMPUTED_VALUE"""),563516.0)</f>
        <v>563516</v>
      </c>
    </row>
    <row r="875">
      <c r="A875" s="2">
        <f>IFERROR(__xludf.DUMMYFUNCTION("""COMPUTED_VALUE"""),41836.645833333336)</f>
        <v>41836.64583</v>
      </c>
      <c r="B875" s="1">
        <f>IFERROR(__xludf.DUMMYFUNCTION("""COMPUTED_VALUE"""),24640.0)</f>
        <v>24640</v>
      </c>
      <c r="C875" s="1">
        <f>IFERROR(__xludf.DUMMYFUNCTION("""COMPUTED_VALUE"""),25040.0)</f>
        <v>25040</v>
      </c>
      <c r="D875" s="1">
        <f>IFERROR(__xludf.DUMMYFUNCTION("""COMPUTED_VALUE"""),23840.0)</f>
        <v>23840</v>
      </c>
      <c r="E875" s="1">
        <f>IFERROR(__xludf.DUMMYFUNCTION("""COMPUTED_VALUE"""),23880.0)</f>
        <v>23880</v>
      </c>
      <c r="F875" s="1">
        <f>IFERROR(__xludf.DUMMYFUNCTION("""COMPUTED_VALUE"""),352028.0)</f>
        <v>352028</v>
      </c>
    </row>
    <row r="876">
      <c r="A876" s="2">
        <f>IFERROR(__xludf.DUMMYFUNCTION("""COMPUTED_VALUE"""),41837.645833333336)</f>
        <v>41837.64583</v>
      </c>
      <c r="B876" s="1">
        <f>IFERROR(__xludf.DUMMYFUNCTION("""COMPUTED_VALUE"""),24120.0)</f>
        <v>24120</v>
      </c>
      <c r="C876" s="1">
        <f>IFERROR(__xludf.DUMMYFUNCTION("""COMPUTED_VALUE"""),24900.0)</f>
        <v>24900</v>
      </c>
      <c r="D876" s="1">
        <f>IFERROR(__xludf.DUMMYFUNCTION("""COMPUTED_VALUE"""),23620.0)</f>
        <v>23620</v>
      </c>
      <c r="E876" s="1">
        <f>IFERROR(__xludf.DUMMYFUNCTION("""COMPUTED_VALUE"""),24700.0)</f>
        <v>24700</v>
      </c>
      <c r="F876" s="1">
        <f>IFERROR(__xludf.DUMMYFUNCTION("""COMPUTED_VALUE"""),350654.0)</f>
        <v>350654</v>
      </c>
    </row>
    <row r="877">
      <c r="A877" s="2">
        <f>IFERROR(__xludf.DUMMYFUNCTION("""COMPUTED_VALUE"""),41838.645833333336)</f>
        <v>41838.64583</v>
      </c>
      <c r="B877" s="1">
        <f>IFERROR(__xludf.DUMMYFUNCTION("""COMPUTED_VALUE"""),24520.0)</f>
        <v>24520</v>
      </c>
      <c r="C877" s="1">
        <f>IFERROR(__xludf.DUMMYFUNCTION("""COMPUTED_VALUE"""),25000.0)</f>
        <v>25000</v>
      </c>
      <c r="D877" s="1">
        <f>IFERROR(__xludf.DUMMYFUNCTION("""COMPUTED_VALUE"""),24240.0)</f>
        <v>24240</v>
      </c>
      <c r="E877" s="1">
        <f>IFERROR(__xludf.DUMMYFUNCTION("""COMPUTED_VALUE"""),24740.0)</f>
        <v>24740</v>
      </c>
      <c r="F877" s="1">
        <f>IFERROR(__xludf.DUMMYFUNCTION("""COMPUTED_VALUE"""),316759.0)</f>
        <v>316759</v>
      </c>
    </row>
    <row r="878">
      <c r="A878" s="2">
        <f>IFERROR(__xludf.DUMMYFUNCTION("""COMPUTED_VALUE"""),41841.645833333336)</f>
        <v>41841.64583</v>
      </c>
      <c r="B878" s="1">
        <f>IFERROR(__xludf.DUMMYFUNCTION("""COMPUTED_VALUE"""),24700.0)</f>
        <v>24700</v>
      </c>
      <c r="C878" s="1">
        <f>IFERROR(__xludf.DUMMYFUNCTION("""COMPUTED_VALUE"""),25960.0)</f>
        <v>25960</v>
      </c>
      <c r="D878" s="1">
        <f>IFERROR(__xludf.DUMMYFUNCTION("""COMPUTED_VALUE"""),24440.0)</f>
        <v>24440</v>
      </c>
      <c r="E878" s="1">
        <f>IFERROR(__xludf.DUMMYFUNCTION("""COMPUTED_VALUE"""),25800.0)</f>
        <v>25800</v>
      </c>
      <c r="F878" s="1">
        <f>IFERROR(__xludf.DUMMYFUNCTION("""COMPUTED_VALUE"""),537921.0)</f>
        <v>537921</v>
      </c>
    </row>
    <row r="879">
      <c r="A879" s="2">
        <f>IFERROR(__xludf.DUMMYFUNCTION("""COMPUTED_VALUE"""),41842.645833333336)</f>
        <v>41842.64583</v>
      </c>
      <c r="B879" s="1">
        <f>IFERROR(__xludf.DUMMYFUNCTION("""COMPUTED_VALUE"""),25960.0)</f>
        <v>25960</v>
      </c>
      <c r="C879" s="1">
        <f>IFERROR(__xludf.DUMMYFUNCTION("""COMPUTED_VALUE"""),26840.0)</f>
        <v>26840</v>
      </c>
      <c r="D879" s="1">
        <f>IFERROR(__xludf.DUMMYFUNCTION("""COMPUTED_VALUE"""),25800.0)</f>
        <v>25800</v>
      </c>
      <c r="E879" s="1">
        <f>IFERROR(__xludf.DUMMYFUNCTION("""COMPUTED_VALUE"""),26200.0)</f>
        <v>26200</v>
      </c>
      <c r="F879" s="1">
        <f>IFERROR(__xludf.DUMMYFUNCTION("""COMPUTED_VALUE"""),744031.0)</f>
        <v>744031</v>
      </c>
    </row>
    <row r="880">
      <c r="A880" s="2">
        <f>IFERROR(__xludf.DUMMYFUNCTION("""COMPUTED_VALUE"""),41843.645833333336)</f>
        <v>41843.64583</v>
      </c>
      <c r="B880" s="1">
        <f>IFERROR(__xludf.DUMMYFUNCTION("""COMPUTED_VALUE"""),26320.0)</f>
        <v>26320</v>
      </c>
      <c r="C880" s="1">
        <f>IFERROR(__xludf.DUMMYFUNCTION("""COMPUTED_VALUE"""),26620.0)</f>
        <v>26620</v>
      </c>
      <c r="D880" s="1">
        <f>IFERROR(__xludf.DUMMYFUNCTION("""COMPUTED_VALUE"""),25700.0)</f>
        <v>25700</v>
      </c>
      <c r="E880" s="1">
        <f>IFERROR(__xludf.DUMMYFUNCTION("""COMPUTED_VALUE"""),25800.0)</f>
        <v>25800</v>
      </c>
      <c r="F880" s="1">
        <f>IFERROR(__xludf.DUMMYFUNCTION("""COMPUTED_VALUE"""),336175.0)</f>
        <v>336175</v>
      </c>
    </row>
    <row r="881">
      <c r="A881" s="2">
        <f>IFERROR(__xludf.DUMMYFUNCTION("""COMPUTED_VALUE"""),41844.645833333336)</f>
        <v>41844.64583</v>
      </c>
      <c r="B881" s="1">
        <f>IFERROR(__xludf.DUMMYFUNCTION("""COMPUTED_VALUE"""),26220.0)</f>
        <v>26220</v>
      </c>
      <c r="C881" s="1">
        <f>IFERROR(__xludf.DUMMYFUNCTION("""COMPUTED_VALUE"""),26700.0)</f>
        <v>26700</v>
      </c>
      <c r="D881" s="1">
        <f>IFERROR(__xludf.DUMMYFUNCTION("""COMPUTED_VALUE"""),26100.0)</f>
        <v>26100</v>
      </c>
      <c r="E881" s="1">
        <f>IFERROR(__xludf.DUMMYFUNCTION("""COMPUTED_VALUE"""),26480.0)</f>
        <v>26480</v>
      </c>
      <c r="F881" s="1">
        <f>IFERROR(__xludf.DUMMYFUNCTION("""COMPUTED_VALUE"""),396761.0)</f>
        <v>396761</v>
      </c>
    </row>
    <row r="882">
      <c r="A882" s="2">
        <f>IFERROR(__xludf.DUMMYFUNCTION("""COMPUTED_VALUE"""),41845.645833333336)</f>
        <v>41845.64583</v>
      </c>
      <c r="B882" s="1">
        <f>IFERROR(__xludf.DUMMYFUNCTION("""COMPUTED_VALUE"""),26780.0)</f>
        <v>26780</v>
      </c>
      <c r="C882" s="1">
        <f>IFERROR(__xludf.DUMMYFUNCTION("""COMPUTED_VALUE"""),27060.0)</f>
        <v>27060</v>
      </c>
      <c r="D882" s="1">
        <f>IFERROR(__xludf.DUMMYFUNCTION("""COMPUTED_VALUE"""),26200.0)</f>
        <v>26200</v>
      </c>
      <c r="E882" s="1">
        <f>IFERROR(__xludf.DUMMYFUNCTION("""COMPUTED_VALUE"""),26340.0)</f>
        <v>26340</v>
      </c>
      <c r="F882" s="1">
        <f>IFERROR(__xludf.DUMMYFUNCTION("""COMPUTED_VALUE"""),243067.0)</f>
        <v>243067</v>
      </c>
    </row>
    <row r="883">
      <c r="A883" s="2">
        <f>IFERROR(__xludf.DUMMYFUNCTION("""COMPUTED_VALUE"""),41848.645833333336)</f>
        <v>41848.64583</v>
      </c>
      <c r="B883" s="1">
        <f>IFERROR(__xludf.DUMMYFUNCTION("""COMPUTED_VALUE"""),26360.0)</f>
        <v>26360</v>
      </c>
      <c r="C883" s="1">
        <f>IFERROR(__xludf.DUMMYFUNCTION("""COMPUTED_VALUE"""),26440.0)</f>
        <v>26440</v>
      </c>
      <c r="D883" s="1">
        <f>IFERROR(__xludf.DUMMYFUNCTION("""COMPUTED_VALUE"""),25240.0)</f>
        <v>25240</v>
      </c>
      <c r="E883" s="1">
        <f>IFERROR(__xludf.DUMMYFUNCTION("""COMPUTED_VALUE"""),25540.0)</f>
        <v>25540</v>
      </c>
      <c r="F883" s="1">
        <f>IFERROR(__xludf.DUMMYFUNCTION("""COMPUTED_VALUE"""),303032.0)</f>
        <v>303032</v>
      </c>
    </row>
    <row r="884">
      <c r="A884" s="2">
        <f>IFERROR(__xludf.DUMMYFUNCTION("""COMPUTED_VALUE"""),41849.645833333336)</f>
        <v>41849.64583</v>
      </c>
      <c r="B884" s="1">
        <f>IFERROR(__xludf.DUMMYFUNCTION("""COMPUTED_VALUE"""),25200.0)</f>
        <v>25200</v>
      </c>
      <c r="C884" s="1">
        <f>IFERROR(__xludf.DUMMYFUNCTION("""COMPUTED_VALUE"""),25540.0)</f>
        <v>25540</v>
      </c>
      <c r="D884" s="1">
        <f>IFERROR(__xludf.DUMMYFUNCTION("""COMPUTED_VALUE"""),24220.0)</f>
        <v>24220</v>
      </c>
      <c r="E884" s="1">
        <f>IFERROR(__xludf.DUMMYFUNCTION("""COMPUTED_VALUE"""),24220.0)</f>
        <v>24220</v>
      </c>
      <c r="F884" s="1">
        <f>IFERROR(__xludf.DUMMYFUNCTION("""COMPUTED_VALUE"""),448278.0)</f>
        <v>448278</v>
      </c>
    </row>
    <row r="885">
      <c r="A885" s="2">
        <f>IFERROR(__xludf.DUMMYFUNCTION("""COMPUTED_VALUE"""),41850.645833333336)</f>
        <v>41850.64583</v>
      </c>
      <c r="B885" s="1">
        <f>IFERROR(__xludf.DUMMYFUNCTION("""COMPUTED_VALUE"""),24800.0)</f>
        <v>24800</v>
      </c>
      <c r="C885" s="1">
        <f>IFERROR(__xludf.DUMMYFUNCTION("""COMPUTED_VALUE"""),26800.0)</f>
        <v>26800</v>
      </c>
      <c r="D885" s="1">
        <f>IFERROR(__xludf.DUMMYFUNCTION("""COMPUTED_VALUE"""),24780.0)</f>
        <v>24780</v>
      </c>
      <c r="E885" s="1">
        <f>IFERROR(__xludf.DUMMYFUNCTION("""COMPUTED_VALUE"""),26160.0)</f>
        <v>26160</v>
      </c>
      <c r="F885" s="1">
        <f>IFERROR(__xludf.DUMMYFUNCTION("""COMPUTED_VALUE"""),956804.0)</f>
        <v>956804</v>
      </c>
    </row>
    <row r="886">
      <c r="A886" s="2">
        <f>IFERROR(__xludf.DUMMYFUNCTION("""COMPUTED_VALUE"""),41851.645833333336)</f>
        <v>41851.64583</v>
      </c>
      <c r="B886" s="1">
        <f>IFERROR(__xludf.DUMMYFUNCTION("""COMPUTED_VALUE"""),26500.0)</f>
        <v>26500</v>
      </c>
      <c r="C886" s="1">
        <f>IFERROR(__xludf.DUMMYFUNCTION("""COMPUTED_VALUE"""),26800.0)</f>
        <v>26800</v>
      </c>
      <c r="D886" s="1">
        <f>IFERROR(__xludf.DUMMYFUNCTION("""COMPUTED_VALUE"""),25820.0)</f>
        <v>25820</v>
      </c>
      <c r="E886" s="1">
        <f>IFERROR(__xludf.DUMMYFUNCTION("""COMPUTED_VALUE"""),26340.0)</f>
        <v>26340</v>
      </c>
      <c r="F886" s="1">
        <f>IFERROR(__xludf.DUMMYFUNCTION("""COMPUTED_VALUE"""),485603.0)</f>
        <v>485603</v>
      </c>
    </row>
    <row r="887">
      <c r="A887" s="2">
        <f>IFERROR(__xludf.DUMMYFUNCTION("""COMPUTED_VALUE"""),41852.645833333336)</f>
        <v>41852.64583</v>
      </c>
      <c r="B887" s="1">
        <f>IFERROR(__xludf.DUMMYFUNCTION("""COMPUTED_VALUE"""),26100.0)</f>
        <v>26100</v>
      </c>
      <c r="C887" s="1">
        <f>IFERROR(__xludf.DUMMYFUNCTION("""COMPUTED_VALUE"""),29700.0)</f>
        <v>29700</v>
      </c>
      <c r="D887" s="1">
        <f>IFERROR(__xludf.DUMMYFUNCTION("""COMPUTED_VALUE"""),25840.0)</f>
        <v>25840</v>
      </c>
      <c r="E887" s="1">
        <f>IFERROR(__xludf.DUMMYFUNCTION("""COMPUTED_VALUE"""),28320.0)</f>
        <v>28320</v>
      </c>
      <c r="F887" s="1">
        <f>IFERROR(__xludf.DUMMYFUNCTION("""COMPUTED_VALUE"""),978736.0)</f>
        <v>978736</v>
      </c>
    </row>
    <row r="888">
      <c r="A888" s="2">
        <f>IFERROR(__xludf.DUMMYFUNCTION("""COMPUTED_VALUE"""),41855.645833333336)</f>
        <v>41855.64583</v>
      </c>
      <c r="B888" s="1">
        <f>IFERROR(__xludf.DUMMYFUNCTION("""COMPUTED_VALUE"""),28500.0)</f>
        <v>28500</v>
      </c>
      <c r="C888" s="1">
        <f>IFERROR(__xludf.DUMMYFUNCTION("""COMPUTED_VALUE"""),29280.0)</f>
        <v>29280</v>
      </c>
      <c r="D888" s="1">
        <f>IFERROR(__xludf.DUMMYFUNCTION("""COMPUTED_VALUE"""),27700.0)</f>
        <v>27700</v>
      </c>
      <c r="E888" s="1">
        <f>IFERROR(__xludf.DUMMYFUNCTION("""COMPUTED_VALUE"""),28680.0)</f>
        <v>28680</v>
      </c>
      <c r="F888" s="1">
        <f>IFERROR(__xludf.DUMMYFUNCTION("""COMPUTED_VALUE"""),602367.0)</f>
        <v>602367</v>
      </c>
    </row>
    <row r="889">
      <c r="A889" s="2">
        <f>IFERROR(__xludf.DUMMYFUNCTION("""COMPUTED_VALUE"""),41856.645833333336)</f>
        <v>41856.64583</v>
      </c>
      <c r="B889" s="1">
        <f>IFERROR(__xludf.DUMMYFUNCTION("""COMPUTED_VALUE"""),29100.0)</f>
        <v>29100</v>
      </c>
      <c r="C889" s="1">
        <f>IFERROR(__xludf.DUMMYFUNCTION("""COMPUTED_VALUE"""),30000.0)</f>
        <v>30000</v>
      </c>
      <c r="D889" s="1">
        <f>IFERROR(__xludf.DUMMYFUNCTION("""COMPUTED_VALUE"""),28700.0)</f>
        <v>28700</v>
      </c>
      <c r="E889" s="1">
        <f>IFERROR(__xludf.DUMMYFUNCTION("""COMPUTED_VALUE"""),29140.0)</f>
        <v>29140</v>
      </c>
      <c r="F889" s="1">
        <f>IFERROR(__xludf.DUMMYFUNCTION("""COMPUTED_VALUE"""),792383.0)</f>
        <v>792383</v>
      </c>
    </row>
    <row r="890">
      <c r="A890" s="2">
        <f>IFERROR(__xludf.DUMMYFUNCTION("""COMPUTED_VALUE"""),41857.645833333336)</f>
        <v>41857.64583</v>
      </c>
      <c r="B890" s="1">
        <f>IFERROR(__xludf.DUMMYFUNCTION("""COMPUTED_VALUE"""),29040.0)</f>
        <v>29040</v>
      </c>
      <c r="C890" s="1">
        <f>IFERROR(__xludf.DUMMYFUNCTION("""COMPUTED_VALUE"""),30220.0)</f>
        <v>30220</v>
      </c>
      <c r="D890" s="1">
        <f>IFERROR(__xludf.DUMMYFUNCTION("""COMPUTED_VALUE"""),28660.0)</f>
        <v>28660</v>
      </c>
      <c r="E890" s="1">
        <f>IFERROR(__xludf.DUMMYFUNCTION("""COMPUTED_VALUE"""),29680.0)</f>
        <v>29680</v>
      </c>
      <c r="F890" s="1">
        <f>IFERROR(__xludf.DUMMYFUNCTION("""COMPUTED_VALUE"""),555241.0)</f>
        <v>555241</v>
      </c>
    </row>
    <row r="891">
      <c r="A891" s="2">
        <f>IFERROR(__xludf.DUMMYFUNCTION("""COMPUTED_VALUE"""),41858.645833333336)</f>
        <v>41858.64583</v>
      </c>
      <c r="B891" s="1">
        <f>IFERROR(__xludf.DUMMYFUNCTION("""COMPUTED_VALUE"""),29800.0)</f>
        <v>29800</v>
      </c>
      <c r="C891" s="1">
        <f>IFERROR(__xludf.DUMMYFUNCTION("""COMPUTED_VALUE"""),34100.0)</f>
        <v>34100</v>
      </c>
      <c r="D891" s="1">
        <f>IFERROR(__xludf.DUMMYFUNCTION("""COMPUTED_VALUE"""),29740.0)</f>
        <v>29740</v>
      </c>
      <c r="E891" s="1">
        <f>IFERROR(__xludf.DUMMYFUNCTION("""COMPUTED_VALUE"""),31200.0)</f>
        <v>31200</v>
      </c>
      <c r="F891" s="1">
        <f>IFERROR(__xludf.DUMMYFUNCTION("""COMPUTED_VALUE"""),1900996.0)</f>
        <v>1900996</v>
      </c>
    </row>
    <row r="892">
      <c r="A892" s="2">
        <f>IFERROR(__xludf.DUMMYFUNCTION("""COMPUTED_VALUE"""),41859.645833333336)</f>
        <v>41859.64583</v>
      </c>
      <c r="B892" s="1">
        <f>IFERROR(__xludf.DUMMYFUNCTION("""COMPUTED_VALUE"""),31300.0)</f>
        <v>31300</v>
      </c>
      <c r="C892" s="1">
        <f>IFERROR(__xludf.DUMMYFUNCTION("""COMPUTED_VALUE"""),32680.0)</f>
        <v>32680</v>
      </c>
      <c r="D892" s="1">
        <f>IFERROR(__xludf.DUMMYFUNCTION("""COMPUTED_VALUE"""),31040.0)</f>
        <v>31040</v>
      </c>
      <c r="E892" s="1">
        <f>IFERROR(__xludf.DUMMYFUNCTION("""COMPUTED_VALUE"""),31860.0)</f>
        <v>31860</v>
      </c>
      <c r="F892" s="1">
        <f>IFERROR(__xludf.DUMMYFUNCTION("""COMPUTED_VALUE"""),826891.0)</f>
        <v>826891</v>
      </c>
    </row>
    <row r="893">
      <c r="A893" s="2">
        <f>IFERROR(__xludf.DUMMYFUNCTION("""COMPUTED_VALUE"""),41862.645833333336)</f>
        <v>41862.64583</v>
      </c>
      <c r="B893" s="1">
        <f>IFERROR(__xludf.DUMMYFUNCTION("""COMPUTED_VALUE"""),32200.0)</f>
        <v>32200</v>
      </c>
      <c r="C893" s="1">
        <f>IFERROR(__xludf.DUMMYFUNCTION("""COMPUTED_VALUE"""),32460.0)</f>
        <v>32460</v>
      </c>
      <c r="D893" s="1">
        <f>IFERROR(__xludf.DUMMYFUNCTION("""COMPUTED_VALUE"""),30540.0)</f>
        <v>30540</v>
      </c>
      <c r="E893" s="1">
        <f>IFERROR(__xludf.DUMMYFUNCTION("""COMPUTED_VALUE"""),30540.0)</f>
        <v>30540</v>
      </c>
      <c r="F893" s="1">
        <f>IFERROR(__xludf.DUMMYFUNCTION("""COMPUTED_VALUE"""),592292.0)</f>
        <v>592292</v>
      </c>
    </row>
    <row r="894">
      <c r="A894" s="2">
        <f>IFERROR(__xludf.DUMMYFUNCTION("""COMPUTED_VALUE"""),41863.645833333336)</f>
        <v>41863.64583</v>
      </c>
      <c r="B894" s="1">
        <f>IFERROR(__xludf.DUMMYFUNCTION("""COMPUTED_VALUE"""),30220.0)</f>
        <v>30220</v>
      </c>
      <c r="C894" s="1">
        <f>IFERROR(__xludf.DUMMYFUNCTION("""COMPUTED_VALUE"""),33020.0)</f>
        <v>33020</v>
      </c>
      <c r="D894" s="1">
        <f>IFERROR(__xludf.DUMMYFUNCTION("""COMPUTED_VALUE"""),29980.0)</f>
        <v>29980</v>
      </c>
      <c r="E894" s="1">
        <f>IFERROR(__xludf.DUMMYFUNCTION("""COMPUTED_VALUE"""),33020.0)</f>
        <v>33020</v>
      </c>
      <c r="F894" s="1">
        <f>IFERROR(__xludf.DUMMYFUNCTION("""COMPUTED_VALUE"""),841667.0)</f>
        <v>841667</v>
      </c>
    </row>
    <row r="895">
      <c r="A895" s="2">
        <f>IFERROR(__xludf.DUMMYFUNCTION("""COMPUTED_VALUE"""),41864.645833333336)</f>
        <v>41864.64583</v>
      </c>
      <c r="B895" s="1">
        <f>IFERROR(__xludf.DUMMYFUNCTION("""COMPUTED_VALUE"""),32760.0)</f>
        <v>32760</v>
      </c>
      <c r="C895" s="1">
        <f>IFERROR(__xludf.DUMMYFUNCTION("""COMPUTED_VALUE"""),35880.0)</f>
        <v>35880</v>
      </c>
      <c r="D895" s="1">
        <f>IFERROR(__xludf.DUMMYFUNCTION("""COMPUTED_VALUE"""),32520.0)</f>
        <v>32520</v>
      </c>
      <c r="E895" s="1">
        <f>IFERROR(__xludf.DUMMYFUNCTION("""COMPUTED_VALUE"""),34260.0)</f>
        <v>34260</v>
      </c>
      <c r="F895" s="1">
        <f>IFERROR(__xludf.DUMMYFUNCTION("""COMPUTED_VALUE"""),1450700.0)</f>
        <v>1450700</v>
      </c>
    </row>
    <row r="896">
      <c r="A896" s="2">
        <f>IFERROR(__xludf.DUMMYFUNCTION("""COMPUTED_VALUE"""),41865.645833333336)</f>
        <v>41865.64583</v>
      </c>
      <c r="B896" s="1">
        <f>IFERROR(__xludf.DUMMYFUNCTION("""COMPUTED_VALUE"""),34600.0)</f>
        <v>34600</v>
      </c>
      <c r="C896" s="1">
        <f>IFERROR(__xludf.DUMMYFUNCTION("""COMPUTED_VALUE"""),35060.0)</f>
        <v>35060</v>
      </c>
      <c r="D896" s="1">
        <f>IFERROR(__xludf.DUMMYFUNCTION("""COMPUTED_VALUE"""),34120.0)</f>
        <v>34120</v>
      </c>
      <c r="E896" s="1">
        <f>IFERROR(__xludf.DUMMYFUNCTION("""COMPUTED_VALUE"""),34300.0)</f>
        <v>34300</v>
      </c>
      <c r="F896" s="1">
        <f>IFERROR(__xludf.DUMMYFUNCTION("""COMPUTED_VALUE"""),467400.0)</f>
        <v>467400</v>
      </c>
    </row>
    <row r="897">
      <c r="A897" s="2">
        <f>IFERROR(__xludf.DUMMYFUNCTION("""COMPUTED_VALUE"""),41869.645833333336)</f>
        <v>41869.64583</v>
      </c>
      <c r="B897" s="1">
        <f>IFERROR(__xludf.DUMMYFUNCTION("""COMPUTED_VALUE"""),34820.0)</f>
        <v>34820</v>
      </c>
      <c r="C897" s="1">
        <f>IFERROR(__xludf.DUMMYFUNCTION("""COMPUTED_VALUE"""),34940.0)</f>
        <v>34940</v>
      </c>
      <c r="D897" s="1">
        <f>IFERROR(__xludf.DUMMYFUNCTION("""COMPUTED_VALUE"""),33920.0)</f>
        <v>33920</v>
      </c>
      <c r="E897" s="1">
        <f>IFERROR(__xludf.DUMMYFUNCTION("""COMPUTED_VALUE"""),33940.0)</f>
        <v>33940</v>
      </c>
      <c r="F897" s="1">
        <f>IFERROR(__xludf.DUMMYFUNCTION("""COMPUTED_VALUE"""),452230.0)</f>
        <v>452230</v>
      </c>
    </row>
    <row r="898">
      <c r="A898" s="2">
        <f>IFERROR(__xludf.DUMMYFUNCTION("""COMPUTED_VALUE"""),41870.645833333336)</f>
        <v>41870.64583</v>
      </c>
      <c r="B898" s="1">
        <f>IFERROR(__xludf.DUMMYFUNCTION("""COMPUTED_VALUE"""),33700.0)</f>
        <v>33700</v>
      </c>
      <c r="C898" s="1">
        <f>IFERROR(__xludf.DUMMYFUNCTION("""COMPUTED_VALUE"""),35700.0)</f>
        <v>35700</v>
      </c>
      <c r="D898" s="1">
        <f>IFERROR(__xludf.DUMMYFUNCTION("""COMPUTED_VALUE"""),33700.0)</f>
        <v>33700</v>
      </c>
      <c r="E898" s="1">
        <f>IFERROR(__xludf.DUMMYFUNCTION("""COMPUTED_VALUE"""),35420.0)</f>
        <v>35420</v>
      </c>
      <c r="F898" s="1">
        <f>IFERROR(__xludf.DUMMYFUNCTION("""COMPUTED_VALUE"""),650435.0)</f>
        <v>650435</v>
      </c>
    </row>
    <row r="899">
      <c r="A899" s="2">
        <f>IFERROR(__xludf.DUMMYFUNCTION("""COMPUTED_VALUE"""),41871.645833333336)</f>
        <v>41871.64583</v>
      </c>
      <c r="B899" s="1">
        <f>IFERROR(__xludf.DUMMYFUNCTION("""COMPUTED_VALUE"""),35760.0)</f>
        <v>35760</v>
      </c>
      <c r="C899" s="1">
        <f>IFERROR(__xludf.DUMMYFUNCTION("""COMPUTED_VALUE"""),36620.0)</f>
        <v>36620</v>
      </c>
      <c r="D899" s="1">
        <f>IFERROR(__xludf.DUMMYFUNCTION("""COMPUTED_VALUE"""),35060.0)</f>
        <v>35060</v>
      </c>
      <c r="E899" s="1">
        <f>IFERROR(__xludf.DUMMYFUNCTION("""COMPUTED_VALUE"""),35060.0)</f>
        <v>35060</v>
      </c>
      <c r="F899" s="1">
        <f>IFERROR(__xludf.DUMMYFUNCTION("""COMPUTED_VALUE"""),635595.0)</f>
        <v>635595</v>
      </c>
    </row>
    <row r="900">
      <c r="A900" s="2">
        <f>IFERROR(__xludf.DUMMYFUNCTION("""COMPUTED_VALUE"""),41872.645833333336)</f>
        <v>41872.64583</v>
      </c>
      <c r="B900" s="1">
        <f>IFERROR(__xludf.DUMMYFUNCTION("""COMPUTED_VALUE"""),35200.0)</f>
        <v>35200</v>
      </c>
      <c r="C900" s="1">
        <f>IFERROR(__xludf.DUMMYFUNCTION("""COMPUTED_VALUE"""),35300.0)</f>
        <v>35300</v>
      </c>
      <c r="D900" s="1">
        <f>IFERROR(__xludf.DUMMYFUNCTION("""COMPUTED_VALUE"""),33800.0)</f>
        <v>33800</v>
      </c>
      <c r="E900" s="1">
        <f>IFERROR(__xludf.DUMMYFUNCTION("""COMPUTED_VALUE"""),33820.0)</f>
        <v>33820</v>
      </c>
      <c r="F900" s="1">
        <f>IFERROR(__xludf.DUMMYFUNCTION("""COMPUTED_VALUE"""),606410.0)</f>
        <v>606410</v>
      </c>
    </row>
    <row r="901">
      <c r="A901" s="2">
        <f>IFERROR(__xludf.DUMMYFUNCTION("""COMPUTED_VALUE"""),41873.645833333336)</f>
        <v>41873.64583</v>
      </c>
      <c r="B901" s="1">
        <f>IFERROR(__xludf.DUMMYFUNCTION("""COMPUTED_VALUE"""),34100.0)</f>
        <v>34100</v>
      </c>
      <c r="C901" s="1">
        <f>IFERROR(__xludf.DUMMYFUNCTION("""COMPUTED_VALUE"""),34680.0)</f>
        <v>34680</v>
      </c>
      <c r="D901" s="1">
        <f>IFERROR(__xludf.DUMMYFUNCTION("""COMPUTED_VALUE"""),32780.0)</f>
        <v>32780</v>
      </c>
      <c r="E901" s="1">
        <f>IFERROR(__xludf.DUMMYFUNCTION("""COMPUTED_VALUE"""),33820.0)</f>
        <v>33820</v>
      </c>
      <c r="F901" s="1">
        <f>IFERROR(__xludf.DUMMYFUNCTION("""COMPUTED_VALUE"""),645668.0)</f>
        <v>645668</v>
      </c>
    </row>
    <row r="902">
      <c r="A902" s="2">
        <f>IFERROR(__xludf.DUMMYFUNCTION("""COMPUTED_VALUE"""),41876.645833333336)</f>
        <v>41876.64583</v>
      </c>
      <c r="B902" s="1">
        <f>IFERROR(__xludf.DUMMYFUNCTION("""COMPUTED_VALUE"""),34220.0)</f>
        <v>34220</v>
      </c>
      <c r="C902" s="1">
        <f>IFERROR(__xludf.DUMMYFUNCTION("""COMPUTED_VALUE"""),34860.0)</f>
        <v>34860</v>
      </c>
      <c r="D902" s="1">
        <f>IFERROR(__xludf.DUMMYFUNCTION("""COMPUTED_VALUE"""),33000.0)</f>
        <v>33000</v>
      </c>
      <c r="E902" s="1">
        <f>IFERROR(__xludf.DUMMYFUNCTION("""COMPUTED_VALUE"""),33000.0)</f>
        <v>33000</v>
      </c>
      <c r="F902" s="1">
        <f>IFERROR(__xludf.DUMMYFUNCTION("""COMPUTED_VALUE"""),476646.0)</f>
        <v>476646</v>
      </c>
    </row>
    <row r="903">
      <c r="A903" s="2">
        <f>IFERROR(__xludf.DUMMYFUNCTION("""COMPUTED_VALUE"""),41877.645833333336)</f>
        <v>41877.64583</v>
      </c>
      <c r="B903" s="1">
        <f>IFERROR(__xludf.DUMMYFUNCTION("""COMPUTED_VALUE"""),33320.0)</f>
        <v>33320</v>
      </c>
      <c r="C903" s="1">
        <f>IFERROR(__xludf.DUMMYFUNCTION("""COMPUTED_VALUE"""),33440.0)</f>
        <v>33440</v>
      </c>
      <c r="D903" s="1">
        <f>IFERROR(__xludf.DUMMYFUNCTION("""COMPUTED_VALUE"""),32120.0)</f>
        <v>32120</v>
      </c>
      <c r="E903" s="1">
        <f>IFERROR(__xludf.DUMMYFUNCTION("""COMPUTED_VALUE"""),32640.0)</f>
        <v>32640</v>
      </c>
      <c r="F903" s="1">
        <f>IFERROR(__xludf.DUMMYFUNCTION("""COMPUTED_VALUE"""),643295.0)</f>
        <v>643295</v>
      </c>
    </row>
    <row r="904">
      <c r="A904" s="2">
        <f>IFERROR(__xludf.DUMMYFUNCTION("""COMPUTED_VALUE"""),41878.645833333336)</f>
        <v>41878.64583</v>
      </c>
      <c r="B904" s="1">
        <f>IFERROR(__xludf.DUMMYFUNCTION("""COMPUTED_VALUE"""),32660.0)</f>
        <v>32660</v>
      </c>
      <c r="C904" s="1">
        <f>IFERROR(__xludf.DUMMYFUNCTION("""COMPUTED_VALUE"""),33500.0)</f>
        <v>33500</v>
      </c>
      <c r="D904" s="1">
        <f>IFERROR(__xludf.DUMMYFUNCTION("""COMPUTED_VALUE"""),30100.0)</f>
        <v>30100</v>
      </c>
      <c r="E904" s="1">
        <f>IFERROR(__xludf.DUMMYFUNCTION("""COMPUTED_VALUE"""),30720.0)</f>
        <v>30720</v>
      </c>
      <c r="F904" s="1">
        <f>IFERROR(__xludf.DUMMYFUNCTION("""COMPUTED_VALUE"""),1201096.0)</f>
        <v>1201096</v>
      </c>
    </row>
    <row r="905">
      <c r="A905" s="2">
        <f>IFERROR(__xludf.DUMMYFUNCTION("""COMPUTED_VALUE"""),41879.645833333336)</f>
        <v>41879.64583</v>
      </c>
      <c r="B905" s="1">
        <f>IFERROR(__xludf.DUMMYFUNCTION("""COMPUTED_VALUE"""),31200.0)</f>
        <v>31200</v>
      </c>
      <c r="C905" s="1">
        <f>IFERROR(__xludf.DUMMYFUNCTION("""COMPUTED_VALUE"""),34280.0)</f>
        <v>34280</v>
      </c>
      <c r="D905" s="1">
        <f>IFERROR(__xludf.DUMMYFUNCTION("""COMPUTED_VALUE"""),31180.0)</f>
        <v>31180</v>
      </c>
      <c r="E905" s="1">
        <f>IFERROR(__xludf.DUMMYFUNCTION("""COMPUTED_VALUE"""),34280.0)</f>
        <v>34280</v>
      </c>
      <c r="F905" s="1">
        <f>IFERROR(__xludf.DUMMYFUNCTION("""COMPUTED_VALUE"""),1543296.0)</f>
        <v>1543296</v>
      </c>
    </row>
    <row r="906">
      <c r="A906" s="2">
        <f>IFERROR(__xludf.DUMMYFUNCTION("""COMPUTED_VALUE"""),41880.645833333336)</f>
        <v>41880.64583</v>
      </c>
      <c r="B906" s="1">
        <f>IFERROR(__xludf.DUMMYFUNCTION("""COMPUTED_VALUE"""),33800.0)</f>
        <v>33800</v>
      </c>
      <c r="C906" s="1">
        <f>IFERROR(__xludf.DUMMYFUNCTION("""COMPUTED_VALUE"""),34560.0)</f>
        <v>34560</v>
      </c>
      <c r="D906" s="1">
        <f>IFERROR(__xludf.DUMMYFUNCTION("""COMPUTED_VALUE"""),33020.0)</f>
        <v>33020</v>
      </c>
      <c r="E906" s="1">
        <f>IFERROR(__xludf.DUMMYFUNCTION("""COMPUTED_VALUE"""),33020.0)</f>
        <v>33020</v>
      </c>
      <c r="F906" s="1">
        <f>IFERROR(__xludf.DUMMYFUNCTION("""COMPUTED_VALUE"""),775522.0)</f>
        <v>775522</v>
      </c>
    </row>
    <row r="907">
      <c r="A907" s="2">
        <f>IFERROR(__xludf.DUMMYFUNCTION("""COMPUTED_VALUE"""),41883.645833333336)</f>
        <v>41883.64583</v>
      </c>
      <c r="B907" s="1">
        <f>IFERROR(__xludf.DUMMYFUNCTION("""COMPUTED_VALUE"""),32400.0)</f>
        <v>32400</v>
      </c>
      <c r="C907" s="1">
        <f>IFERROR(__xludf.DUMMYFUNCTION("""COMPUTED_VALUE"""),33700.0)</f>
        <v>33700</v>
      </c>
      <c r="D907" s="1">
        <f>IFERROR(__xludf.DUMMYFUNCTION("""COMPUTED_VALUE"""),32300.0)</f>
        <v>32300</v>
      </c>
      <c r="E907" s="1">
        <f>IFERROR(__xludf.DUMMYFUNCTION("""COMPUTED_VALUE"""),32600.0)</f>
        <v>32600</v>
      </c>
      <c r="F907" s="1">
        <f>IFERROR(__xludf.DUMMYFUNCTION("""COMPUTED_VALUE"""),444597.0)</f>
        <v>444597</v>
      </c>
    </row>
    <row r="908">
      <c r="A908" s="2">
        <f>IFERROR(__xludf.DUMMYFUNCTION("""COMPUTED_VALUE"""),41884.645833333336)</f>
        <v>41884.64583</v>
      </c>
      <c r="B908" s="1">
        <f>IFERROR(__xludf.DUMMYFUNCTION("""COMPUTED_VALUE"""),33800.0)</f>
        <v>33800</v>
      </c>
      <c r="C908" s="1">
        <f>IFERROR(__xludf.DUMMYFUNCTION("""COMPUTED_VALUE"""),34480.0)</f>
        <v>34480</v>
      </c>
      <c r="D908" s="1">
        <f>IFERROR(__xludf.DUMMYFUNCTION("""COMPUTED_VALUE"""),33260.0)</f>
        <v>33260</v>
      </c>
      <c r="E908" s="1">
        <f>IFERROR(__xludf.DUMMYFUNCTION("""COMPUTED_VALUE"""),33360.0)</f>
        <v>33360</v>
      </c>
      <c r="F908" s="1">
        <f>IFERROR(__xludf.DUMMYFUNCTION("""COMPUTED_VALUE"""),576959.0)</f>
        <v>576959</v>
      </c>
    </row>
    <row r="909">
      <c r="A909" s="2">
        <f>IFERROR(__xludf.DUMMYFUNCTION("""COMPUTED_VALUE"""),41885.645833333336)</f>
        <v>41885.64583</v>
      </c>
      <c r="B909" s="1">
        <f>IFERROR(__xludf.DUMMYFUNCTION("""COMPUTED_VALUE"""),34000.0)</f>
        <v>34000</v>
      </c>
      <c r="C909" s="1">
        <f>IFERROR(__xludf.DUMMYFUNCTION("""COMPUTED_VALUE"""),34580.0)</f>
        <v>34580</v>
      </c>
      <c r="D909" s="1">
        <f>IFERROR(__xludf.DUMMYFUNCTION("""COMPUTED_VALUE"""),33540.0)</f>
        <v>33540</v>
      </c>
      <c r="E909" s="1">
        <f>IFERROR(__xludf.DUMMYFUNCTION("""COMPUTED_VALUE"""),33980.0)</f>
        <v>33980</v>
      </c>
      <c r="F909" s="1">
        <f>IFERROR(__xludf.DUMMYFUNCTION("""COMPUTED_VALUE"""),468633.0)</f>
        <v>468633</v>
      </c>
    </row>
    <row r="910">
      <c r="A910" s="2">
        <f>IFERROR(__xludf.DUMMYFUNCTION("""COMPUTED_VALUE"""),41886.645833333336)</f>
        <v>41886.64583</v>
      </c>
      <c r="B910" s="1">
        <f>IFERROR(__xludf.DUMMYFUNCTION("""COMPUTED_VALUE"""),34060.0)</f>
        <v>34060</v>
      </c>
      <c r="C910" s="1">
        <f>IFERROR(__xludf.DUMMYFUNCTION("""COMPUTED_VALUE"""),34160.0)</f>
        <v>34160</v>
      </c>
      <c r="D910" s="1">
        <f>IFERROR(__xludf.DUMMYFUNCTION("""COMPUTED_VALUE"""),32900.0)</f>
        <v>32900</v>
      </c>
      <c r="E910" s="1">
        <f>IFERROR(__xludf.DUMMYFUNCTION("""COMPUTED_VALUE"""),32900.0)</f>
        <v>32900</v>
      </c>
      <c r="F910" s="1">
        <f>IFERROR(__xludf.DUMMYFUNCTION("""COMPUTED_VALUE"""),426150.0)</f>
        <v>426150</v>
      </c>
    </row>
    <row r="911">
      <c r="A911" s="2">
        <f>IFERROR(__xludf.DUMMYFUNCTION("""COMPUTED_VALUE"""),41887.645833333336)</f>
        <v>41887.64583</v>
      </c>
      <c r="B911" s="1">
        <f>IFERROR(__xludf.DUMMYFUNCTION("""COMPUTED_VALUE"""),32460.0)</f>
        <v>32460</v>
      </c>
      <c r="C911" s="1">
        <f>IFERROR(__xludf.DUMMYFUNCTION("""COMPUTED_VALUE"""),32740.0)</f>
        <v>32740</v>
      </c>
      <c r="D911" s="1">
        <f>IFERROR(__xludf.DUMMYFUNCTION("""COMPUTED_VALUE"""),31300.0)</f>
        <v>31300</v>
      </c>
      <c r="E911" s="1">
        <f>IFERROR(__xludf.DUMMYFUNCTION("""COMPUTED_VALUE"""),31640.0)</f>
        <v>31640</v>
      </c>
      <c r="F911" s="1">
        <f>IFERROR(__xludf.DUMMYFUNCTION("""COMPUTED_VALUE"""),681745.0)</f>
        <v>681745</v>
      </c>
    </row>
    <row r="912">
      <c r="A912" s="2">
        <f>IFERROR(__xludf.DUMMYFUNCTION("""COMPUTED_VALUE"""),41893.645833333336)</f>
        <v>41893.64583</v>
      </c>
      <c r="B912" s="1">
        <f>IFERROR(__xludf.DUMMYFUNCTION("""COMPUTED_VALUE"""),31980.0)</f>
        <v>31980</v>
      </c>
      <c r="C912" s="1">
        <f>IFERROR(__xludf.DUMMYFUNCTION("""COMPUTED_VALUE"""),32500.0)</f>
        <v>32500</v>
      </c>
      <c r="D912" s="1">
        <f>IFERROR(__xludf.DUMMYFUNCTION("""COMPUTED_VALUE"""),30400.0)</f>
        <v>30400</v>
      </c>
      <c r="E912" s="1">
        <f>IFERROR(__xludf.DUMMYFUNCTION("""COMPUTED_VALUE"""),31020.0)</f>
        <v>31020</v>
      </c>
      <c r="F912" s="1">
        <f>IFERROR(__xludf.DUMMYFUNCTION("""COMPUTED_VALUE"""),629137.0)</f>
        <v>629137</v>
      </c>
    </row>
    <row r="913">
      <c r="A913" s="2">
        <f>IFERROR(__xludf.DUMMYFUNCTION("""COMPUTED_VALUE"""),41894.645833333336)</f>
        <v>41894.64583</v>
      </c>
      <c r="B913" s="1">
        <f>IFERROR(__xludf.DUMMYFUNCTION("""COMPUTED_VALUE"""),30820.0)</f>
        <v>30820</v>
      </c>
      <c r="C913" s="1">
        <f>IFERROR(__xludf.DUMMYFUNCTION("""COMPUTED_VALUE"""),31420.0)</f>
        <v>31420</v>
      </c>
      <c r="D913" s="1">
        <f>IFERROR(__xludf.DUMMYFUNCTION("""COMPUTED_VALUE"""),29980.0)</f>
        <v>29980</v>
      </c>
      <c r="E913" s="1">
        <f>IFERROR(__xludf.DUMMYFUNCTION("""COMPUTED_VALUE"""),30580.0)</f>
        <v>30580</v>
      </c>
      <c r="F913" s="1">
        <f>IFERROR(__xludf.DUMMYFUNCTION("""COMPUTED_VALUE"""),468037.0)</f>
        <v>468037</v>
      </c>
    </row>
    <row r="914">
      <c r="A914" s="2">
        <f>IFERROR(__xludf.DUMMYFUNCTION("""COMPUTED_VALUE"""),41897.645833333336)</f>
        <v>41897.64583</v>
      </c>
      <c r="B914" s="1">
        <f>IFERROR(__xludf.DUMMYFUNCTION("""COMPUTED_VALUE"""),30400.0)</f>
        <v>30400</v>
      </c>
      <c r="C914" s="1">
        <f>IFERROR(__xludf.DUMMYFUNCTION("""COMPUTED_VALUE"""),30700.0)</f>
        <v>30700</v>
      </c>
      <c r="D914" s="1">
        <f>IFERROR(__xludf.DUMMYFUNCTION("""COMPUTED_VALUE"""),29020.0)</f>
        <v>29020</v>
      </c>
      <c r="E914" s="1">
        <f>IFERROR(__xludf.DUMMYFUNCTION("""COMPUTED_VALUE"""),29140.0)</f>
        <v>29140</v>
      </c>
      <c r="F914" s="1">
        <f>IFERROR(__xludf.DUMMYFUNCTION("""COMPUTED_VALUE"""),534783.0)</f>
        <v>534783</v>
      </c>
    </row>
    <row r="915">
      <c r="A915" s="2">
        <f>IFERROR(__xludf.DUMMYFUNCTION("""COMPUTED_VALUE"""),41898.645833333336)</f>
        <v>41898.64583</v>
      </c>
      <c r="B915" s="1">
        <f>IFERROR(__xludf.DUMMYFUNCTION("""COMPUTED_VALUE"""),28840.0)</f>
        <v>28840</v>
      </c>
      <c r="C915" s="1">
        <f>IFERROR(__xludf.DUMMYFUNCTION("""COMPUTED_VALUE"""),30600.0)</f>
        <v>30600</v>
      </c>
      <c r="D915" s="1">
        <f>IFERROR(__xludf.DUMMYFUNCTION("""COMPUTED_VALUE"""),28840.0)</f>
        <v>28840</v>
      </c>
      <c r="E915" s="1">
        <f>IFERROR(__xludf.DUMMYFUNCTION("""COMPUTED_VALUE"""),29840.0)</f>
        <v>29840</v>
      </c>
      <c r="F915" s="1">
        <f>IFERROR(__xludf.DUMMYFUNCTION("""COMPUTED_VALUE"""),563241.0)</f>
        <v>563241</v>
      </c>
    </row>
    <row r="916">
      <c r="A916" s="2">
        <f>IFERROR(__xludf.DUMMYFUNCTION("""COMPUTED_VALUE"""),41899.645833333336)</f>
        <v>41899.64583</v>
      </c>
      <c r="B916" s="1">
        <f>IFERROR(__xludf.DUMMYFUNCTION("""COMPUTED_VALUE"""),29860.0)</f>
        <v>29860</v>
      </c>
      <c r="C916" s="1">
        <f>IFERROR(__xludf.DUMMYFUNCTION("""COMPUTED_VALUE"""),31680.0)</f>
        <v>31680</v>
      </c>
      <c r="D916" s="1">
        <f>IFERROR(__xludf.DUMMYFUNCTION("""COMPUTED_VALUE"""),29780.0)</f>
        <v>29780</v>
      </c>
      <c r="E916" s="1">
        <f>IFERROR(__xludf.DUMMYFUNCTION("""COMPUTED_VALUE"""),30660.0)</f>
        <v>30660</v>
      </c>
      <c r="F916" s="1">
        <f>IFERROR(__xludf.DUMMYFUNCTION("""COMPUTED_VALUE"""),579818.0)</f>
        <v>579818</v>
      </c>
    </row>
    <row r="917">
      <c r="A917" s="2">
        <f>IFERROR(__xludf.DUMMYFUNCTION("""COMPUTED_VALUE"""),41900.645833333336)</f>
        <v>41900.64583</v>
      </c>
      <c r="B917" s="1">
        <f>IFERROR(__xludf.DUMMYFUNCTION("""COMPUTED_VALUE"""),31540.0)</f>
        <v>31540</v>
      </c>
      <c r="C917" s="1">
        <f>IFERROR(__xludf.DUMMYFUNCTION("""COMPUTED_VALUE"""),31660.0)</f>
        <v>31660</v>
      </c>
      <c r="D917" s="1">
        <f>IFERROR(__xludf.DUMMYFUNCTION("""COMPUTED_VALUE"""),30360.0)</f>
        <v>30360</v>
      </c>
      <c r="E917" s="1">
        <f>IFERROR(__xludf.DUMMYFUNCTION("""COMPUTED_VALUE"""),30580.0)</f>
        <v>30580</v>
      </c>
      <c r="F917" s="1">
        <f>IFERROR(__xludf.DUMMYFUNCTION("""COMPUTED_VALUE"""),374700.0)</f>
        <v>374700</v>
      </c>
    </row>
    <row r="918">
      <c r="A918" s="2">
        <f>IFERROR(__xludf.DUMMYFUNCTION("""COMPUTED_VALUE"""),41901.645833333336)</f>
        <v>41901.64583</v>
      </c>
      <c r="B918" s="1">
        <f>IFERROR(__xludf.DUMMYFUNCTION("""COMPUTED_VALUE"""),31320.0)</f>
        <v>31320</v>
      </c>
      <c r="C918" s="1">
        <f>IFERROR(__xludf.DUMMYFUNCTION("""COMPUTED_VALUE"""),31480.0)</f>
        <v>31480</v>
      </c>
      <c r="D918" s="1">
        <f>IFERROR(__xludf.DUMMYFUNCTION("""COMPUTED_VALUE"""),30520.0)</f>
        <v>30520</v>
      </c>
      <c r="E918" s="1">
        <f>IFERROR(__xludf.DUMMYFUNCTION("""COMPUTED_VALUE"""),30880.0)</f>
        <v>30880</v>
      </c>
      <c r="F918" s="1">
        <f>IFERROR(__xludf.DUMMYFUNCTION("""COMPUTED_VALUE"""),338948.0)</f>
        <v>338948</v>
      </c>
    </row>
    <row r="919">
      <c r="A919" s="2">
        <f>IFERROR(__xludf.DUMMYFUNCTION("""COMPUTED_VALUE"""),41904.645833333336)</f>
        <v>41904.64583</v>
      </c>
      <c r="B919" s="1">
        <f>IFERROR(__xludf.DUMMYFUNCTION("""COMPUTED_VALUE"""),31060.0)</f>
        <v>31060</v>
      </c>
      <c r="C919" s="1">
        <f>IFERROR(__xludf.DUMMYFUNCTION("""COMPUTED_VALUE"""),31500.0)</f>
        <v>31500</v>
      </c>
      <c r="D919" s="1">
        <f>IFERROR(__xludf.DUMMYFUNCTION("""COMPUTED_VALUE"""),30820.0)</f>
        <v>30820</v>
      </c>
      <c r="E919" s="1">
        <f>IFERROR(__xludf.DUMMYFUNCTION("""COMPUTED_VALUE"""),31060.0)</f>
        <v>31060</v>
      </c>
      <c r="F919" s="1">
        <f>IFERROR(__xludf.DUMMYFUNCTION("""COMPUTED_VALUE"""),209145.0)</f>
        <v>209145</v>
      </c>
    </row>
    <row r="920">
      <c r="A920" s="2">
        <f>IFERROR(__xludf.DUMMYFUNCTION("""COMPUTED_VALUE"""),41905.645833333336)</f>
        <v>41905.64583</v>
      </c>
      <c r="B920" s="1">
        <f>IFERROR(__xludf.DUMMYFUNCTION("""COMPUTED_VALUE"""),31320.0)</f>
        <v>31320</v>
      </c>
      <c r="C920" s="1">
        <f>IFERROR(__xludf.DUMMYFUNCTION("""COMPUTED_VALUE"""),32820.0)</f>
        <v>32820</v>
      </c>
      <c r="D920" s="1">
        <f>IFERROR(__xludf.DUMMYFUNCTION("""COMPUTED_VALUE"""),31220.0)</f>
        <v>31220</v>
      </c>
      <c r="E920" s="1">
        <f>IFERROR(__xludf.DUMMYFUNCTION("""COMPUTED_VALUE"""),32380.0)</f>
        <v>32380</v>
      </c>
      <c r="F920" s="1">
        <f>IFERROR(__xludf.DUMMYFUNCTION("""COMPUTED_VALUE"""),637696.0)</f>
        <v>637696</v>
      </c>
    </row>
    <row r="921">
      <c r="A921" s="2">
        <f>IFERROR(__xludf.DUMMYFUNCTION("""COMPUTED_VALUE"""),41906.645833333336)</f>
        <v>41906.64583</v>
      </c>
      <c r="B921" s="1">
        <f>IFERROR(__xludf.DUMMYFUNCTION("""COMPUTED_VALUE"""),32800.0)</f>
        <v>32800</v>
      </c>
      <c r="C921" s="1">
        <f>IFERROR(__xludf.DUMMYFUNCTION("""COMPUTED_VALUE"""),33200.0)</f>
        <v>33200</v>
      </c>
      <c r="D921" s="1">
        <f>IFERROR(__xludf.DUMMYFUNCTION("""COMPUTED_VALUE"""),31760.0)</f>
        <v>31760</v>
      </c>
      <c r="E921" s="1">
        <f>IFERROR(__xludf.DUMMYFUNCTION("""COMPUTED_VALUE"""),32300.0)</f>
        <v>32300</v>
      </c>
      <c r="F921" s="1">
        <f>IFERROR(__xludf.DUMMYFUNCTION("""COMPUTED_VALUE"""),438470.0)</f>
        <v>438470</v>
      </c>
    </row>
    <row r="922">
      <c r="A922" s="2">
        <f>IFERROR(__xludf.DUMMYFUNCTION("""COMPUTED_VALUE"""),41907.645833333336)</f>
        <v>41907.64583</v>
      </c>
      <c r="B922" s="1">
        <f>IFERROR(__xludf.DUMMYFUNCTION("""COMPUTED_VALUE"""),32460.0)</f>
        <v>32460</v>
      </c>
      <c r="C922" s="1">
        <f>IFERROR(__xludf.DUMMYFUNCTION("""COMPUTED_VALUE"""),33040.0)</f>
        <v>33040</v>
      </c>
      <c r="D922" s="1">
        <f>IFERROR(__xludf.DUMMYFUNCTION("""COMPUTED_VALUE"""),32100.0)</f>
        <v>32100</v>
      </c>
      <c r="E922" s="1">
        <f>IFERROR(__xludf.DUMMYFUNCTION("""COMPUTED_VALUE"""),33000.0)</f>
        <v>33000</v>
      </c>
      <c r="F922" s="1">
        <f>IFERROR(__xludf.DUMMYFUNCTION("""COMPUTED_VALUE"""),391379.0)</f>
        <v>391379</v>
      </c>
    </row>
    <row r="923">
      <c r="A923" s="2">
        <f>IFERROR(__xludf.DUMMYFUNCTION("""COMPUTED_VALUE"""),41908.645833333336)</f>
        <v>41908.64583</v>
      </c>
      <c r="B923" s="1">
        <f>IFERROR(__xludf.DUMMYFUNCTION("""COMPUTED_VALUE"""),33140.0)</f>
        <v>33140</v>
      </c>
      <c r="C923" s="1">
        <f>IFERROR(__xludf.DUMMYFUNCTION("""COMPUTED_VALUE"""),33440.0)</f>
        <v>33440</v>
      </c>
      <c r="D923" s="1">
        <f>IFERROR(__xludf.DUMMYFUNCTION("""COMPUTED_VALUE"""),32360.0)</f>
        <v>32360</v>
      </c>
      <c r="E923" s="1">
        <f>IFERROR(__xludf.DUMMYFUNCTION("""COMPUTED_VALUE"""),32600.0)</f>
        <v>32600</v>
      </c>
      <c r="F923" s="1">
        <f>IFERROR(__xludf.DUMMYFUNCTION("""COMPUTED_VALUE"""),365615.0)</f>
        <v>365615</v>
      </c>
    </row>
    <row r="924">
      <c r="A924" s="2">
        <f>IFERROR(__xludf.DUMMYFUNCTION("""COMPUTED_VALUE"""),41911.645833333336)</f>
        <v>41911.64583</v>
      </c>
      <c r="B924" s="1">
        <f>IFERROR(__xludf.DUMMYFUNCTION("""COMPUTED_VALUE"""),32500.0)</f>
        <v>32500</v>
      </c>
      <c r="C924" s="1">
        <f>IFERROR(__xludf.DUMMYFUNCTION("""COMPUTED_VALUE"""),32960.0)</f>
        <v>32960</v>
      </c>
      <c r="D924" s="1">
        <f>IFERROR(__xludf.DUMMYFUNCTION("""COMPUTED_VALUE"""),32220.0)</f>
        <v>32220</v>
      </c>
      <c r="E924" s="1">
        <f>IFERROR(__xludf.DUMMYFUNCTION("""COMPUTED_VALUE"""),32520.0)</f>
        <v>32520</v>
      </c>
      <c r="F924" s="1">
        <f>IFERROR(__xludf.DUMMYFUNCTION("""COMPUTED_VALUE"""),295198.0)</f>
        <v>295198</v>
      </c>
    </row>
    <row r="925">
      <c r="A925" s="2">
        <f>IFERROR(__xludf.DUMMYFUNCTION("""COMPUTED_VALUE"""),41912.645833333336)</f>
        <v>41912.64583</v>
      </c>
      <c r="B925" s="1">
        <f>IFERROR(__xludf.DUMMYFUNCTION("""COMPUTED_VALUE"""),33100.0)</f>
        <v>33100</v>
      </c>
      <c r="C925" s="1">
        <f>IFERROR(__xludf.DUMMYFUNCTION("""COMPUTED_VALUE"""),33360.0)</f>
        <v>33360</v>
      </c>
      <c r="D925" s="1">
        <f>IFERROR(__xludf.DUMMYFUNCTION("""COMPUTED_VALUE"""),31340.0)</f>
        <v>31340</v>
      </c>
      <c r="E925" s="1">
        <f>IFERROR(__xludf.DUMMYFUNCTION("""COMPUTED_VALUE"""),31540.0)</f>
        <v>31540</v>
      </c>
      <c r="F925" s="1">
        <f>IFERROR(__xludf.DUMMYFUNCTION("""COMPUTED_VALUE"""),451723.0)</f>
        <v>451723</v>
      </c>
    </row>
    <row r="926">
      <c r="A926" s="2">
        <f>IFERROR(__xludf.DUMMYFUNCTION("""COMPUTED_VALUE"""),41913.645833333336)</f>
        <v>41913.64583</v>
      </c>
      <c r="B926" s="1">
        <f>IFERROR(__xludf.DUMMYFUNCTION("""COMPUTED_VALUE"""),32620.0)</f>
        <v>32620</v>
      </c>
      <c r="C926" s="1">
        <f>IFERROR(__xludf.DUMMYFUNCTION("""COMPUTED_VALUE"""),34660.0)</f>
        <v>34660</v>
      </c>
      <c r="D926" s="1">
        <f>IFERROR(__xludf.DUMMYFUNCTION("""COMPUTED_VALUE"""),32560.0)</f>
        <v>32560</v>
      </c>
      <c r="E926" s="1">
        <f>IFERROR(__xludf.DUMMYFUNCTION("""COMPUTED_VALUE"""),33300.0)</f>
        <v>33300</v>
      </c>
      <c r="F926" s="1">
        <f>IFERROR(__xludf.DUMMYFUNCTION("""COMPUTED_VALUE"""),1503879.0)</f>
        <v>1503879</v>
      </c>
    </row>
    <row r="927">
      <c r="A927" s="2">
        <f>IFERROR(__xludf.DUMMYFUNCTION("""COMPUTED_VALUE"""),41914.645833333336)</f>
        <v>41914.64583</v>
      </c>
      <c r="B927" s="1">
        <f>IFERROR(__xludf.DUMMYFUNCTION("""COMPUTED_VALUE"""),32800.0)</f>
        <v>32800</v>
      </c>
      <c r="C927" s="1">
        <f>IFERROR(__xludf.DUMMYFUNCTION("""COMPUTED_VALUE"""),32920.0)</f>
        <v>32920</v>
      </c>
      <c r="D927" s="1">
        <f>IFERROR(__xludf.DUMMYFUNCTION("""COMPUTED_VALUE"""),31620.0)</f>
        <v>31620</v>
      </c>
      <c r="E927" s="1">
        <f>IFERROR(__xludf.DUMMYFUNCTION("""COMPUTED_VALUE"""),31900.0)</f>
        <v>31900</v>
      </c>
      <c r="F927" s="1">
        <f>IFERROR(__xludf.DUMMYFUNCTION("""COMPUTED_VALUE"""),724266.0)</f>
        <v>724266</v>
      </c>
    </row>
    <row r="928">
      <c r="A928" s="2">
        <f>IFERROR(__xludf.DUMMYFUNCTION("""COMPUTED_VALUE"""),41918.645833333336)</f>
        <v>41918.64583</v>
      </c>
      <c r="B928" s="1">
        <f>IFERROR(__xludf.DUMMYFUNCTION("""COMPUTED_VALUE"""),32360.0)</f>
        <v>32360</v>
      </c>
      <c r="C928" s="1">
        <f>IFERROR(__xludf.DUMMYFUNCTION("""COMPUTED_VALUE"""),32400.0)</f>
        <v>32400</v>
      </c>
      <c r="D928" s="1">
        <f>IFERROR(__xludf.DUMMYFUNCTION("""COMPUTED_VALUE"""),30960.0)</f>
        <v>30960</v>
      </c>
      <c r="E928" s="1">
        <f>IFERROR(__xludf.DUMMYFUNCTION("""COMPUTED_VALUE"""),30960.0)</f>
        <v>30960</v>
      </c>
      <c r="F928" s="1">
        <f>IFERROR(__xludf.DUMMYFUNCTION("""COMPUTED_VALUE"""),405860.0)</f>
        <v>405860</v>
      </c>
    </row>
    <row r="929">
      <c r="A929" s="2">
        <f>IFERROR(__xludf.DUMMYFUNCTION("""COMPUTED_VALUE"""),41919.645833333336)</f>
        <v>41919.64583</v>
      </c>
      <c r="B929" s="1">
        <f>IFERROR(__xludf.DUMMYFUNCTION("""COMPUTED_VALUE"""),30800.0)</f>
        <v>30800</v>
      </c>
      <c r="C929" s="1">
        <f>IFERROR(__xludf.DUMMYFUNCTION("""COMPUTED_VALUE"""),32400.0)</f>
        <v>32400</v>
      </c>
      <c r="D929" s="1">
        <f>IFERROR(__xludf.DUMMYFUNCTION("""COMPUTED_VALUE"""),30700.0)</f>
        <v>30700</v>
      </c>
      <c r="E929" s="1">
        <f>IFERROR(__xludf.DUMMYFUNCTION("""COMPUTED_VALUE"""),31360.0)</f>
        <v>31360</v>
      </c>
      <c r="F929" s="1">
        <f>IFERROR(__xludf.DUMMYFUNCTION("""COMPUTED_VALUE"""),379803.0)</f>
        <v>379803</v>
      </c>
    </row>
    <row r="930">
      <c r="A930" s="2">
        <f>IFERROR(__xludf.DUMMYFUNCTION("""COMPUTED_VALUE"""),41920.645833333336)</f>
        <v>41920.64583</v>
      </c>
      <c r="B930" s="1">
        <f>IFERROR(__xludf.DUMMYFUNCTION("""COMPUTED_VALUE"""),30800.0)</f>
        <v>30800</v>
      </c>
      <c r="C930" s="1">
        <f>IFERROR(__xludf.DUMMYFUNCTION("""COMPUTED_VALUE"""),31000.0)</f>
        <v>31000</v>
      </c>
      <c r="D930" s="1">
        <f>IFERROR(__xludf.DUMMYFUNCTION("""COMPUTED_VALUE"""),29640.0)</f>
        <v>29640</v>
      </c>
      <c r="E930" s="1">
        <f>IFERROR(__xludf.DUMMYFUNCTION("""COMPUTED_VALUE"""),30220.0)</f>
        <v>30220</v>
      </c>
      <c r="F930" s="1">
        <f>IFERROR(__xludf.DUMMYFUNCTION("""COMPUTED_VALUE"""),593020.0)</f>
        <v>593020</v>
      </c>
    </row>
    <row r="931">
      <c r="A931" s="2">
        <f>IFERROR(__xludf.DUMMYFUNCTION("""COMPUTED_VALUE"""),41922.645833333336)</f>
        <v>41922.64583</v>
      </c>
      <c r="B931" s="1">
        <f>IFERROR(__xludf.DUMMYFUNCTION("""COMPUTED_VALUE"""),29200.0)</f>
        <v>29200</v>
      </c>
      <c r="C931" s="1">
        <f>IFERROR(__xludf.DUMMYFUNCTION("""COMPUTED_VALUE"""),29380.0)</f>
        <v>29380</v>
      </c>
      <c r="D931" s="1">
        <f>IFERROR(__xludf.DUMMYFUNCTION("""COMPUTED_VALUE"""),27120.0)</f>
        <v>27120</v>
      </c>
      <c r="E931" s="1">
        <f>IFERROR(__xludf.DUMMYFUNCTION("""COMPUTED_VALUE"""),27840.0)</f>
        <v>27840</v>
      </c>
      <c r="F931" s="1">
        <f>IFERROR(__xludf.DUMMYFUNCTION("""COMPUTED_VALUE"""),922129.0)</f>
        <v>922129</v>
      </c>
    </row>
    <row r="932">
      <c r="A932" s="2">
        <f>IFERROR(__xludf.DUMMYFUNCTION("""COMPUTED_VALUE"""),41925.645833333336)</f>
        <v>41925.64583</v>
      </c>
      <c r="B932" s="1">
        <f>IFERROR(__xludf.DUMMYFUNCTION("""COMPUTED_VALUE"""),27060.0)</f>
        <v>27060</v>
      </c>
      <c r="C932" s="1">
        <f>IFERROR(__xludf.DUMMYFUNCTION("""COMPUTED_VALUE"""),27440.0)</f>
        <v>27440</v>
      </c>
      <c r="D932" s="1">
        <f>IFERROR(__xludf.DUMMYFUNCTION("""COMPUTED_VALUE"""),24700.0)</f>
        <v>24700</v>
      </c>
      <c r="E932" s="1">
        <f>IFERROR(__xludf.DUMMYFUNCTION("""COMPUTED_VALUE"""),25680.0)</f>
        <v>25680</v>
      </c>
      <c r="F932" s="1">
        <f>IFERROR(__xludf.DUMMYFUNCTION("""COMPUTED_VALUE"""),1177969.0)</f>
        <v>1177969</v>
      </c>
    </row>
    <row r="933">
      <c r="A933" s="2">
        <f>IFERROR(__xludf.DUMMYFUNCTION("""COMPUTED_VALUE"""),41926.645833333336)</f>
        <v>41926.64583</v>
      </c>
      <c r="B933" s="1">
        <f>IFERROR(__xludf.DUMMYFUNCTION("""COMPUTED_VALUE"""),25400.0)</f>
        <v>25400</v>
      </c>
      <c r="C933" s="1">
        <f>IFERROR(__xludf.DUMMYFUNCTION("""COMPUTED_VALUE"""),28120.0)</f>
        <v>28120</v>
      </c>
      <c r="D933" s="1">
        <f>IFERROR(__xludf.DUMMYFUNCTION("""COMPUTED_VALUE"""),25400.0)</f>
        <v>25400</v>
      </c>
      <c r="E933" s="1">
        <f>IFERROR(__xludf.DUMMYFUNCTION("""COMPUTED_VALUE"""),27820.0)</f>
        <v>27820</v>
      </c>
      <c r="F933" s="1">
        <f>IFERROR(__xludf.DUMMYFUNCTION("""COMPUTED_VALUE"""),2384231.0)</f>
        <v>2384231</v>
      </c>
    </row>
    <row r="934">
      <c r="A934" s="2">
        <f>IFERROR(__xludf.DUMMYFUNCTION("""COMPUTED_VALUE"""),41927.645833333336)</f>
        <v>41927.64583</v>
      </c>
      <c r="B934" s="1">
        <f>IFERROR(__xludf.DUMMYFUNCTION("""COMPUTED_VALUE"""),28460.0)</f>
        <v>28460</v>
      </c>
      <c r="C934" s="1">
        <f>IFERROR(__xludf.DUMMYFUNCTION("""COMPUTED_VALUE"""),29060.0)</f>
        <v>29060</v>
      </c>
      <c r="D934" s="1">
        <f>IFERROR(__xludf.DUMMYFUNCTION("""COMPUTED_VALUE"""),27560.0)</f>
        <v>27560</v>
      </c>
      <c r="E934" s="1">
        <f>IFERROR(__xludf.DUMMYFUNCTION("""COMPUTED_VALUE"""),27820.0)</f>
        <v>27820</v>
      </c>
      <c r="F934" s="1">
        <f>IFERROR(__xludf.DUMMYFUNCTION("""COMPUTED_VALUE"""),1040841.0)</f>
        <v>1040841</v>
      </c>
    </row>
    <row r="935">
      <c r="A935" s="2">
        <f>IFERROR(__xludf.DUMMYFUNCTION("""COMPUTED_VALUE"""),41928.645833333336)</f>
        <v>41928.64583</v>
      </c>
      <c r="B935" s="1">
        <f>IFERROR(__xludf.DUMMYFUNCTION("""COMPUTED_VALUE"""),27660.0)</f>
        <v>27660</v>
      </c>
      <c r="C935" s="1">
        <f>IFERROR(__xludf.DUMMYFUNCTION("""COMPUTED_VALUE"""),28380.0)</f>
        <v>28380</v>
      </c>
      <c r="D935" s="1">
        <f>IFERROR(__xludf.DUMMYFUNCTION("""COMPUTED_VALUE"""),26480.0)</f>
        <v>26480</v>
      </c>
      <c r="E935" s="1">
        <f>IFERROR(__xludf.DUMMYFUNCTION("""COMPUTED_VALUE"""),28200.0)</f>
        <v>28200</v>
      </c>
      <c r="F935" s="1">
        <f>IFERROR(__xludf.DUMMYFUNCTION("""COMPUTED_VALUE"""),840871.0)</f>
        <v>840871</v>
      </c>
    </row>
    <row r="936">
      <c r="A936" s="2">
        <f>IFERROR(__xludf.DUMMYFUNCTION("""COMPUTED_VALUE"""),41929.645833333336)</f>
        <v>41929.64583</v>
      </c>
      <c r="B936" s="1">
        <f>IFERROR(__xludf.DUMMYFUNCTION("""COMPUTED_VALUE"""),28580.0)</f>
        <v>28580</v>
      </c>
      <c r="C936" s="1">
        <f>IFERROR(__xludf.DUMMYFUNCTION("""COMPUTED_VALUE"""),29800.0)</f>
        <v>29800</v>
      </c>
      <c r="D936" s="1">
        <f>IFERROR(__xludf.DUMMYFUNCTION("""COMPUTED_VALUE"""),28400.0)</f>
        <v>28400</v>
      </c>
      <c r="E936" s="1">
        <f>IFERROR(__xludf.DUMMYFUNCTION("""COMPUTED_VALUE"""),28980.0)</f>
        <v>28980</v>
      </c>
      <c r="F936" s="1">
        <f>IFERROR(__xludf.DUMMYFUNCTION("""COMPUTED_VALUE"""),996359.0)</f>
        <v>996359</v>
      </c>
    </row>
    <row r="937">
      <c r="A937" s="2">
        <f>IFERROR(__xludf.DUMMYFUNCTION("""COMPUTED_VALUE"""),41932.645833333336)</f>
        <v>41932.64583</v>
      </c>
      <c r="B937" s="1">
        <f>IFERROR(__xludf.DUMMYFUNCTION("""COMPUTED_VALUE"""),29620.0)</f>
        <v>29620</v>
      </c>
      <c r="C937" s="1">
        <f>IFERROR(__xludf.DUMMYFUNCTION("""COMPUTED_VALUE"""),29980.0)</f>
        <v>29980</v>
      </c>
      <c r="D937" s="1">
        <f>IFERROR(__xludf.DUMMYFUNCTION("""COMPUTED_VALUE"""),29320.0)</f>
        <v>29320</v>
      </c>
      <c r="E937" s="1">
        <f>IFERROR(__xludf.DUMMYFUNCTION("""COMPUTED_VALUE"""),29920.0)</f>
        <v>29920</v>
      </c>
      <c r="F937" s="1">
        <f>IFERROR(__xludf.DUMMYFUNCTION("""COMPUTED_VALUE"""),677583.0)</f>
        <v>677583</v>
      </c>
    </row>
    <row r="938">
      <c r="A938" s="2">
        <f>IFERROR(__xludf.DUMMYFUNCTION("""COMPUTED_VALUE"""),41933.645833333336)</f>
        <v>41933.64583</v>
      </c>
      <c r="B938" s="1">
        <f>IFERROR(__xludf.DUMMYFUNCTION("""COMPUTED_VALUE"""),30020.0)</f>
        <v>30020</v>
      </c>
      <c r="C938" s="1">
        <f>IFERROR(__xludf.DUMMYFUNCTION("""COMPUTED_VALUE"""),30480.0)</f>
        <v>30480</v>
      </c>
      <c r="D938" s="1">
        <f>IFERROR(__xludf.DUMMYFUNCTION("""COMPUTED_VALUE"""),29600.0)</f>
        <v>29600</v>
      </c>
      <c r="E938" s="1">
        <f>IFERROR(__xludf.DUMMYFUNCTION("""COMPUTED_VALUE"""),30380.0)</f>
        <v>30380</v>
      </c>
      <c r="F938" s="1">
        <f>IFERROR(__xludf.DUMMYFUNCTION("""COMPUTED_VALUE"""),893894.0)</f>
        <v>893894</v>
      </c>
    </row>
    <row r="939">
      <c r="A939" s="2">
        <f>IFERROR(__xludf.DUMMYFUNCTION("""COMPUTED_VALUE"""),41934.645833333336)</f>
        <v>41934.64583</v>
      </c>
      <c r="B939" s="1">
        <f>IFERROR(__xludf.DUMMYFUNCTION("""COMPUTED_VALUE"""),30660.0)</f>
        <v>30660</v>
      </c>
      <c r="C939" s="1">
        <f>IFERROR(__xludf.DUMMYFUNCTION("""COMPUTED_VALUE"""),31780.0)</f>
        <v>31780</v>
      </c>
      <c r="D939" s="1">
        <f>IFERROR(__xludf.DUMMYFUNCTION("""COMPUTED_VALUE"""),30240.0)</f>
        <v>30240</v>
      </c>
      <c r="E939" s="1">
        <f>IFERROR(__xludf.DUMMYFUNCTION("""COMPUTED_VALUE"""),31200.0)</f>
        <v>31200</v>
      </c>
      <c r="F939" s="1">
        <f>IFERROR(__xludf.DUMMYFUNCTION("""COMPUTED_VALUE"""),689769.0)</f>
        <v>689769</v>
      </c>
    </row>
    <row r="940">
      <c r="A940" s="2">
        <f>IFERROR(__xludf.DUMMYFUNCTION("""COMPUTED_VALUE"""),41935.645833333336)</f>
        <v>41935.64583</v>
      </c>
      <c r="B940" s="1">
        <f>IFERROR(__xludf.DUMMYFUNCTION("""COMPUTED_VALUE"""),30900.0)</f>
        <v>30900</v>
      </c>
      <c r="C940" s="1">
        <f>IFERROR(__xludf.DUMMYFUNCTION("""COMPUTED_VALUE"""),31260.0)</f>
        <v>31260</v>
      </c>
      <c r="D940" s="1">
        <f>IFERROR(__xludf.DUMMYFUNCTION("""COMPUTED_VALUE"""),30580.0)</f>
        <v>30580</v>
      </c>
      <c r="E940" s="1">
        <f>IFERROR(__xludf.DUMMYFUNCTION("""COMPUTED_VALUE"""),31160.0)</f>
        <v>31160</v>
      </c>
      <c r="F940" s="1">
        <f>IFERROR(__xludf.DUMMYFUNCTION("""COMPUTED_VALUE"""),371175.0)</f>
        <v>371175</v>
      </c>
    </row>
    <row r="941">
      <c r="A941" s="2">
        <f>IFERROR(__xludf.DUMMYFUNCTION("""COMPUTED_VALUE"""),41936.645833333336)</f>
        <v>41936.64583</v>
      </c>
      <c r="B941" s="1">
        <f>IFERROR(__xludf.DUMMYFUNCTION("""COMPUTED_VALUE"""),31160.0)</f>
        <v>31160</v>
      </c>
      <c r="C941" s="1">
        <f>IFERROR(__xludf.DUMMYFUNCTION("""COMPUTED_VALUE"""),31800.0)</f>
        <v>31800</v>
      </c>
      <c r="D941" s="1">
        <f>IFERROR(__xludf.DUMMYFUNCTION("""COMPUTED_VALUE"""),30800.0)</f>
        <v>30800</v>
      </c>
      <c r="E941" s="1">
        <f>IFERROR(__xludf.DUMMYFUNCTION("""COMPUTED_VALUE"""),31040.0)</f>
        <v>31040</v>
      </c>
      <c r="F941" s="1">
        <f>IFERROR(__xludf.DUMMYFUNCTION("""COMPUTED_VALUE"""),982971.0)</f>
        <v>982971</v>
      </c>
    </row>
    <row r="942">
      <c r="A942" s="2">
        <f>IFERROR(__xludf.DUMMYFUNCTION("""COMPUTED_VALUE"""),41939.645833333336)</f>
        <v>41939.64583</v>
      </c>
      <c r="B942" s="1">
        <f>IFERROR(__xludf.DUMMYFUNCTION("""COMPUTED_VALUE"""),30980.0)</f>
        <v>30980</v>
      </c>
      <c r="C942" s="1">
        <f>IFERROR(__xludf.DUMMYFUNCTION("""COMPUTED_VALUE"""),31280.0)</f>
        <v>31280</v>
      </c>
      <c r="D942" s="1">
        <f>IFERROR(__xludf.DUMMYFUNCTION("""COMPUTED_VALUE"""),30360.0)</f>
        <v>30360</v>
      </c>
      <c r="E942" s="1">
        <f>IFERROR(__xludf.DUMMYFUNCTION("""COMPUTED_VALUE"""),30360.0)</f>
        <v>30360</v>
      </c>
      <c r="F942" s="1">
        <f>IFERROR(__xludf.DUMMYFUNCTION("""COMPUTED_VALUE"""),519823.0)</f>
        <v>519823</v>
      </c>
    </row>
    <row r="943">
      <c r="A943" s="2">
        <f>IFERROR(__xludf.DUMMYFUNCTION("""COMPUTED_VALUE"""),41940.645833333336)</f>
        <v>41940.64583</v>
      </c>
      <c r="B943" s="1">
        <f>IFERROR(__xludf.DUMMYFUNCTION("""COMPUTED_VALUE"""),30300.0)</f>
        <v>30300</v>
      </c>
      <c r="C943" s="1">
        <f>IFERROR(__xludf.DUMMYFUNCTION("""COMPUTED_VALUE"""),30340.0)</f>
        <v>30340</v>
      </c>
      <c r="D943" s="1">
        <f>IFERROR(__xludf.DUMMYFUNCTION("""COMPUTED_VALUE"""),29080.0)</f>
        <v>29080</v>
      </c>
      <c r="E943" s="1">
        <f>IFERROR(__xludf.DUMMYFUNCTION("""COMPUTED_VALUE"""),29800.0)</f>
        <v>29800</v>
      </c>
      <c r="F943" s="1">
        <f>IFERROR(__xludf.DUMMYFUNCTION("""COMPUTED_VALUE"""),766046.0)</f>
        <v>766046</v>
      </c>
    </row>
    <row r="944">
      <c r="A944" s="2">
        <f>IFERROR(__xludf.DUMMYFUNCTION("""COMPUTED_VALUE"""),41941.645833333336)</f>
        <v>41941.64583</v>
      </c>
      <c r="B944" s="1">
        <f>IFERROR(__xludf.DUMMYFUNCTION("""COMPUTED_VALUE"""),29880.0)</f>
        <v>29880</v>
      </c>
      <c r="C944" s="1">
        <f>IFERROR(__xludf.DUMMYFUNCTION("""COMPUTED_VALUE"""),30040.0)</f>
        <v>30040</v>
      </c>
      <c r="D944" s="1">
        <f>IFERROR(__xludf.DUMMYFUNCTION("""COMPUTED_VALUE"""),29040.0)</f>
        <v>29040</v>
      </c>
      <c r="E944" s="1">
        <f>IFERROR(__xludf.DUMMYFUNCTION("""COMPUTED_VALUE"""),29040.0)</f>
        <v>29040</v>
      </c>
      <c r="F944" s="1">
        <f>IFERROR(__xludf.DUMMYFUNCTION("""COMPUTED_VALUE"""),512946.0)</f>
        <v>512946</v>
      </c>
    </row>
    <row r="945">
      <c r="A945" s="2">
        <f>IFERROR(__xludf.DUMMYFUNCTION("""COMPUTED_VALUE"""),41942.645833333336)</f>
        <v>41942.64583</v>
      </c>
      <c r="B945" s="1">
        <f>IFERROR(__xludf.DUMMYFUNCTION("""COMPUTED_VALUE"""),28880.0)</f>
        <v>28880</v>
      </c>
      <c r="C945" s="1">
        <f>IFERROR(__xludf.DUMMYFUNCTION("""COMPUTED_VALUE"""),29020.0)</f>
        <v>29020</v>
      </c>
      <c r="D945" s="1">
        <f>IFERROR(__xludf.DUMMYFUNCTION("""COMPUTED_VALUE"""),27800.0)</f>
        <v>27800</v>
      </c>
      <c r="E945" s="1">
        <f>IFERROR(__xludf.DUMMYFUNCTION("""COMPUTED_VALUE"""),28000.0)</f>
        <v>28000</v>
      </c>
      <c r="F945" s="1">
        <f>IFERROR(__xludf.DUMMYFUNCTION("""COMPUTED_VALUE"""),883263.0)</f>
        <v>883263</v>
      </c>
    </row>
    <row r="946">
      <c r="A946" s="2">
        <f>IFERROR(__xludf.DUMMYFUNCTION("""COMPUTED_VALUE"""),41943.645833333336)</f>
        <v>41943.64583</v>
      </c>
      <c r="B946" s="1">
        <f>IFERROR(__xludf.DUMMYFUNCTION("""COMPUTED_VALUE"""),27920.0)</f>
        <v>27920</v>
      </c>
      <c r="C946" s="1">
        <f>IFERROR(__xludf.DUMMYFUNCTION("""COMPUTED_VALUE"""),29340.0)</f>
        <v>29340</v>
      </c>
      <c r="D946" s="1">
        <f>IFERROR(__xludf.DUMMYFUNCTION("""COMPUTED_VALUE"""),27600.0)</f>
        <v>27600</v>
      </c>
      <c r="E946" s="1">
        <f>IFERROR(__xludf.DUMMYFUNCTION("""COMPUTED_VALUE"""),29200.0)</f>
        <v>29200</v>
      </c>
      <c r="F946" s="1">
        <f>IFERROR(__xludf.DUMMYFUNCTION("""COMPUTED_VALUE"""),703071.0)</f>
        <v>703071</v>
      </c>
    </row>
    <row r="947">
      <c r="A947" s="2">
        <f>IFERROR(__xludf.DUMMYFUNCTION("""COMPUTED_VALUE"""),41946.645833333336)</f>
        <v>41946.64583</v>
      </c>
      <c r="B947" s="1">
        <f>IFERROR(__xludf.DUMMYFUNCTION("""COMPUTED_VALUE"""),29000.0)</f>
        <v>29000</v>
      </c>
      <c r="C947" s="1">
        <f>IFERROR(__xludf.DUMMYFUNCTION("""COMPUTED_VALUE"""),29560.0)</f>
        <v>29560</v>
      </c>
      <c r="D947" s="1">
        <f>IFERROR(__xludf.DUMMYFUNCTION("""COMPUTED_VALUE"""),28400.0)</f>
        <v>28400</v>
      </c>
      <c r="E947" s="1">
        <f>IFERROR(__xludf.DUMMYFUNCTION("""COMPUTED_VALUE"""),28400.0)</f>
        <v>28400</v>
      </c>
      <c r="F947" s="1">
        <f>IFERROR(__xludf.DUMMYFUNCTION("""COMPUTED_VALUE"""),427826.0)</f>
        <v>427826</v>
      </c>
    </row>
    <row r="948">
      <c r="A948" s="2">
        <f>IFERROR(__xludf.DUMMYFUNCTION("""COMPUTED_VALUE"""),41947.645833333336)</f>
        <v>41947.64583</v>
      </c>
      <c r="B948" s="1">
        <f>IFERROR(__xludf.DUMMYFUNCTION("""COMPUTED_VALUE"""),28420.0)</f>
        <v>28420</v>
      </c>
      <c r="C948" s="1">
        <f>IFERROR(__xludf.DUMMYFUNCTION("""COMPUTED_VALUE"""),29500.0)</f>
        <v>29500</v>
      </c>
      <c r="D948" s="1">
        <f>IFERROR(__xludf.DUMMYFUNCTION("""COMPUTED_VALUE"""),28340.0)</f>
        <v>28340</v>
      </c>
      <c r="E948" s="1">
        <f>IFERROR(__xludf.DUMMYFUNCTION("""COMPUTED_VALUE"""),28500.0)</f>
        <v>28500</v>
      </c>
      <c r="F948" s="1">
        <f>IFERROR(__xludf.DUMMYFUNCTION("""COMPUTED_VALUE"""),415400.0)</f>
        <v>415400</v>
      </c>
    </row>
    <row r="949">
      <c r="A949" s="2">
        <f>IFERROR(__xludf.DUMMYFUNCTION("""COMPUTED_VALUE"""),41948.645833333336)</f>
        <v>41948.64583</v>
      </c>
      <c r="B949" s="1">
        <f>IFERROR(__xludf.DUMMYFUNCTION("""COMPUTED_VALUE"""),28500.0)</f>
        <v>28500</v>
      </c>
      <c r="C949" s="1">
        <f>IFERROR(__xludf.DUMMYFUNCTION("""COMPUTED_VALUE"""),28820.0)</f>
        <v>28820</v>
      </c>
      <c r="D949" s="1">
        <f>IFERROR(__xludf.DUMMYFUNCTION("""COMPUTED_VALUE"""),27100.0)</f>
        <v>27100</v>
      </c>
      <c r="E949" s="1">
        <f>IFERROR(__xludf.DUMMYFUNCTION("""COMPUTED_VALUE"""),28000.0)</f>
        <v>28000</v>
      </c>
      <c r="F949" s="1">
        <f>IFERROR(__xludf.DUMMYFUNCTION("""COMPUTED_VALUE"""),769044.0)</f>
        <v>769044</v>
      </c>
    </row>
    <row r="950">
      <c r="A950" s="2">
        <f>IFERROR(__xludf.DUMMYFUNCTION("""COMPUTED_VALUE"""),41949.645833333336)</f>
        <v>41949.64583</v>
      </c>
      <c r="B950" s="1">
        <f>IFERROR(__xludf.DUMMYFUNCTION("""COMPUTED_VALUE"""),27980.0)</f>
        <v>27980</v>
      </c>
      <c r="C950" s="1">
        <f>IFERROR(__xludf.DUMMYFUNCTION("""COMPUTED_VALUE"""),28480.0)</f>
        <v>28480</v>
      </c>
      <c r="D950" s="1">
        <f>IFERROR(__xludf.DUMMYFUNCTION("""COMPUTED_VALUE"""),27100.0)</f>
        <v>27100</v>
      </c>
      <c r="E950" s="1">
        <f>IFERROR(__xludf.DUMMYFUNCTION("""COMPUTED_VALUE"""),27220.0)</f>
        <v>27220</v>
      </c>
      <c r="F950" s="1">
        <f>IFERROR(__xludf.DUMMYFUNCTION("""COMPUTED_VALUE"""),478636.0)</f>
        <v>478636</v>
      </c>
    </row>
    <row r="951">
      <c r="A951" s="2">
        <f>IFERROR(__xludf.DUMMYFUNCTION("""COMPUTED_VALUE"""),41950.645833333336)</f>
        <v>41950.64583</v>
      </c>
      <c r="B951" s="1">
        <f>IFERROR(__xludf.DUMMYFUNCTION("""COMPUTED_VALUE"""),26600.0)</f>
        <v>26600</v>
      </c>
      <c r="C951" s="1">
        <f>IFERROR(__xludf.DUMMYFUNCTION("""COMPUTED_VALUE"""),27120.0)</f>
        <v>27120</v>
      </c>
      <c r="D951" s="1">
        <f>IFERROR(__xludf.DUMMYFUNCTION("""COMPUTED_VALUE"""),25020.0)</f>
        <v>25020</v>
      </c>
      <c r="E951" s="1">
        <f>IFERROR(__xludf.DUMMYFUNCTION("""COMPUTED_VALUE"""),27040.0)</f>
        <v>27040</v>
      </c>
      <c r="F951" s="1">
        <f>IFERROR(__xludf.DUMMYFUNCTION("""COMPUTED_VALUE"""),1523742.0)</f>
        <v>1523742</v>
      </c>
    </row>
    <row r="952">
      <c r="A952" s="2">
        <f>IFERROR(__xludf.DUMMYFUNCTION("""COMPUTED_VALUE"""),41953.64583333333)</f>
        <v>41953.64583</v>
      </c>
      <c r="B952" s="1">
        <f>IFERROR(__xludf.DUMMYFUNCTION("""COMPUTED_VALUE"""),27060.0)</f>
        <v>27060</v>
      </c>
      <c r="C952" s="1">
        <f>IFERROR(__xludf.DUMMYFUNCTION("""COMPUTED_VALUE"""),28000.0)</f>
        <v>28000</v>
      </c>
      <c r="D952" s="1">
        <f>IFERROR(__xludf.DUMMYFUNCTION("""COMPUTED_VALUE"""),26840.0)</f>
        <v>26840</v>
      </c>
      <c r="E952" s="1">
        <f>IFERROR(__xludf.DUMMYFUNCTION("""COMPUTED_VALUE"""),27860.0)</f>
        <v>27860</v>
      </c>
      <c r="F952" s="1">
        <f>IFERROR(__xludf.DUMMYFUNCTION("""COMPUTED_VALUE"""),713951.0)</f>
        <v>713951</v>
      </c>
    </row>
    <row r="953">
      <c r="A953" s="2">
        <f>IFERROR(__xludf.DUMMYFUNCTION("""COMPUTED_VALUE"""),41954.64583333333)</f>
        <v>41954.64583</v>
      </c>
      <c r="B953" s="1">
        <f>IFERROR(__xludf.DUMMYFUNCTION("""COMPUTED_VALUE"""),27780.0)</f>
        <v>27780</v>
      </c>
      <c r="C953" s="1">
        <f>IFERROR(__xludf.DUMMYFUNCTION("""COMPUTED_VALUE"""),28740.0)</f>
        <v>28740</v>
      </c>
      <c r="D953" s="1">
        <f>IFERROR(__xludf.DUMMYFUNCTION("""COMPUTED_VALUE"""),27700.0)</f>
        <v>27700</v>
      </c>
      <c r="E953" s="1">
        <f>IFERROR(__xludf.DUMMYFUNCTION("""COMPUTED_VALUE"""),28000.0)</f>
        <v>28000</v>
      </c>
      <c r="F953" s="1">
        <f>IFERROR(__xludf.DUMMYFUNCTION("""COMPUTED_VALUE"""),532051.0)</f>
        <v>532051</v>
      </c>
    </row>
    <row r="954">
      <c r="A954" s="2">
        <f>IFERROR(__xludf.DUMMYFUNCTION("""COMPUTED_VALUE"""),41955.64583333333)</f>
        <v>41955.64583</v>
      </c>
      <c r="B954" s="1">
        <f>IFERROR(__xludf.DUMMYFUNCTION("""COMPUTED_VALUE"""),28360.0)</f>
        <v>28360</v>
      </c>
      <c r="C954" s="1">
        <f>IFERROR(__xludf.DUMMYFUNCTION("""COMPUTED_VALUE"""),29080.0)</f>
        <v>29080</v>
      </c>
      <c r="D954" s="1">
        <f>IFERROR(__xludf.DUMMYFUNCTION("""COMPUTED_VALUE"""),28260.0)</f>
        <v>28260</v>
      </c>
      <c r="E954" s="1">
        <f>IFERROR(__xludf.DUMMYFUNCTION("""COMPUTED_VALUE"""),28500.0)</f>
        <v>28500</v>
      </c>
      <c r="F954" s="1">
        <f>IFERROR(__xludf.DUMMYFUNCTION("""COMPUTED_VALUE"""),611671.0)</f>
        <v>611671</v>
      </c>
    </row>
    <row r="955">
      <c r="A955" s="2">
        <f>IFERROR(__xludf.DUMMYFUNCTION("""COMPUTED_VALUE"""),41956.64583333333)</f>
        <v>41956.64583</v>
      </c>
      <c r="B955" s="1">
        <f>IFERROR(__xludf.DUMMYFUNCTION("""COMPUTED_VALUE"""),28500.0)</f>
        <v>28500</v>
      </c>
      <c r="C955" s="1">
        <f>IFERROR(__xludf.DUMMYFUNCTION("""COMPUTED_VALUE"""),28820.0)</f>
        <v>28820</v>
      </c>
      <c r="D955" s="1">
        <f>IFERROR(__xludf.DUMMYFUNCTION("""COMPUTED_VALUE"""),28240.0)</f>
        <v>28240</v>
      </c>
      <c r="E955" s="1">
        <f>IFERROR(__xludf.DUMMYFUNCTION("""COMPUTED_VALUE"""),28500.0)</f>
        <v>28500</v>
      </c>
      <c r="F955" s="1">
        <f>IFERROR(__xludf.DUMMYFUNCTION("""COMPUTED_VALUE"""),322234.0)</f>
        <v>322234</v>
      </c>
    </row>
    <row r="956">
      <c r="A956" s="2">
        <f>IFERROR(__xludf.DUMMYFUNCTION("""COMPUTED_VALUE"""),41957.64583333333)</f>
        <v>41957.64583</v>
      </c>
      <c r="B956" s="1">
        <f>IFERROR(__xludf.DUMMYFUNCTION("""COMPUTED_VALUE"""),28300.0)</f>
        <v>28300</v>
      </c>
      <c r="C956" s="1">
        <f>IFERROR(__xludf.DUMMYFUNCTION("""COMPUTED_VALUE"""),28400.0)</f>
        <v>28400</v>
      </c>
      <c r="D956" s="1">
        <f>IFERROR(__xludf.DUMMYFUNCTION("""COMPUTED_VALUE"""),27500.0)</f>
        <v>27500</v>
      </c>
      <c r="E956" s="1">
        <f>IFERROR(__xludf.DUMMYFUNCTION("""COMPUTED_VALUE"""),27780.0)</f>
        <v>27780</v>
      </c>
      <c r="F956" s="1">
        <f>IFERROR(__xludf.DUMMYFUNCTION("""COMPUTED_VALUE"""),478912.0)</f>
        <v>478912</v>
      </c>
    </row>
    <row r="957">
      <c r="A957" s="2">
        <f>IFERROR(__xludf.DUMMYFUNCTION("""COMPUTED_VALUE"""),41960.64583333333)</f>
        <v>41960.64583</v>
      </c>
      <c r="B957" s="1">
        <f>IFERROR(__xludf.DUMMYFUNCTION("""COMPUTED_VALUE"""),27440.0)</f>
        <v>27440</v>
      </c>
      <c r="C957" s="1">
        <f>IFERROR(__xludf.DUMMYFUNCTION("""COMPUTED_VALUE"""),28140.0)</f>
        <v>28140</v>
      </c>
      <c r="D957" s="1">
        <f>IFERROR(__xludf.DUMMYFUNCTION("""COMPUTED_VALUE"""),26960.0)</f>
        <v>26960</v>
      </c>
      <c r="E957" s="1">
        <f>IFERROR(__xludf.DUMMYFUNCTION("""COMPUTED_VALUE"""),27400.0)</f>
        <v>27400</v>
      </c>
      <c r="F957" s="1">
        <f>IFERROR(__xludf.DUMMYFUNCTION("""COMPUTED_VALUE"""),427786.0)</f>
        <v>427786</v>
      </c>
    </row>
    <row r="958">
      <c r="A958" s="2">
        <f>IFERROR(__xludf.DUMMYFUNCTION("""COMPUTED_VALUE"""),41961.64583333333)</f>
        <v>41961.64583</v>
      </c>
      <c r="B958" s="1">
        <f>IFERROR(__xludf.DUMMYFUNCTION("""COMPUTED_VALUE"""),27380.0)</f>
        <v>27380</v>
      </c>
      <c r="C958" s="1">
        <f>IFERROR(__xludf.DUMMYFUNCTION("""COMPUTED_VALUE"""),27800.0)</f>
        <v>27800</v>
      </c>
      <c r="D958" s="1">
        <f>IFERROR(__xludf.DUMMYFUNCTION("""COMPUTED_VALUE"""),26400.0)</f>
        <v>26400</v>
      </c>
      <c r="E958" s="1">
        <f>IFERROR(__xludf.DUMMYFUNCTION("""COMPUTED_VALUE"""),26800.0)</f>
        <v>26800</v>
      </c>
      <c r="F958" s="1">
        <f>IFERROR(__xludf.DUMMYFUNCTION("""COMPUTED_VALUE"""),717689.0)</f>
        <v>717689</v>
      </c>
    </row>
    <row r="959">
      <c r="A959" s="2">
        <f>IFERROR(__xludf.DUMMYFUNCTION("""COMPUTED_VALUE"""),41962.64583333333)</f>
        <v>41962.64583</v>
      </c>
      <c r="B959" s="1">
        <f>IFERROR(__xludf.DUMMYFUNCTION("""COMPUTED_VALUE"""),27000.0)</f>
        <v>27000</v>
      </c>
      <c r="C959" s="1">
        <f>IFERROR(__xludf.DUMMYFUNCTION("""COMPUTED_VALUE"""),27320.0)</f>
        <v>27320</v>
      </c>
      <c r="D959" s="1">
        <f>IFERROR(__xludf.DUMMYFUNCTION("""COMPUTED_VALUE"""),26780.0)</f>
        <v>26780</v>
      </c>
      <c r="E959" s="1">
        <f>IFERROR(__xludf.DUMMYFUNCTION("""COMPUTED_VALUE"""),27300.0)</f>
        <v>27300</v>
      </c>
      <c r="F959" s="1">
        <f>IFERROR(__xludf.DUMMYFUNCTION("""COMPUTED_VALUE"""),424003.0)</f>
        <v>424003</v>
      </c>
    </row>
    <row r="960">
      <c r="A960" s="2">
        <f>IFERROR(__xludf.DUMMYFUNCTION("""COMPUTED_VALUE"""),41963.64583333333)</f>
        <v>41963.64583</v>
      </c>
      <c r="B960" s="1">
        <f>IFERROR(__xludf.DUMMYFUNCTION("""COMPUTED_VALUE"""),27200.0)</f>
        <v>27200</v>
      </c>
      <c r="C960" s="1">
        <f>IFERROR(__xludf.DUMMYFUNCTION("""COMPUTED_VALUE"""),28580.0)</f>
        <v>28580</v>
      </c>
      <c r="D960" s="1">
        <f>IFERROR(__xludf.DUMMYFUNCTION("""COMPUTED_VALUE"""),27000.0)</f>
        <v>27000</v>
      </c>
      <c r="E960" s="1">
        <f>IFERROR(__xludf.DUMMYFUNCTION("""COMPUTED_VALUE"""),28220.0)</f>
        <v>28220</v>
      </c>
      <c r="F960" s="1">
        <f>IFERROR(__xludf.DUMMYFUNCTION("""COMPUTED_VALUE"""),783682.0)</f>
        <v>783682</v>
      </c>
    </row>
    <row r="961">
      <c r="A961" s="2">
        <f>IFERROR(__xludf.DUMMYFUNCTION("""COMPUTED_VALUE"""),41964.64583333333)</f>
        <v>41964.64583</v>
      </c>
      <c r="B961" s="1">
        <f>IFERROR(__xludf.DUMMYFUNCTION("""COMPUTED_VALUE"""),28420.0)</f>
        <v>28420</v>
      </c>
      <c r="C961" s="1">
        <f>IFERROR(__xludf.DUMMYFUNCTION("""COMPUTED_VALUE"""),28640.0)</f>
        <v>28640</v>
      </c>
      <c r="D961" s="1">
        <f>IFERROR(__xludf.DUMMYFUNCTION("""COMPUTED_VALUE"""),28100.0)</f>
        <v>28100</v>
      </c>
      <c r="E961" s="1">
        <f>IFERROR(__xludf.DUMMYFUNCTION("""COMPUTED_VALUE"""),28480.0)</f>
        <v>28480</v>
      </c>
      <c r="F961" s="1">
        <f>IFERROR(__xludf.DUMMYFUNCTION("""COMPUTED_VALUE"""),459663.0)</f>
        <v>459663</v>
      </c>
    </row>
    <row r="962">
      <c r="A962" s="2">
        <f>IFERROR(__xludf.DUMMYFUNCTION("""COMPUTED_VALUE"""),41967.64583333333)</f>
        <v>41967.64583</v>
      </c>
      <c r="B962" s="1">
        <f>IFERROR(__xludf.DUMMYFUNCTION("""COMPUTED_VALUE"""),29000.0)</f>
        <v>29000</v>
      </c>
      <c r="C962" s="1">
        <f>IFERROR(__xludf.DUMMYFUNCTION("""COMPUTED_VALUE"""),29280.0)</f>
        <v>29280</v>
      </c>
      <c r="D962" s="1">
        <f>IFERROR(__xludf.DUMMYFUNCTION("""COMPUTED_VALUE"""),27940.0)</f>
        <v>27940</v>
      </c>
      <c r="E962" s="1">
        <f>IFERROR(__xludf.DUMMYFUNCTION("""COMPUTED_VALUE"""),28880.0)</f>
        <v>28880</v>
      </c>
      <c r="F962" s="1">
        <f>IFERROR(__xludf.DUMMYFUNCTION("""COMPUTED_VALUE"""),648082.0)</f>
        <v>648082</v>
      </c>
    </row>
    <row r="963">
      <c r="A963" s="2">
        <f>IFERROR(__xludf.DUMMYFUNCTION("""COMPUTED_VALUE"""),41968.64583333333)</f>
        <v>41968.64583</v>
      </c>
      <c r="B963" s="1">
        <f>IFERROR(__xludf.DUMMYFUNCTION("""COMPUTED_VALUE"""),28700.0)</f>
        <v>28700</v>
      </c>
      <c r="C963" s="1">
        <f>IFERROR(__xludf.DUMMYFUNCTION("""COMPUTED_VALUE"""),30060.0)</f>
        <v>30060</v>
      </c>
      <c r="D963" s="1">
        <f>IFERROR(__xludf.DUMMYFUNCTION("""COMPUTED_VALUE"""),28560.0)</f>
        <v>28560</v>
      </c>
      <c r="E963" s="1">
        <f>IFERROR(__xludf.DUMMYFUNCTION("""COMPUTED_VALUE"""),30060.0)</f>
        <v>30060</v>
      </c>
      <c r="F963" s="1">
        <f>IFERROR(__xludf.DUMMYFUNCTION("""COMPUTED_VALUE"""),2823013.0)</f>
        <v>2823013</v>
      </c>
    </row>
    <row r="964">
      <c r="A964" s="2">
        <f>IFERROR(__xludf.DUMMYFUNCTION("""COMPUTED_VALUE"""),41969.64583333333)</f>
        <v>41969.64583</v>
      </c>
      <c r="B964" s="1">
        <f>IFERROR(__xludf.DUMMYFUNCTION("""COMPUTED_VALUE"""),29960.0)</f>
        <v>29960</v>
      </c>
      <c r="C964" s="1">
        <f>IFERROR(__xludf.DUMMYFUNCTION("""COMPUTED_VALUE"""),30100.0)</f>
        <v>30100</v>
      </c>
      <c r="D964" s="1">
        <f>IFERROR(__xludf.DUMMYFUNCTION("""COMPUTED_VALUE"""),29480.0)</f>
        <v>29480</v>
      </c>
      <c r="E964" s="1">
        <f>IFERROR(__xludf.DUMMYFUNCTION("""COMPUTED_VALUE"""),29480.0)</f>
        <v>29480</v>
      </c>
      <c r="F964" s="1">
        <f>IFERROR(__xludf.DUMMYFUNCTION("""COMPUTED_VALUE"""),547397.0)</f>
        <v>547397</v>
      </c>
    </row>
    <row r="965">
      <c r="A965" s="2">
        <f>IFERROR(__xludf.DUMMYFUNCTION("""COMPUTED_VALUE"""),41970.64583333333)</f>
        <v>41970.64583</v>
      </c>
      <c r="B965" s="1">
        <f>IFERROR(__xludf.DUMMYFUNCTION("""COMPUTED_VALUE"""),29460.0)</f>
        <v>29460</v>
      </c>
      <c r="C965" s="1">
        <f>IFERROR(__xludf.DUMMYFUNCTION("""COMPUTED_VALUE"""),29780.0)</f>
        <v>29780</v>
      </c>
      <c r="D965" s="1">
        <f>IFERROR(__xludf.DUMMYFUNCTION("""COMPUTED_VALUE"""),28640.0)</f>
        <v>28640</v>
      </c>
      <c r="E965" s="1">
        <f>IFERROR(__xludf.DUMMYFUNCTION("""COMPUTED_VALUE"""),28760.0)</f>
        <v>28760</v>
      </c>
      <c r="F965" s="1">
        <f>IFERROR(__xludf.DUMMYFUNCTION("""COMPUTED_VALUE"""),353152.0)</f>
        <v>353152</v>
      </c>
    </row>
    <row r="966">
      <c r="A966" s="2">
        <f>IFERROR(__xludf.DUMMYFUNCTION("""COMPUTED_VALUE"""),41971.64583333333)</f>
        <v>41971.64583</v>
      </c>
      <c r="B966" s="1">
        <f>IFERROR(__xludf.DUMMYFUNCTION("""COMPUTED_VALUE"""),28600.0)</f>
        <v>28600</v>
      </c>
      <c r="C966" s="1">
        <f>IFERROR(__xludf.DUMMYFUNCTION("""COMPUTED_VALUE"""),29700.0)</f>
        <v>29700</v>
      </c>
      <c r="D966" s="1">
        <f>IFERROR(__xludf.DUMMYFUNCTION("""COMPUTED_VALUE"""),28600.0)</f>
        <v>28600</v>
      </c>
      <c r="E966" s="1">
        <f>IFERROR(__xludf.DUMMYFUNCTION("""COMPUTED_VALUE"""),29340.0)</f>
        <v>29340</v>
      </c>
      <c r="F966" s="1">
        <f>IFERROR(__xludf.DUMMYFUNCTION("""COMPUTED_VALUE"""),498395.0)</f>
        <v>498395</v>
      </c>
    </row>
    <row r="967">
      <c r="A967" s="2">
        <f>IFERROR(__xludf.DUMMYFUNCTION("""COMPUTED_VALUE"""),41974.64583333333)</f>
        <v>41974.64583</v>
      </c>
      <c r="B967" s="1">
        <f>IFERROR(__xludf.DUMMYFUNCTION("""COMPUTED_VALUE"""),29040.0)</f>
        <v>29040</v>
      </c>
      <c r="C967" s="1">
        <f>IFERROR(__xludf.DUMMYFUNCTION("""COMPUTED_VALUE"""),29060.0)</f>
        <v>29060</v>
      </c>
      <c r="D967" s="1">
        <f>IFERROR(__xludf.DUMMYFUNCTION("""COMPUTED_VALUE"""),28000.0)</f>
        <v>28000</v>
      </c>
      <c r="E967" s="1">
        <f>IFERROR(__xludf.DUMMYFUNCTION("""COMPUTED_VALUE"""),28180.0)</f>
        <v>28180</v>
      </c>
      <c r="F967" s="1">
        <f>IFERROR(__xludf.DUMMYFUNCTION("""COMPUTED_VALUE"""),514326.0)</f>
        <v>514326</v>
      </c>
    </row>
    <row r="968">
      <c r="A968" s="2">
        <f>IFERROR(__xludf.DUMMYFUNCTION("""COMPUTED_VALUE"""),41975.64583333333)</f>
        <v>41975.64583</v>
      </c>
      <c r="B968" s="1">
        <f>IFERROR(__xludf.DUMMYFUNCTION("""COMPUTED_VALUE"""),28020.0)</f>
        <v>28020</v>
      </c>
      <c r="C968" s="1">
        <f>IFERROR(__xludf.DUMMYFUNCTION("""COMPUTED_VALUE"""),28480.0)</f>
        <v>28480</v>
      </c>
      <c r="D968" s="1">
        <f>IFERROR(__xludf.DUMMYFUNCTION("""COMPUTED_VALUE"""),27560.0)</f>
        <v>27560</v>
      </c>
      <c r="E968" s="1">
        <f>IFERROR(__xludf.DUMMYFUNCTION("""COMPUTED_VALUE"""),28420.0)</f>
        <v>28420</v>
      </c>
      <c r="F968" s="1">
        <f>IFERROR(__xludf.DUMMYFUNCTION("""COMPUTED_VALUE"""),430671.0)</f>
        <v>430671</v>
      </c>
    </row>
    <row r="969">
      <c r="A969" s="2">
        <f>IFERROR(__xludf.DUMMYFUNCTION("""COMPUTED_VALUE"""),41976.64583333333)</f>
        <v>41976.64583</v>
      </c>
      <c r="B969" s="1">
        <f>IFERROR(__xludf.DUMMYFUNCTION("""COMPUTED_VALUE"""),28140.0)</f>
        <v>28140</v>
      </c>
      <c r="C969" s="1">
        <f>IFERROR(__xludf.DUMMYFUNCTION("""COMPUTED_VALUE"""),28600.0)</f>
        <v>28600</v>
      </c>
      <c r="D969" s="1">
        <f>IFERROR(__xludf.DUMMYFUNCTION("""COMPUTED_VALUE"""),27740.0)</f>
        <v>27740</v>
      </c>
      <c r="E969" s="1">
        <f>IFERROR(__xludf.DUMMYFUNCTION("""COMPUTED_VALUE"""),28000.0)</f>
        <v>28000</v>
      </c>
      <c r="F969" s="1">
        <f>IFERROR(__xludf.DUMMYFUNCTION("""COMPUTED_VALUE"""),309538.0)</f>
        <v>309538</v>
      </c>
    </row>
    <row r="970">
      <c r="A970" s="2">
        <f>IFERROR(__xludf.DUMMYFUNCTION("""COMPUTED_VALUE"""),41977.64583333333)</f>
        <v>41977.64583</v>
      </c>
      <c r="B970" s="1">
        <f>IFERROR(__xludf.DUMMYFUNCTION("""COMPUTED_VALUE"""),28100.0)</f>
        <v>28100</v>
      </c>
      <c r="C970" s="1">
        <f>IFERROR(__xludf.DUMMYFUNCTION("""COMPUTED_VALUE"""),28720.0)</f>
        <v>28720</v>
      </c>
      <c r="D970" s="1">
        <f>IFERROR(__xludf.DUMMYFUNCTION("""COMPUTED_VALUE"""),27900.0)</f>
        <v>27900</v>
      </c>
      <c r="E970" s="1">
        <f>IFERROR(__xludf.DUMMYFUNCTION("""COMPUTED_VALUE"""),27980.0)</f>
        <v>27980</v>
      </c>
      <c r="F970" s="1">
        <f>IFERROR(__xludf.DUMMYFUNCTION("""COMPUTED_VALUE"""),396891.0)</f>
        <v>396891</v>
      </c>
    </row>
    <row r="971">
      <c r="A971" s="2">
        <f>IFERROR(__xludf.DUMMYFUNCTION("""COMPUTED_VALUE"""),41978.64583333333)</f>
        <v>41978.64583</v>
      </c>
      <c r="B971" s="1">
        <f>IFERROR(__xludf.DUMMYFUNCTION("""COMPUTED_VALUE"""),27820.0)</f>
        <v>27820</v>
      </c>
      <c r="C971" s="1">
        <f>IFERROR(__xludf.DUMMYFUNCTION("""COMPUTED_VALUE"""),28260.0)</f>
        <v>28260</v>
      </c>
      <c r="D971" s="1">
        <f>IFERROR(__xludf.DUMMYFUNCTION("""COMPUTED_VALUE"""),27380.0)</f>
        <v>27380</v>
      </c>
      <c r="E971" s="1">
        <f>IFERROR(__xludf.DUMMYFUNCTION("""COMPUTED_VALUE"""),27560.0)</f>
        <v>27560</v>
      </c>
      <c r="F971" s="1">
        <f>IFERROR(__xludf.DUMMYFUNCTION("""COMPUTED_VALUE"""),481696.0)</f>
        <v>481696</v>
      </c>
    </row>
    <row r="972">
      <c r="A972" s="2">
        <f>IFERROR(__xludf.DUMMYFUNCTION("""COMPUTED_VALUE"""),41981.64583333333)</f>
        <v>41981.64583</v>
      </c>
      <c r="B972" s="1">
        <f>IFERROR(__xludf.DUMMYFUNCTION("""COMPUTED_VALUE"""),27460.0)</f>
        <v>27460</v>
      </c>
      <c r="C972" s="1">
        <f>IFERROR(__xludf.DUMMYFUNCTION("""COMPUTED_VALUE"""),27680.0)</f>
        <v>27680</v>
      </c>
      <c r="D972" s="1">
        <f>IFERROR(__xludf.DUMMYFUNCTION("""COMPUTED_VALUE"""),26960.0)</f>
        <v>26960</v>
      </c>
      <c r="E972" s="1">
        <f>IFERROR(__xludf.DUMMYFUNCTION("""COMPUTED_VALUE"""),26960.0)</f>
        <v>26960</v>
      </c>
      <c r="F972" s="1">
        <f>IFERROR(__xludf.DUMMYFUNCTION("""COMPUTED_VALUE"""),398731.0)</f>
        <v>398731</v>
      </c>
    </row>
    <row r="973">
      <c r="A973" s="2">
        <f>IFERROR(__xludf.DUMMYFUNCTION("""COMPUTED_VALUE"""),41982.64583333333)</f>
        <v>41982.64583</v>
      </c>
      <c r="B973" s="1">
        <f>IFERROR(__xludf.DUMMYFUNCTION("""COMPUTED_VALUE"""),26900.0)</f>
        <v>26900</v>
      </c>
      <c r="C973" s="1">
        <f>IFERROR(__xludf.DUMMYFUNCTION("""COMPUTED_VALUE"""),27600.0)</f>
        <v>27600</v>
      </c>
      <c r="D973" s="1">
        <f>IFERROR(__xludf.DUMMYFUNCTION("""COMPUTED_VALUE"""),26860.0)</f>
        <v>26860</v>
      </c>
      <c r="E973" s="1">
        <f>IFERROR(__xludf.DUMMYFUNCTION("""COMPUTED_VALUE"""),26860.0)</f>
        <v>26860</v>
      </c>
      <c r="F973" s="1">
        <f>IFERROR(__xludf.DUMMYFUNCTION("""COMPUTED_VALUE"""),322993.0)</f>
        <v>322993</v>
      </c>
    </row>
    <row r="974">
      <c r="A974" s="2">
        <f>IFERROR(__xludf.DUMMYFUNCTION("""COMPUTED_VALUE"""),41983.64583333333)</f>
        <v>41983.64583</v>
      </c>
      <c r="B974" s="1">
        <f>IFERROR(__xludf.DUMMYFUNCTION("""COMPUTED_VALUE"""),26700.0)</f>
        <v>26700</v>
      </c>
      <c r="C974" s="1">
        <f>IFERROR(__xludf.DUMMYFUNCTION("""COMPUTED_VALUE"""),27000.0)</f>
        <v>27000</v>
      </c>
      <c r="D974" s="1">
        <f>IFERROR(__xludf.DUMMYFUNCTION("""COMPUTED_VALUE"""),25600.0)</f>
        <v>25600</v>
      </c>
      <c r="E974" s="1">
        <f>IFERROR(__xludf.DUMMYFUNCTION("""COMPUTED_VALUE"""),25600.0)</f>
        <v>25600</v>
      </c>
      <c r="F974" s="1">
        <f>IFERROR(__xludf.DUMMYFUNCTION("""COMPUTED_VALUE"""),755885.0)</f>
        <v>755885</v>
      </c>
    </row>
    <row r="975">
      <c r="A975" s="2">
        <f>IFERROR(__xludf.DUMMYFUNCTION("""COMPUTED_VALUE"""),41984.64583333333)</f>
        <v>41984.64583</v>
      </c>
      <c r="B975" s="1">
        <f>IFERROR(__xludf.DUMMYFUNCTION("""COMPUTED_VALUE"""),25540.0)</f>
        <v>25540</v>
      </c>
      <c r="C975" s="1">
        <f>IFERROR(__xludf.DUMMYFUNCTION("""COMPUTED_VALUE"""),25940.0)</f>
        <v>25940</v>
      </c>
      <c r="D975" s="1">
        <f>IFERROR(__xludf.DUMMYFUNCTION("""COMPUTED_VALUE"""),24700.0)</f>
        <v>24700</v>
      </c>
      <c r="E975" s="1">
        <f>IFERROR(__xludf.DUMMYFUNCTION("""COMPUTED_VALUE"""),24800.0)</f>
        <v>24800</v>
      </c>
      <c r="F975" s="1">
        <f>IFERROR(__xludf.DUMMYFUNCTION("""COMPUTED_VALUE"""),658337.0)</f>
        <v>658337</v>
      </c>
    </row>
    <row r="976">
      <c r="A976" s="2">
        <f>IFERROR(__xludf.DUMMYFUNCTION("""COMPUTED_VALUE"""),41985.64583333333)</f>
        <v>41985.64583</v>
      </c>
      <c r="B976" s="1">
        <f>IFERROR(__xludf.DUMMYFUNCTION("""COMPUTED_VALUE"""),24940.0)</f>
        <v>24940</v>
      </c>
      <c r="C976" s="1">
        <f>IFERROR(__xludf.DUMMYFUNCTION("""COMPUTED_VALUE"""),25120.0)</f>
        <v>25120</v>
      </c>
      <c r="D976" s="1">
        <f>IFERROR(__xludf.DUMMYFUNCTION("""COMPUTED_VALUE"""),23920.0)</f>
        <v>23920</v>
      </c>
      <c r="E976" s="1">
        <f>IFERROR(__xludf.DUMMYFUNCTION("""COMPUTED_VALUE"""),24160.0)</f>
        <v>24160</v>
      </c>
      <c r="F976" s="1">
        <f>IFERROR(__xludf.DUMMYFUNCTION("""COMPUTED_VALUE"""),670440.0)</f>
        <v>670440</v>
      </c>
    </row>
    <row r="977">
      <c r="A977" s="2">
        <f>IFERROR(__xludf.DUMMYFUNCTION("""COMPUTED_VALUE"""),41988.64583333333)</f>
        <v>41988.64583</v>
      </c>
      <c r="B977" s="1">
        <f>IFERROR(__xludf.DUMMYFUNCTION("""COMPUTED_VALUE"""),23980.0)</f>
        <v>23980</v>
      </c>
      <c r="C977" s="1">
        <f>IFERROR(__xludf.DUMMYFUNCTION("""COMPUTED_VALUE"""),25740.0)</f>
        <v>25740</v>
      </c>
      <c r="D977" s="1">
        <f>IFERROR(__xludf.DUMMYFUNCTION("""COMPUTED_VALUE"""),23960.0)</f>
        <v>23960</v>
      </c>
      <c r="E977" s="1">
        <f>IFERROR(__xludf.DUMMYFUNCTION("""COMPUTED_VALUE"""),25380.0)</f>
        <v>25380</v>
      </c>
      <c r="F977" s="1">
        <f>IFERROR(__xludf.DUMMYFUNCTION("""COMPUTED_VALUE"""),515956.0)</f>
        <v>515956</v>
      </c>
    </row>
    <row r="978">
      <c r="A978" s="2">
        <f>IFERROR(__xludf.DUMMYFUNCTION("""COMPUTED_VALUE"""),41989.64583333333)</f>
        <v>41989.64583</v>
      </c>
      <c r="B978" s="1">
        <f>IFERROR(__xludf.DUMMYFUNCTION("""COMPUTED_VALUE"""),25340.0)</f>
        <v>25340</v>
      </c>
      <c r="C978" s="1">
        <f>IFERROR(__xludf.DUMMYFUNCTION("""COMPUTED_VALUE"""),26240.0)</f>
        <v>26240</v>
      </c>
      <c r="D978" s="1">
        <f>IFERROR(__xludf.DUMMYFUNCTION("""COMPUTED_VALUE"""),25240.0)</f>
        <v>25240</v>
      </c>
      <c r="E978" s="1">
        <f>IFERROR(__xludf.DUMMYFUNCTION("""COMPUTED_VALUE"""),25560.0)</f>
        <v>25560</v>
      </c>
      <c r="F978" s="1">
        <f>IFERROR(__xludf.DUMMYFUNCTION("""COMPUTED_VALUE"""),505397.0)</f>
        <v>505397</v>
      </c>
    </row>
    <row r="979">
      <c r="A979" s="2">
        <f>IFERROR(__xludf.DUMMYFUNCTION("""COMPUTED_VALUE"""),41990.64583333333)</f>
        <v>41990.64583</v>
      </c>
      <c r="B979" s="1">
        <f>IFERROR(__xludf.DUMMYFUNCTION("""COMPUTED_VALUE"""),25680.0)</f>
        <v>25680</v>
      </c>
      <c r="C979" s="1">
        <f>IFERROR(__xludf.DUMMYFUNCTION("""COMPUTED_VALUE"""),26000.0)</f>
        <v>26000</v>
      </c>
      <c r="D979" s="1">
        <f>IFERROR(__xludf.DUMMYFUNCTION("""COMPUTED_VALUE"""),25000.0)</f>
        <v>25000</v>
      </c>
      <c r="E979" s="1">
        <f>IFERROR(__xludf.DUMMYFUNCTION("""COMPUTED_VALUE"""),25220.0)</f>
        <v>25220</v>
      </c>
      <c r="F979" s="1">
        <f>IFERROR(__xludf.DUMMYFUNCTION("""COMPUTED_VALUE"""),363820.0)</f>
        <v>363820</v>
      </c>
    </row>
    <row r="980">
      <c r="A980" s="2">
        <f>IFERROR(__xludf.DUMMYFUNCTION("""COMPUTED_VALUE"""),41991.64583333333)</f>
        <v>41991.64583</v>
      </c>
      <c r="B980" s="1">
        <f>IFERROR(__xludf.DUMMYFUNCTION("""COMPUTED_VALUE"""),25160.0)</f>
        <v>25160</v>
      </c>
      <c r="C980" s="1">
        <f>IFERROR(__xludf.DUMMYFUNCTION("""COMPUTED_VALUE"""),25340.0)</f>
        <v>25340</v>
      </c>
      <c r="D980" s="1">
        <f>IFERROR(__xludf.DUMMYFUNCTION("""COMPUTED_VALUE"""),24100.0)</f>
        <v>24100</v>
      </c>
      <c r="E980" s="1">
        <f>IFERROR(__xludf.DUMMYFUNCTION("""COMPUTED_VALUE"""),24840.0)</f>
        <v>24840</v>
      </c>
      <c r="F980" s="1">
        <f>IFERROR(__xludf.DUMMYFUNCTION("""COMPUTED_VALUE"""),505120.0)</f>
        <v>505120</v>
      </c>
    </row>
    <row r="981">
      <c r="A981" s="2">
        <f>IFERROR(__xludf.DUMMYFUNCTION("""COMPUTED_VALUE"""),41992.64583333333)</f>
        <v>41992.64583</v>
      </c>
      <c r="B981" s="1">
        <f>IFERROR(__xludf.DUMMYFUNCTION("""COMPUTED_VALUE"""),25100.0)</f>
        <v>25100</v>
      </c>
      <c r="C981" s="1">
        <f>IFERROR(__xludf.DUMMYFUNCTION("""COMPUTED_VALUE"""),26140.0)</f>
        <v>26140</v>
      </c>
      <c r="D981" s="1">
        <f>IFERROR(__xludf.DUMMYFUNCTION("""COMPUTED_VALUE"""),24960.0)</f>
        <v>24960</v>
      </c>
      <c r="E981" s="1">
        <f>IFERROR(__xludf.DUMMYFUNCTION("""COMPUTED_VALUE"""),26060.0)</f>
        <v>26060</v>
      </c>
      <c r="F981" s="1">
        <f>IFERROR(__xludf.DUMMYFUNCTION("""COMPUTED_VALUE"""),558753.0)</f>
        <v>558753</v>
      </c>
    </row>
    <row r="982">
      <c r="A982" s="2">
        <f>IFERROR(__xludf.DUMMYFUNCTION("""COMPUTED_VALUE"""),41995.64583333333)</f>
        <v>41995.64583</v>
      </c>
      <c r="B982" s="1">
        <f>IFERROR(__xludf.DUMMYFUNCTION("""COMPUTED_VALUE"""),26200.0)</f>
        <v>26200</v>
      </c>
      <c r="C982" s="1">
        <f>IFERROR(__xludf.DUMMYFUNCTION("""COMPUTED_VALUE"""),26480.0)</f>
        <v>26480</v>
      </c>
      <c r="D982" s="1">
        <f>IFERROR(__xludf.DUMMYFUNCTION("""COMPUTED_VALUE"""),25700.0)</f>
        <v>25700</v>
      </c>
      <c r="E982" s="1">
        <f>IFERROR(__xludf.DUMMYFUNCTION("""COMPUTED_VALUE"""),25960.0)</f>
        <v>25960</v>
      </c>
      <c r="F982" s="1">
        <f>IFERROR(__xludf.DUMMYFUNCTION("""COMPUTED_VALUE"""),421788.0)</f>
        <v>421788</v>
      </c>
    </row>
    <row r="983">
      <c r="A983" s="2">
        <f>IFERROR(__xludf.DUMMYFUNCTION("""COMPUTED_VALUE"""),41996.64583333333)</f>
        <v>41996.64583</v>
      </c>
      <c r="B983" s="1">
        <f>IFERROR(__xludf.DUMMYFUNCTION("""COMPUTED_VALUE"""),26000.0)</f>
        <v>26000</v>
      </c>
      <c r="C983" s="1">
        <f>IFERROR(__xludf.DUMMYFUNCTION("""COMPUTED_VALUE"""),26100.0)</f>
        <v>26100</v>
      </c>
      <c r="D983" s="1">
        <f>IFERROR(__xludf.DUMMYFUNCTION("""COMPUTED_VALUE"""),25020.0)</f>
        <v>25020</v>
      </c>
      <c r="E983" s="1">
        <f>IFERROR(__xludf.DUMMYFUNCTION("""COMPUTED_VALUE"""),25040.0)</f>
        <v>25040</v>
      </c>
      <c r="F983" s="1">
        <f>IFERROR(__xludf.DUMMYFUNCTION("""COMPUTED_VALUE"""),407251.0)</f>
        <v>407251</v>
      </c>
    </row>
    <row r="984">
      <c r="A984" s="2">
        <f>IFERROR(__xludf.DUMMYFUNCTION("""COMPUTED_VALUE"""),41997.64583333333)</f>
        <v>41997.64583</v>
      </c>
      <c r="B984" s="1">
        <f>IFERROR(__xludf.DUMMYFUNCTION("""COMPUTED_VALUE"""),25040.0)</f>
        <v>25040</v>
      </c>
      <c r="C984" s="1">
        <f>IFERROR(__xludf.DUMMYFUNCTION("""COMPUTED_VALUE"""),25260.0)</f>
        <v>25260</v>
      </c>
      <c r="D984" s="1">
        <f>IFERROR(__xludf.DUMMYFUNCTION("""COMPUTED_VALUE"""),24620.0)</f>
        <v>24620</v>
      </c>
      <c r="E984" s="1">
        <f>IFERROR(__xludf.DUMMYFUNCTION("""COMPUTED_VALUE"""),24660.0)</f>
        <v>24660</v>
      </c>
      <c r="F984" s="1">
        <f>IFERROR(__xludf.DUMMYFUNCTION("""COMPUTED_VALUE"""),365764.0)</f>
        <v>365764</v>
      </c>
    </row>
    <row r="985">
      <c r="A985" s="2">
        <f>IFERROR(__xludf.DUMMYFUNCTION("""COMPUTED_VALUE"""),41999.64583333333)</f>
        <v>41999.64583</v>
      </c>
      <c r="B985" s="1">
        <f>IFERROR(__xludf.DUMMYFUNCTION("""COMPUTED_VALUE"""),24640.0)</f>
        <v>24640</v>
      </c>
      <c r="C985" s="1">
        <f>IFERROR(__xludf.DUMMYFUNCTION("""COMPUTED_VALUE"""),24820.0)</f>
        <v>24820</v>
      </c>
      <c r="D985" s="1">
        <f>IFERROR(__xludf.DUMMYFUNCTION("""COMPUTED_VALUE"""),24320.0)</f>
        <v>24320</v>
      </c>
      <c r="E985" s="1">
        <f>IFERROR(__xludf.DUMMYFUNCTION("""COMPUTED_VALUE"""),24400.0)</f>
        <v>24400</v>
      </c>
      <c r="F985" s="1">
        <f>IFERROR(__xludf.DUMMYFUNCTION("""COMPUTED_VALUE"""),304481.0)</f>
        <v>304481</v>
      </c>
    </row>
    <row r="986">
      <c r="A986" s="2">
        <f>IFERROR(__xludf.DUMMYFUNCTION("""COMPUTED_VALUE"""),42002.64583333333)</f>
        <v>42002.64583</v>
      </c>
      <c r="B986" s="1">
        <f>IFERROR(__xludf.DUMMYFUNCTION("""COMPUTED_VALUE"""),24640.0)</f>
        <v>24640</v>
      </c>
      <c r="C986" s="1">
        <f>IFERROR(__xludf.DUMMYFUNCTION("""COMPUTED_VALUE"""),24940.0)</f>
        <v>24940</v>
      </c>
      <c r="D986" s="1">
        <f>IFERROR(__xludf.DUMMYFUNCTION("""COMPUTED_VALUE"""),24460.0)</f>
        <v>24460</v>
      </c>
      <c r="E986" s="1">
        <f>IFERROR(__xludf.DUMMYFUNCTION("""COMPUTED_VALUE"""),24620.0)</f>
        <v>24620</v>
      </c>
      <c r="F986" s="1">
        <f>IFERROR(__xludf.DUMMYFUNCTION("""COMPUTED_VALUE"""),274232.0)</f>
        <v>274232</v>
      </c>
    </row>
    <row r="987">
      <c r="A987" s="2">
        <f>IFERROR(__xludf.DUMMYFUNCTION("""COMPUTED_VALUE"""),42003.64583333333)</f>
        <v>42003.64583</v>
      </c>
      <c r="B987" s="1">
        <f>IFERROR(__xludf.DUMMYFUNCTION("""COMPUTED_VALUE"""),24880.0)</f>
        <v>24880</v>
      </c>
      <c r="C987" s="1">
        <f>IFERROR(__xludf.DUMMYFUNCTION("""COMPUTED_VALUE"""),24880.0)</f>
        <v>24880</v>
      </c>
      <c r="D987" s="1">
        <f>IFERROR(__xludf.DUMMYFUNCTION("""COMPUTED_VALUE"""),24420.0)</f>
        <v>24420</v>
      </c>
      <c r="E987" s="1">
        <f>IFERROR(__xludf.DUMMYFUNCTION("""COMPUTED_VALUE"""),24720.0)</f>
        <v>24720</v>
      </c>
      <c r="F987" s="1">
        <f>IFERROR(__xludf.DUMMYFUNCTION("""COMPUTED_VALUE"""),205936.0)</f>
        <v>205936</v>
      </c>
    </row>
    <row r="988">
      <c r="A988" s="2">
        <f>IFERROR(__xludf.DUMMYFUNCTION("""COMPUTED_VALUE"""),42006.64583333333)</f>
        <v>42006.64583</v>
      </c>
      <c r="B988" s="1">
        <f>IFERROR(__xludf.DUMMYFUNCTION("""COMPUTED_VALUE"""),24880.0)</f>
        <v>24880</v>
      </c>
      <c r="C988" s="1">
        <f>IFERROR(__xludf.DUMMYFUNCTION("""COMPUTED_VALUE"""),27740.0)</f>
        <v>27740</v>
      </c>
      <c r="D988" s="1">
        <f>IFERROR(__xludf.DUMMYFUNCTION("""COMPUTED_VALUE"""),24860.0)</f>
        <v>24860</v>
      </c>
      <c r="E988" s="1">
        <f>IFERROR(__xludf.DUMMYFUNCTION("""COMPUTED_VALUE"""),27440.0)</f>
        <v>27440</v>
      </c>
      <c r="F988" s="1">
        <f>IFERROR(__xludf.DUMMYFUNCTION("""COMPUTED_VALUE"""),1162901.0)</f>
        <v>1162901</v>
      </c>
    </row>
    <row r="989">
      <c r="A989" s="2">
        <f>IFERROR(__xludf.DUMMYFUNCTION("""COMPUTED_VALUE"""),42009.64583333333)</f>
        <v>42009.64583</v>
      </c>
      <c r="B989" s="1">
        <f>IFERROR(__xludf.DUMMYFUNCTION("""COMPUTED_VALUE"""),28100.0)</f>
        <v>28100</v>
      </c>
      <c r="C989" s="1">
        <f>IFERROR(__xludf.DUMMYFUNCTION("""COMPUTED_VALUE"""),29160.0)</f>
        <v>29160</v>
      </c>
      <c r="D989" s="1">
        <f>IFERROR(__xludf.DUMMYFUNCTION("""COMPUTED_VALUE"""),27920.0)</f>
        <v>27920</v>
      </c>
      <c r="E989" s="1">
        <f>IFERROR(__xludf.DUMMYFUNCTION("""COMPUTED_VALUE"""),28900.0)</f>
        <v>28900</v>
      </c>
      <c r="F989" s="1">
        <f>IFERROR(__xludf.DUMMYFUNCTION("""COMPUTED_VALUE"""),1374537.0)</f>
        <v>1374537</v>
      </c>
    </row>
    <row r="990">
      <c r="A990" s="2">
        <f>IFERROR(__xludf.DUMMYFUNCTION("""COMPUTED_VALUE"""),42010.64583333333)</f>
        <v>42010.64583</v>
      </c>
      <c r="B990" s="1">
        <f>IFERROR(__xludf.DUMMYFUNCTION("""COMPUTED_VALUE"""),28860.0)</f>
        <v>28860</v>
      </c>
      <c r="C990" s="1">
        <f>IFERROR(__xludf.DUMMYFUNCTION("""COMPUTED_VALUE"""),29860.0)</f>
        <v>29860</v>
      </c>
      <c r="D990" s="1">
        <f>IFERROR(__xludf.DUMMYFUNCTION("""COMPUTED_VALUE"""),28500.0)</f>
        <v>28500</v>
      </c>
      <c r="E990" s="1">
        <f>IFERROR(__xludf.DUMMYFUNCTION("""COMPUTED_VALUE"""),29060.0)</f>
        <v>29060</v>
      </c>
      <c r="F990" s="1">
        <f>IFERROR(__xludf.DUMMYFUNCTION("""COMPUTED_VALUE"""),1045908.0)</f>
        <v>1045908</v>
      </c>
    </row>
    <row r="991">
      <c r="A991" s="2">
        <f>IFERROR(__xludf.DUMMYFUNCTION("""COMPUTED_VALUE"""),42012.64583333333)</f>
        <v>42012.64583</v>
      </c>
      <c r="B991" s="1">
        <f>IFERROR(__xludf.DUMMYFUNCTION("""COMPUTED_VALUE"""),29980.0)</f>
        <v>29980</v>
      </c>
      <c r="C991" s="1">
        <f>IFERROR(__xludf.DUMMYFUNCTION("""COMPUTED_VALUE"""),30300.0)</f>
        <v>30300</v>
      </c>
      <c r="D991" s="1">
        <f>IFERROR(__xludf.DUMMYFUNCTION("""COMPUTED_VALUE"""),29300.0)</f>
        <v>29300</v>
      </c>
      <c r="E991" s="1">
        <f>IFERROR(__xludf.DUMMYFUNCTION("""COMPUTED_VALUE"""),29460.0)</f>
        <v>29460</v>
      </c>
      <c r="F991" s="1">
        <f>IFERROR(__xludf.DUMMYFUNCTION("""COMPUTED_VALUE"""),731206.0)</f>
        <v>731206</v>
      </c>
    </row>
    <row r="992">
      <c r="A992" s="2">
        <f>IFERROR(__xludf.DUMMYFUNCTION("""COMPUTED_VALUE"""),42013.64583333333)</f>
        <v>42013.64583</v>
      </c>
      <c r="B992" s="1">
        <f>IFERROR(__xludf.DUMMYFUNCTION("""COMPUTED_VALUE"""),29840.0)</f>
        <v>29840</v>
      </c>
      <c r="C992" s="1">
        <f>IFERROR(__xludf.DUMMYFUNCTION("""COMPUTED_VALUE"""),30020.0)</f>
        <v>30020</v>
      </c>
      <c r="D992" s="1">
        <f>IFERROR(__xludf.DUMMYFUNCTION("""COMPUTED_VALUE"""),29420.0)</f>
        <v>29420</v>
      </c>
      <c r="E992" s="1">
        <f>IFERROR(__xludf.DUMMYFUNCTION("""COMPUTED_VALUE"""),29900.0)</f>
        <v>29900</v>
      </c>
      <c r="F992" s="1">
        <f>IFERROR(__xludf.DUMMYFUNCTION("""COMPUTED_VALUE"""),657407.0)</f>
        <v>657407</v>
      </c>
    </row>
    <row r="993">
      <c r="A993" s="2">
        <f>IFERROR(__xludf.DUMMYFUNCTION("""COMPUTED_VALUE"""),42016.64583333333)</f>
        <v>42016.64583</v>
      </c>
      <c r="B993" s="1">
        <f>IFERROR(__xludf.DUMMYFUNCTION("""COMPUTED_VALUE"""),29600.0)</f>
        <v>29600</v>
      </c>
      <c r="C993" s="1">
        <f>IFERROR(__xludf.DUMMYFUNCTION("""COMPUTED_VALUE"""),29720.0)</f>
        <v>29720</v>
      </c>
      <c r="D993" s="1">
        <f>IFERROR(__xludf.DUMMYFUNCTION("""COMPUTED_VALUE"""),28280.0)</f>
        <v>28280</v>
      </c>
      <c r="E993" s="1">
        <f>IFERROR(__xludf.DUMMYFUNCTION("""COMPUTED_VALUE"""),29080.0)</f>
        <v>29080</v>
      </c>
      <c r="F993" s="1">
        <f>IFERROR(__xludf.DUMMYFUNCTION("""COMPUTED_VALUE"""),997546.0)</f>
        <v>997546</v>
      </c>
    </row>
    <row r="994">
      <c r="A994" s="2">
        <f>IFERROR(__xludf.DUMMYFUNCTION("""COMPUTED_VALUE"""),42017.64583333333)</f>
        <v>42017.64583</v>
      </c>
      <c r="B994" s="1">
        <f>IFERROR(__xludf.DUMMYFUNCTION("""COMPUTED_VALUE"""),29080.0)</f>
        <v>29080</v>
      </c>
      <c r="C994" s="1">
        <f>IFERROR(__xludf.DUMMYFUNCTION("""COMPUTED_VALUE"""),29460.0)</f>
        <v>29460</v>
      </c>
      <c r="D994" s="1">
        <f>IFERROR(__xludf.DUMMYFUNCTION("""COMPUTED_VALUE"""),28340.0)</f>
        <v>28340</v>
      </c>
      <c r="E994" s="1">
        <f>IFERROR(__xludf.DUMMYFUNCTION("""COMPUTED_VALUE"""),28520.0)</f>
        <v>28520</v>
      </c>
      <c r="F994" s="1">
        <f>IFERROR(__xludf.DUMMYFUNCTION("""COMPUTED_VALUE"""),603853.0)</f>
        <v>603853</v>
      </c>
    </row>
    <row r="995">
      <c r="A995" s="2">
        <f>IFERROR(__xludf.DUMMYFUNCTION("""COMPUTED_VALUE"""),42018.64583333333)</f>
        <v>42018.64583</v>
      </c>
      <c r="B995" s="1">
        <f>IFERROR(__xludf.DUMMYFUNCTION("""COMPUTED_VALUE"""),28500.0)</f>
        <v>28500</v>
      </c>
      <c r="C995" s="1">
        <f>IFERROR(__xludf.DUMMYFUNCTION("""COMPUTED_VALUE"""),29100.0)</f>
        <v>29100</v>
      </c>
      <c r="D995" s="1">
        <f>IFERROR(__xludf.DUMMYFUNCTION("""COMPUTED_VALUE"""),28120.0)</f>
        <v>28120</v>
      </c>
      <c r="E995" s="1">
        <f>IFERROR(__xludf.DUMMYFUNCTION("""COMPUTED_VALUE"""),28880.0)</f>
        <v>28880</v>
      </c>
      <c r="F995" s="1">
        <f>IFERROR(__xludf.DUMMYFUNCTION("""COMPUTED_VALUE"""),469152.0)</f>
        <v>469152</v>
      </c>
    </row>
    <row r="996">
      <c r="A996" s="2">
        <f>IFERROR(__xludf.DUMMYFUNCTION("""COMPUTED_VALUE"""),42019.64583333333)</f>
        <v>42019.64583</v>
      </c>
      <c r="B996" s="1">
        <f>IFERROR(__xludf.DUMMYFUNCTION("""COMPUTED_VALUE"""),29100.0)</f>
        <v>29100</v>
      </c>
      <c r="C996" s="1">
        <f>IFERROR(__xludf.DUMMYFUNCTION("""COMPUTED_VALUE"""),30900.0)</f>
        <v>30900</v>
      </c>
      <c r="D996" s="1">
        <f>IFERROR(__xludf.DUMMYFUNCTION("""COMPUTED_VALUE"""),28920.0)</f>
        <v>28920</v>
      </c>
      <c r="E996" s="1">
        <f>IFERROR(__xludf.DUMMYFUNCTION("""COMPUTED_VALUE"""),30880.0)</f>
        <v>30880</v>
      </c>
      <c r="F996" s="1">
        <f>IFERROR(__xludf.DUMMYFUNCTION("""COMPUTED_VALUE"""),1221183.0)</f>
        <v>1221183</v>
      </c>
    </row>
    <row r="997">
      <c r="A997" s="2">
        <f>IFERROR(__xludf.DUMMYFUNCTION("""COMPUTED_VALUE"""),42020.64583333333)</f>
        <v>42020.64583</v>
      </c>
      <c r="B997" s="1">
        <f>IFERROR(__xludf.DUMMYFUNCTION("""COMPUTED_VALUE"""),30960.0)</f>
        <v>30960</v>
      </c>
      <c r="C997" s="1">
        <f>IFERROR(__xludf.DUMMYFUNCTION("""COMPUTED_VALUE"""),31380.0)</f>
        <v>31380</v>
      </c>
      <c r="D997" s="1">
        <f>IFERROR(__xludf.DUMMYFUNCTION("""COMPUTED_VALUE"""),30140.0)</f>
        <v>30140</v>
      </c>
      <c r="E997" s="1">
        <f>IFERROR(__xludf.DUMMYFUNCTION("""COMPUTED_VALUE"""),30700.0)</f>
        <v>30700</v>
      </c>
      <c r="F997" s="1">
        <f>IFERROR(__xludf.DUMMYFUNCTION("""COMPUTED_VALUE"""),828330.0)</f>
        <v>828330</v>
      </c>
    </row>
    <row r="998">
      <c r="A998" s="2">
        <f>IFERROR(__xludf.DUMMYFUNCTION("""COMPUTED_VALUE"""),42023.64583333333)</f>
        <v>42023.64583</v>
      </c>
      <c r="B998" s="1">
        <f>IFERROR(__xludf.DUMMYFUNCTION("""COMPUTED_VALUE"""),31520.0)</f>
        <v>31520</v>
      </c>
      <c r="C998" s="1">
        <f>IFERROR(__xludf.DUMMYFUNCTION("""COMPUTED_VALUE"""),31540.0)</f>
        <v>31540</v>
      </c>
      <c r="D998" s="1">
        <f>IFERROR(__xludf.DUMMYFUNCTION("""COMPUTED_VALUE"""),30400.0)</f>
        <v>30400</v>
      </c>
      <c r="E998" s="1">
        <f>IFERROR(__xludf.DUMMYFUNCTION("""COMPUTED_VALUE"""),30440.0)</f>
        <v>30440</v>
      </c>
      <c r="F998" s="1">
        <f>IFERROR(__xludf.DUMMYFUNCTION("""COMPUTED_VALUE"""),496383.0)</f>
        <v>496383</v>
      </c>
    </row>
    <row r="999">
      <c r="A999" s="2">
        <f>IFERROR(__xludf.DUMMYFUNCTION("""COMPUTED_VALUE"""),42024.64583333333)</f>
        <v>42024.64583</v>
      </c>
      <c r="B999" s="1">
        <f>IFERROR(__xludf.DUMMYFUNCTION("""COMPUTED_VALUE"""),30640.0)</f>
        <v>30640</v>
      </c>
      <c r="C999" s="1">
        <f>IFERROR(__xludf.DUMMYFUNCTION("""COMPUTED_VALUE"""),31120.0)</f>
        <v>31120</v>
      </c>
      <c r="D999" s="1">
        <f>IFERROR(__xludf.DUMMYFUNCTION("""COMPUTED_VALUE"""),30180.0)</f>
        <v>30180</v>
      </c>
      <c r="E999" s="1">
        <f>IFERROR(__xludf.DUMMYFUNCTION("""COMPUTED_VALUE"""),30840.0)</f>
        <v>30840</v>
      </c>
      <c r="F999" s="1">
        <f>IFERROR(__xludf.DUMMYFUNCTION("""COMPUTED_VALUE"""),474015.0)</f>
        <v>474015</v>
      </c>
    </row>
    <row r="1000">
      <c r="A1000" s="2">
        <f>IFERROR(__xludf.DUMMYFUNCTION("""COMPUTED_VALUE"""),42025.64583333333)</f>
        <v>42025.64583</v>
      </c>
      <c r="B1000" s="1">
        <f>IFERROR(__xludf.DUMMYFUNCTION("""COMPUTED_VALUE"""),30740.0)</f>
        <v>30740</v>
      </c>
      <c r="C1000" s="1">
        <f>IFERROR(__xludf.DUMMYFUNCTION("""COMPUTED_VALUE"""),30960.0)</f>
        <v>30960</v>
      </c>
      <c r="D1000" s="1">
        <f>IFERROR(__xludf.DUMMYFUNCTION("""COMPUTED_VALUE"""),30420.0)</f>
        <v>30420</v>
      </c>
      <c r="E1000" s="1">
        <f>IFERROR(__xludf.DUMMYFUNCTION("""COMPUTED_VALUE"""),30600.0)</f>
        <v>30600</v>
      </c>
      <c r="F1000" s="1">
        <f>IFERROR(__xludf.DUMMYFUNCTION("""COMPUTED_VALUE"""),300348.0)</f>
        <v>300348</v>
      </c>
    </row>
    <row r="1001">
      <c r="A1001" s="2">
        <f>IFERROR(__xludf.DUMMYFUNCTION("""COMPUTED_VALUE"""),42026.64583333333)</f>
        <v>42026.64583</v>
      </c>
      <c r="B1001" s="1">
        <f>IFERROR(__xludf.DUMMYFUNCTION("""COMPUTED_VALUE"""),30600.0)</f>
        <v>30600</v>
      </c>
      <c r="C1001" s="1">
        <f>IFERROR(__xludf.DUMMYFUNCTION("""COMPUTED_VALUE"""),31200.0)</f>
        <v>31200</v>
      </c>
      <c r="D1001" s="1">
        <f>IFERROR(__xludf.DUMMYFUNCTION("""COMPUTED_VALUE"""),29220.0)</f>
        <v>29220</v>
      </c>
      <c r="E1001" s="1">
        <f>IFERROR(__xludf.DUMMYFUNCTION("""COMPUTED_VALUE"""),29500.0)</f>
        <v>29500</v>
      </c>
      <c r="F1001" s="1">
        <f>IFERROR(__xludf.DUMMYFUNCTION("""COMPUTED_VALUE"""),703600.0)</f>
        <v>703600</v>
      </c>
    </row>
    <row r="1002">
      <c r="A1002" s="2">
        <f>IFERROR(__xludf.DUMMYFUNCTION("""COMPUTED_VALUE"""),42027.64583333333)</f>
        <v>42027.64583</v>
      </c>
      <c r="B1002" s="1">
        <f>IFERROR(__xludf.DUMMYFUNCTION("""COMPUTED_VALUE"""),29840.0)</f>
        <v>29840</v>
      </c>
      <c r="C1002" s="1">
        <f>IFERROR(__xludf.DUMMYFUNCTION("""COMPUTED_VALUE"""),31180.0)</f>
        <v>31180</v>
      </c>
      <c r="D1002" s="1">
        <f>IFERROR(__xludf.DUMMYFUNCTION("""COMPUTED_VALUE"""),29360.0)</f>
        <v>29360</v>
      </c>
      <c r="E1002" s="1">
        <f>IFERROR(__xludf.DUMMYFUNCTION("""COMPUTED_VALUE"""),31160.0)</f>
        <v>31160</v>
      </c>
      <c r="F1002" s="1">
        <f>IFERROR(__xludf.DUMMYFUNCTION("""COMPUTED_VALUE"""),749666.0)</f>
        <v>749666</v>
      </c>
    </row>
    <row r="1003">
      <c r="A1003" s="2">
        <f>IFERROR(__xludf.DUMMYFUNCTION("""COMPUTED_VALUE"""),42030.64583333333)</f>
        <v>42030.64583</v>
      </c>
      <c r="B1003" s="1">
        <f>IFERROR(__xludf.DUMMYFUNCTION("""COMPUTED_VALUE"""),31500.0)</f>
        <v>31500</v>
      </c>
      <c r="C1003" s="1">
        <f>IFERROR(__xludf.DUMMYFUNCTION("""COMPUTED_VALUE"""),32000.0)</f>
        <v>32000</v>
      </c>
      <c r="D1003" s="1">
        <f>IFERROR(__xludf.DUMMYFUNCTION("""COMPUTED_VALUE"""),31260.0)</f>
        <v>31260</v>
      </c>
      <c r="E1003" s="1">
        <f>IFERROR(__xludf.DUMMYFUNCTION("""COMPUTED_VALUE"""),31440.0)</f>
        <v>31440</v>
      </c>
      <c r="F1003" s="1">
        <f>IFERROR(__xludf.DUMMYFUNCTION("""COMPUTED_VALUE"""),626975.0)</f>
        <v>626975</v>
      </c>
    </row>
    <row r="1004">
      <c r="A1004" s="2">
        <f>IFERROR(__xludf.DUMMYFUNCTION("""COMPUTED_VALUE"""),42031.64583333333)</f>
        <v>42031.64583</v>
      </c>
      <c r="B1004" s="1">
        <f>IFERROR(__xludf.DUMMYFUNCTION("""COMPUTED_VALUE"""),31500.0)</f>
        <v>31500</v>
      </c>
      <c r="C1004" s="1">
        <f>IFERROR(__xludf.DUMMYFUNCTION("""COMPUTED_VALUE"""),31500.0)</f>
        <v>31500</v>
      </c>
      <c r="D1004" s="1">
        <f>IFERROR(__xludf.DUMMYFUNCTION("""COMPUTED_VALUE"""),30240.0)</f>
        <v>30240</v>
      </c>
      <c r="E1004" s="1">
        <f>IFERROR(__xludf.DUMMYFUNCTION("""COMPUTED_VALUE"""),30620.0)</f>
        <v>30620</v>
      </c>
      <c r="F1004" s="1">
        <f>IFERROR(__xludf.DUMMYFUNCTION("""COMPUTED_VALUE"""),708742.0)</f>
        <v>708742</v>
      </c>
    </row>
    <row r="1005">
      <c r="A1005" s="2">
        <f>IFERROR(__xludf.DUMMYFUNCTION("""COMPUTED_VALUE"""),42032.64583333333)</f>
        <v>42032.64583</v>
      </c>
      <c r="B1005" s="1">
        <f>IFERROR(__xludf.DUMMYFUNCTION("""COMPUTED_VALUE"""),30900.0)</f>
        <v>30900</v>
      </c>
      <c r="C1005" s="1">
        <f>IFERROR(__xludf.DUMMYFUNCTION("""COMPUTED_VALUE"""),31520.0)</f>
        <v>31520</v>
      </c>
      <c r="D1005" s="1">
        <f>IFERROR(__xludf.DUMMYFUNCTION("""COMPUTED_VALUE"""),30620.0)</f>
        <v>30620</v>
      </c>
      <c r="E1005" s="1">
        <f>IFERROR(__xludf.DUMMYFUNCTION("""COMPUTED_VALUE"""),31480.0)</f>
        <v>31480</v>
      </c>
      <c r="F1005" s="1">
        <f>IFERROR(__xludf.DUMMYFUNCTION("""COMPUTED_VALUE"""),530144.0)</f>
        <v>530144</v>
      </c>
    </row>
    <row r="1006">
      <c r="A1006" s="2">
        <f>IFERROR(__xludf.DUMMYFUNCTION("""COMPUTED_VALUE"""),42033.64583333333)</f>
        <v>42033.64583</v>
      </c>
      <c r="B1006" s="1">
        <f>IFERROR(__xludf.DUMMYFUNCTION("""COMPUTED_VALUE"""),31540.0)</f>
        <v>31540</v>
      </c>
      <c r="C1006" s="1">
        <f>IFERROR(__xludf.DUMMYFUNCTION("""COMPUTED_VALUE"""),31580.0)</f>
        <v>31580</v>
      </c>
      <c r="D1006" s="1">
        <f>IFERROR(__xludf.DUMMYFUNCTION("""COMPUTED_VALUE"""),30860.0)</f>
        <v>30860</v>
      </c>
      <c r="E1006" s="1">
        <f>IFERROR(__xludf.DUMMYFUNCTION("""COMPUTED_VALUE"""),31280.0)</f>
        <v>31280</v>
      </c>
      <c r="F1006" s="1">
        <f>IFERROR(__xludf.DUMMYFUNCTION("""COMPUTED_VALUE"""),374502.0)</f>
        <v>374502</v>
      </c>
    </row>
    <row r="1007">
      <c r="A1007" s="2">
        <f>IFERROR(__xludf.DUMMYFUNCTION("""COMPUTED_VALUE"""),42034.64583333333)</f>
        <v>42034.64583</v>
      </c>
      <c r="B1007" s="1">
        <f>IFERROR(__xludf.DUMMYFUNCTION("""COMPUTED_VALUE"""),31400.0)</f>
        <v>31400</v>
      </c>
      <c r="C1007" s="1">
        <f>IFERROR(__xludf.DUMMYFUNCTION("""COMPUTED_VALUE"""),31900.0)</f>
        <v>31900</v>
      </c>
      <c r="D1007" s="1">
        <f>IFERROR(__xludf.DUMMYFUNCTION("""COMPUTED_VALUE"""),30420.0)</f>
        <v>30420</v>
      </c>
      <c r="E1007" s="1">
        <f>IFERROR(__xludf.DUMMYFUNCTION("""COMPUTED_VALUE"""),30540.0)</f>
        <v>30540</v>
      </c>
      <c r="F1007" s="1">
        <f>IFERROR(__xludf.DUMMYFUNCTION("""COMPUTED_VALUE"""),494675.0)</f>
        <v>494675</v>
      </c>
    </row>
    <row r="1008">
      <c r="A1008" s="2">
        <f>IFERROR(__xludf.DUMMYFUNCTION("""COMPUTED_VALUE"""),42037.64583333333)</f>
        <v>42037.64583</v>
      </c>
      <c r="B1008" s="1">
        <f>IFERROR(__xludf.DUMMYFUNCTION("""COMPUTED_VALUE"""),30420.0)</f>
        <v>30420</v>
      </c>
      <c r="C1008" s="1">
        <f>IFERROR(__xludf.DUMMYFUNCTION("""COMPUTED_VALUE"""),30500.0)</f>
        <v>30500</v>
      </c>
      <c r="D1008" s="1">
        <f>IFERROR(__xludf.DUMMYFUNCTION("""COMPUTED_VALUE"""),29600.0)</f>
        <v>29600</v>
      </c>
      <c r="E1008" s="1">
        <f>IFERROR(__xludf.DUMMYFUNCTION("""COMPUTED_VALUE"""),29780.0)</f>
        <v>29780</v>
      </c>
      <c r="F1008" s="1">
        <f>IFERROR(__xludf.DUMMYFUNCTION("""COMPUTED_VALUE"""),449932.0)</f>
        <v>449932</v>
      </c>
    </row>
    <row r="1009">
      <c r="A1009" s="2">
        <f>IFERROR(__xludf.DUMMYFUNCTION("""COMPUTED_VALUE"""),42038.64583333333)</f>
        <v>42038.64583</v>
      </c>
      <c r="B1009" s="1">
        <f>IFERROR(__xludf.DUMMYFUNCTION("""COMPUTED_VALUE"""),29620.0)</f>
        <v>29620</v>
      </c>
      <c r="C1009" s="1">
        <f>IFERROR(__xludf.DUMMYFUNCTION("""COMPUTED_VALUE"""),30120.0)</f>
        <v>30120</v>
      </c>
      <c r="D1009" s="1">
        <f>IFERROR(__xludf.DUMMYFUNCTION("""COMPUTED_VALUE"""),29040.0)</f>
        <v>29040</v>
      </c>
      <c r="E1009" s="1">
        <f>IFERROR(__xludf.DUMMYFUNCTION("""COMPUTED_VALUE"""),30000.0)</f>
        <v>30000</v>
      </c>
      <c r="F1009" s="1">
        <f>IFERROR(__xludf.DUMMYFUNCTION("""COMPUTED_VALUE"""),509257.0)</f>
        <v>509257</v>
      </c>
    </row>
    <row r="1010">
      <c r="A1010" s="2">
        <f>IFERROR(__xludf.DUMMYFUNCTION("""COMPUTED_VALUE"""),42039.64583333333)</f>
        <v>42039.64583</v>
      </c>
      <c r="B1010" s="1">
        <f>IFERROR(__xludf.DUMMYFUNCTION("""COMPUTED_VALUE"""),29820.0)</f>
        <v>29820</v>
      </c>
      <c r="C1010" s="1">
        <f>IFERROR(__xludf.DUMMYFUNCTION("""COMPUTED_VALUE"""),30280.0)</f>
        <v>30280</v>
      </c>
      <c r="D1010" s="1">
        <f>IFERROR(__xludf.DUMMYFUNCTION("""COMPUTED_VALUE"""),29660.0)</f>
        <v>29660</v>
      </c>
      <c r="E1010" s="1">
        <f>IFERROR(__xludf.DUMMYFUNCTION("""COMPUTED_VALUE"""),29920.0)</f>
        <v>29920</v>
      </c>
      <c r="F1010" s="1">
        <f>IFERROR(__xludf.DUMMYFUNCTION("""COMPUTED_VALUE"""),310328.0)</f>
        <v>310328</v>
      </c>
    </row>
    <row r="1011">
      <c r="A1011" s="2">
        <f>IFERROR(__xludf.DUMMYFUNCTION("""COMPUTED_VALUE"""),42040.64583333333)</f>
        <v>42040.64583</v>
      </c>
      <c r="B1011" s="1">
        <f>IFERROR(__xludf.DUMMYFUNCTION("""COMPUTED_VALUE"""),30120.0)</f>
        <v>30120</v>
      </c>
      <c r="C1011" s="1">
        <f>IFERROR(__xludf.DUMMYFUNCTION("""COMPUTED_VALUE"""),30480.0)</f>
        <v>30480</v>
      </c>
      <c r="D1011" s="1">
        <f>IFERROR(__xludf.DUMMYFUNCTION("""COMPUTED_VALUE"""),29820.0)</f>
        <v>29820</v>
      </c>
      <c r="E1011" s="1">
        <f>IFERROR(__xludf.DUMMYFUNCTION("""COMPUTED_VALUE"""),29960.0)</f>
        <v>29960</v>
      </c>
      <c r="F1011" s="1">
        <f>IFERROR(__xludf.DUMMYFUNCTION("""COMPUTED_VALUE"""),270901.0)</f>
        <v>270901</v>
      </c>
    </row>
    <row r="1012">
      <c r="A1012" s="2">
        <f>IFERROR(__xludf.DUMMYFUNCTION("""COMPUTED_VALUE"""),42041.64583333333)</f>
        <v>42041.64583</v>
      </c>
      <c r="B1012" s="1">
        <f>IFERROR(__xludf.DUMMYFUNCTION("""COMPUTED_VALUE"""),30100.0)</f>
        <v>30100</v>
      </c>
      <c r="C1012" s="1">
        <f>IFERROR(__xludf.DUMMYFUNCTION("""COMPUTED_VALUE"""),30240.0)</f>
        <v>30240</v>
      </c>
      <c r="D1012" s="1">
        <f>IFERROR(__xludf.DUMMYFUNCTION("""COMPUTED_VALUE"""),28980.0)</f>
        <v>28980</v>
      </c>
      <c r="E1012" s="1">
        <f>IFERROR(__xludf.DUMMYFUNCTION("""COMPUTED_VALUE"""),29140.0)</f>
        <v>29140</v>
      </c>
      <c r="F1012" s="1">
        <f>IFERROR(__xludf.DUMMYFUNCTION("""COMPUTED_VALUE"""),438459.0)</f>
        <v>438459</v>
      </c>
    </row>
    <row r="1013">
      <c r="A1013" s="2">
        <f>IFERROR(__xludf.DUMMYFUNCTION("""COMPUTED_VALUE"""),42044.64583333333)</f>
        <v>42044.64583</v>
      </c>
      <c r="B1013" s="1">
        <f>IFERROR(__xludf.DUMMYFUNCTION("""COMPUTED_VALUE"""),29000.0)</f>
        <v>29000</v>
      </c>
      <c r="C1013" s="1">
        <f>IFERROR(__xludf.DUMMYFUNCTION("""COMPUTED_VALUE"""),29380.0)</f>
        <v>29380</v>
      </c>
      <c r="D1013" s="1">
        <f>IFERROR(__xludf.DUMMYFUNCTION("""COMPUTED_VALUE"""),27620.0)</f>
        <v>27620</v>
      </c>
      <c r="E1013" s="1">
        <f>IFERROR(__xludf.DUMMYFUNCTION("""COMPUTED_VALUE"""),27880.0)</f>
        <v>27880</v>
      </c>
      <c r="F1013" s="1">
        <f>IFERROR(__xludf.DUMMYFUNCTION("""COMPUTED_VALUE"""),706608.0)</f>
        <v>706608</v>
      </c>
    </row>
    <row r="1014">
      <c r="A1014" s="2">
        <f>IFERROR(__xludf.DUMMYFUNCTION("""COMPUTED_VALUE"""),42045.64583333333)</f>
        <v>42045.64583</v>
      </c>
      <c r="B1014" s="1">
        <f>IFERROR(__xludf.DUMMYFUNCTION("""COMPUTED_VALUE"""),27460.0)</f>
        <v>27460</v>
      </c>
      <c r="C1014" s="1">
        <f>IFERROR(__xludf.DUMMYFUNCTION("""COMPUTED_VALUE"""),28980.0)</f>
        <v>28980</v>
      </c>
      <c r="D1014" s="1">
        <f>IFERROR(__xludf.DUMMYFUNCTION("""COMPUTED_VALUE"""),26900.0)</f>
        <v>26900</v>
      </c>
      <c r="E1014" s="1">
        <f>IFERROR(__xludf.DUMMYFUNCTION("""COMPUTED_VALUE"""),28100.0)</f>
        <v>28100</v>
      </c>
      <c r="F1014" s="1">
        <f>IFERROR(__xludf.DUMMYFUNCTION("""COMPUTED_VALUE"""),935782.0)</f>
        <v>935782</v>
      </c>
    </row>
    <row r="1015">
      <c r="A1015" s="2">
        <f>IFERROR(__xludf.DUMMYFUNCTION("""COMPUTED_VALUE"""),42046.64583333333)</f>
        <v>42046.64583</v>
      </c>
      <c r="B1015" s="1">
        <f>IFERROR(__xludf.DUMMYFUNCTION("""COMPUTED_VALUE"""),28100.0)</f>
        <v>28100</v>
      </c>
      <c r="C1015" s="1">
        <f>IFERROR(__xludf.DUMMYFUNCTION("""COMPUTED_VALUE"""),29780.0)</f>
        <v>29780</v>
      </c>
      <c r="D1015" s="1">
        <f>IFERROR(__xludf.DUMMYFUNCTION("""COMPUTED_VALUE"""),28100.0)</f>
        <v>28100</v>
      </c>
      <c r="E1015" s="1">
        <f>IFERROR(__xludf.DUMMYFUNCTION("""COMPUTED_VALUE"""),29520.0)</f>
        <v>29520</v>
      </c>
      <c r="F1015" s="1">
        <f>IFERROR(__xludf.DUMMYFUNCTION("""COMPUTED_VALUE"""),575456.0)</f>
        <v>575456</v>
      </c>
    </row>
    <row r="1016">
      <c r="A1016" s="2">
        <f>IFERROR(__xludf.DUMMYFUNCTION("""COMPUTED_VALUE"""),42047.64583333333)</f>
        <v>42047.64583</v>
      </c>
      <c r="B1016" s="1">
        <f>IFERROR(__xludf.DUMMYFUNCTION("""COMPUTED_VALUE"""),30180.0)</f>
        <v>30180</v>
      </c>
      <c r="C1016" s="1">
        <f>IFERROR(__xludf.DUMMYFUNCTION("""COMPUTED_VALUE"""),30460.0)</f>
        <v>30460</v>
      </c>
      <c r="D1016" s="1">
        <f>IFERROR(__xludf.DUMMYFUNCTION("""COMPUTED_VALUE"""),28420.0)</f>
        <v>28420</v>
      </c>
      <c r="E1016" s="1">
        <f>IFERROR(__xludf.DUMMYFUNCTION("""COMPUTED_VALUE"""),29040.0)</f>
        <v>29040</v>
      </c>
      <c r="F1016" s="1">
        <f>IFERROR(__xludf.DUMMYFUNCTION("""COMPUTED_VALUE"""),887567.0)</f>
        <v>887567</v>
      </c>
    </row>
    <row r="1017">
      <c r="A1017" s="2">
        <f>IFERROR(__xludf.DUMMYFUNCTION("""COMPUTED_VALUE"""),42048.64583333333)</f>
        <v>42048.64583</v>
      </c>
      <c r="B1017" s="1">
        <f>IFERROR(__xludf.DUMMYFUNCTION("""COMPUTED_VALUE"""),29120.0)</f>
        <v>29120</v>
      </c>
      <c r="C1017" s="1">
        <f>IFERROR(__xludf.DUMMYFUNCTION("""COMPUTED_VALUE"""),29120.0)</f>
        <v>29120</v>
      </c>
      <c r="D1017" s="1">
        <f>IFERROR(__xludf.DUMMYFUNCTION("""COMPUTED_VALUE"""),28160.0)</f>
        <v>28160</v>
      </c>
      <c r="E1017" s="1">
        <f>IFERROR(__xludf.DUMMYFUNCTION("""COMPUTED_VALUE"""),28240.0)</f>
        <v>28240</v>
      </c>
      <c r="F1017" s="1">
        <f>IFERROR(__xludf.DUMMYFUNCTION("""COMPUTED_VALUE"""),558675.0)</f>
        <v>558675</v>
      </c>
    </row>
    <row r="1018">
      <c r="A1018" s="2">
        <f>IFERROR(__xludf.DUMMYFUNCTION("""COMPUTED_VALUE"""),42051.64583333333)</f>
        <v>42051.64583</v>
      </c>
      <c r="B1018" s="1">
        <f>IFERROR(__xludf.DUMMYFUNCTION("""COMPUTED_VALUE"""),28000.0)</f>
        <v>28000</v>
      </c>
      <c r="C1018" s="1">
        <f>IFERROR(__xludf.DUMMYFUNCTION("""COMPUTED_VALUE"""),28320.0)</f>
        <v>28320</v>
      </c>
      <c r="D1018" s="1">
        <f>IFERROR(__xludf.DUMMYFUNCTION("""COMPUTED_VALUE"""),27720.0)</f>
        <v>27720</v>
      </c>
      <c r="E1018" s="1">
        <f>IFERROR(__xludf.DUMMYFUNCTION("""COMPUTED_VALUE"""),27960.0)</f>
        <v>27960</v>
      </c>
      <c r="F1018" s="1">
        <f>IFERROR(__xludf.DUMMYFUNCTION("""COMPUTED_VALUE"""),294518.0)</f>
        <v>294518</v>
      </c>
    </row>
    <row r="1019">
      <c r="A1019" s="2">
        <f>IFERROR(__xludf.DUMMYFUNCTION("""COMPUTED_VALUE"""),42052.64583333333)</f>
        <v>42052.64583</v>
      </c>
      <c r="B1019" s="1">
        <f>IFERROR(__xludf.DUMMYFUNCTION("""COMPUTED_VALUE"""),27580.0)</f>
        <v>27580</v>
      </c>
      <c r="C1019" s="1">
        <f>IFERROR(__xludf.DUMMYFUNCTION("""COMPUTED_VALUE"""),28280.0)</f>
        <v>28280</v>
      </c>
      <c r="D1019" s="1">
        <f>IFERROR(__xludf.DUMMYFUNCTION("""COMPUTED_VALUE"""),27560.0)</f>
        <v>27560</v>
      </c>
      <c r="E1019" s="1">
        <f>IFERROR(__xludf.DUMMYFUNCTION("""COMPUTED_VALUE"""),27860.0)</f>
        <v>27860</v>
      </c>
      <c r="F1019" s="1">
        <f>IFERROR(__xludf.DUMMYFUNCTION("""COMPUTED_VALUE"""),270608.0)</f>
        <v>270608</v>
      </c>
    </row>
    <row r="1020">
      <c r="A1020" s="2">
        <f>IFERROR(__xludf.DUMMYFUNCTION("""COMPUTED_VALUE"""),42058.64583333333)</f>
        <v>42058.64583</v>
      </c>
      <c r="B1020" s="1">
        <f>IFERROR(__xludf.DUMMYFUNCTION("""COMPUTED_VALUE"""),27860.0)</f>
        <v>27860</v>
      </c>
      <c r="C1020" s="1">
        <f>IFERROR(__xludf.DUMMYFUNCTION("""COMPUTED_VALUE"""),28060.0)</f>
        <v>28060</v>
      </c>
      <c r="D1020" s="1">
        <f>IFERROR(__xludf.DUMMYFUNCTION("""COMPUTED_VALUE"""),27040.0)</f>
        <v>27040</v>
      </c>
      <c r="E1020" s="1">
        <f>IFERROR(__xludf.DUMMYFUNCTION("""COMPUTED_VALUE"""),27120.0)</f>
        <v>27120</v>
      </c>
      <c r="F1020" s="1">
        <f>IFERROR(__xludf.DUMMYFUNCTION("""COMPUTED_VALUE"""),458848.0)</f>
        <v>458848</v>
      </c>
    </row>
    <row r="1021">
      <c r="A1021" s="2">
        <f>IFERROR(__xludf.DUMMYFUNCTION("""COMPUTED_VALUE"""),42059.64583333333)</f>
        <v>42059.64583</v>
      </c>
      <c r="B1021" s="1">
        <f>IFERROR(__xludf.DUMMYFUNCTION("""COMPUTED_VALUE"""),27020.0)</f>
        <v>27020</v>
      </c>
      <c r="C1021" s="1">
        <f>IFERROR(__xludf.DUMMYFUNCTION("""COMPUTED_VALUE"""),27760.0)</f>
        <v>27760</v>
      </c>
      <c r="D1021" s="1">
        <f>IFERROR(__xludf.DUMMYFUNCTION("""COMPUTED_VALUE"""),26600.0)</f>
        <v>26600</v>
      </c>
      <c r="E1021" s="1">
        <f>IFERROR(__xludf.DUMMYFUNCTION("""COMPUTED_VALUE"""),27140.0)</f>
        <v>27140</v>
      </c>
      <c r="F1021" s="1">
        <f>IFERROR(__xludf.DUMMYFUNCTION("""COMPUTED_VALUE"""),422043.0)</f>
        <v>422043</v>
      </c>
    </row>
    <row r="1022">
      <c r="A1022" s="2">
        <f>IFERROR(__xludf.DUMMYFUNCTION("""COMPUTED_VALUE"""),42060.64583333333)</f>
        <v>42060.64583</v>
      </c>
      <c r="B1022" s="1">
        <f>IFERROR(__xludf.DUMMYFUNCTION("""COMPUTED_VALUE"""),27380.0)</f>
        <v>27380</v>
      </c>
      <c r="C1022" s="1">
        <f>IFERROR(__xludf.DUMMYFUNCTION("""COMPUTED_VALUE"""),27720.0)</f>
        <v>27720</v>
      </c>
      <c r="D1022" s="1">
        <f>IFERROR(__xludf.DUMMYFUNCTION("""COMPUTED_VALUE"""),26980.0)</f>
        <v>26980</v>
      </c>
      <c r="E1022" s="1">
        <f>IFERROR(__xludf.DUMMYFUNCTION("""COMPUTED_VALUE"""),26980.0)</f>
        <v>26980</v>
      </c>
      <c r="F1022" s="1">
        <f>IFERROR(__xludf.DUMMYFUNCTION("""COMPUTED_VALUE"""),353365.0)</f>
        <v>353365</v>
      </c>
    </row>
    <row r="1023">
      <c r="A1023" s="2">
        <f>IFERROR(__xludf.DUMMYFUNCTION("""COMPUTED_VALUE"""),42061.64583333333)</f>
        <v>42061.64583</v>
      </c>
      <c r="B1023" s="1">
        <f>IFERROR(__xludf.DUMMYFUNCTION("""COMPUTED_VALUE"""),27080.0)</f>
        <v>27080</v>
      </c>
      <c r="C1023" s="1">
        <f>IFERROR(__xludf.DUMMYFUNCTION("""COMPUTED_VALUE"""),27220.0)</f>
        <v>27220</v>
      </c>
      <c r="D1023" s="1">
        <f>IFERROR(__xludf.DUMMYFUNCTION("""COMPUTED_VALUE"""),26040.0)</f>
        <v>26040</v>
      </c>
      <c r="E1023" s="1">
        <f>IFERROR(__xludf.DUMMYFUNCTION("""COMPUTED_VALUE"""),26160.0)</f>
        <v>26160</v>
      </c>
      <c r="F1023" s="1">
        <f>IFERROR(__xludf.DUMMYFUNCTION("""COMPUTED_VALUE"""),654450.0)</f>
        <v>654450</v>
      </c>
    </row>
    <row r="1024">
      <c r="A1024" s="2">
        <f>IFERROR(__xludf.DUMMYFUNCTION("""COMPUTED_VALUE"""),42062.64583333333)</f>
        <v>42062.64583</v>
      </c>
      <c r="B1024" s="1">
        <f>IFERROR(__xludf.DUMMYFUNCTION("""COMPUTED_VALUE"""),26300.0)</f>
        <v>26300</v>
      </c>
      <c r="C1024" s="1">
        <f>IFERROR(__xludf.DUMMYFUNCTION("""COMPUTED_VALUE"""),26620.0)</f>
        <v>26620</v>
      </c>
      <c r="D1024" s="1">
        <f>IFERROR(__xludf.DUMMYFUNCTION("""COMPUTED_VALUE"""),26220.0)</f>
        <v>26220</v>
      </c>
      <c r="E1024" s="1">
        <f>IFERROR(__xludf.DUMMYFUNCTION("""COMPUTED_VALUE"""),26620.0)</f>
        <v>26620</v>
      </c>
      <c r="F1024" s="1">
        <f>IFERROR(__xludf.DUMMYFUNCTION("""COMPUTED_VALUE"""),417727.0)</f>
        <v>417727</v>
      </c>
    </row>
    <row r="1025">
      <c r="A1025" s="2">
        <f>IFERROR(__xludf.DUMMYFUNCTION("""COMPUTED_VALUE"""),42065.64583333333)</f>
        <v>42065.64583</v>
      </c>
      <c r="B1025" s="1">
        <f>IFERROR(__xludf.DUMMYFUNCTION("""COMPUTED_VALUE"""),26660.0)</f>
        <v>26660</v>
      </c>
      <c r="C1025" s="1">
        <f>IFERROR(__xludf.DUMMYFUNCTION("""COMPUTED_VALUE"""),26800.0)</f>
        <v>26800</v>
      </c>
      <c r="D1025" s="1">
        <f>IFERROR(__xludf.DUMMYFUNCTION("""COMPUTED_VALUE"""),25620.0)</f>
        <v>25620</v>
      </c>
      <c r="E1025" s="1">
        <f>IFERROR(__xludf.DUMMYFUNCTION("""COMPUTED_VALUE"""),25640.0)</f>
        <v>25640</v>
      </c>
      <c r="F1025" s="1">
        <f>IFERROR(__xludf.DUMMYFUNCTION("""COMPUTED_VALUE"""),604321.0)</f>
        <v>604321</v>
      </c>
    </row>
    <row r="1026">
      <c r="A1026" s="2">
        <f>IFERROR(__xludf.DUMMYFUNCTION("""COMPUTED_VALUE"""),42066.64583333333)</f>
        <v>42066.64583</v>
      </c>
      <c r="B1026" s="1">
        <f>IFERROR(__xludf.DUMMYFUNCTION("""COMPUTED_VALUE"""),25780.0)</f>
        <v>25780</v>
      </c>
      <c r="C1026" s="1">
        <f>IFERROR(__xludf.DUMMYFUNCTION("""COMPUTED_VALUE"""),26080.0)</f>
        <v>26080</v>
      </c>
      <c r="D1026" s="1">
        <f>IFERROR(__xludf.DUMMYFUNCTION("""COMPUTED_VALUE"""),25680.0)</f>
        <v>25680</v>
      </c>
      <c r="E1026" s="1">
        <f>IFERROR(__xludf.DUMMYFUNCTION("""COMPUTED_VALUE"""),25900.0)</f>
        <v>25900</v>
      </c>
      <c r="F1026" s="1">
        <f>IFERROR(__xludf.DUMMYFUNCTION("""COMPUTED_VALUE"""),280515.0)</f>
        <v>280515</v>
      </c>
    </row>
    <row r="1027">
      <c r="A1027" s="2">
        <f>IFERROR(__xludf.DUMMYFUNCTION("""COMPUTED_VALUE"""),42067.64583333333)</f>
        <v>42067.64583</v>
      </c>
      <c r="B1027" s="1">
        <f>IFERROR(__xludf.DUMMYFUNCTION("""COMPUTED_VALUE"""),25840.0)</f>
        <v>25840</v>
      </c>
      <c r="C1027" s="1">
        <f>IFERROR(__xludf.DUMMYFUNCTION("""COMPUTED_VALUE"""),27080.0)</f>
        <v>27080</v>
      </c>
      <c r="D1027" s="1">
        <f>IFERROR(__xludf.DUMMYFUNCTION("""COMPUTED_VALUE"""),25720.0)</f>
        <v>25720</v>
      </c>
      <c r="E1027" s="1">
        <f>IFERROR(__xludf.DUMMYFUNCTION("""COMPUTED_VALUE"""),26560.0)</f>
        <v>26560</v>
      </c>
      <c r="F1027" s="1">
        <f>IFERROR(__xludf.DUMMYFUNCTION("""COMPUTED_VALUE"""),666853.0)</f>
        <v>666853</v>
      </c>
    </row>
    <row r="1028">
      <c r="A1028" s="2">
        <f>IFERROR(__xludf.DUMMYFUNCTION("""COMPUTED_VALUE"""),42068.64583333333)</f>
        <v>42068.64583</v>
      </c>
      <c r="B1028" s="1">
        <f>IFERROR(__xludf.DUMMYFUNCTION("""COMPUTED_VALUE"""),26560.0)</f>
        <v>26560</v>
      </c>
      <c r="C1028" s="1">
        <f>IFERROR(__xludf.DUMMYFUNCTION("""COMPUTED_VALUE"""),26960.0)</f>
        <v>26960</v>
      </c>
      <c r="D1028" s="1">
        <f>IFERROR(__xludf.DUMMYFUNCTION("""COMPUTED_VALUE"""),26280.0)</f>
        <v>26280</v>
      </c>
      <c r="E1028" s="1">
        <f>IFERROR(__xludf.DUMMYFUNCTION("""COMPUTED_VALUE"""),26400.0)</f>
        <v>26400</v>
      </c>
      <c r="F1028" s="1">
        <f>IFERROR(__xludf.DUMMYFUNCTION("""COMPUTED_VALUE"""),341358.0)</f>
        <v>341358</v>
      </c>
    </row>
    <row r="1029">
      <c r="A1029" s="2">
        <f>IFERROR(__xludf.DUMMYFUNCTION("""COMPUTED_VALUE"""),42069.64583333333)</f>
        <v>42069.64583</v>
      </c>
      <c r="B1029" s="1">
        <f>IFERROR(__xludf.DUMMYFUNCTION("""COMPUTED_VALUE"""),26400.0)</f>
        <v>26400</v>
      </c>
      <c r="C1029" s="1">
        <f>IFERROR(__xludf.DUMMYFUNCTION("""COMPUTED_VALUE"""),26680.0)</f>
        <v>26680</v>
      </c>
      <c r="D1029" s="1">
        <f>IFERROR(__xludf.DUMMYFUNCTION("""COMPUTED_VALUE"""),25940.0)</f>
        <v>25940</v>
      </c>
      <c r="E1029" s="1">
        <f>IFERROR(__xludf.DUMMYFUNCTION("""COMPUTED_VALUE"""),26180.0)</f>
        <v>26180</v>
      </c>
      <c r="F1029" s="1">
        <f>IFERROR(__xludf.DUMMYFUNCTION("""COMPUTED_VALUE"""),363587.0)</f>
        <v>363587</v>
      </c>
    </row>
    <row r="1030">
      <c r="A1030" s="2">
        <f>IFERROR(__xludf.DUMMYFUNCTION("""COMPUTED_VALUE"""),42072.64583333333)</f>
        <v>42072.64583</v>
      </c>
      <c r="B1030" s="1">
        <f>IFERROR(__xludf.DUMMYFUNCTION("""COMPUTED_VALUE"""),26400.0)</f>
        <v>26400</v>
      </c>
      <c r="C1030" s="1">
        <f>IFERROR(__xludf.DUMMYFUNCTION("""COMPUTED_VALUE"""),26500.0)</f>
        <v>26500</v>
      </c>
      <c r="D1030" s="1">
        <f>IFERROR(__xludf.DUMMYFUNCTION("""COMPUTED_VALUE"""),25720.0)</f>
        <v>25720</v>
      </c>
      <c r="E1030" s="1">
        <f>IFERROR(__xludf.DUMMYFUNCTION("""COMPUTED_VALUE"""),25760.0)</f>
        <v>25760</v>
      </c>
      <c r="F1030" s="1">
        <f>IFERROR(__xludf.DUMMYFUNCTION("""COMPUTED_VALUE"""),352289.0)</f>
        <v>352289</v>
      </c>
    </row>
    <row r="1031">
      <c r="A1031" s="2">
        <f>IFERROR(__xludf.DUMMYFUNCTION("""COMPUTED_VALUE"""),42073.64583333333)</f>
        <v>42073.64583</v>
      </c>
      <c r="B1031" s="1">
        <f>IFERROR(__xludf.DUMMYFUNCTION("""COMPUTED_VALUE"""),26060.0)</f>
        <v>26060</v>
      </c>
      <c r="C1031" s="1">
        <f>IFERROR(__xludf.DUMMYFUNCTION("""COMPUTED_VALUE"""),26140.0)</f>
        <v>26140</v>
      </c>
      <c r="D1031" s="1">
        <f>IFERROR(__xludf.DUMMYFUNCTION("""COMPUTED_VALUE"""),24920.0)</f>
        <v>24920</v>
      </c>
      <c r="E1031" s="1">
        <f>IFERROR(__xludf.DUMMYFUNCTION("""COMPUTED_VALUE"""),25040.0)</f>
        <v>25040</v>
      </c>
      <c r="F1031" s="1">
        <f>IFERROR(__xludf.DUMMYFUNCTION("""COMPUTED_VALUE"""),497432.0)</f>
        <v>497432</v>
      </c>
    </row>
    <row r="1032">
      <c r="A1032" s="2">
        <f>IFERROR(__xludf.DUMMYFUNCTION("""COMPUTED_VALUE"""),42074.64583333333)</f>
        <v>42074.64583</v>
      </c>
      <c r="B1032" s="1">
        <f>IFERROR(__xludf.DUMMYFUNCTION("""COMPUTED_VALUE"""),24620.0)</f>
        <v>24620</v>
      </c>
      <c r="C1032" s="1">
        <f>IFERROR(__xludf.DUMMYFUNCTION("""COMPUTED_VALUE"""),25040.0)</f>
        <v>25040</v>
      </c>
      <c r="D1032" s="1">
        <f>IFERROR(__xludf.DUMMYFUNCTION("""COMPUTED_VALUE"""),24200.0)</f>
        <v>24200</v>
      </c>
      <c r="E1032" s="1">
        <f>IFERROR(__xludf.DUMMYFUNCTION("""COMPUTED_VALUE"""),24240.0)</f>
        <v>24240</v>
      </c>
      <c r="F1032" s="1">
        <f>IFERROR(__xludf.DUMMYFUNCTION("""COMPUTED_VALUE"""),636029.0)</f>
        <v>636029</v>
      </c>
    </row>
    <row r="1033">
      <c r="A1033" s="2">
        <f>IFERROR(__xludf.DUMMYFUNCTION("""COMPUTED_VALUE"""),42075.64583333333)</f>
        <v>42075.64583</v>
      </c>
      <c r="B1033" s="1">
        <f>IFERROR(__xludf.DUMMYFUNCTION("""COMPUTED_VALUE"""),24240.0)</f>
        <v>24240</v>
      </c>
      <c r="C1033" s="1">
        <f>IFERROR(__xludf.DUMMYFUNCTION("""COMPUTED_VALUE"""),24960.0)</f>
        <v>24960</v>
      </c>
      <c r="D1033" s="1">
        <f>IFERROR(__xludf.DUMMYFUNCTION("""COMPUTED_VALUE"""),24240.0)</f>
        <v>24240</v>
      </c>
      <c r="E1033" s="1">
        <f>IFERROR(__xludf.DUMMYFUNCTION("""COMPUTED_VALUE"""),24700.0)</f>
        <v>24700</v>
      </c>
      <c r="F1033" s="1">
        <f>IFERROR(__xludf.DUMMYFUNCTION("""COMPUTED_VALUE"""),341703.0)</f>
        <v>341703</v>
      </c>
    </row>
    <row r="1034">
      <c r="A1034" s="2">
        <f>IFERROR(__xludf.DUMMYFUNCTION("""COMPUTED_VALUE"""),42076.64583333333)</f>
        <v>42076.64583</v>
      </c>
      <c r="B1034" s="1">
        <f>IFERROR(__xludf.DUMMYFUNCTION("""COMPUTED_VALUE"""),24480.0)</f>
        <v>24480</v>
      </c>
      <c r="C1034" s="1">
        <f>IFERROR(__xludf.DUMMYFUNCTION("""COMPUTED_VALUE"""),24860.0)</f>
        <v>24860</v>
      </c>
      <c r="D1034" s="1">
        <f>IFERROR(__xludf.DUMMYFUNCTION("""COMPUTED_VALUE"""),24060.0)</f>
        <v>24060</v>
      </c>
      <c r="E1034" s="1">
        <f>IFERROR(__xludf.DUMMYFUNCTION("""COMPUTED_VALUE"""),24180.0)</f>
        <v>24180</v>
      </c>
      <c r="F1034" s="1">
        <f>IFERROR(__xludf.DUMMYFUNCTION("""COMPUTED_VALUE"""),581674.0)</f>
        <v>581674</v>
      </c>
    </row>
    <row r="1035">
      <c r="A1035" s="2">
        <f>IFERROR(__xludf.DUMMYFUNCTION("""COMPUTED_VALUE"""),42079.64583333333)</f>
        <v>42079.64583</v>
      </c>
      <c r="B1035" s="1">
        <f>IFERROR(__xludf.DUMMYFUNCTION("""COMPUTED_VALUE"""),24180.0)</f>
        <v>24180</v>
      </c>
      <c r="C1035" s="1">
        <f>IFERROR(__xludf.DUMMYFUNCTION("""COMPUTED_VALUE"""),24380.0)</f>
        <v>24380</v>
      </c>
      <c r="D1035" s="1">
        <f>IFERROR(__xludf.DUMMYFUNCTION("""COMPUTED_VALUE"""),23500.0)</f>
        <v>23500</v>
      </c>
      <c r="E1035" s="1">
        <f>IFERROR(__xludf.DUMMYFUNCTION("""COMPUTED_VALUE"""),23800.0)</f>
        <v>23800</v>
      </c>
      <c r="F1035" s="1">
        <f>IFERROR(__xludf.DUMMYFUNCTION("""COMPUTED_VALUE"""),846458.0)</f>
        <v>846458</v>
      </c>
    </row>
    <row r="1036">
      <c r="A1036" s="2">
        <f>IFERROR(__xludf.DUMMYFUNCTION("""COMPUTED_VALUE"""),42080.64583333333)</f>
        <v>42080.64583</v>
      </c>
      <c r="B1036" s="1">
        <f>IFERROR(__xludf.DUMMYFUNCTION("""COMPUTED_VALUE"""),23800.0)</f>
        <v>23800</v>
      </c>
      <c r="C1036" s="1">
        <f>IFERROR(__xludf.DUMMYFUNCTION("""COMPUTED_VALUE"""),24200.0)</f>
        <v>24200</v>
      </c>
      <c r="D1036" s="1">
        <f>IFERROR(__xludf.DUMMYFUNCTION("""COMPUTED_VALUE"""),23560.0)</f>
        <v>23560</v>
      </c>
      <c r="E1036" s="1">
        <f>IFERROR(__xludf.DUMMYFUNCTION("""COMPUTED_VALUE"""),23720.0)</f>
        <v>23720</v>
      </c>
      <c r="F1036" s="1">
        <f>IFERROR(__xludf.DUMMYFUNCTION("""COMPUTED_VALUE"""),600567.0)</f>
        <v>600567</v>
      </c>
    </row>
    <row r="1037">
      <c r="A1037" s="2">
        <f>IFERROR(__xludf.DUMMYFUNCTION("""COMPUTED_VALUE"""),42081.64583333333)</f>
        <v>42081.64583</v>
      </c>
      <c r="B1037" s="1">
        <f>IFERROR(__xludf.DUMMYFUNCTION("""COMPUTED_VALUE"""),23520.0)</f>
        <v>23520</v>
      </c>
      <c r="C1037" s="1">
        <f>IFERROR(__xludf.DUMMYFUNCTION("""COMPUTED_VALUE"""),24060.0)</f>
        <v>24060</v>
      </c>
      <c r="D1037" s="1">
        <f>IFERROR(__xludf.DUMMYFUNCTION("""COMPUTED_VALUE"""),22420.0)</f>
        <v>22420</v>
      </c>
      <c r="E1037" s="1">
        <f>IFERROR(__xludf.DUMMYFUNCTION("""COMPUTED_VALUE"""),22500.0)</f>
        <v>22500</v>
      </c>
      <c r="F1037" s="1">
        <f>IFERROR(__xludf.DUMMYFUNCTION("""COMPUTED_VALUE"""),1463866.0)</f>
        <v>1463866</v>
      </c>
    </row>
    <row r="1038">
      <c r="A1038" s="2">
        <f>IFERROR(__xludf.DUMMYFUNCTION("""COMPUTED_VALUE"""),42082.64583333333)</f>
        <v>42082.64583</v>
      </c>
      <c r="B1038" s="1">
        <f>IFERROR(__xludf.DUMMYFUNCTION("""COMPUTED_VALUE"""),22540.0)</f>
        <v>22540</v>
      </c>
      <c r="C1038" s="1">
        <f>IFERROR(__xludf.DUMMYFUNCTION("""COMPUTED_VALUE"""),22860.0)</f>
        <v>22860</v>
      </c>
      <c r="D1038" s="1">
        <f>IFERROR(__xludf.DUMMYFUNCTION("""COMPUTED_VALUE"""),21340.0)</f>
        <v>21340</v>
      </c>
      <c r="E1038" s="1">
        <f>IFERROR(__xludf.DUMMYFUNCTION("""COMPUTED_VALUE"""),22720.0)</f>
        <v>22720</v>
      </c>
      <c r="F1038" s="1">
        <f>IFERROR(__xludf.DUMMYFUNCTION("""COMPUTED_VALUE"""),2074193.0)</f>
        <v>2074193</v>
      </c>
    </row>
    <row r="1039">
      <c r="A1039" s="2">
        <f>IFERROR(__xludf.DUMMYFUNCTION("""COMPUTED_VALUE"""),42083.64583333333)</f>
        <v>42083.64583</v>
      </c>
      <c r="B1039" s="1">
        <f>IFERROR(__xludf.DUMMYFUNCTION("""COMPUTED_VALUE"""),22860.0)</f>
        <v>22860</v>
      </c>
      <c r="C1039" s="1">
        <f>IFERROR(__xludf.DUMMYFUNCTION("""COMPUTED_VALUE"""),24200.0)</f>
        <v>24200</v>
      </c>
      <c r="D1039" s="1">
        <f>IFERROR(__xludf.DUMMYFUNCTION("""COMPUTED_VALUE"""),22720.0)</f>
        <v>22720</v>
      </c>
      <c r="E1039" s="1">
        <f>IFERROR(__xludf.DUMMYFUNCTION("""COMPUTED_VALUE"""),24200.0)</f>
        <v>24200</v>
      </c>
      <c r="F1039" s="1">
        <f>IFERROR(__xludf.DUMMYFUNCTION("""COMPUTED_VALUE"""),1859217.0)</f>
        <v>1859217</v>
      </c>
    </row>
    <row r="1040">
      <c r="A1040" s="2">
        <f>IFERROR(__xludf.DUMMYFUNCTION("""COMPUTED_VALUE"""),42086.64583333333)</f>
        <v>42086.64583</v>
      </c>
      <c r="B1040" s="1">
        <f>IFERROR(__xludf.DUMMYFUNCTION("""COMPUTED_VALUE"""),24640.0)</f>
        <v>24640</v>
      </c>
      <c r="C1040" s="1">
        <f>IFERROR(__xludf.DUMMYFUNCTION("""COMPUTED_VALUE"""),24980.0)</f>
        <v>24980</v>
      </c>
      <c r="D1040" s="1">
        <f>IFERROR(__xludf.DUMMYFUNCTION("""COMPUTED_VALUE"""),24080.0)</f>
        <v>24080</v>
      </c>
      <c r="E1040" s="1">
        <f>IFERROR(__xludf.DUMMYFUNCTION("""COMPUTED_VALUE"""),24140.0)</f>
        <v>24140</v>
      </c>
      <c r="F1040" s="1">
        <f>IFERROR(__xludf.DUMMYFUNCTION("""COMPUTED_VALUE"""),1252810.0)</f>
        <v>1252810</v>
      </c>
    </row>
    <row r="1041">
      <c r="A1041" s="2">
        <f>IFERROR(__xludf.DUMMYFUNCTION("""COMPUTED_VALUE"""),42087.64583333333)</f>
        <v>42087.64583</v>
      </c>
      <c r="B1041" s="1">
        <f>IFERROR(__xludf.DUMMYFUNCTION("""COMPUTED_VALUE"""),24200.0)</f>
        <v>24200</v>
      </c>
      <c r="C1041" s="1">
        <f>IFERROR(__xludf.DUMMYFUNCTION("""COMPUTED_VALUE"""),24200.0)</f>
        <v>24200</v>
      </c>
      <c r="D1041" s="1">
        <f>IFERROR(__xludf.DUMMYFUNCTION("""COMPUTED_VALUE"""),23100.0)</f>
        <v>23100</v>
      </c>
      <c r="E1041" s="1">
        <f>IFERROR(__xludf.DUMMYFUNCTION("""COMPUTED_VALUE"""),23100.0)</f>
        <v>23100</v>
      </c>
      <c r="F1041" s="1">
        <f>IFERROR(__xludf.DUMMYFUNCTION("""COMPUTED_VALUE"""),955731.0)</f>
        <v>955731</v>
      </c>
    </row>
    <row r="1042">
      <c r="A1042" s="2">
        <f>IFERROR(__xludf.DUMMYFUNCTION("""COMPUTED_VALUE"""),42088.64583333333)</f>
        <v>42088.64583</v>
      </c>
      <c r="B1042" s="1">
        <f>IFERROR(__xludf.DUMMYFUNCTION("""COMPUTED_VALUE"""),23100.0)</f>
        <v>23100</v>
      </c>
      <c r="C1042" s="1">
        <f>IFERROR(__xludf.DUMMYFUNCTION("""COMPUTED_VALUE"""),23340.0)</f>
        <v>23340</v>
      </c>
      <c r="D1042" s="1">
        <f>IFERROR(__xludf.DUMMYFUNCTION("""COMPUTED_VALUE"""),22520.0)</f>
        <v>22520</v>
      </c>
      <c r="E1042" s="1">
        <f>IFERROR(__xludf.DUMMYFUNCTION("""COMPUTED_VALUE"""),22700.0)</f>
        <v>22700</v>
      </c>
      <c r="F1042" s="1">
        <f>IFERROR(__xludf.DUMMYFUNCTION("""COMPUTED_VALUE"""),711779.0)</f>
        <v>711779</v>
      </c>
    </row>
    <row r="1043">
      <c r="A1043" s="2">
        <f>IFERROR(__xludf.DUMMYFUNCTION("""COMPUTED_VALUE"""),42089.64583333333)</f>
        <v>42089.64583</v>
      </c>
      <c r="B1043" s="1">
        <f>IFERROR(__xludf.DUMMYFUNCTION("""COMPUTED_VALUE"""),22580.0)</f>
        <v>22580</v>
      </c>
      <c r="C1043" s="1">
        <f>IFERROR(__xludf.DUMMYFUNCTION("""COMPUTED_VALUE"""),23380.0)</f>
        <v>23380</v>
      </c>
      <c r="D1043" s="1">
        <f>IFERROR(__xludf.DUMMYFUNCTION("""COMPUTED_VALUE"""),22420.0)</f>
        <v>22420</v>
      </c>
      <c r="E1043" s="1">
        <f>IFERROR(__xludf.DUMMYFUNCTION("""COMPUTED_VALUE"""),22500.0)</f>
        <v>22500</v>
      </c>
      <c r="F1043" s="1">
        <f>IFERROR(__xludf.DUMMYFUNCTION("""COMPUTED_VALUE"""),845622.0)</f>
        <v>845622</v>
      </c>
    </row>
    <row r="1044">
      <c r="A1044" s="2">
        <f>IFERROR(__xludf.DUMMYFUNCTION("""COMPUTED_VALUE"""),42090.64583333333)</f>
        <v>42090.64583</v>
      </c>
      <c r="B1044" s="1">
        <f>IFERROR(__xludf.DUMMYFUNCTION("""COMPUTED_VALUE"""),22540.0)</f>
        <v>22540</v>
      </c>
      <c r="C1044" s="1">
        <f>IFERROR(__xludf.DUMMYFUNCTION("""COMPUTED_VALUE"""),22780.0)</f>
        <v>22780</v>
      </c>
      <c r="D1044" s="1">
        <f>IFERROR(__xludf.DUMMYFUNCTION("""COMPUTED_VALUE"""),22340.0)</f>
        <v>22340</v>
      </c>
      <c r="E1044" s="1">
        <f>IFERROR(__xludf.DUMMYFUNCTION("""COMPUTED_VALUE"""),22660.0)</f>
        <v>22660</v>
      </c>
      <c r="F1044" s="1">
        <f>IFERROR(__xludf.DUMMYFUNCTION("""COMPUTED_VALUE"""),293666.0)</f>
        <v>293666</v>
      </c>
    </row>
    <row r="1045">
      <c r="A1045" s="2">
        <f>IFERROR(__xludf.DUMMYFUNCTION("""COMPUTED_VALUE"""),42093.64583333333)</f>
        <v>42093.64583</v>
      </c>
      <c r="B1045" s="1">
        <f>IFERROR(__xludf.DUMMYFUNCTION("""COMPUTED_VALUE"""),22900.0)</f>
        <v>22900</v>
      </c>
      <c r="C1045" s="1">
        <f>IFERROR(__xludf.DUMMYFUNCTION("""COMPUTED_VALUE"""),23360.0)</f>
        <v>23360</v>
      </c>
      <c r="D1045" s="1">
        <f>IFERROR(__xludf.DUMMYFUNCTION("""COMPUTED_VALUE"""),22680.0)</f>
        <v>22680</v>
      </c>
      <c r="E1045" s="1">
        <f>IFERROR(__xludf.DUMMYFUNCTION("""COMPUTED_VALUE"""),23080.0)</f>
        <v>23080</v>
      </c>
      <c r="F1045" s="1">
        <f>IFERROR(__xludf.DUMMYFUNCTION("""COMPUTED_VALUE"""),459733.0)</f>
        <v>459733</v>
      </c>
    </row>
    <row r="1046">
      <c r="A1046" s="2">
        <f>IFERROR(__xludf.DUMMYFUNCTION("""COMPUTED_VALUE"""),42094.64583333333)</f>
        <v>42094.64583</v>
      </c>
      <c r="B1046" s="1">
        <f>IFERROR(__xludf.DUMMYFUNCTION("""COMPUTED_VALUE"""),23400.0)</f>
        <v>23400</v>
      </c>
      <c r="C1046" s="1">
        <f>IFERROR(__xludf.DUMMYFUNCTION("""COMPUTED_VALUE"""),23460.0)</f>
        <v>23460</v>
      </c>
      <c r="D1046" s="1">
        <f>IFERROR(__xludf.DUMMYFUNCTION("""COMPUTED_VALUE"""),22720.0)</f>
        <v>22720</v>
      </c>
      <c r="E1046" s="1">
        <f>IFERROR(__xludf.DUMMYFUNCTION("""COMPUTED_VALUE"""),23080.0)</f>
        <v>23080</v>
      </c>
      <c r="F1046" s="1">
        <f>IFERROR(__xludf.DUMMYFUNCTION("""COMPUTED_VALUE"""),458164.0)</f>
        <v>458164</v>
      </c>
    </row>
    <row r="1047">
      <c r="A1047" s="2">
        <f>IFERROR(__xludf.DUMMYFUNCTION("""COMPUTED_VALUE"""),42095.64583333333)</f>
        <v>42095.64583</v>
      </c>
      <c r="B1047" s="1">
        <f>IFERROR(__xludf.DUMMYFUNCTION("""COMPUTED_VALUE"""),22880.0)</f>
        <v>22880</v>
      </c>
      <c r="C1047" s="1">
        <f>IFERROR(__xludf.DUMMYFUNCTION("""COMPUTED_VALUE"""),23020.0)</f>
        <v>23020</v>
      </c>
      <c r="D1047" s="1">
        <f>IFERROR(__xludf.DUMMYFUNCTION("""COMPUTED_VALUE"""),22720.0)</f>
        <v>22720</v>
      </c>
      <c r="E1047" s="1">
        <f>IFERROR(__xludf.DUMMYFUNCTION("""COMPUTED_VALUE"""),22800.0)</f>
        <v>22800</v>
      </c>
      <c r="F1047" s="1">
        <f>IFERROR(__xludf.DUMMYFUNCTION("""COMPUTED_VALUE"""),322494.0)</f>
        <v>322494</v>
      </c>
    </row>
    <row r="1048">
      <c r="A1048" s="2">
        <f>IFERROR(__xludf.DUMMYFUNCTION("""COMPUTED_VALUE"""),42096.64583333333)</f>
        <v>42096.64583</v>
      </c>
      <c r="B1048" s="1">
        <f>IFERROR(__xludf.DUMMYFUNCTION("""COMPUTED_VALUE"""),22720.0)</f>
        <v>22720</v>
      </c>
      <c r="C1048" s="1">
        <f>IFERROR(__xludf.DUMMYFUNCTION("""COMPUTED_VALUE"""),22820.0)</f>
        <v>22820</v>
      </c>
      <c r="D1048" s="1">
        <f>IFERROR(__xludf.DUMMYFUNCTION("""COMPUTED_VALUE"""),21820.0)</f>
        <v>21820</v>
      </c>
      <c r="E1048" s="1">
        <f>IFERROR(__xludf.DUMMYFUNCTION("""COMPUTED_VALUE"""),21860.0)</f>
        <v>21860</v>
      </c>
      <c r="F1048" s="1">
        <f>IFERROR(__xludf.DUMMYFUNCTION("""COMPUTED_VALUE"""),978423.0)</f>
        <v>978423</v>
      </c>
    </row>
    <row r="1049">
      <c r="A1049" s="2">
        <f>IFERROR(__xludf.DUMMYFUNCTION("""COMPUTED_VALUE"""),42097.64583333333)</f>
        <v>42097.64583</v>
      </c>
      <c r="B1049" s="1">
        <f>IFERROR(__xludf.DUMMYFUNCTION("""COMPUTED_VALUE"""),21880.0)</f>
        <v>21880</v>
      </c>
      <c r="C1049" s="1">
        <f>IFERROR(__xludf.DUMMYFUNCTION("""COMPUTED_VALUE"""),22440.0)</f>
        <v>22440</v>
      </c>
      <c r="D1049" s="1">
        <f>IFERROR(__xludf.DUMMYFUNCTION("""COMPUTED_VALUE"""),21820.0)</f>
        <v>21820</v>
      </c>
      <c r="E1049" s="1">
        <f>IFERROR(__xludf.DUMMYFUNCTION("""COMPUTED_VALUE"""),21920.0)</f>
        <v>21920</v>
      </c>
      <c r="F1049" s="1">
        <f>IFERROR(__xludf.DUMMYFUNCTION("""COMPUTED_VALUE"""),411068.0)</f>
        <v>411068</v>
      </c>
    </row>
    <row r="1050">
      <c r="A1050" s="2">
        <f>IFERROR(__xludf.DUMMYFUNCTION("""COMPUTED_VALUE"""),42100.64583333333)</f>
        <v>42100.64583</v>
      </c>
      <c r="B1050" s="1">
        <f>IFERROR(__xludf.DUMMYFUNCTION("""COMPUTED_VALUE"""),21540.0)</f>
        <v>21540</v>
      </c>
      <c r="C1050" s="1">
        <f>IFERROR(__xludf.DUMMYFUNCTION("""COMPUTED_VALUE"""),21840.0)</f>
        <v>21840</v>
      </c>
      <c r="D1050" s="1">
        <f>IFERROR(__xludf.DUMMYFUNCTION("""COMPUTED_VALUE"""),21160.0)</f>
        <v>21160</v>
      </c>
      <c r="E1050" s="1">
        <f>IFERROR(__xludf.DUMMYFUNCTION("""COMPUTED_VALUE"""),21480.0)</f>
        <v>21480</v>
      </c>
      <c r="F1050" s="1">
        <f>IFERROR(__xludf.DUMMYFUNCTION("""COMPUTED_VALUE"""),801169.0)</f>
        <v>801169</v>
      </c>
    </row>
    <row r="1051">
      <c r="A1051" s="2">
        <f>IFERROR(__xludf.DUMMYFUNCTION("""COMPUTED_VALUE"""),42101.64583333333)</f>
        <v>42101.64583</v>
      </c>
      <c r="B1051" s="1">
        <f>IFERROR(__xludf.DUMMYFUNCTION("""COMPUTED_VALUE"""),21620.0)</f>
        <v>21620</v>
      </c>
      <c r="C1051" s="1">
        <f>IFERROR(__xludf.DUMMYFUNCTION("""COMPUTED_VALUE"""),22040.0)</f>
        <v>22040</v>
      </c>
      <c r="D1051" s="1">
        <f>IFERROR(__xludf.DUMMYFUNCTION("""COMPUTED_VALUE"""),21400.0)</f>
        <v>21400</v>
      </c>
      <c r="E1051" s="1">
        <f>IFERROR(__xludf.DUMMYFUNCTION("""COMPUTED_VALUE"""),21440.0)</f>
        <v>21440</v>
      </c>
      <c r="F1051" s="1">
        <f>IFERROR(__xludf.DUMMYFUNCTION("""COMPUTED_VALUE"""),492885.0)</f>
        <v>492885</v>
      </c>
    </row>
    <row r="1052">
      <c r="A1052" s="2">
        <f>IFERROR(__xludf.DUMMYFUNCTION("""COMPUTED_VALUE"""),42102.64583333333)</f>
        <v>42102.64583</v>
      </c>
      <c r="B1052" s="1">
        <f>IFERROR(__xludf.DUMMYFUNCTION("""COMPUTED_VALUE"""),21560.0)</f>
        <v>21560</v>
      </c>
      <c r="C1052" s="1">
        <f>IFERROR(__xludf.DUMMYFUNCTION("""COMPUTED_VALUE"""),21700.0)</f>
        <v>21700</v>
      </c>
      <c r="D1052" s="1">
        <f>IFERROR(__xludf.DUMMYFUNCTION("""COMPUTED_VALUE"""),21360.0)</f>
        <v>21360</v>
      </c>
      <c r="E1052" s="1">
        <f>IFERROR(__xludf.DUMMYFUNCTION("""COMPUTED_VALUE"""),21420.0)</f>
        <v>21420</v>
      </c>
      <c r="F1052" s="1">
        <f>IFERROR(__xludf.DUMMYFUNCTION("""COMPUTED_VALUE"""),433354.0)</f>
        <v>433354</v>
      </c>
    </row>
    <row r="1053">
      <c r="A1053" s="2">
        <f>IFERROR(__xludf.DUMMYFUNCTION("""COMPUTED_VALUE"""),42103.64583333333)</f>
        <v>42103.64583</v>
      </c>
      <c r="B1053" s="1">
        <f>IFERROR(__xludf.DUMMYFUNCTION("""COMPUTED_VALUE"""),21360.0)</f>
        <v>21360</v>
      </c>
      <c r="C1053" s="1">
        <f>IFERROR(__xludf.DUMMYFUNCTION("""COMPUTED_VALUE"""),22760.0)</f>
        <v>22760</v>
      </c>
      <c r="D1053" s="1">
        <f>IFERROR(__xludf.DUMMYFUNCTION("""COMPUTED_VALUE"""),21160.0)</f>
        <v>21160</v>
      </c>
      <c r="E1053" s="1">
        <f>IFERROR(__xludf.DUMMYFUNCTION("""COMPUTED_VALUE"""),22060.0)</f>
        <v>22060</v>
      </c>
      <c r="F1053" s="1">
        <f>IFERROR(__xludf.DUMMYFUNCTION("""COMPUTED_VALUE"""),1378701.0)</f>
        <v>1378701</v>
      </c>
    </row>
    <row r="1054">
      <c r="A1054" s="2">
        <f>IFERROR(__xludf.DUMMYFUNCTION("""COMPUTED_VALUE"""),42104.64583333333)</f>
        <v>42104.64583</v>
      </c>
      <c r="B1054" s="1">
        <f>IFERROR(__xludf.DUMMYFUNCTION("""COMPUTED_VALUE"""),22080.0)</f>
        <v>22080</v>
      </c>
      <c r="C1054" s="1">
        <f>IFERROR(__xludf.DUMMYFUNCTION("""COMPUTED_VALUE"""),22400.0)</f>
        <v>22400</v>
      </c>
      <c r="D1054" s="1">
        <f>IFERROR(__xludf.DUMMYFUNCTION("""COMPUTED_VALUE"""),21600.0)</f>
        <v>21600</v>
      </c>
      <c r="E1054" s="1">
        <f>IFERROR(__xludf.DUMMYFUNCTION("""COMPUTED_VALUE"""),21600.0)</f>
        <v>21600</v>
      </c>
      <c r="F1054" s="1">
        <f>IFERROR(__xludf.DUMMYFUNCTION("""COMPUTED_VALUE"""),618937.0)</f>
        <v>618937</v>
      </c>
    </row>
    <row r="1055">
      <c r="A1055" s="2">
        <f>IFERROR(__xludf.DUMMYFUNCTION("""COMPUTED_VALUE"""),42107.64583333333)</f>
        <v>42107.64583</v>
      </c>
      <c r="B1055" s="1">
        <f>IFERROR(__xludf.DUMMYFUNCTION("""COMPUTED_VALUE"""),21580.0)</f>
        <v>21580</v>
      </c>
      <c r="C1055" s="1">
        <f>IFERROR(__xludf.DUMMYFUNCTION("""COMPUTED_VALUE"""),21960.0)</f>
        <v>21960</v>
      </c>
      <c r="D1055" s="1">
        <f>IFERROR(__xludf.DUMMYFUNCTION("""COMPUTED_VALUE"""),21260.0)</f>
        <v>21260</v>
      </c>
      <c r="E1055" s="1">
        <f>IFERROR(__xludf.DUMMYFUNCTION("""COMPUTED_VALUE"""),21420.0)</f>
        <v>21420</v>
      </c>
      <c r="F1055" s="1">
        <f>IFERROR(__xludf.DUMMYFUNCTION("""COMPUTED_VALUE"""),524864.0)</f>
        <v>524864</v>
      </c>
    </row>
    <row r="1056">
      <c r="A1056" s="2">
        <f>IFERROR(__xludf.DUMMYFUNCTION("""COMPUTED_VALUE"""),42108.64583333333)</f>
        <v>42108.64583</v>
      </c>
      <c r="B1056" s="1">
        <f>IFERROR(__xludf.DUMMYFUNCTION("""COMPUTED_VALUE"""),21460.0)</f>
        <v>21460</v>
      </c>
      <c r="C1056" s="1">
        <f>IFERROR(__xludf.DUMMYFUNCTION("""COMPUTED_VALUE"""),23100.0)</f>
        <v>23100</v>
      </c>
      <c r="D1056" s="1">
        <f>IFERROR(__xludf.DUMMYFUNCTION("""COMPUTED_VALUE"""),21460.0)</f>
        <v>21460</v>
      </c>
      <c r="E1056" s="1">
        <f>IFERROR(__xludf.DUMMYFUNCTION("""COMPUTED_VALUE"""),22780.0)</f>
        <v>22780</v>
      </c>
      <c r="F1056" s="1">
        <f>IFERROR(__xludf.DUMMYFUNCTION("""COMPUTED_VALUE"""),1840211.0)</f>
        <v>1840211</v>
      </c>
    </row>
    <row r="1057">
      <c r="A1057" s="2">
        <f>IFERROR(__xludf.DUMMYFUNCTION("""COMPUTED_VALUE"""),42109.64583333333)</f>
        <v>42109.64583</v>
      </c>
      <c r="B1057" s="1">
        <f>IFERROR(__xludf.DUMMYFUNCTION("""COMPUTED_VALUE"""),22960.0)</f>
        <v>22960</v>
      </c>
      <c r="C1057" s="1">
        <f>IFERROR(__xludf.DUMMYFUNCTION("""COMPUTED_VALUE"""),23080.0)</f>
        <v>23080</v>
      </c>
      <c r="D1057" s="1">
        <f>IFERROR(__xludf.DUMMYFUNCTION("""COMPUTED_VALUE"""),22360.0)</f>
        <v>22360</v>
      </c>
      <c r="E1057" s="1">
        <f>IFERROR(__xludf.DUMMYFUNCTION("""COMPUTED_VALUE"""),22360.0)</f>
        <v>22360</v>
      </c>
      <c r="F1057" s="1">
        <f>IFERROR(__xludf.DUMMYFUNCTION("""COMPUTED_VALUE"""),773307.0)</f>
        <v>773307</v>
      </c>
    </row>
    <row r="1058">
      <c r="A1058" s="2">
        <f>IFERROR(__xludf.DUMMYFUNCTION("""COMPUTED_VALUE"""),42110.64583333333)</f>
        <v>42110.64583</v>
      </c>
      <c r="B1058" s="1">
        <f>IFERROR(__xludf.DUMMYFUNCTION("""COMPUTED_VALUE"""),22560.0)</f>
        <v>22560</v>
      </c>
      <c r="C1058" s="1">
        <f>IFERROR(__xludf.DUMMYFUNCTION("""COMPUTED_VALUE"""),23040.0)</f>
        <v>23040</v>
      </c>
      <c r="D1058" s="1">
        <f>IFERROR(__xludf.DUMMYFUNCTION("""COMPUTED_VALUE"""),22160.0)</f>
        <v>22160</v>
      </c>
      <c r="E1058" s="1">
        <f>IFERROR(__xludf.DUMMYFUNCTION("""COMPUTED_VALUE"""),22800.0)</f>
        <v>22800</v>
      </c>
      <c r="F1058" s="1">
        <f>IFERROR(__xludf.DUMMYFUNCTION("""COMPUTED_VALUE"""),851465.0)</f>
        <v>851465</v>
      </c>
    </row>
    <row r="1059">
      <c r="A1059" s="2">
        <f>IFERROR(__xludf.DUMMYFUNCTION("""COMPUTED_VALUE"""),42111.64583333333)</f>
        <v>42111.64583</v>
      </c>
      <c r="B1059" s="1">
        <f>IFERROR(__xludf.DUMMYFUNCTION("""COMPUTED_VALUE"""),23580.0)</f>
        <v>23580</v>
      </c>
      <c r="C1059" s="1">
        <f>IFERROR(__xludf.DUMMYFUNCTION("""COMPUTED_VALUE"""),23880.0)</f>
        <v>23880</v>
      </c>
      <c r="D1059" s="1">
        <f>IFERROR(__xludf.DUMMYFUNCTION("""COMPUTED_VALUE"""),22820.0)</f>
        <v>22820</v>
      </c>
      <c r="E1059" s="1">
        <f>IFERROR(__xludf.DUMMYFUNCTION("""COMPUTED_VALUE"""),22900.0)</f>
        <v>22900</v>
      </c>
      <c r="F1059" s="1">
        <f>IFERROR(__xludf.DUMMYFUNCTION("""COMPUTED_VALUE"""),1421540.0)</f>
        <v>1421540</v>
      </c>
    </row>
    <row r="1060">
      <c r="A1060" s="2">
        <f>IFERROR(__xludf.DUMMYFUNCTION("""COMPUTED_VALUE"""),42114.64583333333)</f>
        <v>42114.64583</v>
      </c>
      <c r="B1060" s="1">
        <f>IFERROR(__xludf.DUMMYFUNCTION("""COMPUTED_VALUE"""),22700.0)</f>
        <v>22700</v>
      </c>
      <c r="C1060" s="1">
        <f>IFERROR(__xludf.DUMMYFUNCTION("""COMPUTED_VALUE"""),23360.0)</f>
        <v>23360</v>
      </c>
      <c r="D1060" s="1">
        <f>IFERROR(__xludf.DUMMYFUNCTION("""COMPUTED_VALUE"""),22680.0)</f>
        <v>22680</v>
      </c>
      <c r="E1060" s="1">
        <f>IFERROR(__xludf.DUMMYFUNCTION("""COMPUTED_VALUE"""),23200.0)</f>
        <v>23200</v>
      </c>
      <c r="F1060" s="1">
        <f>IFERROR(__xludf.DUMMYFUNCTION("""COMPUTED_VALUE"""),569108.0)</f>
        <v>569108</v>
      </c>
    </row>
    <row r="1061">
      <c r="A1061" s="2">
        <f>IFERROR(__xludf.DUMMYFUNCTION("""COMPUTED_VALUE"""),42115.64583333333)</f>
        <v>42115.64583</v>
      </c>
      <c r="B1061" s="1">
        <f>IFERROR(__xludf.DUMMYFUNCTION("""COMPUTED_VALUE"""),23400.0)</f>
        <v>23400</v>
      </c>
      <c r="C1061" s="1">
        <f>IFERROR(__xludf.DUMMYFUNCTION("""COMPUTED_VALUE"""),23520.0)</f>
        <v>23520</v>
      </c>
      <c r="D1061" s="1">
        <f>IFERROR(__xludf.DUMMYFUNCTION("""COMPUTED_VALUE"""),22740.0)</f>
        <v>22740</v>
      </c>
      <c r="E1061" s="1">
        <f>IFERROR(__xludf.DUMMYFUNCTION("""COMPUTED_VALUE"""),22780.0)</f>
        <v>22780</v>
      </c>
      <c r="F1061" s="1">
        <f>IFERROR(__xludf.DUMMYFUNCTION("""COMPUTED_VALUE"""),508020.0)</f>
        <v>508020</v>
      </c>
    </row>
    <row r="1062">
      <c r="A1062" s="2">
        <f>IFERROR(__xludf.DUMMYFUNCTION("""COMPUTED_VALUE"""),42116.64583333333)</f>
        <v>42116.64583</v>
      </c>
      <c r="B1062" s="1">
        <f>IFERROR(__xludf.DUMMYFUNCTION("""COMPUTED_VALUE"""),22760.0)</f>
        <v>22760</v>
      </c>
      <c r="C1062" s="1">
        <f>IFERROR(__xludf.DUMMYFUNCTION("""COMPUTED_VALUE"""),23600.0)</f>
        <v>23600</v>
      </c>
      <c r="D1062" s="1">
        <f>IFERROR(__xludf.DUMMYFUNCTION("""COMPUTED_VALUE"""),22680.0)</f>
        <v>22680</v>
      </c>
      <c r="E1062" s="1">
        <f>IFERROR(__xludf.DUMMYFUNCTION("""COMPUTED_VALUE"""),23140.0)</f>
        <v>23140</v>
      </c>
      <c r="F1062" s="1">
        <f>IFERROR(__xludf.DUMMYFUNCTION("""COMPUTED_VALUE"""),883734.0)</f>
        <v>883734</v>
      </c>
    </row>
    <row r="1063">
      <c r="A1063" s="2">
        <f>IFERROR(__xludf.DUMMYFUNCTION("""COMPUTED_VALUE"""),42117.64583333333)</f>
        <v>42117.64583</v>
      </c>
      <c r="B1063" s="1">
        <f>IFERROR(__xludf.DUMMYFUNCTION("""COMPUTED_VALUE"""),23080.0)</f>
        <v>23080</v>
      </c>
      <c r="C1063" s="1">
        <f>IFERROR(__xludf.DUMMYFUNCTION("""COMPUTED_VALUE"""),23360.0)</f>
        <v>23360</v>
      </c>
      <c r="D1063" s="1">
        <f>IFERROR(__xludf.DUMMYFUNCTION("""COMPUTED_VALUE"""),22700.0)</f>
        <v>22700</v>
      </c>
      <c r="E1063" s="1">
        <f>IFERROR(__xludf.DUMMYFUNCTION("""COMPUTED_VALUE"""),22700.0)</f>
        <v>22700</v>
      </c>
      <c r="F1063" s="1">
        <f>IFERROR(__xludf.DUMMYFUNCTION("""COMPUTED_VALUE"""),539607.0)</f>
        <v>539607</v>
      </c>
    </row>
    <row r="1064">
      <c r="A1064" s="2">
        <f>IFERROR(__xludf.DUMMYFUNCTION("""COMPUTED_VALUE"""),42118.64583333333)</f>
        <v>42118.64583</v>
      </c>
      <c r="B1064" s="1">
        <f>IFERROR(__xludf.DUMMYFUNCTION("""COMPUTED_VALUE"""),22700.0)</f>
        <v>22700</v>
      </c>
      <c r="C1064" s="1">
        <f>IFERROR(__xludf.DUMMYFUNCTION("""COMPUTED_VALUE"""),22800.0)</f>
        <v>22800</v>
      </c>
      <c r="D1064" s="1">
        <f>IFERROR(__xludf.DUMMYFUNCTION("""COMPUTED_VALUE"""),22000.0)</f>
        <v>22000</v>
      </c>
      <c r="E1064" s="1">
        <f>IFERROR(__xludf.DUMMYFUNCTION("""COMPUTED_VALUE"""),22140.0)</f>
        <v>22140</v>
      </c>
      <c r="F1064" s="1">
        <f>IFERROR(__xludf.DUMMYFUNCTION("""COMPUTED_VALUE"""),607208.0)</f>
        <v>607208</v>
      </c>
    </row>
    <row r="1065">
      <c r="A1065" s="2">
        <f>IFERROR(__xludf.DUMMYFUNCTION("""COMPUTED_VALUE"""),42121.64583333333)</f>
        <v>42121.64583</v>
      </c>
      <c r="B1065" s="1">
        <f>IFERROR(__xludf.DUMMYFUNCTION("""COMPUTED_VALUE"""),22300.0)</f>
        <v>22300</v>
      </c>
      <c r="C1065" s="1">
        <f>IFERROR(__xludf.DUMMYFUNCTION("""COMPUTED_VALUE"""),22460.0)</f>
        <v>22460</v>
      </c>
      <c r="D1065" s="1">
        <f>IFERROR(__xludf.DUMMYFUNCTION("""COMPUTED_VALUE"""),22060.0)</f>
        <v>22060</v>
      </c>
      <c r="E1065" s="1">
        <f>IFERROR(__xludf.DUMMYFUNCTION("""COMPUTED_VALUE"""),22120.0)</f>
        <v>22120</v>
      </c>
      <c r="F1065" s="1">
        <f>IFERROR(__xludf.DUMMYFUNCTION("""COMPUTED_VALUE"""),275781.0)</f>
        <v>275781</v>
      </c>
    </row>
    <row r="1066">
      <c r="A1066" s="2">
        <f>IFERROR(__xludf.DUMMYFUNCTION("""COMPUTED_VALUE"""),42122.64583333333)</f>
        <v>42122.64583</v>
      </c>
      <c r="B1066" s="1">
        <f>IFERROR(__xludf.DUMMYFUNCTION("""COMPUTED_VALUE"""),22120.0)</f>
        <v>22120</v>
      </c>
      <c r="C1066" s="1">
        <f>IFERROR(__xludf.DUMMYFUNCTION("""COMPUTED_VALUE"""),22320.0)</f>
        <v>22320</v>
      </c>
      <c r="D1066" s="1">
        <f>IFERROR(__xludf.DUMMYFUNCTION("""COMPUTED_VALUE"""),21800.0)</f>
        <v>21800</v>
      </c>
      <c r="E1066" s="1">
        <f>IFERROR(__xludf.DUMMYFUNCTION("""COMPUTED_VALUE"""),21840.0)</f>
        <v>21840</v>
      </c>
      <c r="F1066" s="1">
        <f>IFERROR(__xludf.DUMMYFUNCTION("""COMPUTED_VALUE"""),368402.0)</f>
        <v>368402</v>
      </c>
    </row>
    <row r="1067">
      <c r="A1067" s="2">
        <f>IFERROR(__xludf.DUMMYFUNCTION("""COMPUTED_VALUE"""),42123.64583333333)</f>
        <v>42123.64583</v>
      </c>
      <c r="B1067" s="1">
        <f>IFERROR(__xludf.DUMMYFUNCTION("""COMPUTED_VALUE"""),21760.0)</f>
        <v>21760</v>
      </c>
      <c r="C1067" s="1">
        <f>IFERROR(__xludf.DUMMYFUNCTION("""COMPUTED_VALUE"""),21900.0)</f>
        <v>21900</v>
      </c>
      <c r="D1067" s="1">
        <f>IFERROR(__xludf.DUMMYFUNCTION("""COMPUTED_VALUE"""),21400.0)</f>
        <v>21400</v>
      </c>
      <c r="E1067" s="1">
        <f>IFERROR(__xludf.DUMMYFUNCTION("""COMPUTED_VALUE"""),21420.0)</f>
        <v>21420</v>
      </c>
      <c r="F1067" s="1">
        <f>IFERROR(__xludf.DUMMYFUNCTION("""COMPUTED_VALUE"""),426578.0)</f>
        <v>426578</v>
      </c>
    </row>
    <row r="1068">
      <c r="A1068" s="2">
        <f>IFERROR(__xludf.DUMMYFUNCTION("""COMPUTED_VALUE"""),42124.64583333333)</f>
        <v>42124.64583</v>
      </c>
      <c r="B1068" s="1">
        <f>IFERROR(__xludf.DUMMYFUNCTION("""COMPUTED_VALUE"""),21520.0)</f>
        <v>21520</v>
      </c>
      <c r="C1068" s="1">
        <f>IFERROR(__xludf.DUMMYFUNCTION("""COMPUTED_VALUE"""),22160.0)</f>
        <v>22160</v>
      </c>
      <c r="D1068" s="1">
        <f>IFERROR(__xludf.DUMMYFUNCTION("""COMPUTED_VALUE"""),21460.0)</f>
        <v>21460</v>
      </c>
      <c r="E1068" s="1">
        <f>IFERROR(__xludf.DUMMYFUNCTION("""COMPUTED_VALUE"""),21580.0)</f>
        <v>21580</v>
      </c>
      <c r="F1068" s="1">
        <f>IFERROR(__xludf.DUMMYFUNCTION("""COMPUTED_VALUE"""),434168.0)</f>
        <v>434168</v>
      </c>
    </row>
    <row r="1069">
      <c r="A1069" s="2">
        <f>IFERROR(__xludf.DUMMYFUNCTION("""COMPUTED_VALUE"""),42128.64583333333)</f>
        <v>42128.64583</v>
      </c>
      <c r="B1069" s="1">
        <f>IFERROR(__xludf.DUMMYFUNCTION("""COMPUTED_VALUE"""),21600.0)</f>
        <v>21600</v>
      </c>
      <c r="C1069" s="1">
        <f>IFERROR(__xludf.DUMMYFUNCTION("""COMPUTED_VALUE"""),22100.0)</f>
        <v>22100</v>
      </c>
      <c r="D1069" s="1">
        <f>IFERROR(__xludf.DUMMYFUNCTION("""COMPUTED_VALUE"""),21220.0)</f>
        <v>21220</v>
      </c>
      <c r="E1069" s="1">
        <f>IFERROR(__xludf.DUMMYFUNCTION("""COMPUTED_VALUE"""),21220.0)</f>
        <v>21220</v>
      </c>
      <c r="F1069" s="1">
        <f>IFERROR(__xludf.DUMMYFUNCTION("""COMPUTED_VALUE"""),442377.0)</f>
        <v>442377</v>
      </c>
    </row>
    <row r="1070">
      <c r="A1070" s="2">
        <f>IFERROR(__xludf.DUMMYFUNCTION("""COMPUTED_VALUE"""),42130.64583333333)</f>
        <v>42130.64583</v>
      </c>
      <c r="B1070" s="1">
        <f>IFERROR(__xludf.DUMMYFUNCTION("""COMPUTED_VALUE"""),20940.0)</f>
        <v>20940</v>
      </c>
      <c r="C1070" s="1">
        <f>IFERROR(__xludf.DUMMYFUNCTION("""COMPUTED_VALUE"""),20980.0)</f>
        <v>20980</v>
      </c>
      <c r="D1070" s="1">
        <f>IFERROR(__xludf.DUMMYFUNCTION("""COMPUTED_VALUE"""),20340.0)</f>
        <v>20340</v>
      </c>
      <c r="E1070" s="1">
        <f>IFERROR(__xludf.DUMMYFUNCTION("""COMPUTED_VALUE"""),20340.0)</f>
        <v>20340</v>
      </c>
      <c r="F1070" s="1">
        <f>IFERROR(__xludf.DUMMYFUNCTION("""COMPUTED_VALUE"""),698164.0)</f>
        <v>698164</v>
      </c>
    </row>
    <row r="1071">
      <c r="A1071" s="2">
        <f>IFERROR(__xludf.DUMMYFUNCTION("""COMPUTED_VALUE"""),42131.64583333333)</f>
        <v>42131.64583</v>
      </c>
      <c r="B1071" s="1">
        <f>IFERROR(__xludf.DUMMYFUNCTION("""COMPUTED_VALUE"""),20360.0)</f>
        <v>20360</v>
      </c>
      <c r="C1071" s="1">
        <f>IFERROR(__xludf.DUMMYFUNCTION("""COMPUTED_VALUE"""),20980.0)</f>
        <v>20980</v>
      </c>
      <c r="D1071" s="1">
        <f>IFERROR(__xludf.DUMMYFUNCTION("""COMPUTED_VALUE"""),19800.0)</f>
        <v>19800</v>
      </c>
      <c r="E1071" s="1">
        <f>IFERROR(__xludf.DUMMYFUNCTION("""COMPUTED_VALUE"""),20920.0)</f>
        <v>20920</v>
      </c>
      <c r="F1071" s="1">
        <f>IFERROR(__xludf.DUMMYFUNCTION("""COMPUTED_VALUE"""),651668.0)</f>
        <v>651668</v>
      </c>
    </row>
    <row r="1072">
      <c r="A1072" s="2">
        <f>IFERROR(__xludf.DUMMYFUNCTION("""COMPUTED_VALUE"""),42132.64583333333)</f>
        <v>42132.64583</v>
      </c>
      <c r="B1072" s="1">
        <f>IFERROR(__xludf.DUMMYFUNCTION("""COMPUTED_VALUE"""),20920.0)</f>
        <v>20920</v>
      </c>
      <c r="C1072" s="1">
        <f>IFERROR(__xludf.DUMMYFUNCTION("""COMPUTED_VALUE"""),21380.0)</f>
        <v>21380</v>
      </c>
      <c r="D1072" s="1">
        <f>IFERROR(__xludf.DUMMYFUNCTION("""COMPUTED_VALUE"""),20840.0)</f>
        <v>20840</v>
      </c>
      <c r="E1072" s="1">
        <f>IFERROR(__xludf.DUMMYFUNCTION("""COMPUTED_VALUE"""),20840.0)</f>
        <v>20840</v>
      </c>
      <c r="F1072" s="1">
        <f>IFERROR(__xludf.DUMMYFUNCTION("""COMPUTED_VALUE"""),356894.0)</f>
        <v>356894</v>
      </c>
    </row>
    <row r="1073">
      <c r="A1073" s="2">
        <f>IFERROR(__xludf.DUMMYFUNCTION("""COMPUTED_VALUE"""),42135.64583333333)</f>
        <v>42135.64583</v>
      </c>
      <c r="B1073" s="1">
        <f>IFERROR(__xludf.DUMMYFUNCTION("""COMPUTED_VALUE"""),20940.0)</f>
        <v>20940</v>
      </c>
      <c r="C1073" s="1">
        <f>IFERROR(__xludf.DUMMYFUNCTION("""COMPUTED_VALUE"""),21040.0)</f>
        <v>21040</v>
      </c>
      <c r="D1073" s="1">
        <f>IFERROR(__xludf.DUMMYFUNCTION("""COMPUTED_VALUE"""),20620.0)</f>
        <v>20620</v>
      </c>
      <c r="E1073" s="1">
        <f>IFERROR(__xludf.DUMMYFUNCTION("""COMPUTED_VALUE"""),20860.0)</f>
        <v>20860</v>
      </c>
      <c r="F1073" s="1">
        <f>IFERROR(__xludf.DUMMYFUNCTION("""COMPUTED_VALUE"""),262203.0)</f>
        <v>262203</v>
      </c>
    </row>
    <row r="1074">
      <c r="A1074" s="2">
        <f>IFERROR(__xludf.DUMMYFUNCTION("""COMPUTED_VALUE"""),42136.64583333333)</f>
        <v>42136.64583</v>
      </c>
      <c r="B1074" s="1">
        <f>IFERROR(__xludf.DUMMYFUNCTION("""COMPUTED_VALUE"""),20820.0)</f>
        <v>20820</v>
      </c>
      <c r="C1074" s="1">
        <f>IFERROR(__xludf.DUMMYFUNCTION("""COMPUTED_VALUE"""),20860.0)</f>
        <v>20860</v>
      </c>
      <c r="D1074" s="1">
        <f>IFERROR(__xludf.DUMMYFUNCTION("""COMPUTED_VALUE"""),20200.0)</f>
        <v>20200</v>
      </c>
      <c r="E1074" s="1">
        <f>IFERROR(__xludf.DUMMYFUNCTION("""COMPUTED_VALUE"""),20220.0)</f>
        <v>20220</v>
      </c>
      <c r="F1074" s="1">
        <f>IFERROR(__xludf.DUMMYFUNCTION("""COMPUTED_VALUE"""),393061.0)</f>
        <v>393061</v>
      </c>
    </row>
    <row r="1075">
      <c r="A1075" s="2">
        <f>IFERROR(__xludf.DUMMYFUNCTION("""COMPUTED_VALUE"""),42137.64583333333)</f>
        <v>42137.64583</v>
      </c>
      <c r="B1075" s="1">
        <f>IFERROR(__xludf.DUMMYFUNCTION("""COMPUTED_VALUE"""),20020.0)</f>
        <v>20020</v>
      </c>
      <c r="C1075" s="1">
        <f>IFERROR(__xludf.DUMMYFUNCTION("""COMPUTED_VALUE"""),20500.0)</f>
        <v>20500</v>
      </c>
      <c r="D1075" s="1">
        <f>IFERROR(__xludf.DUMMYFUNCTION("""COMPUTED_VALUE"""),19900.0)</f>
        <v>19900</v>
      </c>
      <c r="E1075" s="1">
        <f>IFERROR(__xludf.DUMMYFUNCTION("""COMPUTED_VALUE"""),20080.0)</f>
        <v>20080</v>
      </c>
      <c r="F1075" s="1">
        <f>IFERROR(__xludf.DUMMYFUNCTION("""COMPUTED_VALUE"""),399074.0)</f>
        <v>399074</v>
      </c>
    </row>
    <row r="1076">
      <c r="A1076" s="2">
        <f>IFERROR(__xludf.DUMMYFUNCTION("""COMPUTED_VALUE"""),42138.64583333333)</f>
        <v>42138.64583</v>
      </c>
      <c r="B1076" s="1">
        <f>IFERROR(__xludf.DUMMYFUNCTION("""COMPUTED_VALUE"""),20060.0)</f>
        <v>20060</v>
      </c>
      <c r="C1076" s="1">
        <f>IFERROR(__xludf.DUMMYFUNCTION("""COMPUTED_VALUE"""),21720.0)</f>
        <v>21720</v>
      </c>
      <c r="D1076" s="1">
        <f>IFERROR(__xludf.DUMMYFUNCTION("""COMPUTED_VALUE"""),19980.0)</f>
        <v>19980</v>
      </c>
      <c r="E1076" s="1">
        <f>IFERROR(__xludf.DUMMYFUNCTION("""COMPUTED_VALUE"""),21180.0)</f>
        <v>21180</v>
      </c>
      <c r="F1076" s="1">
        <f>IFERROR(__xludf.DUMMYFUNCTION("""COMPUTED_VALUE"""),1361889.0)</f>
        <v>1361889</v>
      </c>
    </row>
    <row r="1077">
      <c r="A1077" s="2">
        <f>IFERROR(__xludf.DUMMYFUNCTION("""COMPUTED_VALUE"""),42139.64583333333)</f>
        <v>42139.64583</v>
      </c>
      <c r="B1077" s="1">
        <f>IFERROR(__xludf.DUMMYFUNCTION("""COMPUTED_VALUE"""),21100.0)</f>
        <v>21100</v>
      </c>
      <c r="C1077" s="1">
        <f>IFERROR(__xludf.DUMMYFUNCTION("""COMPUTED_VALUE"""),21400.0)</f>
        <v>21400</v>
      </c>
      <c r="D1077" s="1">
        <f>IFERROR(__xludf.DUMMYFUNCTION("""COMPUTED_VALUE"""),20700.0)</f>
        <v>20700</v>
      </c>
      <c r="E1077" s="1">
        <f>IFERROR(__xludf.DUMMYFUNCTION("""COMPUTED_VALUE"""),20980.0)</f>
        <v>20980</v>
      </c>
      <c r="F1077" s="1">
        <f>IFERROR(__xludf.DUMMYFUNCTION("""COMPUTED_VALUE"""),495087.0)</f>
        <v>495087</v>
      </c>
    </row>
    <row r="1078">
      <c r="A1078" s="2">
        <f>IFERROR(__xludf.DUMMYFUNCTION("""COMPUTED_VALUE"""),42142.64583333333)</f>
        <v>42142.64583</v>
      </c>
      <c r="B1078" s="1">
        <f>IFERROR(__xludf.DUMMYFUNCTION("""COMPUTED_VALUE"""),21100.0)</f>
        <v>21100</v>
      </c>
      <c r="C1078" s="1">
        <f>IFERROR(__xludf.DUMMYFUNCTION("""COMPUTED_VALUE"""),21520.0)</f>
        <v>21520</v>
      </c>
      <c r="D1078" s="1">
        <f>IFERROR(__xludf.DUMMYFUNCTION("""COMPUTED_VALUE"""),20780.0)</f>
        <v>20780</v>
      </c>
      <c r="E1078" s="1">
        <f>IFERROR(__xludf.DUMMYFUNCTION("""COMPUTED_VALUE"""),21400.0)</f>
        <v>21400</v>
      </c>
      <c r="F1078" s="1">
        <f>IFERROR(__xludf.DUMMYFUNCTION("""COMPUTED_VALUE"""),463356.0)</f>
        <v>463356</v>
      </c>
    </row>
    <row r="1079">
      <c r="A1079" s="2">
        <f>IFERROR(__xludf.DUMMYFUNCTION("""COMPUTED_VALUE"""),42143.64583333333)</f>
        <v>42143.64583</v>
      </c>
      <c r="B1079" s="1">
        <f>IFERROR(__xludf.DUMMYFUNCTION("""COMPUTED_VALUE"""),21560.0)</f>
        <v>21560</v>
      </c>
      <c r="C1079" s="1">
        <f>IFERROR(__xludf.DUMMYFUNCTION("""COMPUTED_VALUE"""),22520.0)</f>
        <v>22520</v>
      </c>
      <c r="D1079" s="1">
        <f>IFERROR(__xludf.DUMMYFUNCTION("""COMPUTED_VALUE"""),21420.0)</f>
        <v>21420</v>
      </c>
      <c r="E1079" s="1">
        <f>IFERROR(__xludf.DUMMYFUNCTION("""COMPUTED_VALUE"""),22300.0)</f>
        <v>22300</v>
      </c>
      <c r="F1079" s="1">
        <f>IFERROR(__xludf.DUMMYFUNCTION("""COMPUTED_VALUE"""),1093027.0)</f>
        <v>1093027</v>
      </c>
    </row>
    <row r="1080">
      <c r="A1080" s="2">
        <f>IFERROR(__xludf.DUMMYFUNCTION("""COMPUTED_VALUE"""),42144.64583333333)</f>
        <v>42144.64583</v>
      </c>
      <c r="B1080" s="1">
        <f>IFERROR(__xludf.DUMMYFUNCTION("""COMPUTED_VALUE"""),22900.0)</f>
        <v>22900</v>
      </c>
      <c r="C1080" s="1">
        <f>IFERROR(__xludf.DUMMYFUNCTION("""COMPUTED_VALUE"""),23360.0)</f>
        <v>23360</v>
      </c>
      <c r="D1080" s="1">
        <f>IFERROR(__xludf.DUMMYFUNCTION("""COMPUTED_VALUE"""),22520.0)</f>
        <v>22520</v>
      </c>
      <c r="E1080" s="1">
        <f>IFERROR(__xludf.DUMMYFUNCTION("""COMPUTED_VALUE"""),23280.0)</f>
        <v>23280</v>
      </c>
      <c r="F1080" s="1">
        <f>IFERROR(__xludf.DUMMYFUNCTION("""COMPUTED_VALUE"""),1267036.0)</f>
        <v>1267036</v>
      </c>
    </row>
    <row r="1081">
      <c r="A1081" s="2">
        <f>IFERROR(__xludf.DUMMYFUNCTION("""COMPUTED_VALUE"""),42145.64583333333)</f>
        <v>42145.64583</v>
      </c>
      <c r="B1081" s="1">
        <f>IFERROR(__xludf.DUMMYFUNCTION("""COMPUTED_VALUE"""),23540.0)</f>
        <v>23540</v>
      </c>
      <c r="C1081" s="1">
        <f>IFERROR(__xludf.DUMMYFUNCTION("""COMPUTED_VALUE"""),23560.0)</f>
        <v>23560</v>
      </c>
      <c r="D1081" s="1">
        <f>IFERROR(__xludf.DUMMYFUNCTION("""COMPUTED_VALUE"""),22860.0)</f>
        <v>22860</v>
      </c>
      <c r="E1081" s="1">
        <f>IFERROR(__xludf.DUMMYFUNCTION("""COMPUTED_VALUE"""),23180.0)</f>
        <v>23180</v>
      </c>
      <c r="F1081" s="1">
        <f>IFERROR(__xludf.DUMMYFUNCTION("""COMPUTED_VALUE"""),667952.0)</f>
        <v>667952</v>
      </c>
    </row>
    <row r="1082">
      <c r="A1082" s="2">
        <f>IFERROR(__xludf.DUMMYFUNCTION("""COMPUTED_VALUE"""),42146.64583333333)</f>
        <v>42146.64583</v>
      </c>
      <c r="B1082" s="1">
        <f>IFERROR(__xludf.DUMMYFUNCTION("""COMPUTED_VALUE"""),23220.0)</f>
        <v>23220</v>
      </c>
      <c r="C1082" s="1">
        <f>IFERROR(__xludf.DUMMYFUNCTION("""COMPUTED_VALUE"""),23300.0)</f>
        <v>23300</v>
      </c>
      <c r="D1082" s="1">
        <f>IFERROR(__xludf.DUMMYFUNCTION("""COMPUTED_VALUE"""),22600.0)</f>
        <v>22600</v>
      </c>
      <c r="E1082" s="1">
        <f>IFERROR(__xludf.DUMMYFUNCTION("""COMPUTED_VALUE"""),22600.0)</f>
        <v>22600</v>
      </c>
      <c r="F1082" s="1">
        <f>IFERROR(__xludf.DUMMYFUNCTION("""COMPUTED_VALUE"""),447297.0)</f>
        <v>447297</v>
      </c>
    </row>
    <row r="1083">
      <c r="A1083" s="2">
        <f>IFERROR(__xludf.DUMMYFUNCTION("""COMPUTED_VALUE"""),42150.64583333333)</f>
        <v>42150.64583</v>
      </c>
      <c r="B1083" s="1">
        <f>IFERROR(__xludf.DUMMYFUNCTION("""COMPUTED_VALUE"""),22960.0)</f>
        <v>22960</v>
      </c>
      <c r="C1083" s="1">
        <f>IFERROR(__xludf.DUMMYFUNCTION("""COMPUTED_VALUE"""),23140.0)</f>
        <v>23140</v>
      </c>
      <c r="D1083" s="1">
        <f>IFERROR(__xludf.DUMMYFUNCTION("""COMPUTED_VALUE"""),22680.0)</f>
        <v>22680</v>
      </c>
      <c r="E1083" s="1">
        <f>IFERROR(__xludf.DUMMYFUNCTION("""COMPUTED_VALUE"""),22720.0)</f>
        <v>22720</v>
      </c>
      <c r="F1083" s="1">
        <f>IFERROR(__xludf.DUMMYFUNCTION("""COMPUTED_VALUE"""),443005.0)</f>
        <v>443005</v>
      </c>
    </row>
    <row r="1084">
      <c r="A1084" s="2">
        <f>IFERROR(__xludf.DUMMYFUNCTION("""COMPUTED_VALUE"""),42151.64583333333)</f>
        <v>42151.64583</v>
      </c>
      <c r="B1084" s="1">
        <f>IFERROR(__xludf.DUMMYFUNCTION("""COMPUTED_VALUE"""),22720.0)</f>
        <v>22720</v>
      </c>
      <c r="C1084" s="1">
        <f>IFERROR(__xludf.DUMMYFUNCTION("""COMPUTED_VALUE"""),22720.0)</f>
        <v>22720</v>
      </c>
      <c r="D1084" s="1">
        <f>IFERROR(__xludf.DUMMYFUNCTION("""COMPUTED_VALUE"""),21580.0)</f>
        <v>21580</v>
      </c>
      <c r="E1084" s="1">
        <f>IFERROR(__xludf.DUMMYFUNCTION("""COMPUTED_VALUE"""),21680.0)</f>
        <v>21680</v>
      </c>
      <c r="F1084" s="1">
        <f>IFERROR(__xludf.DUMMYFUNCTION("""COMPUTED_VALUE"""),509228.0)</f>
        <v>509228</v>
      </c>
    </row>
    <row r="1085">
      <c r="A1085" s="2">
        <f>IFERROR(__xludf.DUMMYFUNCTION("""COMPUTED_VALUE"""),42152.64583333333)</f>
        <v>42152.64583</v>
      </c>
      <c r="B1085" s="1">
        <f>IFERROR(__xludf.DUMMYFUNCTION("""COMPUTED_VALUE"""),21940.0)</f>
        <v>21940</v>
      </c>
      <c r="C1085" s="1">
        <f>IFERROR(__xludf.DUMMYFUNCTION("""COMPUTED_VALUE"""),22080.0)</f>
        <v>22080</v>
      </c>
      <c r="D1085" s="1">
        <f>IFERROR(__xludf.DUMMYFUNCTION("""COMPUTED_VALUE"""),21420.0)</f>
        <v>21420</v>
      </c>
      <c r="E1085" s="1">
        <f>IFERROR(__xludf.DUMMYFUNCTION("""COMPUTED_VALUE"""),21420.0)</f>
        <v>21420</v>
      </c>
      <c r="F1085" s="1">
        <f>IFERROR(__xludf.DUMMYFUNCTION("""COMPUTED_VALUE"""),356785.0)</f>
        <v>356785</v>
      </c>
    </row>
    <row r="1086">
      <c r="A1086" s="2">
        <f>IFERROR(__xludf.DUMMYFUNCTION("""COMPUTED_VALUE"""),42153.64583333333)</f>
        <v>42153.64583</v>
      </c>
      <c r="B1086" s="1">
        <f>IFERROR(__xludf.DUMMYFUNCTION("""COMPUTED_VALUE"""),21660.0)</f>
        <v>21660</v>
      </c>
      <c r="C1086" s="1">
        <f>IFERROR(__xludf.DUMMYFUNCTION("""COMPUTED_VALUE"""),24160.0)</f>
        <v>24160</v>
      </c>
      <c r="D1086" s="1">
        <f>IFERROR(__xludf.DUMMYFUNCTION("""COMPUTED_VALUE"""),21360.0)</f>
        <v>21360</v>
      </c>
      <c r="E1086" s="1">
        <f>IFERROR(__xludf.DUMMYFUNCTION("""COMPUTED_VALUE"""),23460.0)</f>
        <v>23460</v>
      </c>
      <c r="F1086" s="1">
        <f>IFERROR(__xludf.DUMMYFUNCTION("""COMPUTED_VALUE"""),2409987.0)</f>
        <v>2409987</v>
      </c>
    </row>
    <row r="1087">
      <c r="A1087" s="2">
        <f>IFERROR(__xludf.DUMMYFUNCTION("""COMPUTED_VALUE"""),42156.64583333333)</f>
        <v>42156.64583</v>
      </c>
      <c r="B1087" s="1">
        <f>IFERROR(__xludf.DUMMYFUNCTION("""COMPUTED_VALUE"""),23860.0)</f>
        <v>23860</v>
      </c>
      <c r="C1087" s="1">
        <f>IFERROR(__xludf.DUMMYFUNCTION("""COMPUTED_VALUE"""),24040.0)</f>
        <v>24040</v>
      </c>
      <c r="D1087" s="1">
        <f>IFERROR(__xludf.DUMMYFUNCTION("""COMPUTED_VALUE"""),23020.0)</f>
        <v>23020</v>
      </c>
      <c r="E1087" s="1">
        <f>IFERROR(__xludf.DUMMYFUNCTION("""COMPUTED_VALUE"""),23260.0)</f>
        <v>23260</v>
      </c>
      <c r="F1087" s="1">
        <f>IFERROR(__xludf.DUMMYFUNCTION("""COMPUTED_VALUE"""),720250.0)</f>
        <v>720250</v>
      </c>
    </row>
    <row r="1088">
      <c r="A1088" s="2">
        <f>IFERROR(__xludf.DUMMYFUNCTION("""COMPUTED_VALUE"""),42157.64583333333)</f>
        <v>42157.64583</v>
      </c>
      <c r="B1088" s="1">
        <f>IFERROR(__xludf.DUMMYFUNCTION("""COMPUTED_VALUE"""),23040.0)</f>
        <v>23040</v>
      </c>
      <c r="C1088" s="1">
        <f>IFERROR(__xludf.DUMMYFUNCTION("""COMPUTED_VALUE"""),23200.0)</f>
        <v>23200</v>
      </c>
      <c r="D1088" s="1">
        <f>IFERROR(__xludf.DUMMYFUNCTION("""COMPUTED_VALUE"""),22320.0)</f>
        <v>22320</v>
      </c>
      <c r="E1088" s="1">
        <f>IFERROR(__xludf.DUMMYFUNCTION("""COMPUTED_VALUE"""),22320.0)</f>
        <v>22320</v>
      </c>
      <c r="F1088" s="1">
        <f>IFERROR(__xludf.DUMMYFUNCTION("""COMPUTED_VALUE"""),612457.0)</f>
        <v>612457</v>
      </c>
    </row>
    <row r="1089">
      <c r="A1089" s="2">
        <f>IFERROR(__xludf.DUMMYFUNCTION("""COMPUTED_VALUE"""),42158.64583333333)</f>
        <v>42158.64583</v>
      </c>
      <c r="B1089" s="1">
        <f>IFERROR(__xludf.DUMMYFUNCTION("""COMPUTED_VALUE"""),22320.0)</f>
        <v>22320</v>
      </c>
      <c r="C1089" s="1">
        <f>IFERROR(__xludf.DUMMYFUNCTION("""COMPUTED_VALUE"""),23020.0)</f>
        <v>23020</v>
      </c>
      <c r="D1089" s="1">
        <f>IFERROR(__xludf.DUMMYFUNCTION("""COMPUTED_VALUE"""),22240.0)</f>
        <v>22240</v>
      </c>
      <c r="E1089" s="1">
        <f>IFERROR(__xludf.DUMMYFUNCTION("""COMPUTED_VALUE"""),22360.0)</f>
        <v>22360</v>
      </c>
      <c r="F1089" s="1">
        <f>IFERROR(__xludf.DUMMYFUNCTION("""COMPUTED_VALUE"""),468001.0)</f>
        <v>468001</v>
      </c>
    </row>
    <row r="1090">
      <c r="A1090" s="2">
        <f>IFERROR(__xludf.DUMMYFUNCTION("""COMPUTED_VALUE"""),42159.64583333333)</f>
        <v>42159.64583</v>
      </c>
      <c r="B1090" s="1">
        <f>IFERROR(__xludf.DUMMYFUNCTION("""COMPUTED_VALUE"""),22400.0)</f>
        <v>22400</v>
      </c>
      <c r="C1090" s="1">
        <f>IFERROR(__xludf.DUMMYFUNCTION("""COMPUTED_VALUE"""),22880.0)</f>
        <v>22880</v>
      </c>
      <c r="D1090" s="1">
        <f>IFERROR(__xludf.DUMMYFUNCTION("""COMPUTED_VALUE"""),22400.0)</f>
        <v>22400</v>
      </c>
      <c r="E1090" s="1">
        <f>IFERROR(__xludf.DUMMYFUNCTION("""COMPUTED_VALUE"""),22780.0)</f>
        <v>22780</v>
      </c>
      <c r="F1090" s="1">
        <f>IFERROR(__xludf.DUMMYFUNCTION("""COMPUTED_VALUE"""),323384.0)</f>
        <v>323384</v>
      </c>
    </row>
    <row r="1091">
      <c r="A1091" s="2">
        <f>IFERROR(__xludf.DUMMYFUNCTION("""COMPUTED_VALUE"""),42160.64583333333)</f>
        <v>42160.64583</v>
      </c>
      <c r="B1091" s="1">
        <f>IFERROR(__xludf.DUMMYFUNCTION("""COMPUTED_VALUE"""),22400.0)</f>
        <v>22400</v>
      </c>
      <c r="C1091" s="1">
        <f>IFERROR(__xludf.DUMMYFUNCTION("""COMPUTED_VALUE"""),22820.0)</f>
        <v>22820</v>
      </c>
      <c r="D1091" s="1">
        <f>IFERROR(__xludf.DUMMYFUNCTION("""COMPUTED_VALUE"""),22120.0)</f>
        <v>22120</v>
      </c>
      <c r="E1091" s="1">
        <f>IFERROR(__xludf.DUMMYFUNCTION("""COMPUTED_VALUE"""),22140.0)</f>
        <v>22140</v>
      </c>
      <c r="F1091" s="1">
        <f>IFERROR(__xludf.DUMMYFUNCTION("""COMPUTED_VALUE"""),379878.0)</f>
        <v>379878</v>
      </c>
    </row>
    <row r="1092">
      <c r="A1092" s="2">
        <f>IFERROR(__xludf.DUMMYFUNCTION("""COMPUTED_VALUE"""),42163.64583333333)</f>
        <v>42163.64583</v>
      </c>
      <c r="B1092" s="1">
        <f>IFERROR(__xludf.DUMMYFUNCTION("""COMPUTED_VALUE"""),22320.0)</f>
        <v>22320</v>
      </c>
      <c r="C1092" s="1">
        <f>IFERROR(__xludf.DUMMYFUNCTION("""COMPUTED_VALUE"""),23080.0)</f>
        <v>23080</v>
      </c>
      <c r="D1092" s="1">
        <f>IFERROR(__xludf.DUMMYFUNCTION("""COMPUTED_VALUE"""),22140.0)</f>
        <v>22140</v>
      </c>
      <c r="E1092" s="1">
        <f>IFERROR(__xludf.DUMMYFUNCTION("""COMPUTED_VALUE"""),22840.0)</f>
        <v>22840</v>
      </c>
      <c r="F1092" s="1">
        <f>IFERROR(__xludf.DUMMYFUNCTION("""COMPUTED_VALUE"""),435705.0)</f>
        <v>435705</v>
      </c>
    </row>
    <row r="1093">
      <c r="A1093" s="2">
        <f>IFERROR(__xludf.DUMMYFUNCTION("""COMPUTED_VALUE"""),42164.64583333333)</f>
        <v>42164.64583</v>
      </c>
      <c r="B1093" s="1">
        <f>IFERROR(__xludf.DUMMYFUNCTION("""COMPUTED_VALUE"""),23120.0)</f>
        <v>23120</v>
      </c>
      <c r="C1093" s="1">
        <f>IFERROR(__xludf.DUMMYFUNCTION("""COMPUTED_VALUE"""),23720.0)</f>
        <v>23720</v>
      </c>
      <c r="D1093" s="1">
        <f>IFERROR(__xludf.DUMMYFUNCTION("""COMPUTED_VALUE"""),23080.0)</f>
        <v>23080</v>
      </c>
      <c r="E1093" s="1">
        <f>IFERROR(__xludf.DUMMYFUNCTION("""COMPUTED_VALUE"""),23400.0)</f>
        <v>23400</v>
      </c>
      <c r="F1093" s="1">
        <f>IFERROR(__xludf.DUMMYFUNCTION("""COMPUTED_VALUE"""),790908.0)</f>
        <v>790908</v>
      </c>
    </row>
    <row r="1094">
      <c r="A1094" s="2">
        <f>IFERROR(__xludf.DUMMYFUNCTION("""COMPUTED_VALUE"""),42165.64583333333)</f>
        <v>42165.64583</v>
      </c>
      <c r="B1094" s="1">
        <f>IFERROR(__xludf.DUMMYFUNCTION("""COMPUTED_VALUE"""),23660.0)</f>
        <v>23660</v>
      </c>
      <c r="C1094" s="1">
        <f>IFERROR(__xludf.DUMMYFUNCTION("""COMPUTED_VALUE"""),23920.0)</f>
        <v>23920</v>
      </c>
      <c r="D1094" s="1">
        <f>IFERROR(__xludf.DUMMYFUNCTION("""COMPUTED_VALUE"""),23020.0)</f>
        <v>23020</v>
      </c>
      <c r="E1094" s="1">
        <f>IFERROR(__xludf.DUMMYFUNCTION("""COMPUTED_VALUE"""),23200.0)</f>
        <v>23200</v>
      </c>
      <c r="F1094" s="1">
        <f>IFERROR(__xludf.DUMMYFUNCTION("""COMPUTED_VALUE"""),639825.0)</f>
        <v>639825</v>
      </c>
    </row>
    <row r="1095">
      <c r="A1095" s="2">
        <f>IFERROR(__xludf.DUMMYFUNCTION("""COMPUTED_VALUE"""),42166.64583333333)</f>
        <v>42166.64583</v>
      </c>
      <c r="B1095" s="1">
        <f>IFERROR(__xludf.DUMMYFUNCTION("""COMPUTED_VALUE"""),23540.0)</f>
        <v>23540</v>
      </c>
      <c r="C1095" s="1">
        <f>IFERROR(__xludf.DUMMYFUNCTION("""COMPUTED_VALUE"""),23700.0)</f>
        <v>23700</v>
      </c>
      <c r="D1095" s="1">
        <f>IFERROR(__xludf.DUMMYFUNCTION("""COMPUTED_VALUE"""),22900.0)</f>
        <v>22900</v>
      </c>
      <c r="E1095" s="1">
        <f>IFERROR(__xludf.DUMMYFUNCTION("""COMPUTED_VALUE"""),22900.0)</f>
        <v>22900</v>
      </c>
      <c r="F1095" s="1">
        <f>IFERROR(__xludf.DUMMYFUNCTION("""COMPUTED_VALUE"""),464246.0)</f>
        <v>464246</v>
      </c>
    </row>
    <row r="1096">
      <c r="A1096" s="2">
        <f>IFERROR(__xludf.DUMMYFUNCTION("""COMPUTED_VALUE"""),42167.64583333333)</f>
        <v>42167.64583</v>
      </c>
      <c r="B1096" s="1">
        <f>IFERROR(__xludf.DUMMYFUNCTION("""COMPUTED_VALUE"""),22760.0)</f>
        <v>22760</v>
      </c>
      <c r="C1096" s="1">
        <f>IFERROR(__xludf.DUMMYFUNCTION("""COMPUTED_VALUE"""),22940.0)</f>
        <v>22940</v>
      </c>
      <c r="D1096" s="1">
        <f>IFERROR(__xludf.DUMMYFUNCTION("""COMPUTED_VALUE"""),21960.0)</f>
        <v>21960</v>
      </c>
      <c r="E1096" s="1">
        <f>IFERROR(__xludf.DUMMYFUNCTION("""COMPUTED_VALUE"""),22160.0)</f>
        <v>22160</v>
      </c>
      <c r="F1096" s="1">
        <f>IFERROR(__xludf.DUMMYFUNCTION("""COMPUTED_VALUE"""),669117.0)</f>
        <v>669117</v>
      </c>
    </row>
    <row r="1097">
      <c r="A1097" s="2">
        <f>IFERROR(__xludf.DUMMYFUNCTION("""COMPUTED_VALUE"""),42170.64583333333)</f>
        <v>42170.64583</v>
      </c>
      <c r="B1097" s="1">
        <f>IFERROR(__xludf.DUMMYFUNCTION("""COMPUTED_VALUE"""),21840.0)</f>
        <v>21840</v>
      </c>
      <c r="C1097" s="1">
        <f>IFERROR(__xludf.DUMMYFUNCTION("""COMPUTED_VALUE"""),22100.0)</f>
        <v>22100</v>
      </c>
      <c r="D1097" s="1">
        <f>IFERROR(__xludf.DUMMYFUNCTION("""COMPUTED_VALUE"""),21000.0)</f>
        <v>21000</v>
      </c>
      <c r="E1097" s="1">
        <f>IFERROR(__xludf.DUMMYFUNCTION("""COMPUTED_VALUE"""),21120.0)</f>
        <v>21120</v>
      </c>
      <c r="F1097" s="1">
        <f>IFERROR(__xludf.DUMMYFUNCTION("""COMPUTED_VALUE"""),639238.0)</f>
        <v>639238</v>
      </c>
    </row>
    <row r="1098">
      <c r="A1098" s="2">
        <f>IFERROR(__xludf.DUMMYFUNCTION("""COMPUTED_VALUE"""),42171.64583333333)</f>
        <v>42171.64583</v>
      </c>
      <c r="B1098" s="1">
        <f>IFERROR(__xludf.DUMMYFUNCTION("""COMPUTED_VALUE"""),21000.0)</f>
        <v>21000</v>
      </c>
      <c r="C1098" s="1">
        <f>IFERROR(__xludf.DUMMYFUNCTION("""COMPUTED_VALUE"""),21920.0)</f>
        <v>21920</v>
      </c>
      <c r="D1098" s="1">
        <f>IFERROR(__xludf.DUMMYFUNCTION("""COMPUTED_VALUE"""),19960.0)</f>
        <v>19960</v>
      </c>
      <c r="E1098" s="1">
        <f>IFERROR(__xludf.DUMMYFUNCTION("""COMPUTED_VALUE"""),20340.0)</f>
        <v>20340</v>
      </c>
      <c r="F1098" s="1">
        <f>IFERROR(__xludf.DUMMYFUNCTION("""COMPUTED_VALUE"""),1319340.0)</f>
        <v>1319340</v>
      </c>
    </row>
    <row r="1099">
      <c r="A1099" s="2">
        <f>IFERROR(__xludf.DUMMYFUNCTION("""COMPUTED_VALUE"""),42172.64583333333)</f>
        <v>42172.64583</v>
      </c>
      <c r="B1099" s="1">
        <f>IFERROR(__xludf.DUMMYFUNCTION("""COMPUTED_VALUE"""),20240.0)</f>
        <v>20240</v>
      </c>
      <c r="C1099" s="1">
        <f>IFERROR(__xludf.DUMMYFUNCTION("""COMPUTED_VALUE"""),21360.0)</f>
        <v>21360</v>
      </c>
      <c r="D1099" s="1">
        <f>IFERROR(__xludf.DUMMYFUNCTION("""COMPUTED_VALUE"""),20160.0)</f>
        <v>20160</v>
      </c>
      <c r="E1099" s="1">
        <f>IFERROR(__xludf.DUMMYFUNCTION("""COMPUTED_VALUE"""),21280.0)</f>
        <v>21280</v>
      </c>
      <c r="F1099" s="1">
        <f>IFERROR(__xludf.DUMMYFUNCTION("""COMPUTED_VALUE"""),725826.0)</f>
        <v>725826</v>
      </c>
    </row>
    <row r="1100">
      <c r="A1100" s="2">
        <f>IFERROR(__xludf.DUMMYFUNCTION("""COMPUTED_VALUE"""),42173.64583333333)</f>
        <v>42173.64583</v>
      </c>
      <c r="B1100" s="1">
        <f>IFERROR(__xludf.DUMMYFUNCTION("""COMPUTED_VALUE"""),21400.0)</f>
        <v>21400</v>
      </c>
      <c r="C1100" s="1">
        <f>IFERROR(__xludf.DUMMYFUNCTION("""COMPUTED_VALUE"""),21420.0)</f>
        <v>21420</v>
      </c>
      <c r="D1100" s="1">
        <f>IFERROR(__xludf.DUMMYFUNCTION("""COMPUTED_VALUE"""),20880.0)</f>
        <v>20880</v>
      </c>
      <c r="E1100" s="1">
        <f>IFERROR(__xludf.DUMMYFUNCTION("""COMPUTED_VALUE"""),21000.0)</f>
        <v>21000</v>
      </c>
      <c r="F1100" s="1">
        <f>IFERROR(__xludf.DUMMYFUNCTION("""COMPUTED_VALUE"""),384281.0)</f>
        <v>384281</v>
      </c>
    </row>
    <row r="1101">
      <c r="A1101" s="2">
        <f>IFERROR(__xludf.DUMMYFUNCTION("""COMPUTED_VALUE"""),42174.64583333333)</f>
        <v>42174.64583</v>
      </c>
      <c r="B1101" s="1">
        <f>IFERROR(__xludf.DUMMYFUNCTION("""COMPUTED_VALUE"""),21640.0)</f>
        <v>21640</v>
      </c>
      <c r="C1101" s="1">
        <f>IFERROR(__xludf.DUMMYFUNCTION("""COMPUTED_VALUE"""),21860.0)</f>
        <v>21860</v>
      </c>
      <c r="D1101" s="1">
        <f>IFERROR(__xludf.DUMMYFUNCTION("""COMPUTED_VALUE"""),21300.0)</f>
        <v>21300</v>
      </c>
      <c r="E1101" s="1">
        <f>IFERROR(__xludf.DUMMYFUNCTION("""COMPUTED_VALUE"""),21560.0)</f>
        <v>21560</v>
      </c>
      <c r="F1101" s="1">
        <f>IFERROR(__xludf.DUMMYFUNCTION("""COMPUTED_VALUE"""),346862.0)</f>
        <v>346862</v>
      </c>
    </row>
    <row r="1102">
      <c r="A1102" s="2">
        <f>IFERROR(__xludf.DUMMYFUNCTION("""COMPUTED_VALUE"""),42177.64583333333)</f>
        <v>42177.64583</v>
      </c>
      <c r="B1102" s="1">
        <f>IFERROR(__xludf.DUMMYFUNCTION("""COMPUTED_VALUE"""),21640.0)</f>
        <v>21640</v>
      </c>
      <c r="C1102" s="1">
        <f>IFERROR(__xludf.DUMMYFUNCTION("""COMPUTED_VALUE"""),21880.0)</f>
        <v>21880</v>
      </c>
      <c r="D1102" s="1">
        <f>IFERROR(__xludf.DUMMYFUNCTION("""COMPUTED_VALUE"""),21220.0)</f>
        <v>21220</v>
      </c>
      <c r="E1102" s="1">
        <f>IFERROR(__xludf.DUMMYFUNCTION("""COMPUTED_VALUE"""),21320.0)</f>
        <v>21320</v>
      </c>
      <c r="F1102" s="1">
        <f>IFERROR(__xludf.DUMMYFUNCTION("""COMPUTED_VALUE"""),249642.0)</f>
        <v>249642</v>
      </c>
    </row>
    <row r="1103">
      <c r="A1103" s="2">
        <f>IFERROR(__xludf.DUMMYFUNCTION("""COMPUTED_VALUE"""),42178.64583333333)</f>
        <v>42178.64583</v>
      </c>
      <c r="B1103" s="1">
        <f>IFERROR(__xludf.DUMMYFUNCTION("""COMPUTED_VALUE"""),21700.0)</f>
        <v>21700</v>
      </c>
      <c r="C1103" s="1">
        <f>IFERROR(__xludf.DUMMYFUNCTION("""COMPUTED_VALUE"""),21700.0)</f>
        <v>21700</v>
      </c>
      <c r="D1103" s="1">
        <f>IFERROR(__xludf.DUMMYFUNCTION("""COMPUTED_VALUE"""),21320.0)</f>
        <v>21320</v>
      </c>
      <c r="E1103" s="1">
        <f>IFERROR(__xludf.DUMMYFUNCTION("""COMPUTED_VALUE"""),21400.0)</f>
        <v>21400</v>
      </c>
      <c r="F1103" s="1">
        <f>IFERROR(__xludf.DUMMYFUNCTION("""COMPUTED_VALUE"""),239791.0)</f>
        <v>239791</v>
      </c>
    </row>
    <row r="1104">
      <c r="A1104" s="2">
        <f>IFERROR(__xludf.DUMMYFUNCTION("""COMPUTED_VALUE"""),42179.64583333333)</f>
        <v>42179.64583</v>
      </c>
      <c r="B1104" s="1">
        <f>IFERROR(__xludf.DUMMYFUNCTION("""COMPUTED_VALUE"""),21460.0)</f>
        <v>21460</v>
      </c>
      <c r="C1104" s="1">
        <f>IFERROR(__xludf.DUMMYFUNCTION("""COMPUTED_VALUE"""),23100.0)</f>
        <v>23100</v>
      </c>
      <c r="D1104" s="1">
        <f>IFERROR(__xludf.DUMMYFUNCTION("""COMPUTED_VALUE"""),21460.0)</f>
        <v>21460</v>
      </c>
      <c r="E1104" s="1">
        <f>IFERROR(__xludf.DUMMYFUNCTION("""COMPUTED_VALUE"""),22860.0)</f>
        <v>22860</v>
      </c>
      <c r="F1104" s="1">
        <f>IFERROR(__xludf.DUMMYFUNCTION("""COMPUTED_VALUE"""),1175034.0)</f>
        <v>1175034</v>
      </c>
    </row>
    <row r="1105">
      <c r="A1105" s="2">
        <f>IFERROR(__xludf.DUMMYFUNCTION("""COMPUTED_VALUE"""),42180.64583333333)</f>
        <v>42180.64583</v>
      </c>
      <c r="B1105" s="1">
        <f>IFERROR(__xludf.DUMMYFUNCTION("""COMPUTED_VALUE"""),23600.0)</f>
        <v>23600</v>
      </c>
      <c r="C1105" s="1">
        <f>IFERROR(__xludf.DUMMYFUNCTION("""COMPUTED_VALUE"""),24080.0)</f>
        <v>24080</v>
      </c>
      <c r="D1105" s="1">
        <f>IFERROR(__xludf.DUMMYFUNCTION("""COMPUTED_VALUE"""),23420.0)</f>
        <v>23420</v>
      </c>
      <c r="E1105" s="1">
        <f>IFERROR(__xludf.DUMMYFUNCTION("""COMPUTED_VALUE"""),23960.0)</f>
        <v>23960</v>
      </c>
      <c r="F1105" s="1">
        <f>IFERROR(__xludf.DUMMYFUNCTION("""COMPUTED_VALUE"""),1801342.0)</f>
        <v>1801342</v>
      </c>
    </row>
    <row r="1106">
      <c r="A1106" s="2">
        <f>IFERROR(__xludf.DUMMYFUNCTION("""COMPUTED_VALUE"""),42181.64583333333)</f>
        <v>42181.64583</v>
      </c>
      <c r="B1106" s="1">
        <f>IFERROR(__xludf.DUMMYFUNCTION("""COMPUTED_VALUE"""),24100.0)</f>
        <v>24100</v>
      </c>
      <c r="C1106" s="1">
        <f>IFERROR(__xludf.DUMMYFUNCTION("""COMPUTED_VALUE"""),25240.0)</f>
        <v>25240</v>
      </c>
      <c r="D1106" s="1">
        <f>IFERROR(__xludf.DUMMYFUNCTION("""COMPUTED_VALUE"""),23800.0)</f>
        <v>23800</v>
      </c>
      <c r="E1106" s="1">
        <f>IFERROR(__xludf.DUMMYFUNCTION("""COMPUTED_VALUE"""),24700.0)</f>
        <v>24700</v>
      </c>
      <c r="F1106" s="1">
        <f>IFERROR(__xludf.DUMMYFUNCTION("""COMPUTED_VALUE"""),1914367.0)</f>
        <v>1914367</v>
      </c>
    </row>
    <row r="1107">
      <c r="A1107" s="2">
        <f>IFERROR(__xludf.DUMMYFUNCTION("""COMPUTED_VALUE"""),42184.64583333333)</f>
        <v>42184.64583</v>
      </c>
      <c r="B1107" s="1">
        <f>IFERROR(__xludf.DUMMYFUNCTION("""COMPUTED_VALUE"""),24280.0)</f>
        <v>24280</v>
      </c>
      <c r="C1107" s="1">
        <f>IFERROR(__xludf.DUMMYFUNCTION("""COMPUTED_VALUE"""),25700.0)</f>
        <v>25700</v>
      </c>
      <c r="D1107" s="1">
        <f>IFERROR(__xludf.DUMMYFUNCTION("""COMPUTED_VALUE"""),24280.0)</f>
        <v>24280</v>
      </c>
      <c r="E1107" s="1">
        <f>IFERROR(__xludf.DUMMYFUNCTION("""COMPUTED_VALUE"""),25200.0)</f>
        <v>25200</v>
      </c>
      <c r="F1107" s="1">
        <f>IFERROR(__xludf.DUMMYFUNCTION("""COMPUTED_VALUE"""),1532599.0)</f>
        <v>1532599</v>
      </c>
    </row>
    <row r="1108">
      <c r="A1108" s="2">
        <f>IFERROR(__xludf.DUMMYFUNCTION("""COMPUTED_VALUE"""),42185.64583333333)</f>
        <v>42185.64583</v>
      </c>
      <c r="B1108" s="1">
        <f>IFERROR(__xludf.DUMMYFUNCTION("""COMPUTED_VALUE"""),25600.0)</f>
        <v>25600</v>
      </c>
      <c r="C1108" s="1">
        <f>IFERROR(__xludf.DUMMYFUNCTION("""COMPUTED_VALUE"""),25740.0)</f>
        <v>25740</v>
      </c>
      <c r="D1108" s="1">
        <f>IFERROR(__xludf.DUMMYFUNCTION("""COMPUTED_VALUE"""),24500.0)</f>
        <v>24500</v>
      </c>
      <c r="E1108" s="1">
        <f>IFERROR(__xludf.DUMMYFUNCTION("""COMPUTED_VALUE"""),25240.0)</f>
        <v>25240</v>
      </c>
      <c r="F1108" s="1">
        <f>IFERROR(__xludf.DUMMYFUNCTION("""COMPUTED_VALUE"""),1054191.0)</f>
        <v>1054191</v>
      </c>
    </row>
    <row r="1109">
      <c r="A1109" s="2">
        <f>IFERROR(__xludf.DUMMYFUNCTION("""COMPUTED_VALUE"""),42186.64583333333)</f>
        <v>42186.64583</v>
      </c>
      <c r="B1109" s="1">
        <f>IFERROR(__xludf.DUMMYFUNCTION("""COMPUTED_VALUE"""),25660.0)</f>
        <v>25660</v>
      </c>
      <c r="C1109" s="1">
        <f>IFERROR(__xludf.DUMMYFUNCTION("""COMPUTED_VALUE"""),27920.0)</f>
        <v>27920</v>
      </c>
      <c r="D1109" s="1">
        <f>IFERROR(__xludf.DUMMYFUNCTION("""COMPUTED_VALUE"""),25620.0)</f>
        <v>25620</v>
      </c>
      <c r="E1109" s="1">
        <f>IFERROR(__xludf.DUMMYFUNCTION("""COMPUTED_VALUE"""),27320.0)</f>
        <v>27320</v>
      </c>
      <c r="F1109" s="1">
        <f>IFERROR(__xludf.DUMMYFUNCTION("""COMPUTED_VALUE"""),2931964.0)</f>
        <v>2931964</v>
      </c>
    </row>
    <row r="1110">
      <c r="A1110" s="2">
        <f>IFERROR(__xludf.DUMMYFUNCTION("""COMPUTED_VALUE"""),42187.64583333333)</f>
        <v>42187.64583</v>
      </c>
      <c r="B1110" s="1">
        <f>IFERROR(__xludf.DUMMYFUNCTION("""COMPUTED_VALUE"""),27800.0)</f>
        <v>27800</v>
      </c>
      <c r="C1110" s="1">
        <f>IFERROR(__xludf.DUMMYFUNCTION("""COMPUTED_VALUE"""),28300.0)</f>
        <v>28300</v>
      </c>
      <c r="D1110" s="1">
        <f>IFERROR(__xludf.DUMMYFUNCTION("""COMPUTED_VALUE"""),27180.0)</f>
        <v>27180</v>
      </c>
      <c r="E1110" s="1">
        <f>IFERROR(__xludf.DUMMYFUNCTION("""COMPUTED_VALUE"""),27660.0)</f>
        <v>27660</v>
      </c>
      <c r="F1110" s="1">
        <f>IFERROR(__xludf.DUMMYFUNCTION("""COMPUTED_VALUE"""),1564411.0)</f>
        <v>1564411</v>
      </c>
    </row>
    <row r="1111">
      <c r="A1111" s="2">
        <f>IFERROR(__xludf.DUMMYFUNCTION("""COMPUTED_VALUE"""),42188.64583333333)</f>
        <v>42188.64583</v>
      </c>
      <c r="B1111" s="1">
        <f>IFERROR(__xludf.DUMMYFUNCTION("""COMPUTED_VALUE"""),27740.0)</f>
        <v>27740</v>
      </c>
      <c r="C1111" s="1">
        <f>IFERROR(__xludf.DUMMYFUNCTION("""COMPUTED_VALUE"""),27940.0)</f>
        <v>27940</v>
      </c>
      <c r="D1111" s="1">
        <f>IFERROR(__xludf.DUMMYFUNCTION("""COMPUTED_VALUE"""),26920.0)</f>
        <v>26920</v>
      </c>
      <c r="E1111" s="1">
        <f>IFERROR(__xludf.DUMMYFUNCTION("""COMPUTED_VALUE"""),27840.0)</f>
        <v>27840</v>
      </c>
      <c r="F1111" s="1">
        <f>IFERROR(__xludf.DUMMYFUNCTION("""COMPUTED_VALUE"""),1039196.0)</f>
        <v>1039196</v>
      </c>
    </row>
    <row r="1112">
      <c r="A1112" s="2">
        <f>IFERROR(__xludf.DUMMYFUNCTION("""COMPUTED_VALUE"""),42191.64583333333)</f>
        <v>42191.64583</v>
      </c>
      <c r="B1112" s="1">
        <f>IFERROR(__xludf.DUMMYFUNCTION("""COMPUTED_VALUE"""),27500.0)</f>
        <v>27500</v>
      </c>
      <c r="C1112" s="1">
        <f>IFERROR(__xludf.DUMMYFUNCTION("""COMPUTED_VALUE"""),29040.0)</f>
        <v>29040</v>
      </c>
      <c r="D1112" s="1">
        <f>IFERROR(__xludf.DUMMYFUNCTION("""COMPUTED_VALUE"""),27420.0)</f>
        <v>27420</v>
      </c>
      <c r="E1112" s="1">
        <f>IFERROR(__xludf.DUMMYFUNCTION("""COMPUTED_VALUE"""),27600.0)</f>
        <v>27600</v>
      </c>
      <c r="F1112" s="1">
        <f>IFERROR(__xludf.DUMMYFUNCTION("""COMPUTED_VALUE"""),1354183.0)</f>
        <v>1354183</v>
      </c>
    </row>
    <row r="1113">
      <c r="A1113" s="2">
        <f>IFERROR(__xludf.DUMMYFUNCTION("""COMPUTED_VALUE"""),42192.64583333333)</f>
        <v>42192.64583</v>
      </c>
      <c r="B1113" s="1">
        <f>IFERROR(__xludf.DUMMYFUNCTION("""COMPUTED_VALUE"""),28400.0)</f>
        <v>28400</v>
      </c>
      <c r="C1113" s="1">
        <f>IFERROR(__xludf.DUMMYFUNCTION("""COMPUTED_VALUE"""),28680.0)</f>
        <v>28680</v>
      </c>
      <c r="D1113" s="1">
        <f>IFERROR(__xludf.DUMMYFUNCTION("""COMPUTED_VALUE"""),26600.0)</f>
        <v>26600</v>
      </c>
      <c r="E1113" s="1">
        <f>IFERROR(__xludf.DUMMYFUNCTION("""COMPUTED_VALUE"""),27680.0)</f>
        <v>27680</v>
      </c>
      <c r="F1113" s="1">
        <f>IFERROR(__xludf.DUMMYFUNCTION("""COMPUTED_VALUE"""),1400854.0)</f>
        <v>1400854</v>
      </c>
    </row>
    <row r="1114">
      <c r="A1114" s="2">
        <f>IFERROR(__xludf.DUMMYFUNCTION("""COMPUTED_VALUE"""),42193.64583333333)</f>
        <v>42193.64583</v>
      </c>
      <c r="B1114" s="1">
        <f>IFERROR(__xludf.DUMMYFUNCTION("""COMPUTED_VALUE"""),28240.0)</f>
        <v>28240</v>
      </c>
      <c r="C1114" s="1">
        <f>IFERROR(__xludf.DUMMYFUNCTION("""COMPUTED_VALUE"""),28380.0)</f>
        <v>28380</v>
      </c>
      <c r="D1114" s="1">
        <f>IFERROR(__xludf.DUMMYFUNCTION("""COMPUTED_VALUE"""),27400.0)</f>
        <v>27400</v>
      </c>
      <c r="E1114" s="1">
        <f>IFERROR(__xludf.DUMMYFUNCTION("""COMPUTED_VALUE"""),27620.0)</f>
        <v>27620</v>
      </c>
      <c r="F1114" s="1">
        <f>IFERROR(__xludf.DUMMYFUNCTION("""COMPUTED_VALUE"""),838502.0)</f>
        <v>838502</v>
      </c>
    </row>
    <row r="1115">
      <c r="A1115" s="2">
        <f>IFERROR(__xludf.DUMMYFUNCTION("""COMPUTED_VALUE"""),42194.64583333333)</f>
        <v>42194.64583</v>
      </c>
      <c r="B1115" s="1">
        <f>IFERROR(__xludf.DUMMYFUNCTION("""COMPUTED_VALUE"""),27240.0)</f>
        <v>27240</v>
      </c>
      <c r="C1115" s="1">
        <f>IFERROR(__xludf.DUMMYFUNCTION("""COMPUTED_VALUE"""),27480.0)</f>
        <v>27480</v>
      </c>
      <c r="D1115" s="1">
        <f>IFERROR(__xludf.DUMMYFUNCTION("""COMPUTED_VALUE"""),25500.0)</f>
        <v>25500</v>
      </c>
      <c r="E1115" s="1">
        <f>IFERROR(__xludf.DUMMYFUNCTION("""COMPUTED_VALUE"""),26260.0)</f>
        <v>26260</v>
      </c>
      <c r="F1115" s="1">
        <f>IFERROR(__xludf.DUMMYFUNCTION("""COMPUTED_VALUE"""),2046524.0)</f>
        <v>2046524</v>
      </c>
    </row>
    <row r="1116">
      <c r="A1116" s="2">
        <f>IFERROR(__xludf.DUMMYFUNCTION("""COMPUTED_VALUE"""),42195.64583333333)</f>
        <v>42195.64583</v>
      </c>
      <c r="B1116" s="1">
        <f>IFERROR(__xludf.DUMMYFUNCTION("""COMPUTED_VALUE"""),26300.0)</f>
        <v>26300</v>
      </c>
      <c r="C1116" s="1">
        <f>IFERROR(__xludf.DUMMYFUNCTION("""COMPUTED_VALUE"""),27040.0)</f>
        <v>27040</v>
      </c>
      <c r="D1116" s="1">
        <f>IFERROR(__xludf.DUMMYFUNCTION("""COMPUTED_VALUE"""),25700.0)</f>
        <v>25700</v>
      </c>
      <c r="E1116" s="1">
        <f>IFERROR(__xludf.DUMMYFUNCTION("""COMPUTED_VALUE"""),26100.0)</f>
        <v>26100</v>
      </c>
      <c r="F1116" s="1">
        <f>IFERROR(__xludf.DUMMYFUNCTION("""COMPUTED_VALUE"""),942866.0)</f>
        <v>942866</v>
      </c>
    </row>
    <row r="1117">
      <c r="A1117" s="2">
        <f>IFERROR(__xludf.DUMMYFUNCTION("""COMPUTED_VALUE"""),42198.64583333333)</f>
        <v>42198.64583</v>
      </c>
      <c r="B1117" s="1">
        <f>IFERROR(__xludf.DUMMYFUNCTION("""COMPUTED_VALUE"""),26100.0)</f>
        <v>26100</v>
      </c>
      <c r="C1117" s="1">
        <f>IFERROR(__xludf.DUMMYFUNCTION("""COMPUTED_VALUE"""),26980.0)</f>
        <v>26980</v>
      </c>
      <c r="D1117" s="1">
        <f>IFERROR(__xludf.DUMMYFUNCTION("""COMPUTED_VALUE"""),25860.0)</f>
        <v>25860</v>
      </c>
      <c r="E1117" s="1">
        <f>IFERROR(__xludf.DUMMYFUNCTION("""COMPUTED_VALUE"""),26960.0)</f>
        <v>26960</v>
      </c>
      <c r="F1117" s="1">
        <f>IFERROR(__xludf.DUMMYFUNCTION("""COMPUTED_VALUE"""),712769.0)</f>
        <v>712769</v>
      </c>
    </row>
    <row r="1118">
      <c r="A1118" s="2">
        <f>IFERROR(__xludf.DUMMYFUNCTION("""COMPUTED_VALUE"""),42199.64583333333)</f>
        <v>42199.64583</v>
      </c>
      <c r="B1118" s="1">
        <f>IFERROR(__xludf.DUMMYFUNCTION("""COMPUTED_VALUE"""),27220.0)</f>
        <v>27220</v>
      </c>
      <c r="C1118" s="1">
        <f>IFERROR(__xludf.DUMMYFUNCTION("""COMPUTED_VALUE"""),27280.0)</f>
        <v>27280</v>
      </c>
      <c r="D1118" s="1">
        <f>IFERROR(__xludf.DUMMYFUNCTION("""COMPUTED_VALUE"""),26420.0)</f>
        <v>26420</v>
      </c>
      <c r="E1118" s="1">
        <f>IFERROR(__xludf.DUMMYFUNCTION("""COMPUTED_VALUE"""),26520.0)</f>
        <v>26520</v>
      </c>
      <c r="F1118" s="1">
        <f>IFERROR(__xludf.DUMMYFUNCTION("""COMPUTED_VALUE"""),532595.0)</f>
        <v>532595</v>
      </c>
    </row>
    <row r="1119">
      <c r="A1119" s="2">
        <f>IFERROR(__xludf.DUMMYFUNCTION("""COMPUTED_VALUE"""),42200.64583333333)</f>
        <v>42200.64583</v>
      </c>
      <c r="B1119" s="1">
        <f>IFERROR(__xludf.DUMMYFUNCTION("""COMPUTED_VALUE"""),26700.0)</f>
        <v>26700</v>
      </c>
      <c r="C1119" s="1">
        <f>IFERROR(__xludf.DUMMYFUNCTION("""COMPUTED_VALUE"""),26940.0)</f>
        <v>26940</v>
      </c>
      <c r="D1119" s="1">
        <f>IFERROR(__xludf.DUMMYFUNCTION("""COMPUTED_VALUE"""),25960.0)</f>
        <v>25960</v>
      </c>
      <c r="E1119" s="1">
        <f>IFERROR(__xludf.DUMMYFUNCTION("""COMPUTED_VALUE"""),26040.0)</f>
        <v>26040</v>
      </c>
      <c r="F1119" s="1">
        <f>IFERROR(__xludf.DUMMYFUNCTION("""COMPUTED_VALUE"""),720192.0)</f>
        <v>720192</v>
      </c>
    </row>
    <row r="1120">
      <c r="A1120" s="2">
        <f>IFERROR(__xludf.DUMMYFUNCTION("""COMPUTED_VALUE"""),42201.64583333333)</f>
        <v>42201.64583</v>
      </c>
      <c r="B1120" s="1">
        <f>IFERROR(__xludf.DUMMYFUNCTION("""COMPUTED_VALUE"""),26100.0)</f>
        <v>26100</v>
      </c>
      <c r="C1120" s="1">
        <f>IFERROR(__xludf.DUMMYFUNCTION("""COMPUTED_VALUE"""),27760.0)</f>
        <v>27760</v>
      </c>
      <c r="D1120" s="1">
        <f>IFERROR(__xludf.DUMMYFUNCTION("""COMPUTED_VALUE"""),25660.0)</f>
        <v>25660</v>
      </c>
      <c r="E1120" s="1">
        <f>IFERROR(__xludf.DUMMYFUNCTION("""COMPUTED_VALUE"""),27620.0)</f>
        <v>27620</v>
      </c>
      <c r="F1120" s="1">
        <f>IFERROR(__xludf.DUMMYFUNCTION("""COMPUTED_VALUE"""),1063184.0)</f>
        <v>1063184</v>
      </c>
    </row>
    <row r="1121">
      <c r="A1121" s="2">
        <f>IFERROR(__xludf.DUMMYFUNCTION("""COMPUTED_VALUE"""),42202.64583333333)</f>
        <v>42202.64583</v>
      </c>
      <c r="B1121" s="1">
        <f>IFERROR(__xludf.DUMMYFUNCTION("""COMPUTED_VALUE"""),28100.0)</f>
        <v>28100</v>
      </c>
      <c r="C1121" s="1">
        <f>IFERROR(__xludf.DUMMYFUNCTION("""COMPUTED_VALUE"""),28260.0)</f>
        <v>28260</v>
      </c>
      <c r="D1121" s="1">
        <f>IFERROR(__xludf.DUMMYFUNCTION("""COMPUTED_VALUE"""),27300.0)</f>
        <v>27300</v>
      </c>
      <c r="E1121" s="1">
        <f>IFERROR(__xludf.DUMMYFUNCTION("""COMPUTED_VALUE"""),27900.0)</f>
        <v>27900</v>
      </c>
      <c r="F1121" s="1">
        <f>IFERROR(__xludf.DUMMYFUNCTION("""COMPUTED_VALUE"""),1195533.0)</f>
        <v>1195533</v>
      </c>
    </row>
    <row r="1122">
      <c r="A1122" s="2">
        <f>IFERROR(__xludf.DUMMYFUNCTION("""COMPUTED_VALUE"""),42205.64583333333)</f>
        <v>42205.64583</v>
      </c>
      <c r="B1122" s="1">
        <f>IFERROR(__xludf.DUMMYFUNCTION("""COMPUTED_VALUE"""),28080.0)</f>
        <v>28080</v>
      </c>
      <c r="C1122" s="1">
        <f>IFERROR(__xludf.DUMMYFUNCTION("""COMPUTED_VALUE"""),28320.0)</f>
        <v>28320</v>
      </c>
      <c r="D1122" s="1">
        <f>IFERROR(__xludf.DUMMYFUNCTION("""COMPUTED_VALUE"""),27140.0)</f>
        <v>27140</v>
      </c>
      <c r="E1122" s="1">
        <f>IFERROR(__xludf.DUMMYFUNCTION("""COMPUTED_VALUE"""),27160.0)</f>
        <v>27160</v>
      </c>
      <c r="F1122" s="1">
        <f>IFERROR(__xludf.DUMMYFUNCTION("""COMPUTED_VALUE"""),771215.0)</f>
        <v>771215</v>
      </c>
    </row>
    <row r="1123">
      <c r="A1123" s="2">
        <f>IFERROR(__xludf.DUMMYFUNCTION("""COMPUTED_VALUE"""),42206.64583333333)</f>
        <v>42206.64583</v>
      </c>
      <c r="B1123" s="1">
        <f>IFERROR(__xludf.DUMMYFUNCTION("""COMPUTED_VALUE"""),27040.0)</f>
        <v>27040</v>
      </c>
      <c r="C1123" s="1">
        <f>IFERROR(__xludf.DUMMYFUNCTION("""COMPUTED_VALUE"""),27060.0)</f>
        <v>27060</v>
      </c>
      <c r="D1123" s="1">
        <f>IFERROR(__xludf.DUMMYFUNCTION("""COMPUTED_VALUE"""),26140.0)</f>
        <v>26140</v>
      </c>
      <c r="E1123" s="1">
        <f>IFERROR(__xludf.DUMMYFUNCTION("""COMPUTED_VALUE"""),26240.0)</f>
        <v>26240</v>
      </c>
      <c r="F1123" s="1">
        <f>IFERROR(__xludf.DUMMYFUNCTION("""COMPUTED_VALUE"""),769050.0)</f>
        <v>769050</v>
      </c>
    </row>
    <row r="1124">
      <c r="A1124" s="2">
        <f>IFERROR(__xludf.DUMMYFUNCTION("""COMPUTED_VALUE"""),42207.64583333333)</f>
        <v>42207.64583</v>
      </c>
      <c r="B1124" s="1">
        <f>IFERROR(__xludf.DUMMYFUNCTION("""COMPUTED_VALUE"""),26200.0)</f>
        <v>26200</v>
      </c>
      <c r="C1124" s="1">
        <f>IFERROR(__xludf.DUMMYFUNCTION("""COMPUTED_VALUE"""),26760.0)</f>
        <v>26760</v>
      </c>
      <c r="D1124" s="1">
        <f>IFERROR(__xludf.DUMMYFUNCTION("""COMPUTED_VALUE"""),25960.0)</f>
        <v>25960</v>
      </c>
      <c r="E1124" s="1">
        <f>IFERROR(__xludf.DUMMYFUNCTION("""COMPUTED_VALUE"""),26380.0)</f>
        <v>26380</v>
      </c>
      <c r="F1124" s="1">
        <f>IFERROR(__xludf.DUMMYFUNCTION("""COMPUTED_VALUE"""),517546.0)</f>
        <v>517546</v>
      </c>
    </row>
    <row r="1125">
      <c r="A1125" s="2">
        <f>IFERROR(__xludf.DUMMYFUNCTION("""COMPUTED_VALUE"""),42208.64583333333)</f>
        <v>42208.64583</v>
      </c>
      <c r="B1125" s="1">
        <f>IFERROR(__xludf.DUMMYFUNCTION("""COMPUTED_VALUE"""),26300.0)</f>
        <v>26300</v>
      </c>
      <c r="C1125" s="1">
        <f>IFERROR(__xludf.DUMMYFUNCTION("""COMPUTED_VALUE"""),26540.0)</f>
        <v>26540</v>
      </c>
      <c r="D1125" s="1">
        <f>IFERROR(__xludf.DUMMYFUNCTION("""COMPUTED_VALUE"""),25920.0)</f>
        <v>25920</v>
      </c>
      <c r="E1125" s="1">
        <f>IFERROR(__xludf.DUMMYFUNCTION("""COMPUTED_VALUE"""),26000.0)</f>
        <v>26000</v>
      </c>
      <c r="F1125" s="1">
        <f>IFERROR(__xludf.DUMMYFUNCTION("""COMPUTED_VALUE"""),484129.0)</f>
        <v>484129</v>
      </c>
    </row>
    <row r="1126">
      <c r="A1126" s="2">
        <f>IFERROR(__xludf.DUMMYFUNCTION("""COMPUTED_VALUE"""),42209.64583333333)</f>
        <v>42209.64583</v>
      </c>
      <c r="B1126" s="1">
        <f>IFERROR(__xludf.DUMMYFUNCTION("""COMPUTED_VALUE"""),25780.0)</f>
        <v>25780</v>
      </c>
      <c r="C1126" s="1">
        <f>IFERROR(__xludf.DUMMYFUNCTION("""COMPUTED_VALUE"""),26140.0)</f>
        <v>26140</v>
      </c>
      <c r="D1126" s="1">
        <f>IFERROR(__xludf.DUMMYFUNCTION("""COMPUTED_VALUE"""),25300.0)</f>
        <v>25300</v>
      </c>
      <c r="E1126" s="1">
        <f>IFERROR(__xludf.DUMMYFUNCTION("""COMPUTED_VALUE"""),25540.0)</f>
        <v>25540</v>
      </c>
      <c r="F1126" s="1">
        <f>IFERROR(__xludf.DUMMYFUNCTION("""COMPUTED_VALUE"""),618347.0)</f>
        <v>618347</v>
      </c>
    </row>
    <row r="1127">
      <c r="A1127" s="2">
        <f>IFERROR(__xludf.DUMMYFUNCTION("""COMPUTED_VALUE"""),42212.64583333333)</f>
        <v>42212.64583</v>
      </c>
      <c r="B1127" s="1">
        <f>IFERROR(__xludf.DUMMYFUNCTION("""COMPUTED_VALUE"""),25240.0)</f>
        <v>25240</v>
      </c>
      <c r="C1127" s="1">
        <f>IFERROR(__xludf.DUMMYFUNCTION("""COMPUTED_VALUE"""),25760.0)</f>
        <v>25760</v>
      </c>
      <c r="D1127" s="1">
        <f>IFERROR(__xludf.DUMMYFUNCTION("""COMPUTED_VALUE"""),24500.0)</f>
        <v>24500</v>
      </c>
      <c r="E1127" s="1">
        <f>IFERROR(__xludf.DUMMYFUNCTION("""COMPUTED_VALUE"""),25240.0)</f>
        <v>25240</v>
      </c>
      <c r="F1127" s="1">
        <f>IFERROR(__xludf.DUMMYFUNCTION("""COMPUTED_VALUE"""),623568.0)</f>
        <v>623568</v>
      </c>
    </row>
    <row r="1128">
      <c r="A1128" s="2">
        <f>IFERROR(__xludf.DUMMYFUNCTION("""COMPUTED_VALUE"""),42213.64583333333)</f>
        <v>42213.64583</v>
      </c>
      <c r="B1128" s="1">
        <f>IFERROR(__xludf.DUMMYFUNCTION("""COMPUTED_VALUE"""),24980.0)</f>
        <v>24980</v>
      </c>
      <c r="C1128" s="1">
        <f>IFERROR(__xludf.DUMMYFUNCTION("""COMPUTED_VALUE"""),25980.0)</f>
        <v>25980</v>
      </c>
      <c r="D1128" s="1">
        <f>IFERROR(__xludf.DUMMYFUNCTION("""COMPUTED_VALUE"""),24880.0)</f>
        <v>24880</v>
      </c>
      <c r="E1128" s="1">
        <f>IFERROR(__xludf.DUMMYFUNCTION("""COMPUTED_VALUE"""),25860.0)</f>
        <v>25860</v>
      </c>
      <c r="F1128" s="1">
        <f>IFERROR(__xludf.DUMMYFUNCTION("""COMPUTED_VALUE"""),582250.0)</f>
        <v>582250</v>
      </c>
    </row>
    <row r="1129">
      <c r="A1129" s="2">
        <f>IFERROR(__xludf.DUMMYFUNCTION("""COMPUTED_VALUE"""),42214.64583333333)</f>
        <v>42214.64583</v>
      </c>
      <c r="B1129" s="1">
        <f>IFERROR(__xludf.DUMMYFUNCTION("""COMPUTED_VALUE"""),25980.0)</f>
        <v>25980</v>
      </c>
      <c r="C1129" s="1">
        <f>IFERROR(__xludf.DUMMYFUNCTION("""COMPUTED_VALUE"""),26320.0)</f>
        <v>26320</v>
      </c>
      <c r="D1129" s="1">
        <f>IFERROR(__xludf.DUMMYFUNCTION("""COMPUTED_VALUE"""),25780.0)</f>
        <v>25780</v>
      </c>
      <c r="E1129" s="1">
        <f>IFERROR(__xludf.DUMMYFUNCTION("""COMPUTED_VALUE"""),25860.0)</f>
        <v>25860</v>
      </c>
      <c r="F1129" s="1">
        <f>IFERROR(__xludf.DUMMYFUNCTION("""COMPUTED_VALUE"""),438355.0)</f>
        <v>438355</v>
      </c>
    </row>
    <row r="1130">
      <c r="A1130" s="2">
        <f>IFERROR(__xludf.DUMMYFUNCTION("""COMPUTED_VALUE"""),42215.64583333333)</f>
        <v>42215.64583</v>
      </c>
      <c r="B1130" s="1">
        <f>IFERROR(__xludf.DUMMYFUNCTION("""COMPUTED_VALUE"""),26200.0)</f>
        <v>26200</v>
      </c>
      <c r="C1130" s="1">
        <f>IFERROR(__xludf.DUMMYFUNCTION("""COMPUTED_VALUE"""),26260.0)</f>
        <v>26260</v>
      </c>
      <c r="D1130" s="1">
        <f>IFERROR(__xludf.DUMMYFUNCTION("""COMPUTED_VALUE"""),24620.0)</f>
        <v>24620</v>
      </c>
      <c r="E1130" s="1">
        <f>IFERROR(__xludf.DUMMYFUNCTION("""COMPUTED_VALUE"""),25880.0)</f>
        <v>25880</v>
      </c>
      <c r="F1130" s="1">
        <f>IFERROR(__xludf.DUMMYFUNCTION("""COMPUTED_VALUE"""),638133.0)</f>
        <v>638133</v>
      </c>
    </row>
    <row r="1131">
      <c r="A1131" s="2">
        <f>IFERROR(__xludf.DUMMYFUNCTION("""COMPUTED_VALUE"""),42216.64583333333)</f>
        <v>42216.64583</v>
      </c>
      <c r="B1131" s="1">
        <f>IFERROR(__xludf.DUMMYFUNCTION("""COMPUTED_VALUE"""),25800.0)</f>
        <v>25800</v>
      </c>
      <c r="C1131" s="1">
        <f>IFERROR(__xludf.DUMMYFUNCTION("""COMPUTED_VALUE"""),25820.0)</f>
        <v>25820</v>
      </c>
      <c r="D1131" s="1">
        <f>IFERROR(__xludf.DUMMYFUNCTION("""COMPUTED_VALUE"""),24020.0)</f>
        <v>24020</v>
      </c>
      <c r="E1131" s="1">
        <f>IFERROR(__xludf.DUMMYFUNCTION("""COMPUTED_VALUE"""),24180.0)</f>
        <v>24180</v>
      </c>
      <c r="F1131" s="1">
        <f>IFERROR(__xludf.DUMMYFUNCTION("""COMPUTED_VALUE"""),874693.0)</f>
        <v>874693</v>
      </c>
    </row>
    <row r="1132">
      <c r="A1132" s="2">
        <f>IFERROR(__xludf.DUMMYFUNCTION("""COMPUTED_VALUE"""),42219.64583333333)</f>
        <v>42219.64583</v>
      </c>
      <c r="B1132" s="1">
        <f>IFERROR(__xludf.DUMMYFUNCTION("""COMPUTED_VALUE"""),24060.0)</f>
        <v>24060</v>
      </c>
      <c r="C1132" s="1">
        <f>IFERROR(__xludf.DUMMYFUNCTION("""COMPUTED_VALUE"""),24820.0)</f>
        <v>24820</v>
      </c>
      <c r="D1132" s="1">
        <f>IFERROR(__xludf.DUMMYFUNCTION("""COMPUTED_VALUE"""),24060.0)</f>
        <v>24060</v>
      </c>
      <c r="E1132" s="1">
        <f>IFERROR(__xludf.DUMMYFUNCTION("""COMPUTED_VALUE"""),24200.0)</f>
        <v>24200</v>
      </c>
      <c r="F1132" s="1">
        <f>IFERROR(__xludf.DUMMYFUNCTION("""COMPUTED_VALUE"""),449460.0)</f>
        <v>449460</v>
      </c>
    </row>
    <row r="1133">
      <c r="A1133" s="2">
        <f>IFERROR(__xludf.DUMMYFUNCTION("""COMPUTED_VALUE"""),42220.64583333333)</f>
        <v>42220.64583</v>
      </c>
      <c r="B1133" s="1">
        <f>IFERROR(__xludf.DUMMYFUNCTION("""COMPUTED_VALUE"""),24440.0)</f>
        <v>24440</v>
      </c>
      <c r="C1133" s="1">
        <f>IFERROR(__xludf.DUMMYFUNCTION("""COMPUTED_VALUE"""),25200.0)</f>
        <v>25200</v>
      </c>
      <c r="D1133" s="1">
        <f>IFERROR(__xludf.DUMMYFUNCTION("""COMPUTED_VALUE"""),24240.0)</f>
        <v>24240</v>
      </c>
      <c r="E1133" s="1">
        <f>IFERROR(__xludf.DUMMYFUNCTION("""COMPUTED_VALUE"""),24940.0)</f>
        <v>24940</v>
      </c>
      <c r="F1133" s="1">
        <f>IFERROR(__xludf.DUMMYFUNCTION("""COMPUTED_VALUE"""),482406.0)</f>
        <v>482406</v>
      </c>
    </row>
    <row r="1134">
      <c r="A1134" s="2">
        <f>IFERROR(__xludf.DUMMYFUNCTION("""COMPUTED_VALUE"""),42221.64583333333)</f>
        <v>42221.64583</v>
      </c>
      <c r="B1134" s="1">
        <f>IFERROR(__xludf.DUMMYFUNCTION("""COMPUTED_VALUE"""),24940.0)</f>
        <v>24940</v>
      </c>
      <c r="C1134" s="1">
        <f>IFERROR(__xludf.DUMMYFUNCTION("""COMPUTED_VALUE"""),25460.0)</f>
        <v>25460</v>
      </c>
      <c r="D1134" s="1">
        <f>IFERROR(__xludf.DUMMYFUNCTION("""COMPUTED_VALUE"""),24700.0)</f>
        <v>24700</v>
      </c>
      <c r="E1134" s="1">
        <f>IFERROR(__xludf.DUMMYFUNCTION("""COMPUTED_VALUE"""),25380.0)</f>
        <v>25380</v>
      </c>
      <c r="F1134" s="1">
        <f>IFERROR(__xludf.DUMMYFUNCTION("""COMPUTED_VALUE"""),305989.0)</f>
        <v>305989</v>
      </c>
    </row>
    <row r="1135">
      <c r="A1135" s="2">
        <f>IFERROR(__xludf.DUMMYFUNCTION("""COMPUTED_VALUE"""),42222.64583333333)</f>
        <v>42222.64583</v>
      </c>
      <c r="B1135" s="1">
        <f>IFERROR(__xludf.DUMMYFUNCTION("""COMPUTED_VALUE"""),26760.0)</f>
        <v>26760</v>
      </c>
      <c r="C1135" s="1">
        <f>IFERROR(__xludf.DUMMYFUNCTION("""COMPUTED_VALUE"""),27080.0)</f>
        <v>27080</v>
      </c>
      <c r="D1135" s="1">
        <f>IFERROR(__xludf.DUMMYFUNCTION("""COMPUTED_VALUE"""),25600.0)</f>
        <v>25600</v>
      </c>
      <c r="E1135" s="1">
        <f>IFERROR(__xludf.DUMMYFUNCTION("""COMPUTED_VALUE"""),25600.0)</f>
        <v>25600</v>
      </c>
      <c r="F1135" s="1">
        <f>IFERROR(__xludf.DUMMYFUNCTION("""COMPUTED_VALUE"""),958046.0)</f>
        <v>958046</v>
      </c>
    </row>
    <row r="1136">
      <c r="A1136" s="2">
        <f>IFERROR(__xludf.DUMMYFUNCTION("""COMPUTED_VALUE"""),42223.64583333333)</f>
        <v>42223.64583</v>
      </c>
      <c r="B1136" s="1">
        <f>IFERROR(__xludf.DUMMYFUNCTION("""COMPUTED_VALUE"""),25800.0)</f>
        <v>25800</v>
      </c>
      <c r="C1136" s="1">
        <f>IFERROR(__xludf.DUMMYFUNCTION("""COMPUTED_VALUE"""),26680.0)</f>
        <v>26680</v>
      </c>
      <c r="D1136" s="1">
        <f>IFERROR(__xludf.DUMMYFUNCTION("""COMPUTED_VALUE"""),25740.0)</f>
        <v>25740</v>
      </c>
      <c r="E1136" s="1">
        <f>IFERROR(__xludf.DUMMYFUNCTION("""COMPUTED_VALUE"""),26440.0)</f>
        <v>26440</v>
      </c>
      <c r="F1136" s="1">
        <f>IFERROR(__xludf.DUMMYFUNCTION("""COMPUTED_VALUE"""),718243.0)</f>
        <v>718243</v>
      </c>
    </row>
    <row r="1137">
      <c r="A1137" s="2">
        <f>IFERROR(__xludf.DUMMYFUNCTION("""COMPUTED_VALUE"""),42226.64583333333)</f>
        <v>42226.64583</v>
      </c>
      <c r="B1137" s="1">
        <f>IFERROR(__xludf.DUMMYFUNCTION("""COMPUTED_VALUE"""),26680.0)</f>
        <v>26680</v>
      </c>
      <c r="C1137" s="1">
        <f>IFERROR(__xludf.DUMMYFUNCTION("""COMPUTED_VALUE"""),27360.0)</f>
        <v>27360</v>
      </c>
      <c r="D1137" s="1">
        <f>IFERROR(__xludf.DUMMYFUNCTION("""COMPUTED_VALUE"""),26220.0)</f>
        <v>26220</v>
      </c>
      <c r="E1137" s="1">
        <f>IFERROR(__xludf.DUMMYFUNCTION("""COMPUTED_VALUE"""),27160.0)</f>
        <v>27160</v>
      </c>
      <c r="F1137" s="1">
        <f>IFERROR(__xludf.DUMMYFUNCTION("""COMPUTED_VALUE"""),781228.0)</f>
        <v>781228</v>
      </c>
    </row>
    <row r="1138">
      <c r="A1138" s="2">
        <f>IFERROR(__xludf.DUMMYFUNCTION("""COMPUTED_VALUE"""),42227.64583333333)</f>
        <v>42227.64583</v>
      </c>
      <c r="B1138" s="1">
        <f>IFERROR(__xludf.DUMMYFUNCTION("""COMPUTED_VALUE"""),27400.0)</f>
        <v>27400</v>
      </c>
      <c r="C1138" s="1">
        <f>IFERROR(__xludf.DUMMYFUNCTION("""COMPUTED_VALUE"""),27940.0)</f>
        <v>27940</v>
      </c>
      <c r="D1138" s="1">
        <f>IFERROR(__xludf.DUMMYFUNCTION("""COMPUTED_VALUE"""),26620.0)</f>
        <v>26620</v>
      </c>
      <c r="E1138" s="1">
        <f>IFERROR(__xludf.DUMMYFUNCTION("""COMPUTED_VALUE"""),26700.0)</f>
        <v>26700</v>
      </c>
      <c r="F1138" s="1">
        <f>IFERROR(__xludf.DUMMYFUNCTION("""COMPUTED_VALUE"""),1065953.0)</f>
        <v>1065953</v>
      </c>
    </row>
    <row r="1139">
      <c r="A1139" s="2">
        <f>IFERROR(__xludf.DUMMYFUNCTION("""COMPUTED_VALUE"""),42228.64583333333)</f>
        <v>42228.64583</v>
      </c>
      <c r="B1139" s="1">
        <f>IFERROR(__xludf.DUMMYFUNCTION("""COMPUTED_VALUE"""),26920.0)</f>
        <v>26920</v>
      </c>
      <c r="C1139" s="1">
        <f>IFERROR(__xludf.DUMMYFUNCTION("""COMPUTED_VALUE"""),27700.0)</f>
        <v>27700</v>
      </c>
      <c r="D1139" s="1">
        <f>IFERROR(__xludf.DUMMYFUNCTION("""COMPUTED_VALUE"""),26300.0)</f>
        <v>26300</v>
      </c>
      <c r="E1139" s="1">
        <f>IFERROR(__xludf.DUMMYFUNCTION("""COMPUTED_VALUE"""),26980.0)</f>
        <v>26980</v>
      </c>
      <c r="F1139" s="1">
        <f>IFERROR(__xludf.DUMMYFUNCTION("""COMPUTED_VALUE"""),1201227.0)</f>
        <v>1201227</v>
      </c>
    </row>
    <row r="1140">
      <c r="A1140" s="2">
        <f>IFERROR(__xludf.DUMMYFUNCTION("""COMPUTED_VALUE"""),42229.64583333333)</f>
        <v>42229.64583</v>
      </c>
      <c r="B1140" s="1">
        <f>IFERROR(__xludf.DUMMYFUNCTION("""COMPUTED_VALUE"""),26000.0)</f>
        <v>26000</v>
      </c>
      <c r="C1140" s="1">
        <f>IFERROR(__xludf.DUMMYFUNCTION("""COMPUTED_VALUE"""),28580.0)</f>
        <v>28580</v>
      </c>
      <c r="D1140" s="1">
        <f>IFERROR(__xludf.DUMMYFUNCTION("""COMPUTED_VALUE"""),25640.0)</f>
        <v>25640</v>
      </c>
      <c r="E1140" s="1">
        <f>IFERROR(__xludf.DUMMYFUNCTION("""COMPUTED_VALUE"""),28020.0)</f>
        <v>28020</v>
      </c>
      <c r="F1140" s="1">
        <f>IFERROR(__xludf.DUMMYFUNCTION("""COMPUTED_VALUE"""),2282915.0)</f>
        <v>2282915</v>
      </c>
    </row>
    <row r="1141">
      <c r="A1141" s="2">
        <f>IFERROR(__xludf.DUMMYFUNCTION("""COMPUTED_VALUE"""),42233.64583333333)</f>
        <v>42233.64583</v>
      </c>
      <c r="B1141" s="1">
        <f>IFERROR(__xludf.DUMMYFUNCTION("""COMPUTED_VALUE"""),28440.0)</f>
        <v>28440</v>
      </c>
      <c r="C1141" s="1">
        <f>IFERROR(__xludf.DUMMYFUNCTION("""COMPUTED_VALUE"""),28500.0)</f>
        <v>28500</v>
      </c>
      <c r="D1141" s="1">
        <f>IFERROR(__xludf.DUMMYFUNCTION("""COMPUTED_VALUE"""),27420.0)</f>
        <v>27420</v>
      </c>
      <c r="E1141" s="1">
        <f>IFERROR(__xludf.DUMMYFUNCTION("""COMPUTED_VALUE"""),27420.0)</f>
        <v>27420</v>
      </c>
      <c r="F1141" s="1">
        <f>IFERROR(__xludf.DUMMYFUNCTION("""COMPUTED_VALUE"""),729269.0)</f>
        <v>729269</v>
      </c>
    </row>
    <row r="1142">
      <c r="A1142" s="2">
        <f>IFERROR(__xludf.DUMMYFUNCTION("""COMPUTED_VALUE"""),42234.64583333333)</f>
        <v>42234.64583</v>
      </c>
      <c r="B1142" s="1">
        <f>IFERROR(__xludf.DUMMYFUNCTION("""COMPUTED_VALUE"""),27460.0)</f>
        <v>27460</v>
      </c>
      <c r="C1142" s="1">
        <f>IFERROR(__xludf.DUMMYFUNCTION("""COMPUTED_VALUE"""),27640.0)</f>
        <v>27640</v>
      </c>
      <c r="D1142" s="1">
        <f>IFERROR(__xludf.DUMMYFUNCTION("""COMPUTED_VALUE"""),26240.0)</f>
        <v>26240</v>
      </c>
      <c r="E1142" s="1">
        <f>IFERROR(__xludf.DUMMYFUNCTION("""COMPUTED_VALUE"""),26260.0)</f>
        <v>26260</v>
      </c>
      <c r="F1142" s="1">
        <f>IFERROR(__xludf.DUMMYFUNCTION("""COMPUTED_VALUE"""),776549.0)</f>
        <v>776549</v>
      </c>
    </row>
    <row r="1143">
      <c r="A1143" s="2">
        <f>IFERROR(__xludf.DUMMYFUNCTION("""COMPUTED_VALUE"""),42235.64583333333)</f>
        <v>42235.64583</v>
      </c>
      <c r="B1143" s="1">
        <f>IFERROR(__xludf.DUMMYFUNCTION("""COMPUTED_VALUE"""),25860.0)</f>
        <v>25860</v>
      </c>
      <c r="C1143" s="1">
        <f>IFERROR(__xludf.DUMMYFUNCTION("""COMPUTED_VALUE"""),26100.0)</f>
        <v>26100</v>
      </c>
      <c r="D1143" s="1">
        <f>IFERROR(__xludf.DUMMYFUNCTION("""COMPUTED_VALUE"""),24880.0)</f>
        <v>24880</v>
      </c>
      <c r="E1143" s="1">
        <f>IFERROR(__xludf.DUMMYFUNCTION("""COMPUTED_VALUE"""),25280.0)</f>
        <v>25280</v>
      </c>
      <c r="F1143" s="1">
        <f>IFERROR(__xludf.DUMMYFUNCTION("""COMPUTED_VALUE"""),939091.0)</f>
        <v>939091</v>
      </c>
    </row>
    <row r="1144">
      <c r="A1144" s="2">
        <f>IFERROR(__xludf.DUMMYFUNCTION("""COMPUTED_VALUE"""),42236.64583333333)</f>
        <v>42236.64583</v>
      </c>
      <c r="B1144" s="1">
        <f>IFERROR(__xludf.DUMMYFUNCTION("""COMPUTED_VALUE"""),25140.0)</f>
        <v>25140</v>
      </c>
      <c r="C1144" s="1">
        <f>IFERROR(__xludf.DUMMYFUNCTION("""COMPUTED_VALUE"""),25760.0)</f>
        <v>25760</v>
      </c>
      <c r="D1144" s="1">
        <f>IFERROR(__xludf.DUMMYFUNCTION("""COMPUTED_VALUE"""),24900.0)</f>
        <v>24900</v>
      </c>
      <c r="E1144" s="1">
        <f>IFERROR(__xludf.DUMMYFUNCTION("""COMPUTED_VALUE"""),25040.0)</f>
        <v>25040</v>
      </c>
      <c r="F1144" s="1">
        <f>IFERROR(__xludf.DUMMYFUNCTION("""COMPUTED_VALUE"""),491329.0)</f>
        <v>491329</v>
      </c>
    </row>
    <row r="1145">
      <c r="A1145" s="2">
        <f>IFERROR(__xludf.DUMMYFUNCTION("""COMPUTED_VALUE"""),42237.64583333333)</f>
        <v>42237.64583</v>
      </c>
      <c r="B1145" s="1">
        <f>IFERROR(__xludf.DUMMYFUNCTION("""COMPUTED_VALUE"""),24000.0)</f>
        <v>24000</v>
      </c>
      <c r="C1145" s="1">
        <f>IFERROR(__xludf.DUMMYFUNCTION("""COMPUTED_VALUE"""),25020.0)</f>
        <v>25020</v>
      </c>
      <c r="D1145" s="1">
        <f>IFERROR(__xludf.DUMMYFUNCTION("""COMPUTED_VALUE"""),23960.0)</f>
        <v>23960</v>
      </c>
      <c r="E1145" s="1">
        <f>IFERROR(__xludf.DUMMYFUNCTION("""COMPUTED_VALUE"""),24800.0)</f>
        <v>24800</v>
      </c>
      <c r="F1145" s="1">
        <f>IFERROR(__xludf.DUMMYFUNCTION("""COMPUTED_VALUE"""),739573.0)</f>
        <v>739573</v>
      </c>
    </row>
    <row r="1146">
      <c r="A1146" s="2">
        <f>IFERROR(__xludf.DUMMYFUNCTION("""COMPUTED_VALUE"""),42240.64583333333)</f>
        <v>42240.64583</v>
      </c>
      <c r="B1146" s="1">
        <f>IFERROR(__xludf.DUMMYFUNCTION("""COMPUTED_VALUE"""),24800.0)</f>
        <v>24800</v>
      </c>
      <c r="C1146" s="1">
        <f>IFERROR(__xludf.DUMMYFUNCTION("""COMPUTED_VALUE"""),25240.0)</f>
        <v>25240</v>
      </c>
      <c r="D1146" s="1">
        <f>IFERROR(__xludf.DUMMYFUNCTION("""COMPUTED_VALUE"""),24400.0)</f>
        <v>24400</v>
      </c>
      <c r="E1146" s="1">
        <f>IFERROR(__xludf.DUMMYFUNCTION("""COMPUTED_VALUE"""),24800.0)</f>
        <v>24800</v>
      </c>
      <c r="F1146" s="1">
        <f>IFERROR(__xludf.DUMMYFUNCTION("""COMPUTED_VALUE"""),540710.0)</f>
        <v>540710</v>
      </c>
    </row>
    <row r="1147">
      <c r="A1147" s="2">
        <f>IFERROR(__xludf.DUMMYFUNCTION("""COMPUTED_VALUE"""),42241.64583333333)</f>
        <v>42241.64583</v>
      </c>
      <c r="B1147" s="1">
        <f>IFERROR(__xludf.DUMMYFUNCTION("""COMPUTED_VALUE"""),25220.0)</f>
        <v>25220</v>
      </c>
      <c r="C1147" s="1">
        <f>IFERROR(__xludf.DUMMYFUNCTION("""COMPUTED_VALUE"""),26180.0)</f>
        <v>26180</v>
      </c>
      <c r="D1147" s="1">
        <f>IFERROR(__xludf.DUMMYFUNCTION("""COMPUTED_VALUE"""),24820.0)</f>
        <v>24820</v>
      </c>
      <c r="E1147" s="1">
        <f>IFERROR(__xludf.DUMMYFUNCTION("""COMPUTED_VALUE"""),25660.0)</f>
        <v>25660</v>
      </c>
      <c r="F1147" s="1">
        <f>IFERROR(__xludf.DUMMYFUNCTION("""COMPUTED_VALUE"""),619862.0)</f>
        <v>619862</v>
      </c>
    </row>
    <row r="1148">
      <c r="A1148" s="2">
        <f>IFERROR(__xludf.DUMMYFUNCTION("""COMPUTED_VALUE"""),42242.64583333333)</f>
        <v>42242.64583</v>
      </c>
      <c r="B1148" s="1">
        <f>IFERROR(__xludf.DUMMYFUNCTION("""COMPUTED_VALUE"""),25760.0)</f>
        <v>25760</v>
      </c>
      <c r="C1148" s="1">
        <f>IFERROR(__xludf.DUMMYFUNCTION("""COMPUTED_VALUE"""),26040.0)</f>
        <v>26040</v>
      </c>
      <c r="D1148" s="1">
        <f>IFERROR(__xludf.DUMMYFUNCTION("""COMPUTED_VALUE"""),25440.0)</f>
        <v>25440</v>
      </c>
      <c r="E1148" s="1">
        <f>IFERROR(__xludf.DUMMYFUNCTION("""COMPUTED_VALUE"""),25820.0)</f>
        <v>25820</v>
      </c>
      <c r="F1148" s="1">
        <f>IFERROR(__xludf.DUMMYFUNCTION("""COMPUTED_VALUE"""),468220.0)</f>
        <v>468220</v>
      </c>
    </row>
    <row r="1149">
      <c r="A1149" s="2">
        <f>IFERROR(__xludf.DUMMYFUNCTION("""COMPUTED_VALUE"""),42243.64583333333)</f>
        <v>42243.64583</v>
      </c>
      <c r="B1149" s="1">
        <f>IFERROR(__xludf.DUMMYFUNCTION("""COMPUTED_VALUE"""),26120.0)</f>
        <v>26120</v>
      </c>
      <c r="C1149" s="1">
        <f>IFERROR(__xludf.DUMMYFUNCTION("""COMPUTED_VALUE"""),26140.0)</f>
        <v>26140</v>
      </c>
      <c r="D1149" s="1">
        <f>IFERROR(__xludf.DUMMYFUNCTION("""COMPUTED_VALUE"""),25460.0)</f>
        <v>25460</v>
      </c>
      <c r="E1149" s="1">
        <f>IFERROR(__xludf.DUMMYFUNCTION("""COMPUTED_VALUE"""),25540.0)</f>
        <v>25540</v>
      </c>
      <c r="F1149" s="1">
        <f>IFERROR(__xludf.DUMMYFUNCTION("""COMPUTED_VALUE"""),383564.0)</f>
        <v>383564</v>
      </c>
    </row>
    <row r="1150">
      <c r="A1150" s="2">
        <f>IFERROR(__xludf.DUMMYFUNCTION("""COMPUTED_VALUE"""),42244.64583333333)</f>
        <v>42244.64583</v>
      </c>
      <c r="B1150" s="1">
        <f>IFERROR(__xludf.DUMMYFUNCTION("""COMPUTED_VALUE"""),25920.0)</f>
        <v>25920</v>
      </c>
      <c r="C1150" s="1">
        <f>IFERROR(__xludf.DUMMYFUNCTION("""COMPUTED_VALUE"""),26980.0)</f>
        <v>26980</v>
      </c>
      <c r="D1150" s="1">
        <f>IFERROR(__xludf.DUMMYFUNCTION("""COMPUTED_VALUE"""),25920.0)</f>
        <v>25920</v>
      </c>
      <c r="E1150" s="1">
        <f>IFERROR(__xludf.DUMMYFUNCTION("""COMPUTED_VALUE"""),26940.0)</f>
        <v>26940</v>
      </c>
      <c r="F1150" s="1">
        <f>IFERROR(__xludf.DUMMYFUNCTION("""COMPUTED_VALUE"""),677207.0)</f>
        <v>677207</v>
      </c>
    </row>
    <row r="1151">
      <c r="A1151" s="2">
        <f>IFERROR(__xludf.DUMMYFUNCTION("""COMPUTED_VALUE"""),42247.64583333333)</f>
        <v>42247.64583</v>
      </c>
      <c r="B1151" s="1">
        <f>IFERROR(__xludf.DUMMYFUNCTION("""COMPUTED_VALUE"""),26940.0)</f>
        <v>26940</v>
      </c>
      <c r="C1151" s="1">
        <f>IFERROR(__xludf.DUMMYFUNCTION("""COMPUTED_VALUE"""),27040.0)</f>
        <v>27040</v>
      </c>
      <c r="D1151" s="1">
        <f>IFERROR(__xludf.DUMMYFUNCTION("""COMPUTED_VALUE"""),26400.0)</f>
        <v>26400</v>
      </c>
      <c r="E1151" s="1">
        <f>IFERROR(__xludf.DUMMYFUNCTION("""COMPUTED_VALUE"""),26980.0)</f>
        <v>26980</v>
      </c>
      <c r="F1151" s="1">
        <f>IFERROR(__xludf.DUMMYFUNCTION("""COMPUTED_VALUE"""),582297.0)</f>
        <v>582297</v>
      </c>
    </row>
    <row r="1152">
      <c r="A1152" s="2">
        <f>IFERROR(__xludf.DUMMYFUNCTION("""COMPUTED_VALUE"""),42248.64583333333)</f>
        <v>42248.64583</v>
      </c>
      <c r="B1152" s="1">
        <f>IFERROR(__xludf.DUMMYFUNCTION("""COMPUTED_VALUE"""),26800.0)</f>
        <v>26800</v>
      </c>
      <c r="C1152" s="1">
        <f>IFERROR(__xludf.DUMMYFUNCTION("""COMPUTED_VALUE"""),27200.0)</f>
        <v>27200</v>
      </c>
      <c r="D1152" s="1">
        <f>IFERROR(__xludf.DUMMYFUNCTION("""COMPUTED_VALUE"""),26100.0)</f>
        <v>26100</v>
      </c>
      <c r="E1152" s="1">
        <f>IFERROR(__xludf.DUMMYFUNCTION("""COMPUTED_VALUE"""),26100.0)</f>
        <v>26100</v>
      </c>
      <c r="F1152" s="1">
        <f>IFERROR(__xludf.DUMMYFUNCTION("""COMPUTED_VALUE"""),385728.0)</f>
        <v>385728</v>
      </c>
    </row>
    <row r="1153">
      <c r="A1153" s="2">
        <f>IFERROR(__xludf.DUMMYFUNCTION("""COMPUTED_VALUE"""),42249.64583333333)</f>
        <v>42249.64583</v>
      </c>
      <c r="B1153" s="1">
        <f>IFERROR(__xludf.DUMMYFUNCTION("""COMPUTED_VALUE"""),25520.0)</f>
        <v>25520</v>
      </c>
      <c r="C1153" s="1">
        <f>IFERROR(__xludf.DUMMYFUNCTION("""COMPUTED_VALUE"""),25900.0)</f>
        <v>25900</v>
      </c>
      <c r="D1153" s="1">
        <f>IFERROR(__xludf.DUMMYFUNCTION("""COMPUTED_VALUE"""),25260.0)</f>
        <v>25260</v>
      </c>
      <c r="E1153" s="1">
        <f>IFERROR(__xludf.DUMMYFUNCTION("""COMPUTED_VALUE"""),25620.0)</f>
        <v>25620</v>
      </c>
      <c r="F1153" s="1">
        <f>IFERROR(__xludf.DUMMYFUNCTION("""COMPUTED_VALUE"""),534493.0)</f>
        <v>534493</v>
      </c>
    </row>
    <row r="1154">
      <c r="A1154" s="2">
        <f>IFERROR(__xludf.DUMMYFUNCTION("""COMPUTED_VALUE"""),42250.64583333333)</f>
        <v>42250.64583</v>
      </c>
      <c r="B1154" s="1">
        <f>IFERROR(__xludf.DUMMYFUNCTION("""COMPUTED_VALUE"""),25620.0)</f>
        <v>25620</v>
      </c>
      <c r="C1154" s="1">
        <f>IFERROR(__xludf.DUMMYFUNCTION("""COMPUTED_VALUE"""),26660.0)</f>
        <v>26660</v>
      </c>
      <c r="D1154" s="1">
        <f>IFERROR(__xludf.DUMMYFUNCTION("""COMPUTED_VALUE"""),25620.0)</f>
        <v>25620</v>
      </c>
      <c r="E1154" s="1">
        <f>IFERROR(__xludf.DUMMYFUNCTION("""COMPUTED_VALUE"""),25880.0)</f>
        <v>25880</v>
      </c>
      <c r="F1154" s="1">
        <f>IFERROR(__xludf.DUMMYFUNCTION("""COMPUTED_VALUE"""),384122.0)</f>
        <v>384122</v>
      </c>
    </row>
    <row r="1155">
      <c r="A1155" s="2">
        <f>IFERROR(__xludf.DUMMYFUNCTION("""COMPUTED_VALUE"""),42251.64583333333)</f>
        <v>42251.64583</v>
      </c>
      <c r="B1155" s="1">
        <f>IFERROR(__xludf.DUMMYFUNCTION("""COMPUTED_VALUE"""),25880.0)</f>
        <v>25880</v>
      </c>
      <c r="C1155" s="1">
        <f>IFERROR(__xludf.DUMMYFUNCTION("""COMPUTED_VALUE"""),26260.0)</f>
        <v>26260</v>
      </c>
      <c r="D1155" s="1">
        <f>IFERROR(__xludf.DUMMYFUNCTION("""COMPUTED_VALUE"""),24880.0)</f>
        <v>24880</v>
      </c>
      <c r="E1155" s="1">
        <f>IFERROR(__xludf.DUMMYFUNCTION("""COMPUTED_VALUE"""),24940.0)</f>
        <v>24940</v>
      </c>
      <c r="F1155" s="1">
        <f>IFERROR(__xludf.DUMMYFUNCTION("""COMPUTED_VALUE"""),403203.0)</f>
        <v>403203</v>
      </c>
    </row>
    <row r="1156">
      <c r="A1156" s="2">
        <f>IFERROR(__xludf.DUMMYFUNCTION("""COMPUTED_VALUE"""),42254.64583333333)</f>
        <v>42254.64583</v>
      </c>
      <c r="B1156" s="1">
        <f>IFERROR(__xludf.DUMMYFUNCTION("""COMPUTED_VALUE"""),25080.0)</f>
        <v>25080</v>
      </c>
      <c r="C1156" s="1">
        <f>IFERROR(__xludf.DUMMYFUNCTION("""COMPUTED_VALUE"""),25360.0)</f>
        <v>25360</v>
      </c>
      <c r="D1156" s="1">
        <f>IFERROR(__xludf.DUMMYFUNCTION("""COMPUTED_VALUE"""),24800.0)</f>
        <v>24800</v>
      </c>
      <c r="E1156" s="1">
        <f>IFERROR(__xludf.DUMMYFUNCTION("""COMPUTED_VALUE"""),24800.0)</f>
        <v>24800</v>
      </c>
      <c r="F1156" s="1">
        <f>IFERROR(__xludf.DUMMYFUNCTION("""COMPUTED_VALUE"""),251142.0)</f>
        <v>251142</v>
      </c>
    </row>
    <row r="1157">
      <c r="A1157" s="2">
        <f>IFERROR(__xludf.DUMMYFUNCTION("""COMPUTED_VALUE"""),42255.64583333333)</f>
        <v>42255.64583</v>
      </c>
      <c r="B1157" s="1">
        <f>IFERROR(__xludf.DUMMYFUNCTION("""COMPUTED_VALUE"""),24880.0)</f>
        <v>24880</v>
      </c>
      <c r="C1157" s="1">
        <f>IFERROR(__xludf.DUMMYFUNCTION("""COMPUTED_VALUE"""),25080.0)</f>
        <v>25080</v>
      </c>
      <c r="D1157" s="1">
        <f>IFERROR(__xludf.DUMMYFUNCTION("""COMPUTED_VALUE"""),24300.0)</f>
        <v>24300</v>
      </c>
      <c r="E1157" s="1">
        <f>IFERROR(__xludf.DUMMYFUNCTION("""COMPUTED_VALUE"""),24520.0)</f>
        <v>24520</v>
      </c>
      <c r="F1157" s="1">
        <f>IFERROR(__xludf.DUMMYFUNCTION("""COMPUTED_VALUE"""),319209.0)</f>
        <v>319209</v>
      </c>
    </row>
    <row r="1158">
      <c r="A1158" s="2">
        <f>IFERROR(__xludf.DUMMYFUNCTION("""COMPUTED_VALUE"""),42256.64583333333)</f>
        <v>42256.64583</v>
      </c>
      <c r="B1158" s="1">
        <f>IFERROR(__xludf.DUMMYFUNCTION("""COMPUTED_VALUE"""),25000.0)</f>
        <v>25000</v>
      </c>
      <c r="C1158" s="1">
        <f>IFERROR(__xludf.DUMMYFUNCTION("""COMPUTED_VALUE"""),25460.0)</f>
        <v>25460</v>
      </c>
      <c r="D1158" s="1">
        <f>IFERROR(__xludf.DUMMYFUNCTION("""COMPUTED_VALUE"""),24900.0)</f>
        <v>24900</v>
      </c>
      <c r="E1158" s="1">
        <f>IFERROR(__xludf.DUMMYFUNCTION("""COMPUTED_VALUE"""),25380.0)</f>
        <v>25380</v>
      </c>
      <c r="F1158" s="1">
        <f>IFERROR(__xludf.DUMMYFUNCTION("""COMPUTED_VALUE"""),298705.0)</f>
        <v>298705</v>
      </c>
    </row>
    <row r="1159">
      <c r="A1159" s="2">
        <f>IFERROR(__xludf.DUMMYFUNCTION("""COMPUTED_VALUE"""),42257.64583333333)</f>
        <v>42257.64583</v>
      </c>
      <c r="B1159" s="1">
        <f>IFERROR(__xludf.DUMMYFUNCTION("""COMPUTED_VALUE"""),24960.0)</f>
        <v>24960</v>
      </c>
      <c r="C1159" s="1">
        <f>IFERROR(__xludf.DUMMYFUNCTION("""COMPUTED_VALUE"""),25200.0)</f>
        <v>25200</v>
      </c>
      <c r="D1159" s="1">
        <f>IFERROR(__xludf.DUMMYFUNCTION("""COMPUTED_VALUE"""),24780.0)</f>
        <v>24780</v>
      </c>
      <c r="E1159" s="1">
        <f>IFERROR(__xludf.DUMMYFUNCTION("""COMPUTED_VALUE"""),25000.0)</f>
        <v>25000</v>
      </c>
      <c r="F1159" s="1">
        <f>IFERROR(__xludf.DUMMYFUNCTION("""COMPUTED_VALUE"""),243984.0)</f>
        <v>243984</v>
      </c>
    </row>
    <row r="1160">
      <c r="A1160" s="2">
        <f>IFERROR(__xludf.DUMMYFUNCTION("""COMPUTED_VALUE"""),42258.64583333333)</f>
        <v>42258.64583</v>
      </c>
      <c r="B1160" s="1">
        <f>IFERROR(__xludf.DUMMYFUNCTION("""COMPUTED_VALUE"""),25160.0)</f>
        <v>25160</v>
      </c>
      <c r="C1160" s="1">
        <f>IFERROR(__xludf.DUMMYFUNCTION("""COMPUTED_VALUE"""),25180.0)</f>
        <v>25180</v>
      </c>
      <c r="D1160" s="1">
        <f>IFERROR(__xludf.DUMMYFUNCTION("""COMPUTED_VALUE"""),24840.0)</f>
        <v>24840</v>
      </c>
      <c r="E1160" s="1">
        <f>IFERROR(__xludf.DUMMYFUNCTION("""COMPUTED_VALUE"""),24840.0)</f>
        <v>24840</v>
      </c>
      <c r="F1160" s="1">
        <f>IFERROR(__xludf.DUMMYFUNCTION("""COMPUTED_VALUE"""),292688.0)</f>
        <v>292688</v>
      </c>
    </row>
    <row r="1161">
      <c r="A1161" s="2">
        <f>IFERROR(__xludf.DUMMYFUNCTION("""COMPUTED_VALUE"""),42261.64583333333)</f>
        <v>42261.64583</v>
      </c>
      <c r="B1161" s="1">
        <f>IFERROR(__xludf.DUMMYFUNCTION("""COMPUTED_VALUE"""),25000.0)</f>
        <v>25000</v>
      </c>
      <c r="C1161" s="1">
        <f>IFERROR(__xludf.DUMMYFUNCTION("""COMPUTED_VALUE"""),25320.0)</f>
        <v>25320</v>
      </c>
      <c r="D1161" s="1">
        <f>IFERROR(__xludf.DUMMYFUNCTION("""COMPUTED_VALUE"""),24140.0)</f>
        <v>24140</v>
      </c>
      <c r="E1161" s="1">
        <f>IFERROR(__xludf.DUMMYFUNCTION("""COMPUTED_VALUE"""),24400.0)</f>
        <v>24400</v>
      </c>
      <c r="F1161" s="1">
        <f>IFERROR(__xludf.DUMMYFUNCTION("""COMPUTED_VALUE"""),410139.0)</f>
        <v>410139</v>
      </c>
    </row>
    <row r="1162">
      <c r="A1162" s="2">
        <f>IFERROR(__xludf.DUMMYFUNCTION("""COMPUTED_VALUE"""),42262.64583333333)</f>
        <v>42262.64583</v>
      </c>
      <c r="B1162" s="1">
        <f>IFERROR(__xludf.DUMMYFUNCTION("""COMPUTED_VALUE"""),24500.0)</f>
        <v>24500</v>
      </c>
      <c r="C1162" s="1">
        <f>IFERROR(__xludf.DUMMYFUNCTION("""COMPUTED_VALUE"""),24700.0)</f>
        <v>24700</v>
      </c>
      <c r="D1162" s="1">
        <f>IFERROR(__xludf.DUMMYFUNCTION("""COMPUTED_VALUE"""),24360.0)</f>
        <v>24360</v>
      </c>
      <c r="E1162" s="1">
        <f>IFERROR(__xludf.DUMMYFUNCTION("""COMPUTED_VALUE"""),24540.0)</f>
        <v>24540</v>
      </c>
      <c r="F1162" s="1">
        <f>IFERROR(__xludf.DUMMYFUNCTION("""COMPUTED_VALUE"""),205063.0)</f>
        <v>205063</v>
      </c>
    </row>
    <row r="1163">
      <c r="A1163" s="2">
        <f>IFERROR(__xludf.DUMMYFUNCTION("""COMPUTED_VALUE"""),42263.64583333333)</f>
        <v>42263.64583</v>
      </c>
      <c r="B1163" s="1">
        <f>IFERROR(__xludf.DUMMYFUNCTION("""COMPUTED_VALUE"""),24920.0)</f>
        <v>24920</v>
      </c>
      <c r="C1163" s="1">
        <f>IFERROR(__xludf.DUMMYFUNCTION("""COMPUTED_VALUE"""),25240.0)</f>
        <v>25240</v>
      </c>
      <c r="D1163" s="1">
        <f>IFERROR(__xludf.DUMMYFUNCTION("""COMPUTED_VALUE"""),24800.0)</f>
        <v>24800</v>
      </c>
      <c r="E1163" s="1">
        <f>IFERROR(__xludf.DUMMYFUNCTION("""COMPUTED_VALUE"""),25240.0)</f>
        <v>25240</v>
      </c>
      <c r="F1163" s="1">
        <f>IFERROR(__xludf.DUMMYFUNCTION("""COMPUTED_VALUE"""),359776.0)</f>
        <v>359776</v>
      </c>
    </row>
    <row r="1164">
      <c r="A1164" s="2">
        <f>IFERROR(__xludf.DUMMYFUNCTION("""COMPUTED_VALUE"""),42264.64583333333)</f>
        <v>42264.64583</v>
      </c>
      <c r="B1164" s="1">
        <f>IFERROR(__xludf.DUMMYFUNCTION("""COMPUTED_VALUE"""),25440.0)</f>
        <v>25440</v>
      </c>
      <c r="C1164" s="1">
        <f>IFERROR(__xludf.DUMMYFUNCTION("""COMPUTED_VALUE"""),25480.0)</f>
        <v>25480</v>
      </c>
      <c r="D1164" s="1">
        <f>IFERROR(__xludf.DUMMYFUNCTION("""COMPUTED_VALUE"""),24860.0)</f>
        <v>24860</v>
      </c>
      <c r="E1164" s="1">
        <f>IFERROR(__xludf.DUMMYFUNCTION("""COMPUTED_VALUE"""),25020.0)</f>
        <v>25020</v>
      </c>
      <c r="F1164" s="1">
        <f>IFERROR(__xludf.DUMMYFUNCTION("""COMPUTED_VALUE"""),318232.0)</f>
        <v>318232</v>
      </c>
    </row>
    <row r="1165">
      <c r="A1165" s="2">
        <f>IFERROR(__xludf.DUMMYFUNCTION("""COMPUTED_VALUE"""),42265.64583333333)</f>
        <v>42265.64583</v>
      </c>
      <c r="B1165" s="1">
        <f>IFERROR(__xludf.DUMMYFUNCTION("""COMPUTED_VALUE"""),25140.0)</f>
        <v>25140</v>
      </c>
      <c r="C1165" s="1">
        <f>IFERROR(__xludf.DUMMYFUNCTION("""COMPUTED_VALUE"""),25580.0)</f>
        <v>25580</v>
      </c>
      <c r="D1165" s="1">
        <f>IFERROR(__xludf.DUMMYFUNCTION("""COMPUTED_VALUE"""),24940.0)</f>
        <v>24940</v>
      </c>
      <c r="E1165" s="1">
        <f>IFERROR(__xludf.DUMMYFUNCTION("""COMPUTED_VALUE"""),25100.0)</f>
        <v>25100</v>
      </c>
      <c r="F1165" s="1">
        <f>IFERROR(__xludf.DUMMYFUNCTION("""COMPUTED_VALUE"""),384309.0)</f>
        <v>384309</v>
      </c>
    </row>
    <row r="1166">
      <c r="A1166" s="2">
        <f>IFERROR(__xludf.DUMMYFUNCTION("""COMPUTED_VALUE"""),42268.64583333333)</f>
        <v>42268.64583</v>
      </c>
      <c r="B1166" s="1">
        <f>IFERROR(__xludf.DUMMYFUNCTION("""COMPUTED_VALUE"""),24820.0)</f>
        <v>24820</v>
      </c>
      <c r="C1166" s="1">
        <f>IFERROR(__xludf.DUMMYFUNCTION("""COMPUTED_VALUE"""),25000.0)</f>
        <v>25000</v>
      </c>
      <c r="D1166" s="1">
        <f>IFERROR(__xludf.DUMMYFUNCTION("""COMPUTED_VALUE"""),24540.0)</f>
        <v>24540</v>
      </c>
      <c r="E1166" s="1">
        <f>IFERROR(__xludf.DUMMYFUNCTION("""COMPUTED_VALUE"""),24940.0)</f>
        <v>24940</v>
      </c>
      <c r="F1166" s="1">
        <f>IFERROR(__xludf.DUMMYFUNCTION("""COMPUTED_VALUE"""),223569.0)</f>
        <v>223569</v>
      </c>
    </row>
    <row r="1167">
      <c r="A1167" s="2">
        <f>IFERROR(__xludf.DUMMYFUNCTION("""COMPUTED_VALUE"""),42269.64583333333)</f>
        <v>42269.64583</v>
      </c>
      <c r="B1167" s="1">
        <f>IFERROR(__xludf.DUMMYFUNCTION("""COMPUTED_VALUE"""),25000.0)</f>
        <v>25000</v>
      </c>
      <c r="C1167" s="1">
        <f>IFERROR(__xludf.DUMMYFUNCTION("""COMPUTED_VALUE"""),25040.0)</f>
        <v>25040</v>
      </c>
      <c r="D1167" s="1">
        <f>IFERROR(__xludf.DUMMYFUNCTION("""COMPUTED_VALUE"""),24760.0)</f>
        <v>24760</v>
      </c>
      <c r="E1167" s="1">
        <f>IFERROR(__xludf.DUMMYFUNCTION("""COMPUTED_VALUE"""),24840.0)</f>
        <v>24840</v>
      </c>
      <c r="F1167" s="1">
        <f>IFERROR(__xludf.DUMMYFUNCTION("""COMPUTED_VALUE"""),174988.0)</f>
        <v>174988</v>
      </c>
    </row>
    <row r="1168">
      <c r="A1168" s="2">
        <f>IFERROR(__xludf.DUMMYFUNCTION("""COMPUTED_VALUE"""),42270.64583333333)</f>
        <v>42270.64583</v>
      </c>
      <c r="B1168" s="1">
        <f>IFERROR(__xludf.DUMMYFUNCTION("""COMPUTED_VALUE"""),24700.0)</f>
        <v>24700</v>
      </c>
      <c r="C1168" s="1">
        <f>IFERROR(__xludf.DUMMYFUNCTION("""COMPUTED_VALUE"""),25080.0)</f>
        <v>25080</v>
      </c>
      <c r="D1168" s="1">
        <f>IFERROR(__xludf.DUMMYFUNCTION("""COMPUTED_VALUE"""),24660.0)</f>
        <v>24660</v>
      </c>
      <c r="E1168" s="1">
        <f>IFERROR(__xludf.DUMMYFUNCTION("""COMPUTED_VALUE"""),24680.0)</f>
        <v>24680</v>
      </c>
      <c r="F1168" s="1">
        <f>IFERROR(__xludf.DUMMYFUNCTION("""COMPUTED_VALUE"""),233691.0)</f>
        <v>233691</v>
      </c>
    </row>
    <row r="1169">
      <c r="A1169" s="2">
        <f>IFERROR(__xludf.DUMMYFUNCTION("""COMPUTED_VALUE"""),42271.64583333333)</f>
        <v>42271.64583</v>
      </c>
      <c r="B1169" s="1">
        <f>IFERROR(__xludf.DUMMYFUNCTION("""COMPUTED_VALUE"""),24880.0)</f>
        <v>24880</v>
      </c>
      <c r="C1169" s="1">
        <f>IFERROR(__xludf.DUMMYFUNCTION("""COMPUTED_VALUE"""),24900.0)</f>
        <v>24900</v>
      </c>
      <c r="D1169" s="1">
        <f>IFERROR(__xludf.DUMMYFUNCTION("""COMPUTED_VALUE"""),24540.0)</f>
        <v>24540</v>
      </c>
      <c r="E1169" s="1">
        <f>IFERROR(__xludf.DUMMYFUNCTION("""COMPUTED_VALUE"""),24580.0)</f>
        <v>24580</v>
      </c>
      <c r="F1169" s="1">
        <f>IFERROR(__xludf.DUMMYFUNCTION("""COMPUTED_VALUE"""),174389.0)</f>
        <v>174389</v>
      </c>
    </row>
    <row r="1170">
      <c r="A1170" s="2">
        <f>IFERROR(__xludf.DUMMYFUNCTION("""COMPUTED_VALUE"""),42272.64583333333)</f>
        <v>42272.64583</v>
      </c>
      <c r="B1170" s="1">
        <f>IFERROR(__xludf.DUMMYFUNCTION("""COMPUTED_VALUE"""),24400.0)</f>
        <v>24400</v>
      </c>
      <c r="C1170" s="1">
        <f>IFERROR(__xludf.DUMMYFUNCTION("""COMPUTED_VALUE"""),24680.0)</f>
        <v>24680</v>
      </c>
      <c r="D1170" s="1">
        <f>IFERROR(__xludf.DUMMYFUNCTION("""COMPUTED_VALUE"""),24400.0)</f>
        <v>24400</v>
      </c>
      <c r="E1170" s="1">
        <f>IFERROR(__xludf.DUMMYFUNCTION("""COMPUTED_VALUE"""),24600.0)</f>
        <v>24600</v>
      </c>
      <c r="F1170" s="1">
        <f>IFERROR(__xludf.DUMMYFUNCTION("""COMPUTED_VALUE"""),164981.0)</f>
        <v>164981</v>
      </c>
    </row>
    <row r="1171">
      <c r="A1171" s="2">
        <f>IFERROR(__xludf.DUMMYFUNCTION("""COMPUTED_VALUE"""),42277.64583333333)</f>
        <v>42277.64583</v>
      </c>
      <c r="B1171" s="1">
        <f>IFERROR(__xludf.DUMMYFUNCTION("""COMPUTED_VALUE"""),24660.0)</f>
        <v>24660</v>
      </c>
      <c r="C1171" s="1">
        <f>IFERROR(__xludf.DUMMYFUNCTION("""COMPUTED_VALUE"""),25440.0)</f>
        <v>25440</v>
      </c>
      <c r="D1171" s="1">
        <f>IFERROR(__xludf.DUMMYFUNCTION("""COMPUTED_VALUE"""),24600.0)</f>
        <v>24600</v>
      </c>
      <c r="E1171" s="1">
        <f>IFERROR(__xludf.DUMMYFUNCTION("""COMPUTED_VALUE"""),25180.0)</f>
        <v>25180</v>
      </c>
      <c r="F1171" s="1">
        <f>IFERROR(__xludf.DUMMYFUNCTION("""COMPUTED_VALUE"""),513808.0)</f>
        <v>513808</v>
      </c>
    </row>
    <row r="1172">
      <c r="A1172" s="2">
        <f>IFERROR(__xludf.DUMMYFUNCTION("""COMPUTED_VALUE"""),42278.64583333333)</f>
        <v>42278.64583</v>
      </c>
      <c r="B1172" s="1">
        <f>IFERROR(__xludf.DUMMYFUNCTION("""COMPUTED_VALUE"""),25540.0)</f>
        <v>25540</v>
      </c>
      <c r="C1172" s="1">
        <f>IFERROR(__xludf.DUMMYFUNCTION("""COMPUTED_VALUE"""),26680.0)</f>
        <v>26680</v>
      </c>
      <c r="D1172" s="1">
        <f>IFERROR(__xludf.DUMMYFUNCTION("""COMPUTED_VALUE"""),25100.0)</f>
        <v>25100</v>
      </c>
      <c r="E1172" s="1">
        <f>IFERROR(__xludf.DUMMYFUNCTION("""COMPUTED_VALUE"""),25480.0)</f>
        <v>25480</v>
      </c>
      <c r="F1172" s="1">
        <f>IFERROR(__xludf.DUMMYFUNCTION("""COMPUTED_VALUE"""),1161547.0)</f>
        <v>1161547</v>
      </c>
    </row>
    <row r="1173">
      <c r="A1173" s="2">
        <f>IFERROR(__xludf.DUMMYFUNCTION("""COMPUTED_VALUE"""),42279.64583333333)</f>
        <v>42279.64583</v>
      </c>
      <c r="B1173" s="1">
        <f>IFERROR(__xludf.DUMMYFUNCTION("""COMPUTED_VALUE"""),26000.0)</f>
        <v>26000</v>
      </c>
      <c r="C1173" s="1">
        <f>IFERROR(__xludf.DUMMYFUNCTION("""COMPUTED_VALUE"""),26280.0)</f>
        <v>26280</v>
      </c>
      <c r="D1173" s="1">
        <f>IFERROR(__xludf.DUMMYFUNCTION("""COMPUTED_VALUE"""),25640.0)</f>
        <v>25640</v>
      </c>
      <c r="E1173" s="1">
        <f>IFERROR(__xludf.DUMMYFUNCTION("""COMPUTED_VALUE"""),26000.0)</f>
        <v>26000</v>
      </c>
      <c r="F1173" s="1">
        <f>IFERROR(__xludf.DUMMYFUNCTION("""COMPUTED_VALUE"""),565687.0)</f>
        <v>565687</v>
      </c>
    </row>
    <row r="1174">
      <c r="A1174" s="2">
        <f>IFERROR(__xludf.DUMMYFUNCTION("""COMPUTED_VALUE"""),42282.64583333333)</f>
        <v>42282.64583</v>
      </c>
      <c r="B1174" s="1">
        <f>IFERROR(__xludf.DUMMYFUNCTION("""COMPUTED_VALUE"""),26100.0)</f>
        <v>26100</v>
      </c>
      <c r="C1174" s="1">
        <f>IFERROR(__xludf.DUMMYFUNCTION("""COMPUTED_VALUE"""),26180.0)</f>
        <v>26180</v>
      </c>
      <c r="D1174" s="1">
        <f>IFERROR(__xludf.DUMMYFUNCTION("""COMPUTED_VALUE"""),25700.0)</f>
        <v>25700</v>
      </c>
      <c r="E1174" s="1">
        <f>IFERROR(__xludf.DUMMYFUNCTION("""COMPUTED_VALUE"""),25960.0)</f>
        <v>25960</v>
      </c>
      <c r="F1174" s="1">
        <f>IFERROR(__xludf.DUMMYFUNCTION("""COMPUTED_VALUE"""),329723.0)</f>
        <v>329723</v>
      </c>
    </row>
    <row r="1175">
      <c r="A1175" s="2">
        <f>IFERROR(__xludf.DUMMYFUNCTION("""COMPUTED_VALUE"""),42283.64583333333)</f>
        <v>42283.64583</v>
      </c>
      <c r="B1175" s="1">
        <f>IFERROR(__xludf.DUMMYFUNCTION("""COMPUTED_VALUE"""),26040.0)</f>
        <v>26040</v>
      </c>
      <c r="C1175" s="1">
        <f>IFERROR(__xludf.DUMMYFUNCTION("""COMPUTED_VALUE"""),26240.0)</f>
        <v>26240</v>
      </c>
      <c r="D1175" s="1">
        <f>IFERROR(__xludf.DUMMYFUNCTION("""COMPUTED_VALUE"""),25400.0)</f>
        <v>25400</v>
      </c>
      <c r="E1175" s="1">
        <f>IFERROR(__xludf.DUMMYFUNCTION("""COMPUTED_VALUE"""),25440.0)</f>
        <v>25440</v>
      </c>
      <c r="F1175" s="1">
        <f>IFERROR(__xludf.DUMMYFUNCTION("""COMPUTED_VALUE"""),345355.0)</f>
        <v>345355</v>
      </c>
    </row>
    <row r="1176">
      <c r="A1176" s="2">
        <f>IFERROR(__xludf.DUMMYFUNCTION("""COMPUTED_VALUE"""),42284.64583333333)</f>
        <v>42284.64583</v>
      </c>
      <c r="B1176" s="1">
        <f>IFERROR(__xludf.DUMMYFUNCTION("""COMPUTED_VALUE"""),25160.0)</f>
        <v>25160</v>
      </c>
      <c r="C1176" s="1">
        <f>IFERROR(__xludf.DUMMYFUNCTION("""COMPUTED_VALUE"""),25400.0)</f>
        <v>25400</v>
      </c>
      <c r="D1176" s="1">
        <f>IFERROR(__xludf.DUMMYFUNCTION("""COMPUTED_VALUE"""),24900.0)</f>
        <v>24900</v>
      </c>
      <c r="E1176" s="1">
        <f>IFERROR(__xludf.DUMMYFUNCTION("""COMPUTED_VALUE"""),25180.0)</f>
        <v>25180</v>
      </c>
      <c r="F1176" s="1">
        <f>IFERROR(__xludf.DUMMYFUNCTION("""COMPUTED_VALUE"""),346652.0)</f>
        <v>346652</v>
      </c>
    </row>
    <row r="1177">
      <c r="A1177" s="2">
        <f>IFERROR(__xludf.DUMMYFUNCTION("""COMPUTED_VALUE"""),42285.64583333333)</f>
        <v>42285.64583</v>
      </c>
      <c r="B1177" s="1">
        <f>IFERROR(__xludf.DUMMYFUNCTION("""COMPUTED_VALUE"""),25100.0)</f>
        <v>25100</v>
      </c>
      <c r="C1177" s="1">
        <f>IFERROR(__xludf.DUMMYFUNCTION("""COMPUTED_VALUE"""),25440.0)</f>
        <v>25440</v>
      </c>
      <c r="D1177" s="1">
        <f>IFERROR(__xludf.DUMMYFUNCTION("""COMPUTED_VALUE"""),24580.0)</f>
        <v>24580</v>
      </c>
      <c r="E1177" s="1">
        <f>IFERROR(__xludf.DUMMYFUNCTION("""COMPUTED_VALUE"""),24660.0)</f>
        <v>24660</v>
      </c>
      <c r="F1177" s="1">
        <f>IFERROR(__xludf.DUMMYFUNCTION("""COMPUTED_VALUE"""),450074.0)</f>
        <v>450074</v>
      </c>
    </row>
    <row r="1178">
      <c r="A1178" s="2">
        <f>IFERROR(__xludf.DUMMYFUNCTION("""COMPUTED_VALUE"""),42289.64583333333)</f>
        <v>42289.64583</v>
      </c>
      <c r="B1178" s="1">
        <f>IFERROR(__xludf.DUMMYFUNCTION("""COMPUTED_VALUE"""),24680.0)</f>
        <v>24680</v>
      </c>
      <c r="C1178" s="1">
        <f>IFERROR(__xludf.DUMMYFUNCTION("""COMPUTED_VALUE"""),24860.0)</f>
        <v>24860</v>
      </c>
      <c r="D1178" s="1">
        <f>IFERROR(__xludf.DUMMYFUNCTION("""COMPUTED_VALUE"""),24420.0)</f>
        <v>24420</v>
      </c>
      <c r="E1178" s="1">
        <f>IFERROR(__xludf.DUMMYFUNCTION("""COMPUTED_VALUE"""),24440.0)</f>
        <v>24440</v>
      </c>
      <c r="F1178" s="1">
        <f>IFERROR(__xludf.DUMMYFUNCTION("""COMPUTED_VALUE"""),373162.0)</f>
        <v>373162</v>
      </c>
    </row>
    <row r="1179">
      <c r="A1179" s="2">
        <f>IFERROR(__xludf.DUMMYFUNCTION("""COMPUTED_VALUE"""),42290.64583333333)</f>
        <v>42290.64583</v>
      </c>
      <c r="B1179" s="1">
        <f>IFERROR(__xludf.DUMMYFUNCTION("""COMPUTED_VALUE"""),24360.0)</f>
        <v>24360</v>
      </c>
      <c r="C1179" s="1">
        <f>IFERROR(__xludf.DUMMYFUNCTION("""COMPUTED_VALUE"""),24680.0)</f>
        <v>24680</v>
      </c>
      <c r="D1179" s="1">
        <f>IFERROR(__xludf.DUMMYFUNCTION("""COMPUTED_VALUE"""),24220.0)</f>
        <v>24220</v>
      </c>
      <c r="E1179" s="1">
        <f>IFERROR(__xludf.DUMMYFUNCTION("""COMPUTED_VALUE"""),24220.0)</f>
        <v>24220</v>
      </c>
      <c r="F1179" s="1">
        <f>IFERROR(__xludf.DUMMYFUNCTION("""COMPUTED_VALUE"""),343992.0)</f>
        <v>343992</v>
      </c>
    </row>
    <row r="1180">
      <c r="A1180" s="2">
        <f>IFERROR(__xludf.DUMMYFUNCTION("""COMPUTED_VALUE"""),42291.64583333333)</f>
        <v>42291.64583</v>
      </c>
      <c r="B1180" s="1">
        <f>IFERROR(__xludf.DUMMYFUNCTION("""COMPUTED_VALUE"""),24180.0)</f>
        <v>24180</v>
      </c>
      <c r="C1180" s="1">
        <f>IFERROR(__xludf.DUMMYFUNCTION("""COMPUTED_VALUE"""),24440.0)</f>
        <v>24440</v>
      </c>
      <c r="D1180" s="1">
        <f>IFERROR(__xludf.DUMMYFUNCTION("""COMPUTED_VALUE"""),24080.0)</f>
        <v>24080</v>
      </c>
      <c r="E1180" s="1">
        <f>IFERROR(__xludf.DUMMYFUNCTION("""COMPUTED_VALUE"""),24380.0)</f>
        <v>24380</v>
      </c>
      <c r="F1180" s="1">
        <f>IFERROR(__xludf.DUMMYFUNCTION("""COMPUTED_VALUE"""),252458.0)</f>
        <v>252458</v>
      </c>
    </row>
    <row r="1181">
      <c r="A1181" s="2">
        <f>IFERROR(__xludf.DUMMYFUNCTION("""COMPUTED_VALUE"""),42292.64583333333)</f>
        <v>42292.64583</v>
      </c>
      <c r="B1181" s="1">
        <f>IFERROR(__xludf.DUMMYFUNCTION("""COMPUTED_VALUE"""),24180.0)</f>
        <v>24180</v>
      </c>
      <c r="C1181" s="1">
        <f>IFERROR(__xludf.DUMMYFUNCTION("""COMPUTED_VALUE"""),24220.0)</f>
        <v>24220</v>
      </c>
      <c r="D1181" s="1">
        <f>IFERROR(__xludf.DUMMYFUNCTION("""COMPUTED_VALUE"""),23100.0)</f>
        <v>23100</v>
      </c>
      <c r="E1181" s="1">
        <f>IFERROR(__xludf.DUMMYFUNCTION("""COMPUTED_VALUE"""),23200.0)</f>
        <v>23200</v>
      </c>
      <c r="F1181" s="1">
        <f>IFERROR(__xludf.DUMMYFUNCTION("""COMPUTED_VALUE"""),1209220.0)</f>
        <v>1209220</v>
      </c>
    </row>
    <row r="1182">
      <c r="A1182" s="2">
        <f>IFERROR(__xludf.DUMMYFUNCTION("""COMPUTED_VALUE"""),42293.64583333333)</f>
        <v>42293.64583</v>
      </c>
      <c r="B1182" s="1">
        <f>IFERROR(__xludf.DUMMYFUNCTION("""COMPUTED_VALUE"""),23180.0)</f>
        <v>23180</v>
      </c>
      <c r="C1182" s="1">
        <f>IFERROR(__xludf.DUMMYFUNCTION("""COMPUTED_VALUE"""),23380.0)</f>
        <v>23380</v>
      </c>
      <c r="D1182" s="1">
        <f>IFERROR(__xludf.DUMMYFUNCTION("""COMPUTED_VALUE"""),22920.0)</f>
        <v>22920</v>
      </c>
      <c r="E1182" s="1">
        <f>IFERROR(__xludf.DUMMYFUNCTION("""COMPUTED_VALUE"""),23020.0)</f>
        <v>23020</v>
      </c>
      <c r="F1182" s="1">
        <f>IFERROR(__xludf.DUMMYFUNCTION("""COMPUTED_VALUE"""),465220.0)</f>
        <v>465220</v>
      </c>
    </row>
    <row r="1183">
      <c r="A1183" s="2">
        <f>IFERROR(__xludf.DUMMYFUNCTION("""COMPUTED_VALUE"""),42296.64583333333)</f>
        <v>42296.64583</v>
      </c>
      <c r="B1183" s="1">
        <f>IFERROR(__xludf.DUMMYFUNCTION("""COMPUTED_VALUE"""),23020.0)</f>
        <v>23020</v>
      </c>
      <c r="C1183" s="1">
        <f>IFERROR(__xludf.DUMMYFUNCTION("""COMPUTED_VALUE"""),23240.0)</f>
        <v>23240</v>
      </c>
      <c r="D1183" s="1">
        <f>IFERROR(__xludf.DUMMYFUNCTION("""COMPUTED_VALUE"""),22360.0)</f>
        <v>22360</v>
      </c>
      <c r="E1183" s="1">
        <f>IFERROR(__xludf.DUMMYFUNCTION("""COMPUTED_VALUE"""),23080.0)</f>
        <v>23080</v>
      </c>
      <c r="F1183" s="1">
        <f>IFERROR(__xludf.DUMMYFUNCTION("""COMPUTED_VALUE"""),529059.0)</f>
        <v>529059</v>
      </c>
    </row>
    <row r="1184">
      <c r="A1184" s="2">
        <f>IFERROR(__xludf.DUMMYFUNCTION("""COMPUTED_VALUE"""),42297.64583333333)</f>
        <v>42297.64583</v>
      </c>
      <c r="B1184" s="1">
        <f>IFERROR(__xludf.DUMMYFUNCTION("""COMPUTED_VALUE"""),22860.0)</f>
        <v>22860</v>
      </c>
      <c r="C1184" s="1">
        <f>IFERROR(__xludf.DUMMYFUNCTION("""COMPUTED_VALUE"""),23580.0)</f>
        <v>23580</v>
      </c>
      <c r="D1184" s="1">
        <f>IFERROR(__xludf.DUMMYFUNCTION("""COMPUTED_VALUE"""),22860.0)</f>
        <v>22860</v>
      </c>
      <c r="E1184" s="1">
        <f>IFERROR(__xludf.DUMMYFUNCTION("""COMPUTED_VALUE"""),23200.0)</f>
        <v>23200</v>
      </c>
      <c r="F1184" s="1">
        <f>IFERROR(__xludf.DUMMYFUNCTION("""COMPUTED_VALUE"""),348614.0)</f>
        <v>348614</v>
      </c>
    </row>
    <row r="1185">
      <c r="A1185" s="2">
        <f>IFERROR(__xludf.DUMMYFUNCTION("""COMPUTED_VALUE"""),42298.64583333333)</f>
        <v>42298.64583</v>
      </c>
      <c r="B1185" s="1">
        <f>IFERROR(__xludf.DUMMYFUNCTION("""COMPUTED_VALUE"""),23220.0)</f>
        <v>23220</v>
      </c>
      <c r="C1185" s="1">
        <f>IFERROR(__xludf.DUMMYFUNCTION("""COMPUTED_VALUE"""),23460.0)</f>
        <v>23460</v>
      </c>
      <c r="D1185" s="1">
        <f>IFERROR(__xludf.DUMMYFUNCTION("""COMPUTED_VALUE"""),23020.0)</f>
        <v>23020</v>
      </c>
      <c r="E1185" s="1">
        <f>IFERROR(__xludf.DUMMYFUNCTION("""COMPUTED_VALUE"""),23080.0)</f>
        <v>23080</v>
      </c>
      <c r="F1185" s="1">
        <f>IFERROR(__xludf.DUMMYFUNCTION("""COMPUTED_VALUE"""),262297.0)</f>
        <v>262297</v>
      </c>
    </row>
    <row r="1186">
      <c r="A1186" s="2">
        <f>IFERROR(__xludf.DUMMYFUNCTION("""COMPUTED_VALUE"""),42299.64583333333)</f>
        <v>42299.64583</v>
      </c>
      <c r="B1186" s="1">
        <f>IFERROR(__xludf.DUMMYFUNCTION("""COMPUTED_VALUE"""),23020.0)</f>
        <v>23020</v>
      </c>
      <c r="C1186" s="1">
        <f>IFERROR(__xludf.DUMMYFUNCTION("""COMPUTED_VALUE"""),23020.0)</f>
        <v>23020</v>
      </c>
      <c r="D1186" s="1">
        <f>IFERROR(__xludf.DUMMYFUNCTION("""COMPUTED_VALUE"""),22400.0)</f>
        <v>22400</v>
      </c>
      <c r="E1186" s="1">
        <f>IFERROR(__xludf.DUMMYFUNCTION("""COMPUTED_VALUE"""),22440.0)</f>
        <v>22440</v>
      </c>
      <c r="F1186" s="1">
        <f>IFERROR(__xludf.DUMMYFUNCTION("""COMPUTED_VALUE"""),432670.0)</f>
        <v>432670</v>
      </c>
    </row>
    <row r="1187">
      <c r="A1187" s="2">
        <f>IFERROR(__xludf.DUMMYFUNCTION("""COMPUTED_VALUE"""),42300.64583333333)</f>
        <v>42300.64583</v>
      </c>
      <c r="B1187" s="1">
        <f>IFERROR(__xludf.DUMMYFUNCTION("""COMPUTED_VALUE"""),22600.0)</f>
        <v>22600</v>
      </c>
      <c r="C1187" s="1">
        <f>IFERROR(__xludf.DUMMYFUNCTION("""COMPUTED_VALUE"""),22880.0)</f>
        <v>22880</v>
      </c>
      <c r="D1187" s="1">
        <f>IFERROR(__xludf.DUMMYFUNCTION("""COMPUTED_VALUE"""),22520.0)</f>
        <v>22520</v>
      </c>
      <c r="E1187" s="1">
        <f>IFERROR(__xludf.DUMMYFUNCTION("""COMPUTED_VALUE"""),22880.0)</f>
        <v>22880</v>
      </c>
      <c r="F1187" s="1">
        <f>IFERROR(__xludf.DUMMYFUNCTION("""COMPUTED_VALUE"""),232919.0)</f>
        <v>232919</v>
      </c>
    </row>
    <row r="1188">
      <c r="A1188" s="2">
        <f>IFERROR(__xludf.DUMMYFUNCTION("""COMPUTED_VALUE"""),42303.64583333333)</f>
        <v>42303.64583</v>
      </c>
      <c r="B1188" s="1">
        <f>IFERROR(__xludf.DUMMYFUNCTION("""COMPUTED_VALUE"""),22940.0)</f>
        <v>22940</v>
      </c>
      <c r="C1188" s="1">
        <f>IFERROR(__xludf.DUMMYFUNCTION("""COMPUTED_VALUE"""),23100.0)</f>
        <v>23100</v>
      </c>
      <c r="D1188" s="1">
        <f>IFERROR(__xludf.DUMMYFUNCTION("""COMPUTED_VALUE"""),22620.0)</f>
        <v>22620</v>
      </c>
      <c r="E1188" s="1">
        <f>IFERROR(__xludf.DUMMYFUNCTION("""COMPUTED_VALUE"""),22800.0)</f>
        <v>22800</v>
      </c>
      <c r="F1188" s="1">
        <f>IFERROR(__xludf.DUMMYFUNCTION("""COMPUTED_VALUE"""),193822.0)</f>
        <v>193822</v>
      </c>
    </row>
    <row r="1189">
      <c r="A1189" s="2">
        <f>IFERROR(__xludf.DUMMYFUNCTION("""COMPUTED_VALUE"""),42304.64583333333)</f>
        <v>42304.64583</v>
      </c>
      <c r="B1189" s="1">
        <f>IFERROR(__xludf.DUMMYFUNCTION("""COMPUTED_VALUE"""),22700.0)</f>
        <v>22700</v>
      </c>
      <c r="C1189" s="1">
        <f>IFERROR(__xludf.DUMMYFUNCTION("""COMPUTED_VALUE"""),22820.0)</f>
        <v>22820</v>
      </c>
      <c r="D1189" s="1">
        <f>IFERROR(__xludf.DUMMYFUNCTION("""COMPUTED_VALUE"""),22480.0)</f>
        <v>22480</v>
      </c>
      <c r="E1189" s="1">
        <f>IFERROR(__xludf.DUMMYFUNCTION("""COMPUTED_VALUE"""),22640.0)</f>
        <v>22640</v>
      </c>
      <c r="F1189" s="1">
        <f>IFERROR(__xludf.DUMMYFUNCTION("""COMPUTED_VALUE"""),259009.0)</f>
        <v>259009</v>
      </c>
    </row>
    <row r="1190">
      <c r="A1190" s="2">
        <f>IFERROR(__xludf.DUMMYFUNCTION("""COMPUTED_VALUE"""),42305.64583333333)</f>
        <v>42305.64583</v>
      </c>
      <c r="B1190" s="1">
        <f>IFERROR(__xludf.DUMMYFUNCTION("""COMPUTED_VALUE"""),22780.0)</f>
        <v>22780</v>
      </c>
      <c r="C1190" s="1">
        <f>IFERROR(__xludf.DUMMYFUNCTION("""COMPUTED_VALUE"""),23040.0)</f>
        <v>23040</v>
      </c>
      <c r="D1190" s="1">
        <f>IFERROR(__xludf.DUMMYFUNCTION("""COMPUTED_VALUE"""),22600.0)</f>
        <v>22600</v>
      </c>
      <c r="E1190" s="1">
        <f>IFERROR(__xludf.DUMMYFUNCTION("""COMPUTED_VALUE"""),22980.0)</f>
        <v>22980</v>
      </c>
      <c r="F1190" s="1">
        <f>IFERROR(__xludf.DUMMYFUNCTION("""COMPUTED_VALUE"""),323319.0)</f>
        <v>323319</v>
      </c>
    </row>
    <row r="1191">
      <c r="A1191" s="2">
        <f>IFERROR(__xludf.DUMMYFUNCTION("""COMPUTED_VALUE"""),42306.64583333333)</f>
        <v>42306.64583</v>
      </c>
      <c r="B1191" s="1">
        <f>IFERROR(__xludf.DUMMYFUNCTION("""COMPUTED_VALUE"""),23080.0)</f>
        <v>23080</v>
      </c>
      <c r="C1191" s="1">
        <f>IFERROR(__xludf.DUMMYFUNCTION("""COMPUTED_VALUE"""),23320.0)</f>
        <v>23320</v>
      </c>
      <c r="D1191" s="1">
        <f>IFERROR(__xludf.DUMMYFUNCTION("""COMPUTED_VALUE"""),22800.0)</f>
        <v>22800</v>
      </c>
      <c r="E1191" s="1">
        <f>IFERROR(__xludf.DUMMYFUNCTION("""COMPUTED_VALUE"""),22940.0)</f>
        <v>22940</v>
      </c>
      <c r="F1191" s="1">
        <f>IFERROR(__xludf.DUMMYFUNCTION("""COMPUTED_VALUE"""),220302.0)</f>
        <v>220302</v>
      </c>
    </row>
    <row r="1192">
      <c r="A1192" s="2">
        <f>IFERROR(__xludf.DUMMYFUNCTION("""COMPUTED_VALUE"""),42307.64583333333)</f>
        <v>42307.64583</v>
      </c>
      <c r="B1192" s="1">
        <f>IFERROR(__xludf.DUMMYFUNCTION("""COMPUTED_VALUE"""),22920.0)</f>
        <v>22920</v>
      </c>
      <c r="C1192" s="1">
        <f>IFERROR(__xludf.DUMMYFUNCTION("""COMPUTED_VALUE"""),23100.0)</f>
        <v>23100</v>
      </c>
      <c r="D1192" s="1">
        <f>IFERROR(__xludf.DUMMYFUNCTION("""COMPUTED_VALUE"""),22700.0)</f>
        <v>22700</v>
      </c>
      <c r="E1192" s="1">
        <f>IFERROR(__xludf.DUMMYFUNCTION("""COMPUTED_VALUE"""),22720.0)</f>
        <v>22720</v>
      </c>
      <c r="F1192" s="1">
        <f>IFERROR(__xludf.DUMMYFUNCTION("""COMPUTED_VALUE"""),149633.0)</f>
        <v>149633</v>
      </c>
    </row>
    <row r="1193">
      <c r="A1193" s="2">
        <f>IFERROR(__xludf.DUMMYFUNCTION("""COMPUTED_VALUE"""),42310.64583333333)</f>
        <v>42310.64583</v>
      </c>
      <c r="B1193" s="1">
        <f>IFERROR(__xludf.DUMMYFUNCTION("""COMPUTED_VALUE"""),22580.0)</f>
        <v>22580</v>
      </c>
      <c r="C1193" s="1">
        <f>IFERROR(__xludf.DUMMYFUNCTION("""COMPUTED_VALUE"""),22680.0)</f>
        <v>22680</v>
      </c>
      <c r="D1193" s="1">
        <f>IFERROR(__xludf.DUMMYFUNCTION("""COMPUTED_VALUE"""),22100.0)</f>
        <v>22100</v>
      </c>
      <c r="E1193" s="1">
        <f>IFERROR(__xludf.DUMMYFUNCTION("""COMPUTED_VALUE"""),22260.0)</f>
        <v>22260</v>
      </c>
      <c r="F1193" s="1">
        <f>IFERROR(__xludf.DUMMYFUNCTION("""COMPUTED_VALUE"""),283375.0)</f>
        <v>283375</v>
      </c>
    </row>
    <row r="1194">
      <c r="A1194" s="2">
        <f>IFERROR(__xludf.DUMMYFUNCTION("""COMPUTED_VALUE"""),42311.64583333333)</f>
        <v>42311.64583</v>
      </c>
      <c r="B1194" s="1">
        <f>IFERROR(__xludf.DUMMYFUNCTION("""COMPUTED_VALUE"""),22300.0)</f>
        <v>22300</v>
      </c>
      <c r="C1194" s="1">
        <f>IFERROR(__xludf.DUMMYFUNCTION("""COMPUTED_VALUE"""),22520.0)</f>
        <v>22520</v>
      </c>
      <c r="D1194" s="1">
        <f>IFERROR(__xludf.DUMMYFUNCTION("""COMPUTED_VALUE"""),22020.0)</f>
        <v>22020</v>
      </c>
      <c r="E1194" s="1">
        <f>IFERROR(__xludf.DUMMYFUNCTION("""COMPUTED_VALUE"""),22240.0)</f>
        <v>22240</v>
      </c>
      <c r="F1194" s="1">
        <f>IFERROR(__xludf.DUMMYFUNCTION("""COMPUTED_VALUE"""),248764.0)</f>
        <v>248764</v>
      </c>
    </row>
    <row r="1195">
      <c r="A1195" s="2">
        <f>IFERROR(__xludf.DUMMYFUNCTION("""COMPUTED_VALUE"""),42312.64583333333)</f>
        <v>42312.64583</v>
      </c>
      <c r="B1195" s="1">
        <f>IFERROR(__xludf.DUMMYFUNCTION("""COMPUTED_VALUE"""),22300.0)</f>
        <v>22300</v>
      </c>
      <c r="C1195" s="1">
        <f>IFERROR(__xludf.DUMMYFUNCTION("""COMPUTED_VALUE"""),22960.0)</f>
        <v>22960</v>
      </c>
      <c r="D1195" s="1">
        <f>IFERROR(__xludf.DUMMYFUNCTION("""COMPUTED_VALUE"""),22280.0)</f>
        <v>22280</v>
      </c>
      <c r="E1195" s="1">
        <f>IFERROR(__xludf.DUMMYFUNCTION("""COMPUTED_VALUE"""),22960.0)</f>
        <v>22960</v>
      </c>
      <c r="F1195" s="1">
        <f>IFERROR(__xludf.DUMMYFUNCTION("""COMPUTED_VALUE"""),307774.0)</f>
        <v>307774</v>
      </c>
    </row>
    <row r="1196">
      <c r="A1196" s="2">
        <f>IFERROR(__xludf.DUMMYFUNCTION("""COMPUTED_VALUE"""),42313.64583333333)</f>
        <v>42313.64583</v>
      </c>
      <c r="B1196" s="1">
        <f>IFERROR(__xludf.DUMMYFUNCTION("""COMPUTED_VALUE"""),23180.0)</f>
        <v>23180</v>
      </c>
      <c r="C1196" s="1">
        <f>IFERROR(__xludf.DUMMYFUNCTION("""COMPUTED_VALUE"""),24180.0)</f>
        <v>24180</v>
      </c>
      <c r="D1196" s="1">
        <f>IFERROR(__xludf.DUMMYFUNCTION("""COMPUTED_VALUE"""),23160.0)</f>
        <v>23160</v>
      </c>
      <c r="E1196" s="1">
        <f>IFERROR(__xludf.DUMMYFUNCTION("""COMPUTED_VALUE"""),24060.0)</f>
        <v>24060</v>
      </c>
      <c r="F1196" s="1">
        <f>IFERROR(__xludf.DUMMYFUNCTION("""COMPUTED_VALUE"""),954534.0)</f>
        <v>954534</v>
      </c>
    </row>
    <row r="1197">
      <c r="A1197" s="2">
        <f>IFERROR(__xludf.DUMMYFUNCTION("""COMPUTED_VALUE"""),42314.64583333333)</f>
        <v>42314.64583</v>
      </c>
      <c r="B1197" s="1">
        <f>IFERROR(__xludf.DUMMYFUNCTION("""COMPUTED_VALUE"""),23840.0)</f>
        <v>23840</v>
      </c>
      <c r="C1197" s="1">
        <f>IFERROR(__xludf.DUMMYFUNCTION("""COMPUTED_VALUE"""),24000.0)</f>
        <v>24000</v>
      </c>
      <c r="D1197" s="1">
        <f>IFERROR(__xludf.DUMMYFUNCTION("""COMPUTED_VALUE"""),23600.0)</f>
        <v>23600</v>
      </c>
      <c r="E1197" s="1">
        <f>IFERROR(__xludf.DUMMYFUNCTION("""COMPUTED_VALUE"""),23800.0)</f>
        <v>23800</v>
      </c>
      <c r="F1197" s="1">
        <f>IFERROR(__xludf.DUMMYFUNCTION("""COMPUTED_VALUE"""),348546.0)</f>
        <v>348546</v>
      </c>
    </row>
    <row r="1198">
      <c r="A1198" s="2">
        <f>IFERROR(__xludf.DUMMYFUNCTION("""COMPUTED_VALUE"""),42317.64583333333)</f>
        <v>42317.64583</v>
      </c>
      <c r="B1198" s="1">
        <f>IFERROR(__xludf.DUMMYFUNCTION("""COMPUTED_VALUE"""),23960.0)</f>
        <v>23960</v>
      </c>
      <c r="C1198" s="1">
        <f>IFERROR(__xludf.DUMMYFUNCTION("""COMPUTED_VALUE"""),24000.0)</f>
        <v>24000</v>
      </c>
      <c r="D1198" s="1">
        <f>IFERROR(__xludf.DUMMYFUNCTION("""COMPUTED_VALUE"""),22900.0)</f>
        <v>22900</v>
      </c>
      <c r="E1198" s="1">
        <f>IFERROR(__xludf.DUMMYFUNCTION("""COMPUTED_VALUE"""),23000.0)</f>
        <v>23000</v>
      </c>
      <c r="F1198" s="1">
        <f>IFERROR(__xludf.DUMMYFUNCTION("""COMPUTED_VALUE"""),322087.0)</f>
        <v>322087</v>
      </c>
    </row>
    <row r="1199">
      <c r="A1199" s="2">
        <f>IFERROR(__xludf.DUMMYFUNCTION("""COMPUTED_VALUE"""),42318.64583333333)</f>
        <v>42318.64583</v>
      </c>
      <c r="B1199" s="1">
        <f>IFERROR(__xludf.DUMMYFUNCTION("""COMPUTED_VALUE"""),22680.0)</f>
        <v>22680</v>
      </c>
      <c r="C1199" s="1">
        <f>IFERROR(__xludf.DUMMYFUNCTION("""COMPUTED_VALUE"""),22800.0)</f>
        <v>22800</v>
      </c>
      <c r="D1199" s="1">
        <f>IFERROR(__xludf.DUMMYFUNCTION("""COMPUTED_VALUE"""),22180.0)</f>
        <v>22180</v>
      </c>
      <c r="E1199" s="1">
        <f>IFERROR(__xludf.DUMMYFUNCTION("""COMPUTED_VALUE"""),22340.0)</f>
        <v>22340</v>
      </c>
      <c r="F1199" s="1">
        <f>IFERROR(__xludf.DUMMYFUNCTION("""COMPUTED_VALUE"""),357895.0)</f>
        <v>357895</v>
      </c>
    </row>
    <row r="1200">
      <c r="A1200" s="2">
        <f>IFERROR(__xludf.DUMMYFUNCTION("""COMPUTED_VALUE"""),42319.64583333333)</f>
        <v>42319.64583</v>
      </c>
      <c r="B1200" s="1">
        <f>IFERROR(__xludf.DUMMYFUNCTION("""COMPUTED_VALUE"""),22280.0)</f>
        <v>22280</v>
      </c>
      <c r="C1200" s="1">
        <f>IFERROR(__xludf.DUMMYFUNCTION("""COMPUTED_VALUE"""),22680.0)</f>
        <v>22680</v>
      </c>
      <c r="D1200" s="1">
        <f>IFERROR(__xludf.DUMMYFUNCTION("""COMPUTED_VALUE"""),22280.0)</f>
        <v>22280</v>
      </c>
      <c r="E1200" s="1">
        <f>IFERROR(__xludf.DUMMYFUNCTION("""COMPUTED_VALUE"""),22300.0)</f>
        <v>22300</v>
      </c>
      <c r="F1200" s="1">
        <f>IFERROR(__xludf.DUMMYFUNCTION("""COMPUTED_VALUE"""),188505.0)</f>
        <v>188505</v>
      </c>
    </row>
    <row r="1201">
      <c r="A1201" s="2">
        <f>IFERROR(__xludf.DUMMYFUNCTION("""COMPUTED_VALUE"""),42320.64583333333)</f>
        <v>42320.64583</v>
      </c>
      <c r="B1201" s="1">
        <f>IFERROR(__xludf.DUMMYFUNCTION("""COMPUTED_VALUE"""),22820.0)</f>
        <v>22820</v>
      </c>
      <c r="C1201" s="1">
        <f>IFERROR(__xludf.DUMMYFUNCTION("""COMPUTED_VALUE"""),24000.0)</f>
        <v>24000</v>
      </c>
      <c r="D1201" s="1">
        <f>IFERROR(__xludf.DUMMYFUNCTION("""COMPUTED_VALUE"""),22820.0)</f>
        <v>22820</v>
      </c>
      <c r="E1201" s="1">
        <f>IFERROR(__xludf.DUMMYFUNCTION("""COMPUTED_VALUE"""),23800.0)</f>
        <v>23800</v>
      </c>
      <c r="F1201" s="1">
        <f>IFERROR(__xludf.DUMMYFUNCTION("""COMPUTED_VALUE"""),842435.0)</f>
        <v>842435</v>
      </c>
    </row>
    <row r="1202">
      <c r="A1202" s="2">
        <f>IFERROR(__xludf.DUMMYFUNCTION("""COMPUTED_VALUE"""),42321.64583333333)</f>
        <v>42321.64583</v>
      </c>
      <c r="B1202" s="1">
        <f>IFERROR(__xludf.DUMMYFUNCTION("""COMPUTED_VALUE"""),23500.0)</f>
        <v>23500</v>
      </c>
      <c r="C1202" s="1">
        <f>IFERROR(__xludf.DUMMYFUNCTION("""COMPUTED_VALUE"""),23980.0)</f>
        <v>23980</v>
      </c>
      <c r="D1202" s="1">
        <f>IFERROR(__xludf.DUMMYFUNCTION("""COMPUTED_VALUE"""),23420.0)</f>
        <v>23420</v>
      </c>
      <c r="E1202" s="1">
        <f>IFERROR(__xludf.DUMMYFUNCTION("""COMPUTED_VALUE"""),23880.0)</f>
        <v>23880</v>
      </c>
      <c r="F1202" s="1">
        <f>IFERROR(__xludf.DUMMYFUNCTION("""COMPUTED_VALUE"""),367584.0)</f>
        <v>367584</v>
      </c>
    </row>
    <row r="1203">
      <c r="A1203" s="2">
        <f>IFERROR(__xludf.DUMMYFUNCTION("""COMPUTED_VALUE"""),42324.64583333333)</f>
        <v>42324.64583</v>
      </c>
      <c r="B1203" s="1">
        <f>IFERROR(__xludf.DUMMYFUNCTION("""COMPUTED_VALUE"""),23500.0)</f>
        <v>23500</v>
      </c>
      <c r="C1203" s="1">
        <f>IFERROR(__xludf.DUMMYFUNCTION("""COMPUTED_VALUE"""),23780.0)</f>
        <v>23780</v>
      </c>
      <c r="D1203" s="1">
        <f>IFERROR(__xludf.DUMMYFUNCTION("""COMPUTED_VALUE"""),23020.0)</f>
        <v>23020</v>
      </c>
      <c r="E1203" s="1">
        <f>IFERROR(__xludf.DUMMYFUNCTION("""COMPUTED_VALUE"""),23020.0)</f>
        <v>23020</v>
      </c>
      <c r="F1203" s="1">
        <f>IFERROR(__xludf.DUMMYFUNCTION("""COMPUTED_VALUE"""),348337.0)</f>
        <v>348337</v>
      </c>
    </row>
    <row r="1204">
      <c r="A1204" s="2">
        <f>IFERROR(__xludf.DUMMYFUNCTION("""COMPUTED_VALUE"""),42325.64583333333)</f>
        <v>42325.64583</v>
      </c>
      <c r="B1204" s="1">
        <f>IFERROR(__xludf.DUMMYFUNCTION("""COMPUTED_VALUE"""),23320.0)</f>
        <v>23320</v>
      </c>
      <c r="C1204" s="1">
        <f>IFERROR(__xludf.DUMMYFUNCTION("""COMPUTED_VALUE"""),23360.0)</f>
        <v>23360</v>
      </c>
      <c r="D1204" s="1">
        <f>IFERROR(__xludf.DUMMYFUNCTION("""COMPUTED_VALUE"""),22880.0)</f>
        <v>22880</v>
      </c>
      <c r="E1204" s="1">
        <f>IFERROR(__xludf.DUMMYFUNCTION("""COMPUTED_VALUE"""),22960.0)</f>
        <v>22960</v>
      </c>
      <c r="F1204" s="1">
        <f>IFERROR(__xludf.DUMMYFUNCTION("""COMPUTED_VALUE"""),236184.0)</f>
        <v>236184</v>
      </c>
    </row>
    <row r="1205">
      <c r="A1205" s="2">
        <f>IFERROR(__xludf.DUMMYFUNCTION("""COMPUTED_VALUE"""),42326.64583333333)</f>
        <v>42326.64583</v>
      </c>
      <c r="B1205" s="1">
        <f>IFERROR(__xludf.DUMMYFUNCTION("""COMPUTED_VALUE"""),22900.0)</f>
        <v>22900</v>
      </c>
      <c r="C1205" s="1">
        <f>IFERROR(__xludf.DUMMYFUNCTION("""COMPUTED_VALUE"""),23220.0)</f>
        <v>23220</v>
      </c>
      <c r="D1205" s="1">
        <f>IFERROR(__xludf.DUMMYFUNCTION("""COMPUTED_VALUE"""),22740.0)</f>
        <v>22740</v>
      </c>
      <c r="E1205" s="1">
        <f>IFERROR(__xludf.DUMMYFUNCTION("""COMPUTED_VALUE"""),22920.0)</f>
        <v>22920</v>
      </c>
      <c r="F1205" s="1">
        <f>IFERROR(__xludf.DUMMYFUNCTION("""COMPUTED_VALUE"""),223064.0)</f>
        <v>223064</v>
      </c>
    </row>
    <row r="1206">
      <c r="A1206" s="2">
        <f>IFERROR(__xludf.DUMMYFUNCTION("""COMPUTED_VALUE"""),42327.64583333333)</f>
        <v>42327.64583</v>
      </c>
      <c r="B1206" s="1">
        <f>IFERROR(__xludf.DUMMYFUNCTION("""COMPUTED_VALUE"""),22940.0)</f>
        <v>22940</v>
      </c>
      <c r="C1206" s="1">
        <f>IFERROR(__xludf.DUMMYFUNCTION("""COMPUTED_VALUE"""),23180.0)</f>
        <v>23180</v>
      </c>
      <c r="D1206" s="1">
        <f>IFERROR(__xludf.DUMMYFUNCTION("""COMPUTED_VALUE"""),22700.0)</f>
        <v>22700</v>
      </c>
      <c r="E1206" s="1">
        <f>IFERROR(__xludf.DUMMYFUNCTION("""COMPUTED_VALUE"""),23060.0)</f>
        <v>23060</v>
      </c>
      <c r="F1206" s="1">
        <f>IFERROR(__xludf.DUMMYFUNCTION("""COMPUTED_VALUE"""),183187.0)</f>
        <v>183187</v>
      </c>
    </row>
    <row r="1207">
      <c r="A1207" s="2">
        <f>IFERROR(__xludf.DUMMYFUNCTION("""COMPUTED_VALUE"""),42328.64583333333)</f>
        <v>42328.64583</v>
      </c>
      <c r="B1207" s="1">
        <f>IFERROR(__xludf.DUMMYFUNCTION("""COMPUTED_VALUE"""),23000.0)</f>
        <v>23000</v>
      </c>
      <c r="C1207" s="1">
        <f>IFERROR(__xludf.DUMMYFUNCTION("""COMPUTED_VALUE"""),23360.0)</f>
        <v>23360</v>
      </c>
      <c r="D1207" s="1">
        <f>IFERROR(__xludf.DUMMYFUNCTION("""COMPUTED_VALUE"""),22940.0)</f>
        <v>22940</v>
      </c>
      <c r="E1207" s="1">
        <f>IFERROR(__xludf.DUMMYFUNCTION("""COMPUTED_VALUE"""),23100.0)</f>
        <v>23100</v>
      </c>
      <c r="F1207" s="1">
        <f>IFERROR(__xludf.DUMMYFUNCTION("""COMPUTED_VALUE"""),181302.0)</f>
        <v>181302</v>
      </c>
    </row>
    <row r="1208">
      <c r="A1208" s="2">
        <f>IFERROR(__xludf.DUMMYFUNCTION("""COMPUTED_VALUE"""),42331.64583333333)</f>
        <v>42331.64583</v>
      </c>
      <c r="B1208" s="1">
        <f>IFERROR(__xludf.DUMMYFUNCTION("""COMPUTED_VALUE"""),23140.0)</f>
        <v>23140</v>
      </c>
      <c r="C1208" s="1">
        <f>IFERROR(__xludf.DUMMYFUNCTION("""COMPUTED_VALUE"""),23200.0)</f>
        <v>23200</v>
      </c>
      <c r="D1208" s="1">
        <f>IFERROR(__xludf.DUMMYFUNCTION("""COMPUTED_VALUE"""),22760.0)</f>
        <v>22760</v>
      </c>
      <c r="E1208" s="1">
        <f>IFERROR(__xludf.DUMMYFUNCTION("""COMPUTED_VALUE"""),22820.0)</f>
        <v>22820</v>
      </c>
      <c r="F1208" s="1">
        <f>IFERROR(__xludf.DUMMYFUNCTION("""COMPUTED_VALUE"""),237807.0)</f>
        <v>237807</v>
      </c>
    </row>
    <row r="1209">
      <c r="A1209" s="2">
        <f>IFERROR(__xludf.DUMMYFUNCTION("""COMPUTED_VALUE"""),42332.64583333333)</f>
        <v>42332.64583</v>
      </c>
      <c r="B1209" s="1">
        <f>IFERROR(__xludf.DUMMYFUNCTION("""COMPUTED_VALUE"""),22740.0)</f>
        <v>22740</v>
      </c>
      <c r="C1209" s="1">
        <f>IFERROR(__xludf.DUMMYFUNCTION("""COMPUTED_VALUE"""),22780.0)</f>
        <v>22780</v>
      </c>
      <c r="D1209" s="1">
        <f>IFERROR(__xludf.DUMMYFUNCTION("""COMPUTED_VALUE"""),22400.0)</f>
        <v>22400</v>
      </c>
      <c r="E1209" s="1">
        <f>IFERROR(__xludf.DUMMYFUNCTION("""COMPUTED_VALUE"""),22560.0)</f>
        <v>22560</v>
      </c>
      <c r="F1209" s="1">
        <f>IFERROR(__xludf.DUMMYFUNCTION("""COMPUTED_VALUE"""),330568.0)</f>
        <v>330568</v>
      </c>
    </row>
    <row r="1210">
      <c r="A1210" s="2">
        <f>IFERROR(__xludf.DUMMYFUNCTION("""COMPUTED_VALUE"""),42333.64583333333)</f>
        <v>42333.64583</v>
      </c>
      <c r="B1210" s="1">
        <f>IFERROR(__xludf.DUMMYFUNCTION("""COMPUTED_VALUE"""),22680.0)</f>
        <v>22680</v>
      </c>
      <c r="C1210" s="1">
        <f>IFERROR(__xludf.DUMMYFUNCTION("""COMPUTED_VALUE"""),22720.0)</f>
        <v>22720</v>
      </c>
      <c r="D1210" s="1">
        <f>IFERROR(__xludf.DUMMYFUNCTION("""COMPUTED_VALUE"""),22380.0)</f>
        <v>22380</v>
      </c>
      <c r="E1210" s="1">
        <f>IFERROR(__xludf.DUMMYFUNCTION("""COMPUTED_VALUE"""),22420.0)</f>
        <v>22420</v>
      </c>
      <c r="F1210" s="1">
        <f>IFERROR(__xludf.DUMMYFUNCTION("""COMPUTED_VALUE"""),242353.0)</f>
        <v>242353</v>
      </c>
    </row>
    <row r="1211">
      <c r="A1211" s="2">
        <f>IFERROR(__xludf.DUMMYFUNCTION("""COMPUTED_VALUE"""),42334.64583333333)</f>
        <v>42334.64583</v>
      </c>
      <c r="B1211" s="1">
        <f>IFERROR(__xludf.DUMMYFUNCTION("""COMPUTED_VALUE"""),22460.0)</f>
        <v>22460</v>
      </c>
      <c r="C1211" s="1">
        <f>IFERROR(__xludf.DUMMYFUNCTION("""COMPUTED_VALUE"""),22640.0)</f>
        <v>22640</v>
      </c>
      <c r="D1211" s="1">
        <f>IFERROR(__xludf.DUMMYFUNCTION("""COMPUTED_VALUE"""),22400.0)</f>
        <v>22400</v>
      </c>
      <c r="E1211" s="1">
        <f>IFERROR(__xludf.DUMMYFUNCTION("""COMPUTED_VALUE"""),22460.0)</f>
        <v>22460</v>
      </c>
      <c r="F1211" s="1">
        <f>IFERROR(__xludf.DUMMYFUNCTION("""COMPUTED_VALUE"""),192558.0)</f>
        <v>192558</v>
      </c>
    </row>
    <row r="1212">
      <c r="A1212" s="2">
        <f>IFERROR(__xludf.DUMMYFUNCTION("""COMPUTED_VALUE"""),42335.64583333333)</f>
        <v>42335.64583</v>
      </c>
      <c r="B1212" s="1">
        <f>IFERROR(__xludf.DUMMYFUNCTION("""COMPUTED_VALUE"""),22640.0)</f>
        <v>22640</v>
      </c>
      <c r="C1212" s="1">
        <f>IFERROR(__xludf.DUMMYFUNCTION("""COMPUTED_VALUE"""),23500.0)</f>
        <v>23500</v>
      </c>
      <c r="D1212" s="1">
        <f>IFERROR(__xludf.DUMMYFUNCTION("""COMPUTED_VALUE"""),22580.0)</f>
        <v>22580</v>
      </c>
      <c r="E1212" s="1">
        <f>IFERROR(__xludf.DUMMYFUNCTION("""COMPUTED_VALUE"""),23220.0)</f>
        <v>23220</v>
      </c>
      <c r="F1212" s="1">
        <f>IFERROR(__xludf.DUMMYFUNCTION("""COMPUTED_VALUE"""),578210.0)</f>
        <v>578210</v>
      </c>
    </row>
    <row r="1213">
      <c r="A1213" s="2">
        <f>IFERROR(__xludf.DUMMYFUNCTION("""COMPUTED_VALUE"""),42338.64583333333)</f>
        <v>42338.64583</v>
      </c>
      <c r="B1213" s="1">
        <f>IFERROR(__xludf.DUMMYFUNCTION("""COMPUTED_VALUE"""),25300.0)</f>
        <v>25300</v>
      </c>
      <c r="C1213" s="1">
        <f>IFERROR(__xludf.DUMMYFUNCTION("""COMPUTED_VALUE"""),26200.0)</f>
        <v>26200</v>
      </c>
      <c r="D1213" s="1">
        <f>IFERROR(__xludf.DUMMYFUNCTION("""COMPUTED_VALUE"""),23880.0)</f>
        <v>23880</v>
      </c>
      <c r="E1213" s="1">
        <f>IFERROR(__xludf.DUMMYFUNCTION("""COMPUTED_VALUE"""),24120.0)</f>
        <v>24120</v>
      </c>
      <c r="F1213" s="1">
        <f>IFERROR(__xludf.DUMMYFUNCTION("""COMPUTED_VALUE"""),2931459.0)</f>
        <v>2931459</v>
      </c>
    </row>
    <row r="1214">
      <c r="A1214" s="2">
        <f>IFERROR(__xludf.DUMMYFUNCTION("""COMPUTED_VALUE"""),42339.64583333333)</f>
        <v>42339.64583</v>
      </c>
      <c r="B1214" s="1">
        <f>IFERROR(__xludf.DUMMYFUNCTION("""COMPUTED_VALUE"""),24160.0)</f>
        <v>24160</v>
      </c>
      <c r="C1214" s="1">
        <f>IFERROR(__xludf.DUMMYFUNCTION("""COMPUTED_VALUE"""),24340.0)</f>
        <v>24340</v>
      </c>
      <c r="D1214" s="1">
        <f>IFERROR(__xludf.DUMMYFUNCTION("""COMPUTED_VALUE"""),23660.0)</f>
        <v>23660</v>
      </c>
      <c r="E1214" s="1">
        <f>IFERROR(__xludf.DUMMYFUNCTION("""COMPUTED_VALUE"""),23880.0)</f>
        <v>23880</v>
      </c>
      <c r="F1214" s="1">
        <f>IFERROR(__xludf.DUMMYFUNCTION("""COMPUTED_VALUE"""),631065.0)</f>
        <v>631065</v>
      </c>
    </row>
    <row r="1215">
      <c r="A1215" s="2">
        <f>IFERROR(__xludf.DUMMYFUNCTION("""COMPUTED_VALUE"""),42340.64583333333)</f>
        <v>42340.64583</v>
      </c>
      <c r="B1215" s="1">
        <f>IFERROR(__xludf.DUMMYFUNCTION("""COMPUTED_VALUE"""),24280.0)</f>
        <v>24280</v>
      </c>
      <c r="C1215" s="1">
        <f>IFERROR(__xludf.DUMMYFUNCTION("""COMPUTED_VALUE"""),24720.0)</f>
        <v>24720</v>
      </c>
      <c r="D1215" s="1">
        <f>IFERROR(__xludf.DUMMYFUNCTION("""COMPUTED_VALUE"""),23960.0)</f>
        <v>23960</v>
      </c>
      <c r="E1215" s="1">
        <f>IFERROR(__xludf.DUMMYFUNCTION("""COMPUTED_VALUE"""),23960.0)</f>
        <v>23960</v>
      </c>
      <c r="F1215" s="1">
        <f>IFERROR(__xludf.DUMMYFUNCTION("""COMPUTED_VALUE"""),602515.0)</f>
        <v>602515</v>
      </c>
    </row>
    <row r="1216">
      <c r="A1216" s="2">
        <f>IFERROR(__xludf.DUMMYFUNCTION("""COMPUTED_VALUE"""),42341.64583333333)</f>
        <v>42341.64583</v>
      </c>
      <c r="B1216" s="1">
        <f>IFERROR(__xludf.DUMMYFUNCTION("""COMPUTED_VALUE"""),23260.0)</f>
        <v>23260</v>
      </c>
      <c r="C1216" s="1">
        <f>IFERROR(__xludf.DUMMYFUNCTION("""COMPUTED_VALUE"""),24220.0)</f>
        <v>24220</v>
      </c>
      <c r="D1216" s="1">
        <f>IFERROR(__xludf.DUMMYFUNCTION("""COMPUTED_VALUE"""),23260.0)</f>
        <v>23260</v>
      </c>
      <c r="E1216" s="1">
        <f>IFERROR(__xludf.DUMMYFUNCTION("""COMPUTED_VALUE"""),24160.0)</f>
        <v>24160</v>
      </c>
      <c r="F1216" s="1">
        <f>IFERROR(__xludf.DUMMYFUNCTION("""COMPUTED_VALUE"""),540467.0)</f>
        <v>540467</v>
      </c>
    </row>
    <row r="1217">
      <c r="A1217" s="2">
        <f>IFERROR(__xludf.DUMMYFUNCTION("""COMPUTED_VALUE"""),42342.64583333333)</f>
        <v>42342.64583</v>
      </c>
      <c r="B1217" s="1">
        <f>IFERROR(__xludf.DUMMYFUNCTION("""COMPUTED_VALUE"""),23860.0)</f>
        <v>23860</v>
      </c>
      <c r="C1217" s="1">
        <f>IFERROR(__xludf.DUMMYFUNCTION("""COMPUTED_VALUE"""),24260.0)</f>
        <v>24260</v>
      </c>
      <c r="D1217" s="1">
        <f>IFERROR(__xludf.DUMMYFUNCTION("""COMPUTED_VALUE"""),23660.0)</f>
        <v>23660</v>
      </c>
      <c r="E1217" s="1">
        <f>IFERROR(__xludf.DUMMYFUNCTION("""COMPUTED_VALUE"""),23660.0)</f>
        <v>23660</v>
      </c>
      <c r="F1217" s="1">
        <f>IFERROR(__xludf.DUMMYFUNCTION("""COMPUTED_VALUE"""),291835.0)</f>
        <v>291835</v>
      </c>
    </row>
    <row r="1218">
      <c r="A1218" s="2">
        <f>IFERROR(__xludf.DUMMYFUNCTION("""COMPUTED_VALUE"""),42345.64583333333)</f>
        <v>42345.64583</v>
      </c>
      <c r="B1218" s="1">
        <f>IFERROR(__xludf.DUMMYFUNCTION("""COMPUTED_VALUE"""),23800.0)</f>
        <v>23800</v>
      </c>
      <c r="C1218" s="1">
        <f>IFERROR(__xludf.DUMMYFUNCTION("""COMPUTED_VALUE"""),24060.0)</f>
        <v>24060</v>
      </c>
      <c r="D1218" s="1">
        <f>IFERROR(__xludf.DUMMYFUNCTION("""COMPUTED_VALUE"""),23740.0)</f>
        <v>23740</v>
      </c>
      <c r="E1218" s="1">
        <f>IFERROR(__xludf.DUMMYFUNCTION("""COMPUTED_VALUE"""),23740.0)</f>
        <v>23740</v>
      </c>
      <c r="F1218" s="1">
        <f>IFERROR(__xludf.DUMMYFUNCTION("""COMPUTED_VALUE"""),274104.0)</f>
        <v>274104</v>
      </c>
    </row>
    <row r="1219">
      <c r="A1219" s="2">
        <f>IFERROR(__xludf.DUMMYFUNCTION("""COMPUTED_VALUE"""),42346.64583333333)</f>
        <v>42346.64583</v>
      </c>
      <c r="B1219" s="1">
        <f>IFERROR(__xludf.DUMMYFUNCTION("""COMPUTED_VALUE"""),23780.0)</f>
        <v>23780</v>
      </c>
      <c r="C1219" s="1">
        <f>IFERROR(__xludf.DUMMYFUNCTION("""COMPUTED_VALUE"""),23880.0)</f>
        <v>23880</v>
      </c>
      <c r="D1219" s="1">
        <f>IFERROR(__xludf.DUMMYFUNCTION("""COMPUTED_VALUE"""),23360.0)</f>
        <v>23360</v>
      </c>
      <c r="E1219" s="1">
        <f>IFERROR(__xludf.DUMMYFUNCTION("""COMPUTED_VALUE"""),23420.0)</f>
        <v>23420</v>
      </c>
      <c r="F1219" s="1">
        <f>IFERROR(__xludf.DUMMYFUNCTION("""COMPUTED_VALUE"""),250066.0)</f>
        <v>250066</v>
      </c>
    </row>
    <row r="1220">
      <c r="A1220" s="2">
        <f>IFERROR(__xludf.DUMMYFUNCTION("""COMPUTED_VALUE"""),42347.64583333333)</f>
        <v>42347.64583</v>
      </c>
      <c r="B1220" s="1">
        <f>IFERROR(__xludf.DUMMYFUNCTION("""COMPUTED_VALUE"""),23520.0)</f>
        <v>23520</v>
      </c>
      <c r="C1220" s="1">
        <f>IFERROR(__xludf.DUMMYFUNCTION("""COMPUTED_VALUE"""),23600.0)</f>
        <v>23600</v>
      </c>
      <c r="D1220" s="1">
        <f>IFERROR(__xludf.DUMMYFUNCTION("""COMPUTED_VALUE"""),23220.0)</f>
        <v>23220</v>
      </c>
      <c r="E1220" s="1">
        <f>IFERROR(__xludf.DUMMYFUNCTION("""COMPUTED_VALUE"""),23220.0)</f>
        <v>23220</v>
      </c>
      <c r="F1220" s="1">
        <f>IFERROR(__xludf.DUMMYFUNCTION("""COMPUTED_VALUE"""),172012.0)</f>
        <v>172012</v>
      </c>
    </row>
    <row r="1221">
      <c r="A1221" s="2">
        <f>IFERROR(__xludf.DUMMYFUNCTION("""COMPUTED_VALUE"""),42348.64583333333)</f>
        <v>42348.64583</v>
      </c>
      <c r="B1221" s="1">
        <f>IFERROR(__xludf.DUMMYFUNCTION("""COMPUTED_VALUE"""),23120.0)</f>
        <v>23120</v>
      </c>
      <c r="C1221" s="1">
        <f>IFERROR(__xludf.DUMMYFUNCTION("""COMPUTED_VALUE"""),23160.0)</f>
        <v>23160</v>
      </c>
      <c r="D1221" s="1">
        <f>IFERROR(__xludf.DUMMYFUNCTION("""COMPUTED_VALUE"""),22560.0)</f>
        <v>22560</v>
      </c>
      <c r="E1221" s="1">
        <f>IFERROR(__xludf.DUMMYFUNCTION("""COMPUTED_VALUE"""),22560.0)</f>
        <v>22560</v>
      </c>
      <c r="F1221" s="1">
        <f>IFERROR(__xludf.DUMMYFUNCTION("""COMPUTED_VALUE"""),325712.0)</f>
        <v>325712</v>
      </c>
    </row>
    <row r="1222">
      <c r="A1222" s="2">
        <f>IFERROR(__xludf.DUMMYFUNCTION("""COMPUTED_VALUE"""),42349.64583333333)</f>
        <v>42349.64583</v>
      </c>
      <c r="B1222" s="1">
        <f>IFERROR(__xludf.DUMMYFUNCTION("""COMPUTED_VALUE"""),22600.0)</f>
        <v>22600</v>
      </c>
      <c r="C1222" s="1">
        <f>IFERROR(__xludf.DUMMYFUNCTION("""COMPUTED_VALUE"""),22860.0)</f>
        <v>22860</v>
      </c>
      <c r="D1222" s="1">
        <f>IFERROR(__xludf.DUMMYFUNCTION("""COMPUTED_VALUE"""),22520.0)</f>
        <v>22520</v>
      </c>
      <c r="E1222" s="1">
        <f>IFERROR(__xludf.DUMMYFUNCTION("""COMPUTED_VALUE"""),22540.0)</f>
        <v>22540</v>
      </c>
      <c r="F1222" s="1">
        <f>IFERROR(__xludf.DUMMYFUNCTION("""COMPUTED_VALUE"""),193028.0)</f>
        <v>193028</v>
      </c>
    </row>
    <row r="1223">
      <c r="A1223" s="2">
        <f>IFERROR(__xludf.DUMMYFUNCTION("""COMPUTED_VALUE"""),42352.64583333333)</f>
        <v>42352.64583</v>
      </c>
      <c r="B1223" s="1">
        <f>IFERROR(__xludf.DUMMYFUNCTION("""COMPUTED_VALUE"""),22040.0)</f>
        <v>22040</v>
      </c>
      <c r="C1223" s="1">
        <f>IFERROR(__xludf.DUMMYFUNCTION("""COMPUTED_VALUE"""),22340.0)</f>
        <v>22340</v>
      </c>
      <c r="D1223" s="1">
        <f>IFERROR(__xludf.DUMMYFUNCTION("""COMPUTED_VALUE"""),21600.0)</f>
        <v>21600</v>
      </c>
      <c r="E1223" s="1">
        <f>IFERROR(__xludf.DUMMYFUNCTION("""COMPUTED_VALUE"""),21600.0)</f>
        <v>21600</v>
      </c>
      <c r="F1223" s="1">
        <f>IFERROR(__xludf.DUMMYFUNCTION("""COMPUTED_VALUE"""),347343.0)</f>
        <v>347343</v>
      </c>
    </row>
    <row r="1224">
      <c r="A1224" s="2">
        <f>IFERROR(__xludf.DUMMYFUNCTION("""COMPUTED_VALUE"""),42353.64583333333)</f>
        <v>42353.64583</v>
      </c>
      <c r="B1224" s="1">
        <f>IFERROR(__xludf.DUMMYFUNCTION("""COMPUTED_VALUE"""),21600.0)</f>
        <v>21600</v>
      </c>
      <c r="C1224" s="1">
        <f>IFERROR(__xludf.DUMMYFUNCTION("""COMPUTED_VALUE"""),21880.0)</f>
        <v>21880</v>
      </c>
      <c r="D1224" s="1">
        <f>IFERROR(__xludf.DUMMYFUNCTION("""COMPUTED_VALUE"""),21580.0)</f>
        <v>21580</v>
      </c>
      <c r="E1224" s="1">
        <f>IFERROR(__xludf.DUMMYFUNCTION("""COMPUTED_VALUE"""),21660.0)</f>
        <v>21660</v>
      </c>
      <c r="F1224" s="1">
        <f>IFERROR(__xludf.DUMMYFUNCTION("""COMPUTED_VALUE"""),278001.0)</f>
        <v>278001</v>
      </c>
    </row>
    <row r="1225">
      <c r="A1225" s="2">
        <f>IFERROR(__xludf.DUMMYFUNCTION("""COMPUTED_VALUE"""),42354.64583333333)</f>
        <v>42354.64583</v>
      </c>
      <c r="B1225" s="1">
        <f>IFERROR(__xludf.DUMMYFUNCTION("""COMPUTED_VALUE"""),21940.0)</f>
        <v>21940</v>
      </c>
      <c r="C1225" s="1">
        <f>IFERROR(__xludf.DUMMYFUNCTION("""COMPUTED_VALUE"""),22460.0)</f>
        <v>22460</v>
      </c>
      <c r="D1225" s="1">
        <f>IFERROR(__xludf.DUMMYFUNCTION("""COMPUTED_VALUE"""),21940.0)</f>
        <v>21940</v>
      </c>
      <c r="E1225" s="1">
        <f>IFERROR(__xludf.DUMMYFUNCTION("""COMPUTED_VALUE"""),22240.0)</f>
        <v>22240</v>
      </c>
      <c r="F1225" s="1">
        <f>IFERROR(__xludf.DUMMYFUNCTION("""COMPUTED_VALUE"""),190800.0)</f>
        <v>190800</v>
      </c>
    </row>
    <row r="1226">
      <c r="A1226" s="2">
        <f>IFERROR(__xludf.DUMMYFUNCTION("""COMPUTED_VALUE"""),42355.64583333333)</f>
        <v>42355.64583</v>
      </c>
      <c r="B1226" s="1">
        <f>IFERROR(__xludf.DUMMYFUNCTION("""COMPUTED_VALUE"""),22700.0)</f>
        <v>22700</v>
      </c>
      <c r="C1226" s="1">
        <f>IFERROR(__xludf.DUMMYFUNCTION("""COMPUTED_VALUE"""),22700.0)</f>
        <v>22700</v>
      </c>
      <c r="D1226" s="1">
        <f>IFERROR(__xludf.DUMMYFUNCTION("""COMPUTED_VALUE"""),22240.0)</f>
        <v>22240</v>
      </c>
      <c r="E1226" s="1">
        <f>IFERROR(__xludf.DUMMYFUNCTION("""COMPUTED_VALUE"""),22280.0)</f>
        <v>22280</v>
      </c>
      <c r="F1226" s="1">
        <f>IFERROR(__xludf.DUMMYFUNCTION("""COMPUTED_VALUE"""),137216.0)</f>
        <v>137216</v>
      </c>
    </row>
    <row r="1227">
      <c r="A1227" s="2">
        <f>IFERROR(__xludf.DUMMYFUNCTION("""COMPUTED_VALUE"""),42356.64583333333)</f>
        <v>42356.64583</v>
      </c>
      <c r="B1227" s="1">
        <f>IFERROR(__xludf.DUMMYFUNCTION("""COMPUTED_VALUE"""),22160.0)</f>
        <v>22160</v>
      </c>
      <c r="C1227" s="1">
        <f>IFERROR(__xludf.DUMMYFUNCTION("""COMPUTED_VALUE"""),22460.0)</f>
        <v>22460</v>
      </c>
      <c r="D1227" s="1">
        <f>IFERROR(__xludf.DUMMYFUNCTION("""COMPUTED_VALUE"""),21940.0)</f>
        <v>21940</v>
      </c>
      <c r="E1227" s="1">
        <f>IFERROR(__xludf.DUMMYFUNCTION("""COMPUTED_VALUE"""),22420.0)</f>
        <v>22420</v>
      </c>
      <c r="F1227" s="1">
        <f>IFERROR(__xludf.DUMMYFUNCTION("""COMPUTED_VALUE"""),134608.0)</f>
        <v>134608</v>
      </c>
    </row>
    <row r="1228">
      <c r="A1228" s="2">
        <f>IFERROR(__xludf.DUMMYFUNCTION("""COMPUTED_VALUE"""),42359.64583333333)</f>
        <v>42359.64583</v>
      </c>
      <c r="B1228" s="1">
        <f>IFERROR(__xludf.DUMMYFUNCTION("""COMPUTED_VALUE"""),22440.0)</f>
        <v>22440</v>
      </c>
      <c r="C1228" s="1">
        <f>IFERROR(__xludf.DUMMYFUNCTION("""COMPUTED_VALUE"""),22480.0)</f>
        <v>22480</v>
      </c>
      <c r="D1228" s="1">
        <f>IFERROR(__xludf.DUMMYFUNCTION("""COMPUTED_VALUE"""),22220.0)</f>
        <v>22220</v>
      </c>
      <c r="E1228" s="1">
        <f>IFERROR(__xludf.DUMMYFUNCTION("""COMPUTED_VALUE"""),22440.0)</f>
        <v>22440</v>
      </c>
      <c r="F1228" s="1">
        <f>IFERROR(__xludf.DUMMYFUNCTION("""COMPUTED_VALUE"""),115538.0)</f>
        <v>115538</v>
      </c>
    </row>
    <row r="1229">
      <c r="A1229" s="2">
        <f>IFERROR(__xludf.DUMMYFUNCTION("""COMPUTED_VALUE"""),42360.64583333333)</f>
        <v>42360.64583</v>
      </c>
      <c r="B1229" s="1">
        <f>IFERROR(__xludf.DUMMYFUNCTION("""COMPUTED_VALUE"""),22400.0)</f>
        <v>22400</v>
      </c>
      <c r="C1229" s="1">
        <f>IFERROR(__xludf.DUMMYFUNCTION("""COMPUTED_VALUE"""),22420.0)</f>
        <v>22420</v>
      </c>
      <c r="D1229" s="1">
        <f>IFERROR(__xludf.DUMMYFUNCTION("""COMPUTED_VALUE"""),22200.0)</f>
        <v>22200</v>
      </c>
      <c r="E1229" s="1">
        <f>IFERROR(__xludf.DUMMYFUNCTION("""COMPUTED_VALUE"""),22280.0)</f>
        <v>22280</v>
      </c>
      <c r="F1229" s="1">
        <f>IFERROR(__xludf.DUMMYFUNCTION("""COMPUTED_VALUE"""),200140.0)</f>
        <v>200140</v>
      </c>
    </row>
    <row r="1230">
      <c r="A1230" s="2">
        <f>IFERROR(__xludf.DUMMYFUNCTION("""COMPUTED_VALUE"""),42361.64583333333)</f>
        <v>42361.64583</v>
      </c>
      <c r="B1230" s="1">
        <f>IFERROR(__xludf.DUMMYFUNCTION("""COMPUTED_VALUE"""),22400.0)</f>
        <v>22400</v>
      </c>
      <c r="C1230" s="1">
        <f>IFERROR(__xludf.DUMMYFUNCTION("""COMPUTED_VALUE"""),22440.0)</f>
        <v>22440</v>
      </c>
      <c r="D1230" s="1">
        <f>IFERROR(__xludf.DUMMYFUNCTION("""COMPUTED_VALUE"""),22180.0)</f>
        <v>22180</v>
      </c>
      <c r="E1230" s="1">
        <f>IFERROR(__xludf.DUMMYFUNCTION("""COMPUTED_VALUE"""),22200.0)</f>
        <v>22200</v>
      </c>
      <c r="F1230" s="1">
        <f>IFERROR(__xludf.DUMMYFUNCTION("""COMPUTED_VALUE"""),184184.0)</f>
        <v>184184</v>
      </c>
    </row>
    <row r="1231">
      <c r="A1231" s="2">
        <f>IFERROR(__xludf.DUMMYFUNCTION("""COMPUTED_VALUE"""),42362.64583333333)</f>
        <v>42362.64583</v>
      </c>
      <c r="B1231" s="1">
        <f>IFERROR(__xludf.DUMMYFUNCTION("""COMPUTED_VALUE"""),22300.0)</f>
        <v>22300</v>
      </c>
      <c r="C1231" s="1">
        <f>IFERROR(__xludf.DUMMYFUNCTION("""COMPUTED_VALUE"""),22380.0)</f>
        <v>22380</v>
      </c>
      <c r="D1231" s="1">
        <f>IFERROR(__xludf.DUMMYFUNCTION("""COMPUTED_VALUE"""),22120.0)</f>
        <v>22120</v>
      </c>
      <c r="E1231" s="1">
        <f>IFERROR(__xludf.DUMMYFUNCTION("""COMPUTED_VALUE"""),22120.0)</f>
        <v>22120</v>
      </c>
      <c r="F1231" s="1">
        <f>IFERROR(__xludf.DUMMYFUNCTION("""COMPUTED_VALUE"""),192370.0)</f>
        <v>192370</v>
      </c>
    </row>
    <row r="1232">
      <c r="A1232" s="2">
        <f>IFERROR(__xludf.DUMMYFUNCTION("""COMPUTED_VALUE"""),42366.64583333333)</f>
        <v>42366.64583</v>
      </c>
      <c r="B1232" s="1">
        <f>IFERROR(__xludf.DUMMYFUNCTION("""COMPUTED_VALUE"""),22420.0)</f>
        <v>22420</v>
      </c>
      <c r="C1232" s="1">
        <f>IFERROR(__xludf.DUMMYFUNCTION("""COMPUTED_VALUE"""),22480.0)</f>
        <v>22480</v>
      </c>
      <c r="D1232" s="1">
        <f>IFERROR(__xludf.DUMMYFUNCTION("""COMPUTED_VALUE"""),22120.0)</f>
        <v>22120</v>
      </c>
      <c r="E1232" s="1">
        <f>IFERROR(__xludf.DUMMYFUNCTION("""COMPUTED_VALUE"""),22120.0)</f>
        <v>22120</v>
      </c>
      <c r="F1232" s="1">
        <f>IFERROR(__xludf.DUMMYFUNCTION("""COMPUTED_VALUE"""),324229.0)</f>
        <v>324229</v>
      </c>
    </row>
    <row r="1233">
      <c r="A1233" s="2">
        <f>IFERROR(__xludf.DUMMYFUNCTION("""COMPUTED_VALUE"""),42367.64583333333)</f>
        <v>42367.64583</v>
      </c>
      <c r="B1233" s="1">
        <f>IFERROR(__xludf.DUMMYFUNCTION("""COMPUTED_VALUE"""),22300.0)</f>
        <v>22300</v>
      </c>
      <c r="C1233" s="1">
        <f>IFERROR(__xludf.DUMMYFUNCTION("""COMPUTED_VALUE"""),22780.0)</f>
        <v>22780</v>
      </c>
      <c r="D1233" s="1">
        <f>IFERROR(__xludf.DUMMYFUNCTION("""COMPUTED_VALUE"""),22300.0)</f>
        <v>22300</v>
      </c>
      <c r="E1233" s="1">
        <f>IFERROR(__xludf.DUMMYFUNCTION("""COMPUTED_VALUE"""),22680.0)</f>
        <v>22680</v>
      </c>
      <c r="F1233" s="1">
        <f>IFERROR(__xludf.DUMMYFUNCTION("""COMPUTED_VALUE"""),284829.0)</f>
        <v>284829</v>
      </c>
    </row>
    <row r="1234">
      <c r="A1234" s="2">
        <f>IFERROR(__xludf.DUMMYFUNCTION("""COMPUTED_VALUE"""),42368.64583333333)</f>
        <v>42368.64583</v>
      </c>
      <c r="B1234" s="1">
        <f>IFERROR(__xludf.DUMMYFUNCTION("""COMPUTED_VALUE"""),22780.0)</f>
        <v>22780</v>
      </c>
      <c r="C1234" s="1">
        <f>IFERROR(__xludf.DUMMYFUNCTION("""COMPUTED_VALUE"""),23440.0)</f>
        <v>23440</v>
      </c>
      <c r="D1234" s="1">
        <f>IFERROR(__xludf.DUMMYFUNCTION("""COMPUTED_VALUE"""),22760.0)</f>
        <v>22760</v>
      </c>
      <c r="E1234" s="1">
        <f>IFERROR(__xludf.DUMMYFUNCTION("""COMPUTED_VALUE"""),23160.0)</f>
        <v>23160</v>
      </c>
      <c r="F1234" s="1">
        <f>IFERROR(__xludf.DUMMYFUNCTION("""COMPUTED_VALUE"""),366075.0)</f>
        <v>366075</v>
      </c>
    </row>
    <row r="1235">
      <c r="A1235" s="2">
        <f>IFERROR(__xludf.DUMMYFUNCTION("""COMPUTED_VALUE"""),42373.64583333333)</f>
        <v>42373.64583</v>
      </c>
      <c r="B1235" s="1">
        <f>IFERROR(__xludf.DUMMYFUNCTION("""COMPUTED_VALUE"""),23500.0)</f>
        <v>23500</v>
      </c>
      <c r="C1235" s="1">
        <f>IFERROR(__xludf.DUMMYFUNCTION("""COMPUTED_VALUE"""),23500.0)</f>
        <v>23500</v>
      </c>
      <c r="D1235" s="1">
        <f>IFERROR(__xludf.DUMMYFUNCTION("""COMPUTED_VALUE"""),23060.0)</f>
        <v>23060</v>
      </c>
      <c r="E1235" s="1">
        <f>IFERROR(__xludf.DUMMYFUNCTION("""COMPUTED_VALUE"""),23060.0)</f>
        <v>23060</v>
      </c>
      <c r="F1235" s="1">
        <f>IFERROR(__xludf.DUMMYFUNCTION("""COMPUTED_VALUE"""),297687.0)</f>
        <v>297687</v>
      </c>
    </row>
    <row r="1236">
      <c r="A1236" s="2">
        <f>IFERROR(__xludf.DUMMYFUNCTION("""COMPUTED_VALUE"""),42374.64583333333)</f>
        <v>42374.64583</v>
      </c>
      <c r="B1236" s="1">
        <f>IFERROR(__xludf.DUMMYFUNCTION("""COMPUTED_VALUE"""),22820.0)</f>
        <v>22820</v>
      </c>
      <c r="C1236" s="1">
        <f>IFERROR(__xludf.DUMMYFUNCTION("""COMPUTED_VALUE"""),23500.0)</f>
        <v>23500</v>
      </c>
      <c r="D1236" s="1">
        <f>IFERROR(__xludf.DUMMYFUNCTION("""COMPUTED_VALUE"""),22760.0)</f>
        <v>22760</v>
      </c>
      <c r="E1236" s="1">
        <f>IFERROR(__xludf.DUMMYFUNCTION("""COMPUTED_VALUE"""),23420.0)</f>
        <v>23420</v>
      </c>
      <c r="F1236" s="1">
        <f>IFERROR(__xludf.DUMMYFUNCTION("""COMPUTED_VALUE"""),318036.0)</f>
        <v>318036</v>
      </c>
    </row>
    <row r="1237">
      <c r="A1237" s="2">
        <f>IFERROR(__xludf.DUMMYFUNCTION("""COMPUTED_VALUE"""),42375.64583333333)</f>
        <v>42375.64583</v>
      </c>
      <c r="B1237" s="1">
        <f>IFERROR(__xludf.DUMMYFUNCTION("""COMPUTED_VALUE"""),23600.0)</f>
        <v>23600</v>
      </c>
      <c r="C1237" s="1">
        <f>IFERROR(__xludf.DUMMYFUNCTION("""COMPUTED_VALUE"""),24220.0)</f>
        <v>24220</v>
      </c>
      <c r="D1237" s="1">
        <f>IFERROR(__xludf.DUMMYFUNCTION("""COMPUTED_VALUE"""),23460.0)</f>
        <v>23460</v>
      </c>
      <c r="E1237" s="1">
        <f>IFERROR(__xludf.DUMMYFUNCTION("""COMPUTED_VALUE"""),23820.0)</f>
        <v>23820</v>
      </c>
      <c r="F1237" s="1">
        <f>IFERROR(__xludf.DUMMYFUNCTION("""COMPUTED_VALUE"""),544137.0)</f>
        <v>544137</v>
      </c>
    </row>
    <row r="1238">
      <c r="A1238" s="2">
        <f>IFERROR(__xludf.DUMMYFUNCTION("""COMPUTED_VALUE"""),42376.64583333333)</f>
        <v>42376.64583</v>
      </c>
      <c r="B1238" s="1">
        <f>IFERROR(__xludf.DUMMYFUNCTION("""COMPUTED_VALUE"""),23680.0)</f>
        <v>23680</v>
      </c>
      <c r="C1238" s="1">
        <f>IFERROR(__xludf.DUMMYFUNCTION("""COMPUTED_VALUE"""),24100.0)</f>
        <v>24100</v>
      </c>
      <c r="D1238" s="1">
        <f>IFERROR(__xludf.DUMMYFUNCTION("""COMPUTED_VALUE"""),23320.0)</f>
        <v>23320</v>
      </c>
      <c r="E1238" s="1">
        <f>IFERROR(__xludf.DUMMYFUNCTION("""COMPUTED_VALUE"""),23460.0)</f>
        <v>23460</v>
      </c>
      <c r="F1238" s="1">
        <f>IFERROR(__xludf.DUMMYFUNCTION("""COMPUTED_VALUE"""),342194.0)</f>
        <v>342194</v>
      </c>
    </row>
    <row r="1239">
      <c r="A1239" s="2">
        <f>IFERROR(__xludf.DUMMYFUNCTION("""COMPUTED_VALUE"""),42377.64583333333)</f>
        <v>42377.64583</v>
      </c>
      <c r="B1239" s="1">
        <f>IFERROR(__xludf.DUMMYFUNCTION("""COMPUTED_VALUE"""),23060.0)</f>
        <v>23060</v>
      </c>
      <c r="C1239" s="1">
        <f>IFERROR(__xludf.DUMMYFUNCTION("""COMPUTED_VALUE"""),23180.0)</f>
        <v>23180</v>
      </c>
      <c r="D1239" s="1">
        <f>IFERROR(__xludf.DUMMYFUNCTION("""COMPUTED_VALUE"""),22740.0)</f>
        <v>22740</v>
      </c>
      <c r="E1239" s="1">
        <f>IFERROR(__xludf.DUMMYFUNCTION("""COMPUTED_VALUE"""),23040.0)</f>
        <v>23040</v>
      </c>
      <c r="F1239" s="1">
        <f>IFERROR(__xludf.DUMMYFUNCTION("""COMPUTED_VALUE"""),400046.0)</f>
        <v>400046</v>
      </c>
    </row>
    <row r="1240">
      <c r="A1240" s="2">
        <f>IFERROR(__xludf.DUMMYFUNCTION("""COMPUTED_VALUE"""),42380.64583333333)</f>
        <v>42380.64583</v>
      </c>
      <c r="B1240" s="1">
        <f>IFERROR(__xludf.DUMMYFUNCTION("""COMPUTED_VALUE"""),22960.0)</f>
        <v>22960</v>
      </c>
      <c r="C1240" s="1">
        <f>IFERROR(__xludf.DUMMYFUNCTION("""COMPUTED_VALUE"""),24080.0)</f>
        <v>24080</v>
      </c>
      <c r="D1240" s="1">
        <f>IFERROR(__xludf.DUMMYFUNCTION("""COMPUTED_VALUE"""),22820.0)</f>
        <v>22820</v>
      </c>
      <c r="E1240" s="1">
        <f>IFERROR(__xludf.DUMMYFUNCTION("""COMPUTED_VALUE"""),22940.0)</f>
        <v>22940</v>
      </c>
      <c r="F1240" s="1">
        <f>IFERROR(__xludf.DUMMYFUNCTION("""COMPUTED_VALUE"""),547708.0)</f>
        <v>547708</v>
      </c>
    </row>
    <row r="1241">
      <c r="A1241" s="2">
        <f>IFERROR(__xludf.DUMMYFUNCTION("""COMPUTED_VALUE"""),42381.64583333333)</f>
        <v>42381.64583</v>
      </c>
      <c r="B1241" s="1">
        <f>IFERROR(__xludf.DUMMYFUNCTION("""COMPUTED_VALUE"""),23200.0)</f>
        <v>23200</v>
      </c>
      <c r="C1241" s="1">
        <f>IFERROR(__xludf.DUMMYFUNCTION("""COMPUTED_VALUE"""),23760.0)</f>
        <v>23760</v>
      </c>
      <c r="D1241" s="1">
        <f>IFERROR(__xludf.DUMMYFUNCTION("""COMPUTED_VALUE"""),23100.0)</f>
        <v>23100</v>
      </c>
      <c r="E1241" s="1">
        <f>IFERROR(__xludf.DUMMYFUNCTION("""COMPUTED_VALUE"""),23280.0)</f>
        <v>23280</v>
      </c>
      <c r="F1241" s="1">
        <f>IFERROR(__xludf.DUMMYFUNCTION("""COMPUTED_VALUE"""),380917.0)</f>
        <v>380917</v>
      </c>
    </row>
    <row r="1242">
      <c r="A1242" s="2">
        <f>IFERROR(__xludf.DUMMYFUNCTION("""COMPUTED_VALUE"""),42382.64583333333)</f>
        <v>42382.64583</v>
      </c>
      <c r="B1242" s="1">
        <f>IFERROR(__xludf.DUMMYFUNCTION("""COMPUTED_VALUE"""),23520.0)</f>
        <v>23520</v>
      </c>
      <c r="C1242" s="1">
        <f>IFERROR(__xludf.DUMMYFUNCTION("""COMPUTED_VALUE"""),24100.0)</f>
        <v>24100</v>
      </c>
      <c r="D1242" s="1">
        <f>IFERROR(__xludf.DUMMYFUNCTION("""COMPUTED_VALUE"""),23500.0)</f>
        <v>23500</v>
      </c>
      <c r="E1242" s="1">
        <f>IFERROR(__xludf.DUMMYFUNCTION("""COMPUTED_VALUE"""),23960.0)</f>
        <v>23960</v>
      </c>
      <c r="F1242" s="1">
        <f>IFERROR(__xludf.DUMMYFUNCTION("""COMPUTED_VALUE"""),565479.0)</f>
        <v>565479</v>
      </c>
    </row>
    <row r="1243">
      <c r="A1243" s="2">
        <f>IFERROR(__xludf.DUMMYFUNCTION("""COMPUTED_VALUE"""),42383.64583333333)</f>
        <v>42383.64583</v>
      </c>
      <c r="B1243" s="1">
        <f>IFERROR(__xludf.DUMMYFUNCTION("""COMPUTED_VALUE"""),23720.0)</f>
        <v>23720</v>
      </c>
      <c r="C1243" s="1">
        <f>IFERROR(__xludf.DUMMYFUNCTION("""COMPUTED_VALUE"""),23880.0)</f>
        <v>23880</v>
      </c>
      <c r="D1243" s="1">
        <f>IFERROR(__xludf.DUMMYFUNCTION("""COMPUTED_VALUE"""),23540.0)</f>
        <v>23540</v>
      </c>
      <c r="E1243" s="1">
        <f>IFERROR(__xludf.DUMMYFUNCTION("""COMPUTED_VALUE"""),23780.0)</f>
        <v>23780</v>
      </c>
      <c r="F1243" s="1">
        <f>IFERROR(__xludf.DUMMYFUNCTION("""COMPUTED_VALUE"""),285578.0)</f>
        <v>285578</v>
      </c>
    </row>
    <row r="1244">
      <c r="A1244" s="2">
        <f>IFERROR(__xludf.DUMMYFUNCTION("""COMPUTED_VALUE"""),42384.64583333333)</f>
        <v>42384.64583</v>
      </c>
      <c r="B1244" s="1">
        <f>IFERROR(__xludf.DUMMYFUNCTION("""COMPUTED_VALUE"""),24000.0)</f>
        <v>24000</v>
      </c>
      <c r="C1244" s="1">
        <f>IFERROR(__xludf.DUMMYFUNCTION("""COMPUTED_VALUE"""),24040.0)</f>
        <v>24040</v>
      </c>
      <c r="D1244" s="1">
        <f>IFERROR(__xludf.DUMMYFUNCTION("""COMPUTED_VALUE"""),23600.0)</f>
        <v>23600</v>
      </c>
      <c r="E1244" s="1">
        <f>IFERROR(__xludf.DUMMYFUNCTION("""COMPUTED_VALUE"""),23740.0)</f>
        <v>23740</v>
      </c>
      <c r="F1244" s="1">
        <f>IFERROR(__xludf.DUMMYFUNCTION("""COMPUTED_VALUE"""),257682.0)</f>
        <v>257682</v>
      </c>
    </row>
    <row r="1245">
      <c r="A1245" s="2">
        <f>IFERROR(__xludf.DUMMYFUNCTION("""COMPUTED_VALUE"""),42387.64583333333)</f>
        <v>42387.64583</v>
      </c>
      <c r="B1245" s="1">
        <f>IFERROR(__xludf.DUMMYFUNCTION("""COMPUTED_VALUE"""),23440.0)</f>
        <v>23440</v>
      </c>
      <c r="C1245" s="1">
        <f>IFERROR(__xludf.DUMMYFUNCTION("""COMPUTED_VALUE"""),23600.0)</f>
        <v>23600</v>
      </c>
      <c r="D1245" s="1">
        <f>IFERROR(__xludf.DUMMYFUNCTION("""COMPUTED_VALUE"""),23040.0)</f>
        <v>23040</v>
      </c>
      <c r="E1245" s="1">
        <f>IFERROR(__xludf.DUMMYFUNCTION("""COMPUTED_VALUE"""),23240.0)</f>
        <v>23240</v>
      </c>
      <c r="F1245" s="1">
        <f>IFERROR(__xludf.DUMMYFUNCTION("""COMPUTED_VALUE"""),413388.0)</f>
        <v>413388</v>
      </c>
    </row>
    <row r="1246">
      <c r="A1246" s="2">
        <f>IFERROR(__xludf.DUMMYFUNCTION("""COMPUTED_VALUE"""),42388.64583333333)</f>
        <v>42388.64583</v>
      </c>
      <c r="B1246" s="1">
        <f>IFERROR(__xludf.DUMMYFUNCTION("""COMPUTED_VALUE"""),23180.0)</f>
        <v>23180</v>
      </c>
      <c r="C1246" s="1">
        <f>IFERROR(__xludf.DUMMYFUNCTION("""COMPUTED_VALUE"""),23200.0)</f>
        <v>23200</v>
      </c>
      <c r="D1246" s="1">
        <f>IFERROR(__xludf.DUMMYFUNCTION("""COMPUTED_VALUE"""),22260.0)</f>
        <v>22260</v>
      </c>
      <c r="E1246" s="1">
        <f>IFERROR(__xludf.DUMMYFUNCTION("""COMPUTED_VALUE"""),22820.0)</f>
        <v>22820</v>
      </c>
      <c r="F1246" s="1">
        <f>IFERROR(__xludf.DUMMYFUNCTION("""COMPUTED_VALUE"""),565343.0)</f>
        <v>565343</v>
      </c>
    </row>
    <row r="1247">
      <c r="A1247" s="2">
        <f>IFERROR(__xludf.DUMMYFUNCTION("""COMPUTED_VALUE"""),42389.64583333333)</f>
        <v>42389.64583</v>
      </c>
      <c r="B1247" s="1">
        <f>IFERROR(__xludf.DUMMYFUNCTION("""COMPUTED_VALUE"""),22860.0)</f>
        <v>22860</v>
      </c>
      <c r="C1247" s="1">
        <f>IFERROR(__xludf.DUMMYFUNCTION("""COMPUTED_VALUE"""),22860.0)</f>
        <v>22860</v>
      </c>
      <c r="D1247" s="1">
        <f>IFERROR(__xludf.DUMMYFUNCTION("""COMPUTED_VALUE"""),22320.0)</f>
        <v>22320</v>
      </c>
      <c r="E1247" s="1">
        <f>IFERROR(__xludf.DUMMYFUNCTION("""COMPUTED_VALUE"""),22420.0)</f>
        <v>22420</v>
      </c>
      <c r="F1247" s="1">
        <f>IFERROR(__xludf.DUMMYFUNCTION("""COMPUTED_VALUE"""),291592.0)</f>
        <v>291592</v>
      </c>
    </row>
    <row r="1248">
      <c r="A1248" s="2">
        <f>IFERROR(__xludf.DUMMYFUNCTION("""COMPUTED_VALUE"""),42390.64583333333)</f>
        <v>42390.64583</v>
      </c>
      <c r="B1248" s="1">
        <f>IFERROR(__xludf.DUMMYFUNCTION("""COMPUTED_VALUE"""),22320.0)</f>
        <v>22320</v>
      </c>
      <c r="C1248" s="1">
        <f>IFERROR(__xludf.DUMMYFUNCTION("""COMPUTED_VALUE"""),22400.0)</f>
        <v>22400</v>
      </c>
      <c r="D1248" s="1">
        <f>IFERROR(__xludf.DUMMYFUNCTION("""COMPUTED_VALUE"""),22100.0)</f>
        <v>22100</v>
      </c>
      <c r="E1248" s="1">
        <f>IFERROR(__xludf.DUMMYFUNCTION("""COMPUTED_VALUE"""),22200.0)</f>
        <v>22200</v>
      </c>
      <c r="F1248" s="1">
        <f>IFERROR(__xludf.DUMMYFUNCTION("""COMPUTED_VALUE"""),327327.0)</f>
        <v>327327</v>
      </c>
    </row>
    <row r="1249">
      <c r="A1249" s="2">
        <f>IFERROR(__xludf.DUMMYFUNCTION("""COMPUTED_VALUE"""),42394.64583333333)</f>
        <v>42394.64583</v>
      </c>
      <c r="B1249" s="1">
        <f>IFERROR(__xludf.DUMMYFUNCTION("""COMPUTED_VALUE"""),22600.0)</f>
        <v>22600</v>
      </c>
      <c r="C1249" s="1">
        <f>IFERROR(__xludf.DUMMYFUNCTION("""COMPUTED_VALUE"""),22820.0)</f>
        <v>22820</v>
      </c>
      <c r="D1249" s="1">
        <f>IFERROR(__xludf.DUMMYFUNCTION("""COMPUTED_VALUE"""),22420.0)</f>
        <v>22420</v>
      </c>
      <c r="E1249" s="1">
        <f>IFERROR(__xludf.DUMMYFUNCTION("""COMPUTED_VALUE"""),22620.0)</f>
        <v>22620</v>
      </c>
      <c r="F1249" s="1">
        <f>IFERROR(__xludf.DUMMYFUNCTION("""COMPUTED_VALUE"""),204406.0)</f>
        <v>204406</v>
      </c>
    </row>
    <row r="1250">
      <c r="A1250" s="2">
        <f>IFERROR(__xludf.DUMMYFUNCTION("""COMPUTED_VALUE"""),42395.64583333333)</f>
        <v>42395.64583</v>
      </c>
      <c r="B1250" s="1">
        <f>IFERROR(__xludf.DUMMYFUNCTION("""COMPUTED_VALUE"""),22600.0)</f>
        <v>22600</v>
      </c>
      <c r="C1250" s="1">
        <f>IFERROR(__xludf.DUMMYFUNCTION("""COMPUTED_VALUE"""),22700.0)</f>
        <v>22700</v>
      </c>
      <c r="D1250" s="1">
        <f>IFERROR(__xludf.DUMMYFUNCTION("""COMPUTED_VALUE"""),22340.0)</f>
        <v>22340</v>
      </c>
      <c r="E1250" s="1">
        <f>IFERROR(__xludf.DUMMYFUNCTION("""COMPUTED_VALUE"""),22480.0)</f>
        <v>22480</v>
      </c>
      <c r="F1250" s="1">
        <f>IFERROR(__xludf.DUMMYFUNCTION("""COMPUTED_VALUE"""),153600.0)</f>
        <v>153600</v>
      </c>
    </row>
    <row r="1251">
      <c r="A1251" s="2">
        <f>IFERROR(__xludf.DUMMYFUNCTION("""COMPUTED_VALUE"""),42396.64583333333)</f>
        <v>42396.64583</v>
      </c>
      <c r="B1251" s="1">
        <f>IFERROR(__xludf.DUMMYFUNCTION("""COMPUTED_VALUE"""),22600.0)</f>
        <v>22600</v>
      </c>
      <c r="C1251" s="1">
        <f>IFERROR(__xludf.DUMMYFUNCTION("""COMPUTED_VALUE"""),22680.0)</f>
        <v>22680</v>
      </c>
      <c r="D1251" s="1">
        <f>IFERROR(__xludf.DUMMYFUNCTION("""COMPUTED_VALUE"""),21720.0)</f>
        <v>21720</v>
      </c>
      <c r="E1251" s="1">
        <f>IFERROR(__xludf.DUMMYFUNCTION("""COMPUTED_VALUE"""),21840.0)</f>
        <v>21840</v>
      </c>
      <c r="F1251" s="1">
        <f>IFERROR(__xludf.DUMMYFUNCTION("""COMPUTED_VALUE"""),535449.0)</f>
        <v>535449</v>
      </c>
    </row>
    <row r="1252">
      <c r="A1252" s="2">
        <f>IFERROR(__xludf.DUMMYFUNCTION("""COMPUTED_VALUE"""),42397.64583333333)</f>
        <v>42397.64583</v>
      </c>
      <c r="B1252" s="1">
        <f>IFERROR(__xludf.DUMMYFUNCTION("""COMPUTED_VALUE"""),21940.0)</f>
        <v>21940</v>
      </c>
      <c r="C1252" s="1">
        <f>IFERROR(__xludf.DUMMYFUNCTION("""COMPUTED_VALUE"""),21980.0)</f>
        <v>21980</v>
      </c>
      <c r="D1252" s="1">
        <f>IFERROR(__xludf.DUMMYFUNCTION("""COMPUTED_VALUE"""),21540.0)</f>
        <v>21540</v>
      </c>
      <c r="E1252" s="1">
        <f>IFERROR(__xludf.DUMMYFUNCTION("""COMPUTED_VALUE"""),21900.0)</f>
        <v>21900</v>
      </c>
      <c r="F1252" s="1">
        <f>IFERROR(__xludf.DUMMYFUNCTION("""COMPUTED_VALUE"""),246640.0)</f>
        <v>246640</v>
      </c>
    </row>
    <row r="1253">
      <c r="A1253" s="2">
        <f>IFERROR(__xludf.DUMMYFUNCTION("""COMPUTED_VALUE"""),42398.64583333333)</f>
        <v>42398.64583</v>
      </c>
      <c r="B1253" s="1">
        <f>IFERROR(__xludf.DUMMYFUNCTION("""COMPUTED_VALUE"""),22000.0)</f>
        <v>22000</v>
      </c>
      <c r="C1253" s="1">
        <f>IFERROR(__xludf.DUMMYFUNCTION("""COMPUTED_VALUE"""),22120.0)</f>
        <v>22120</v>
      </c>
      <c r="D1253" s="1">
        <f>IFERROR(__xludf.DUMMYFUNCTION("""COMPUTED_VALUE"""),21740.0)</f>
        <v>21740</v>
      </c>
      <c r="E1253" s="1">
        <f>IFERROR(__xludf.DUMMYFUNCTION("""COMPUTED_VALUE"""),21860.0)</f>
        <v>21860</v>
      </c>
      <c r="F1253" s="1">
        <f>IFERROR(__xludf.DUMMYFUNCTION("""COMPUTED_VALUE"""),246942.0)</f>
        <v>246942</v>
      </c>
    </row>
    <row r="1254">
      <c r="A1254" s="2">
        <f>IFERROR(__xludf.DUMMYFUNCTION("""COMPUTED_VALUE"""),42401.64583333333)</f>
        <v>42401.64583</v>
      </c>
      <c r="B1254" s="1">
        <f>IFERROR(__xludf.DUMMYFUNCTION("""COMPUTED_VALUE"""),22020.0)</f>
        <v>22020</v>
      </c>
      <c r="C1254" s="1">
        <f>IFERROR(__xludf.DUMMYFUNCTION("""COMPUTED_VALUE"""),22160.0)</f>
        <v>22160</v>
      </c>
      <c r="D1254" s="1">
        <f>IFERROR(__xludf.DUMMYFUNCTION("""COMPUTED_VALUE"""),21820.0)</f>
        <v>21820</v>
      </c>
      <c r="E1254" s="1">
        <f>IFERROR(__xludf.DUMMYFUNCTION("""COMPUTED_VALUE"""),21960.0)</f>
        <v>21960</v>
      </c>
      <c r="F1254" s="1">
        <f>IFERROR(__xludf.DUMMYFUNCTION("""COMPUTED_VALUE"""),192405.0)</f>
        <v>192405</v>
      </c>
    </row>
    <row r="1255">
      <c r="A1255" s="2">
        <f>IFERROR(__xludf.DUMMYFUNCTION("""COMPUTED_VALUE"""),42403.64583333333)</f>
        <v>42403.64583</v>
      </c>
      <c r="B1255" s="1">
        <f>IFERROR(__xludf.DUMMYFUNCTION("""COMPUTED_VALUE"""),21580.0)</f>
        <v>21580</v>
      </c>
      <c r="C1255" s="1">
        <f>IFERROR(__xludf.DUMMYFUNCTION("""COMPUTED_VALUE"""),21940.0)</f>
        <v>21940</v>
      </c>
      <c r="D1255" s="1">
        <f>IFERROR(__xludf.DUMMYFUNCTION("""COMPUTED_VALUE"""),21580.0)</f>
        <v>21580</v>
      </c>
      <c r="E1255" s="1">
        <f>IFERROR(__xludf.DUMMYFUNCTION("""COMPUTED_VALUE"""),21840.0)</f>
        <v>21840</v>
      </c>
      <c r="F1255" s="1">
        <f>IFERROR(__xludf.DUMMYFUNCTION("""COMPUTED_VALUE"""),220630.0)</f>
        <v>220630</v>
      </c>
    </row>
    <row r="1256">
      <c r="A1256" s="2">
        <f>IFERROR(__xludf.DUMMYFUNCTION("""COMPUTED_VALUE"""),42404.64583333333)</f>
        <v>42404.64583</v>
      </c>
      <c r="B1256" s="1">
        <f>IFERROR(__xludf.DUMMYFUNCTION("""COMPUTED_VALUE"""),21840.0)</f>
        <v>21840</v>
      </c>
      <c r="C1256" s="1">
        <f>IFERROR(__xludf.DUMMYFUNCTION("""COMPUTED_VALUE"""),21980.0)</f>
        <v>21980</v>
      </c>
      <c r="D1256" s="1">
        <f>IFERROR(__xludf.DUMMYFUNCTION("""COMPUTED_VALUE"""),21740.0)</f>
        <v>21740</v>
      </c>
      <c r="E1256" s="1">
        <f>IFERROR(__xludf.DUMMYFUNCTION("""COMPUTED_VALUE"""),21860.0)</f>
        <v>21860</v>
      </c>
      <c r="F1256" s="1">
        <f>IFERROR(__xludf.DUMMYFUNCTION("""COMPUTED_VALUE"""),145694.0)</f>
        <v>145694</v>
      </c>
    </row>
    <row r="1257">
      <c r="A1257" s="2">
        <f>IFERROR(__xludf.DUMMYFUNCTION("""COMPUTED_VALUE"""),42405.64583333333)</f>
        <v>42405.64583</v>
      </c>
      <c r="B1257" s="1">
        <f>IFERROR(__xludf.DUMMYFUNCTION("""COMPUTED_VALUE"""),21640.0)</f>
        <v>21640</v>
      </c>
      <c r="C1257" s="1">
        <f>IFERROR(__xludf.DUMMYFUNCTION("""COMPUTED_VALUE"""),22420.0)</f>
        <v>22420</v>
      </c>
      <c r="D1257" s="1">
        <f>IFERROR(__xludf.DUMMYFUNCTION("""COMPUTED_VALUE"""),21460.0)</f>
        <v>21460</v>
      </c>
      <c r="E1257" s="1">
        <f>IFERROR(__xludf.DUMMYFUNCTION("""COMPUTED_VALUE"""),21780.0)</f>
        <v>21780</v>
      </c>
      <c r="F1257" s="1">
        <f>IFERROR(__xludf.DUMMYFUNCTION("""COMPUTED_VALUE"""),372885.0)</f>
        <v>372885</v>
      </c>
    </row>
    <row r="1258">
      <c r="A1258" s="2">
        <f>IFERROR(__xludf.DUMMYFUNCTION("""COMPUTED_VALUE"""),42411.64583333333)</f>
        <v>42411.64583</v>
      </c>
      <c r="B1258" s="1">
        <f>IFERROR(__xludf.DUMMYFUNCTION("""COMPUTED_VALUE"""),20900.0)</f>
        <v>20900</v>
      </c>
      <c r="C1258" s="1">
        <f>IFERROR(__xludf.DUMMYFUNCTION("""COMPUTED_VALUE"""),20980.0)</f>
        <v>20980</v>
      </c>
      <c r="D1258" s="1">
        <f>IFERROR(__xludf.DUMMYFUNCTION("""COMPUTED_VALUE"""),20140.0)</f>
        <v>20140</v>
      </c>
      <c r="E1258" s="1">
        <f>IFERROR(__xludf.DUMMYFUNCTION("""COMPUTED_VALUE"""),20140.0)</f>
        <v>20140</v>
      </c>
      <c r="F1258" s="1">
        <f>IFERROR(__xludf.DUMMYFUNCTION("""COMPUTED_VALUE"""),736337.0)</f>
        <v>736337</v>
      </c>
    </row>
    <row r="1259">
      <c r="A1259" s="2">
        <f>IFERROR(__xludf.DUMMYFUNCTION("""COMPUTED_VALUE"""),42412.64583333333)</f>
        <v>42412.64583</v>
      </c>
      <c r="B1259" s="1">
        <f>IFERROR(__xludf.DUMMYFUNCTION("""COMPUTED_VALUE"""),19800.0)</f>
        <v>19800</v>
      </c>
      <c r="C1259" s="1">
        <f>IFERROR(__xludf.DUMMYFUNCTION("""COMPUTED_VALUE"""),20080.0)</f>
        <v>20080</v>
      </c>
      <c r="D1259" s="1">
        <f>IFERROR(__xludf.DUMMYFUNCTION("""COMPUTED_VALUE"""),18540.0)</f>
        <v>18540</v>
      </c>
      <c r="E1259" s="1">
        <f>IFERROR(__xludf.DUMMYFUNCTION("""COMPUTED_VALUE"""),18560.0)</f>
        <v>18560</v>
      </c>
      <c r="F1259" s="1">
        <f>IFERROR(__xludf.DUMMYFUNCTION("""COMPUTED_VALUE"""),986668.0)</f>
        <v>986668</v>
      </c>
    </row>
    <row r="1260">
      <c r="A1260" s="2">
        <f>IFERROR(__xludf.DUMMYFUNCTION("""COMPUTED_VALUE"""),42415.64583333333)</f>
        <v>42415.64583</v>
      </c>
      <c r="B1260" s="1">
        <f>IFERROR(__xludf.DUMMYFUNCTION("""COMPUTED_VALUE"""),18620.0)</f>
        <v>18620</v>
      </c>
      <c r="C1260" s="1">
        <f>IFERROR(__xludf.DUMMYFUNCTION("""COMPUTED_VALUE"""),19000.0)</f>
        <v>19000</v>
      </c>
      <c r="D1260" s="1">
        <f>IFERROR(__xludf.DUMMYFUNCTION("""COMPUTED_VALUE"""),18120.0)</f>
        <v>18120</v>
      </c>
      <c r="E1260" s="1">
        <f>IFERROR(__xludf.DUMMYFUNCTION("""COMPUTED_VALUE"""),18460.0)</f>
        <v>18460</v>
      </c>
      <c r="F1260" s="1">
        <f>IFERROR(__xludf.DUMMYFUNCTION("""COMPUTED_VALUE"""),711070.0)</f>
        <v>711070</v>
      </c>
    </row>
    <row r="1261">
      <c r="A1261" s="2">
        <f>IFERROR(__xludf.DUMMYFUNCTION("""COMPUTED_VALUE"""),42416.64583333333)</f>
        <v>42416.64583</v>
      </c>
      <c r="B1261" s="1">
        <f>IFERROR(__xludf.DUMMYFUNCTION("""COMPUTED_VALUE"""),18720.0)</f>
        <v>18720</v>
      </c>
      <c r="C1261" s="1">
        <f>IFERROR(__xludf.DUMMYFUNCTION("""COMPUTED_VALUE"""),19080.0)</f>
        <v>19080</v>
      </c>
      <c r="D1261" s="1">
        <f>IFERROR(__xludf.DUMMYFUNCTION("""COMPUTED_VALUE"""),18560.0)</f>
        <v>18560</v>
      </c>
      <c r="E1261" s="1">
        <f>IFERROR(__xludf.DUMMYFUNCTION("""COMPUTED_VALUE"""),18860.0)</f>
        <v>18860</v>
      </c>
      <c r="F1261" s="1">
        <f>IFERROR(__xludf.DUMMYFUNCTION("""COMPUTED_VALUE"""),384215.0)</f>
        <v>384215</v>
      </c>
    </row>
    <row r="1262">
      <c r="A1262" s="2">
        <f>IFERROR(__xludf.DUMMYFUNCTION("""COMPUTED_VALUE"""),42417.64583333333)</f>
        <v>42417.64583</v>
      </c>
      <c r="B1262" s="1">
        <f>IFERROR(__xludf.DUMMYFUNCTION("""COMPUTED_VALUE"""),18720.0)</f>
        <v>18720</v>
      </c>
      <c r="C1262" s="1">
        <f>IFERROR(__xludf.DUMMYFUNCTION("""COMPUTED_VALUE"""),19020.0)</f>
        <v>19020</v>
      </c>
      <c r="D1262" s="1">
        <f>IFERROR(__xludf.DUMMYFUNCTION("""COMPUTED_VALUE"""),18420.0)</f>
        <v>18420</v>
      </c>
      <c r="E1262" s="1">
        <f>IFERROR(__xludf.DUMMYFUNCTION("""COMPUTED_VALUE"""),18420.0)</f>
        <v>18420</v>
      </c>
      <c r="F1262" s="1">
        <f>IFERROR(__xludf.DUMMYFUNCTION("""COMPUTED_VALUE"""),382889.0)</f>
        <v>382889</v>
      </c>
    </row>
    <row r="1263">
      <c r="A1263" s="2">
        <f>IFERROR(__xludf.DUMMYFUNCTION("""COMPUTED_VALUE"""),42418.64583333333)</f>
        <v>42418.64583</v>
      </c>
      <c r="B1263" s="1">
        <f>IFERROR(__xludf.DUMMYFUNCTION("""COMPUTED_VALUE"""),18860.0)</f>
        <v>18860</v>
      </c>
      <c r="C1263" s="1">
        <f>IFERROR(__xludf.DUMMYFUNCTION("""COMPUTED_VALUE"""),18920.0)</f>
        <v>18920</v>
      </c>
      <c r="D1263" s="1">
        <f>IFERROR(__xludf.DUMMYFUNCTION("""COMPUTED_VALUE"""),18460.0)</f>
        <v>18460</v>
      </c>
      <c r="E1263" s="1">
        <f>IFERROR(__xludf.DUMMYFUNCTION("""COMPUTED_VALUE"""),18480.0)</f>
        <v>18480</v>
      </c>
      <c r="F1263" s="1">
        <f>IFERROR(__xludf.DUMMYFUNCTION("""COMPUTED_VALUE"""),386095.0)</f>
        <v>386095</v>
      </c>
    </row>
    <row r="1264">
      <c r="A1264" s="2">
        <f>IFERROR(__xludf.DUMMYFUNCTION("""COMPUTED_VALUE"""),42419.64583333333)</f>
        <v>42419.64583</v>
      </c>
      <c r="B1264" s="1">
        <f>IFERROR(__xludf.DUMMYFUNCTION("""COMPUTED_VALUE"""),18300.0)</f>
        <v>18300</v>
      </c>
      <c r="C1264" s="1">
        <f>IFERROR(__xludf.DUMMYFUNCTION("""COMPUTED_VALUE"""),18680.0)</f>
        <v>18680</v>
      </c>
      <c r="D1264" s="1">
        <f>IFERROR(__xludf.DUMMYFUNCTION("""COMPUTED_VALUE"""),18300.0)</f>
        <v>18300</v>
      </c>
      <c r="E1264" s="1">
        <f>IFERROR(__xludf.DUMMYFUNCTION("""COMPUTED_VALUE"""),18520.0)</f>
        <v>18520</v>
      </c>
      <c r="F1264" s="1">
        <f>IFERROR(__xludf.DUMMYFUNCTION("""COMPUTED_VALUE"""),300078.0)</f>
        <v>300078</v>
      </c>
    </row>
    <row r="1265">
      <c r="A1265" s="2">
        <f>IFERROR(__xludf.DUMMYFUNCTION("""COMPUTED_VALUE"""),42423.64583333333)</f>
        <v>42423.64583</v>
      </c>
      <c r="B1265" s="1">
        <f>IFERROR(__xludf.DUMMYFUNCTION("""COMPUTED_VALUE"""),18600.0)</f>
        <v>18600</v>
      </c>
      <c r="C1265" s="1">
        <f>IFERROR(__xludf.DUMMYFUNCTION("""COMPUTED_VALUE"""),19500.0)</f>
        <v>19500</v>
      </c>
      <c r="D1265" s="1">
        <f>IFERROR(__xludf.DUMMYFUNCTION("""COMPUTED_VALUE"""),18580.0)</f>
        <v>18580</v>
      </c>
      <c r="E1265" s="1">
        <f>IFERROR(__xludf.DUMMYFUNCTION("""COMPUTED_VALUE"""),19280.0)</f>
        <v>19280</v>
      </c>
      <c r="F1265" s="1">
        <f>IFERROR(__xludf.DUMMYFUNCTION("""COMPUTED_VALUE"""),725979.0)</f>
        <v>725979</v>
      </c>
    </row>
    <row r="1266">
      <c r="A1266" s="2">
        <f>IFERROR(__xludf.DUMMYFUNCTION("""COMPUTED_VALUE"""),42424.64583333333)</f>
        <v>42424.64583</v>
      </c>
      <c r="B1266" s="1">
        <f>IFERROR(__xludf.DUMMYFUNCTION("""COMPUTED_VALUE"""),19200.0)</f>
        <v>19200</v>
      </c>
      <c r="C1266" s="1">
        <f>IFERROR(__xludf.DUMMYFUNCTION("""COMPUTED_VALUE"""),19220.0)</f>
        <v>19220</v>
      </c>
      <c r="D1266" s="1">
        <f>IFERROR(__xludf.DUMMYFUNCTION("""COMPUTED_VALUE"""),18840.0)</f>
        <v>18840</v>
      </c>
      <c r="E1266" s="1">
        <f>IFERROR(__xludf.DUMMYFUNCTION("""COMPUTED_VALUE"""),19000.0)</f>
        <v>19000</v>
      </c>
      <c r="F1266" s="1">
        <f>IFERROR(__xludf.DUMMYFUNCTION("""COMPUTED_VALUE"""),350932.0)</f>
        <v>350932</v>
      </c>
    </row>
    <row r="1267">
      <c r="A1267" s="2">
        <f>IFERROR(__xludf.DUMMYFUNCTION("""COMPUTED_VALUE"""),42425.64583333333)</f>
        <v>42425.64583</v>
      </c>
      <c r="B1267" s="1">
        <f>IFERROR(__xludf.DUMMYFUNCTION("""COMPUTED_VALUE"""),19180.0)</f>
        <v>19180</v>
      </c>
      <c r="C1267" s="1">
        <f>IFERROR(__xludf.DUMMYFUNCTION("""COMPUTED_VALUE"""),19360.0)</f>
        <v>19360</v>
      </c>
      <c r="D1267" s="1">
        <f>IFERROR(__xludf.DUMMYFUNCTION("""COMPUTED_VALUE"""),18680.0)</f>
        <v>18680</v>
      </c>
      <c r="E1267" s="1">
        <f>IFERROR(__xludf.DUMMYFUNCTION("""COMPUTED_VALUE"""),18900.0)</f>
        <v>18900</v>
      </c>
      <c r="F1267" s="1">
        <f>IFERROR(__xludf.DUMMYFUNCTION("""COMPUTED_VALUE"""),295384.0)</f>
        <v>295384</v>
      </c>
    </row>
    <row r="1268">
      <c r="A1268" s="2">
        <f>IFERROR(__xludf.DUMMYFUNCTION("""COMPUTED_VALUE"""),42426.64583333333)</f>
        <v>42426.64583</v>
      </c>
      <c r="B1268" s="1">
        <f>IFERROR(__xludf.DUMMYFUNCTION("""COMPUTED_VALUE"""),18920.0)</f>
        <v>18920</v>
      </c>
      <c r="C1268" s="1">
        <f>IFERROR(__xludf.DUMMYFUNCTION("""COMPUTED_VALUE"""),19060.0)</f>
        <v>19060</v>
      </c>
      <c r="D1268" s="1">
        <f>IFERROR(__xludf.DUMMYFUNCTION("""COMPUTED_VALUE"""),18800.0)</f>
        <v>18800</v>
      </c>
      <c r="E1268" s="1">
        <f>IFERROR(__xludf.DUMMYFUNCTION("""COMPUTED_VALUE"""),18820.0)</f>
        <v>18820</v>
      </c>
      <c r="F1268" s="1">
        <f>IFERROR(__xludf.DUMMYFUNCTION("""COMPUTED_VALUE"""),177571.0)</f>
        <v>177571</v>
      </c>
    </row>
    <row r="1269">
      <c r="A1269" s="2">
        <f>IFERROR(__xludf.DUMMYFUNCTION("""COMPUTED_VALUE"""),42429.64583333333)</f>
        <v>42429.64583</v>
      </c>
      <c r="B1269" s="1">
        <f>IFERROR(__xludf.DUMMYFUNCTION("""COMPUTED_VALUE"""),19020.0)</f>
        <v>19020</v>
      </c>
      <c r="C1269" s="1">
        <f>IFERROR(__xludf.DUMMYFUNCTION("""COMPUTED_VALUE"""),19100.0)</f>
        <v>19100</v>
      </c>
      <c r="D1269" s="1">
        <f>IFERROR(__xludf.DUMMYFUNCTION("""COMPUTED_VALUE"""),18800.0)</f>
        <v>18800</v>
      </c>
      <c r="E1269" s="1">
        <f>IFERROR(__xludf.DUMMYFUNCTION("""COMPUTED_VALUE"""),18980.0)</f>
        <v>18980</v>
      </c>
      <c r="F1269" s="1">
        <f>IFERROR(__xludf.DUMMYFUNCTION("""COMPUTED_VALUE"""),213161.0)</f>
        <v>213161</v>
      </c>
    </row>
    <row r="1270">
      <c r="A1270" s="2">
        <f>IFERROR(__xludf.DUMMYFUNCTION("""COMPUTED_VALUE"""),42431.64583333333)</f>
        <v>42431.64583</v>
      </c>
      <c r="B1270" s="1">
        <f>IFERROR(__xludf.DUMMYFUNCTION("""COMPUTED_VALUE"""),19160.0)</f>
        <v>19160</v>
      </c>
      <c r="C1270" s="1">
        <f>IFERROR(__xludf.DUMMYFUNCTION("""COMPUTED_VALUE"""),19520.0)</f>
        <v>19520</v>
      </c>
      <c r="D1270" s="1">
        <f>IFERROR(__xludf.DUMMYFUNCTION("""COMPUTED_VALUE"""),19020.0)</f>
        <v>19020</v>
      </c>
      <c r="E1270" s="1">
        <f>IFERROR(__xludf.DUMMYFUNCTION("""COMPUTED_VALUE"""),19480.0)</f>
        <v>19480</v>
      </c>
      <c r="F1270" s="1">
        <f>IFERROR(__xludf.DUMMYFUNCTION("""COMPUTED_VALUE"""),416215.0)</f>
        <v>416215</v>
      </c>
    </row>
    <row r="1271">
      <c r="A1271" s="2">
        <f>IFERROR(__xludf.DUMMYFUNCTION("""COMPUTED_VALUE"""),42432.64583333333)</f>
        <v>42432.64583</v>
      </c>
      <c r="B1271" s="1">
        <f>IFERROR(__xludf.DUMMYFUNCTION("""COMPUTED_VALUE"""),19480.0)</f>
        <v>19480</v>
      </c>
      <c r="C1271" s="1">
        <f>IFERROR(__xludf.DUMMYFUNCTION("""COMPUTED_VALUE"""),20380.0)</f>
        <v>20380</v>
      </c>
      <c r="D1271" s="1">
        <f>IFERROR(__xludf.DUMMYFUNCTION("""COMPUTED_VALUE"""),19260.0)</f>
        <v>19260</v>
      </c>
      <c r="E1271" s="1">
        <f>IFERROR(__xludf.DUMMYFUNCTION("""COMPUTED_VALUE"""),20300.0)</f>
        <v>20300</v>
      </c>
      <c r="F1271" s="1">
        <f>IFERROR(__xludf.DUMMYFUNCTION("""COMPUTED_VALUE"""),633883.0)</f>
        <v>633883</v>
      </c>
    </row>
    <row r="1272">
      <c r="A1272" s="2">
        <f>IFERROR(__xludf.DUMMYFUNCTION("""COMPUTED_VALUE"""),42433.64583333333)</f>
        <v>42433.64583</v>
      </c>
      <c r="B1272" s="1">
        <f>IFERROR(__xludf.DUMMYFUNCTION("""COMPUTED_VALUE"""),20480.0)</f>
        <v>20480</v>
      </c>
      <c r="C1272" s="1">
        <f>IFERROR(__xludf.DUMMYFUNCTION("""COMPUTED_VALUE"""),20920.0)</f>
        <v>20920</v>
      </c>
      <c r="D1272" s="1">
        <f>IFERROR(__xludf.DUMMYFUNCTION("""COMPUTED_VALUE"""),20260.0)</f>
        <v>20260</v>
      </c>
      <c r="E1272" s="1">
        <f>IFERROR(__xludf.DUMMYFUNCTION("""COMPUTED_VALUE"""),20760.0)</f>
        <v>20760</v>
      </c>
      <c r="F1272" s="1">
        <f>IFERROR(__xludf.DUMMYFUNCTION("""COMPUTED_VALUE"""),562840.0)</f>
        <v>562840</v>
      </c>
    </row>
    <row r="1273">
      <c r="A1273" s="2">
        <f>IFERROR(__xludf.DUMMYFUNCTION("""COMPUTED_VALUE"""),42436.64583333333)</f>
        <v>42436.64583</v>
      </c>
      <c r="B1273" s="1">
        <f>IFERROR(__xludf.DUMMYFUNCTION("""COMPUTED_VALUE"""),20820.0)</f>
        <v>20820</v>
      </c>
      <c r="C1273" s="1">
        <f>IFERROR(__xludf.DUMMYFUNCTION("""COMPUTED_VALUE"""),21400.0)</f>
        <v>21400</v>
      </c>
      <c r="D1273" s="1">
        <f>IFERROR(__xludf.DUMMYFUNCTION("""COMPUTED_VALUE"""),20820.0)</f>
        <v>20820</v>
      </c>
      <c r="E1273" s="1">
        <f>IFERROR(__xludf.DUMMYFUNCTION("""COMPUTED_VALUE"""),21180.0)</f>
        <v>21180</v>
      </c>
      <c r="F1273" s="1">
        <f>IFERROR(__xludf.DUMMYFUNCTION("""COMPUTED_VALUE"""),564062.0)</f>
        <v>564062</v>
      </c>
    </row>
    <row r="1274">
      <c r="A1274" s="2">
        <f>IFERROR(__xludf.DUMMYFUNCTION("""COMPUTED_VALUE"""),42437.64583333333)</f>
        <v>42437.64583</v>
      </c>
      <c r="B1274" s="1">
        <f>IFERROR(__xludf.DUMMYFUNCTION("""COMPUTED_VALUE"""),21320.0)</f>
        <v>21320</v>
      </c>
      <c r="C1274" s="1">
        <f>IFERROR(__xludf.DUMMYFUNCTION("""COMPUTED_VALUE"""),21440.0)</f>
        <v>21440</v>
      </c>
      <c r="D1274" s="1">
        <f>IFERROR(__xludf.DUMMYFUNCTION("""COMPUTED_VALUE"""),20900.0)</f>
        <v>20900</v>
      </c>
      <c r="E1274" s="1">
        <f>IFERROR(__xludf.DUMMYFUNCTION("""COMPUTED_VALUE"""),21240.0)</f>
        <v>21240</v>
      </c>
      <c r="F1274" s="1">
        <f>IFERROR(__xludf.DUMMYFUNCTION("""COMPUTED_VALUE"""),341742.0)</f>
        <v>341742</v>
      </c>
    </row>
    <row r="1275">
      <c r="A1275" s="2">
        <f>IFERROR(__xludf.DUMMYFUNCTION("""COMPUTED_VALUE"""),42438.64583333333)</f>
        <v>42438.64583</v>
      </c>
      <c r="B1275" s="1">
        <f>IFERROR(__xludf.DUMMYFUNCTION("""COMPUTED_VALUE"""),21200.0)</f>
        <v>21200</v>
      </c>
      <c r="C1275" s="1">
        <f>IFERROR(__xludf.DUMMYFUNCTION("""COMPUTED_VALUE"""),21700.0)</f>
        <v>21700</v>
      </c>
      <c r="D1275" s="1">
        <f>IFERROR(__xludf.DUMMYFUNCTION("""COMPUTED_VALUE"""),21020.0)</f>
        <v>21020</v>
      </c>
      <c r="E1275" s="1">
        <f>IFERROR(__xludf.DUMMYFUNCTION("""COMPUTED_VALUE"""),21560.0)</f>
        <v>21560</v>
      </c>
      <c r="F1275" s="1">
        <f>IFERROR(__xludf.DUMMYFUNCTION("""COMPUTED_VALUE"""),339001.0)</f>
        <v>339001</v>
      </c>
    </row>
    <row r="1276">
      <c r="A1276" s="2">
        <f>IFERROR(__xludf.DUMMYFUNCTION("""COMPUTED_VALUE"""),42439.64583333333)</f>
        <v>42439.64583</v>
      </c>
      <c r="B1276" s="1">
        <f>IFERROR(__xludf.DUMMYFUNCTION("""COMPUTED_VALUE"""),21500.0)</f>
        <v>21500</v>
      </c>
      <c r="C1276" s="1">
        <f>IFERROR(__xludf.DUMMYFUNCTION("""COMPUTED_VALUE"""),22380.0)</f>
        <v>22380</v>
      </c>
      <c r="D1276" s="1">
        <f>IFERROR(__xludf.DUMMYFUNCTION("""COMPUTED_VALUE"""),21480.0)</f>
        <v>21480</v>
      </c>
      <c r="E1276" s="1">
        <f>IFERROR(__xludf.DUMMYFUNCTION("""COMPUTED_VALUE"""),22020.0)</f>
        <v>22020</v>
      </c>
      <c r="F1276" s="1">
        <f>IFERROR(__xludf.DUMMYFUNCTION("""COMPUTED_VALUE"""),620453.0)</f>
        <v>620453</v>
      </c>
    </row>
    <row r="1277">
      <c r="A1277" s="2">
        <f>IFERROR(__xludf.DUMMYFUNCTION("""COMPUTED_VALUE"""),42440.64583333333)</f>
        <v>42440.64583</v>
      </c>
      <c r="B1277" s="1">
        <f>IFERROR(__xludf.DUMMYFUNCTION("""COMPUTED_VALUE"""),22000.0)</f>
        <v>22000</v>
      </c>
      <c r="C1277" s="1">
        <f>IFERROR(__xludf.DUMMYFUNCTION("""COMPUTED_VALUE"""),22380.0)</f>
        <v>22380</v>
      </c>
      <c r="D1277" s="1">
        <f>IFERROR(__xludf.DUMMYFUNCTION("""COMPUTED_VALUE"""),21760.0)</f>
        <v>21760</v>
      </c>
      <c r="E1277" s="1">
        <f>IFERROR(__xludf.DUMMYFUNCTION("""COMPUTED_VALUE"""),22240.0)</f>
        <v>22240</v>
      </c>
      <c r="F1277" s="1">
        <f>IFERROR(__xludf.DUMMYFUNCTION("""COMPUTED_VALUE"""),380648.0)</f>
        <v>380648</v>
      </c>
    </row>
    <row r="1278">
      <c r="A1278" s="2">
        <f>IFERROR(__xludf.DUMMYFUNCTION("""COMPUTED_VALUE"""),42443.64583333333)</f>
        <v>42443.64583</v>
      </c>
      <c r="B1278" s="1">
        <f>IFERROR(__xludf.DUMMYFUNCTION("""COMPUTED_VALUE"""),22400.0)</f>
        <v>22400</v>
      </c>
      <c r="C1278" s="1">
        <f>IFERROR(__xludf.DUMMYFUNCTION("""COMPUTED_VALUE"""),22660.0)</f>
        <v>22660</v>
      </c>
      <c r="D1278" s="1">
        <f>IFERROR(__xludf.DUMMYFUNCTION("""COMPUTED_VALUE"""),22340.0)</f>
        <v>22340</v>
      </c>
      <c r="E1278" s="1">
        <f>IFERROR(__xludf.DUMMYFUNCTION("""COMPUTED_VALUE"""),22520.0)</f>
        <v>22520</v>
      </c>
      <c r="F1278" s="1">
        <f>IFERROR(__xludf.DUMMYFUNCTION("""COMPUTED_VALUE"""),343606.0)</f>
        <v>343606</v>
      </c>
    </row>
    <row r="1279">
      <c r="A1279" s="2">
        <f>IFERROR(__xludf.DUMMYFUNCTION("""COMPUTED_VALUE"""),42444.64583333333)</f>
        <v>42444.64583</v>
      </c>
      <c r="B1279" s="1">
        <f>IFERROR(__xludf.DUMMYFUNCTION("""COMPUTED_VALUE"""),22520.0)</f>
        <v>22520</v>
      </c>
      <c r="C1279" s="1">
        <f>IFERROR(__xludf.DUMMYFUNCTION("""COMPUTED_VALUE"""),22600.0)</f>
        <v>22600</v>
      </c>
      <c r="D1279" s="1">
        <f>IFERROR(__xludf.DUMMYFUNCTION("""COMPUTED_VALUE"""),22080.0)</f>
        <v>22080</v>
      </c>
      <c r="E1279" s="1">
        <f>IFERROR(__xludf.DUMMYFUNCTION("""COMPUTED_VALUE"""),22280.0)</f>
        <v>22280</v>
      </c>
      <c r="F1279" s="1">
        <f>IFERROR(__xludf.DUMMYFUNCTION("""COMPUTED_VALUE"""),312098.0)</f>
        <v>312098</v>
      </c>
    </row>
    <row r="1280">
      <c r="A1280" s="2">
        <f>IFERROR(__xludf.DUMMYFUNCTION("""COMPUTED_VALUE"""),42445.64583333333)</f>
        <v>42445.64583</v>
      </c>
      <c r="B1280" s="1">
        <f>IFERROR(__xludf.DUMMYFUNCTION("""COMPUTED_VALUE"""),22280.0)</f>
        <v>22280</v>
      </c>
      <c r="C1280" s="1">
        <f>IFERROR(__xludf.DUMMYFUNCTION("""COMPUTED_VALUE"""),22500.0)</f>
        <v>22500</v>
      </c>
      <c r="D1280" s="1">
        <f>IFERROR(__xludf.DUMMYFUNCTION("""COMPUTED_VALUE"""),21740.0)</f>
        <v>21740</v>
      </c>
      <c r="E1280" s="1">
        <f>IFERROR(__xludf.DUMMYFUNCTION("""COMPUTED_VALUE"""),21920.0)</f>
        <v>21920</v>
      </c>
      <c r="F1280" s="1">
        <f>IFERROR(__xludf.DUMMYFUNCTION("""COMPUTED_VALUE"""),389061.0)</f>
        <v>389061</v>
      </c>
    </row>
    <row r="1281">
      <c r="A1281" s="2">
        <f>IFERROR(__xludf.DUMMYFUNCTION("""COMPUTED_VALUE"""),42446.64583333333)</f>
        <v>42446.64583</v>
      </c>
      <c r="B1281" s="1">
        <f>IFERROR(__xludf.DUMMYFUNCTION("""COMPUTED_VALUE"""),22260.0)</f>
        <v>22260</v>
      </c>
      <c r="C1281" s="1">
        <f>IFERROR(__xludf.DUMMYFUNCTION("""COMPUTED_VALUE"""),22500.0)</f>
        <v>22500</v>
      </c>
      <c r="D1281" s="1">
        <f>IFERROR(__xludf.DUMMYFUNCTION("""COMPUTED_VALUE"""),22160.0)</f>
        <v>22160</v>
      </c>
      <c r="E1281" s="1">
        <f>IFERROR(__xludf.DUMMYFUNCTION("""COMPUTED_VALUE"""),22460.0)</f>
        <v>22460</v>
      </c>
      <c r="F1281" s="1">
        <f>IFERROR(__xludf.DUMMYFUNCTION("""COMPUTED_VALUE"""),284988.0)</f>
        <v>284988</v>
      </c>
    </row>
    <row r="1282">
      <c r="A1282" s="2">
        <f>IFERROR(__xludf.DUMMYFUNCTION("""COMPUTED_VALUE"""),42447.64583333333)</f>
        <v>42447.64583</v>
      </c>
      <c r="B1282" s="1">
        <f>IFERROR(__xludf.DUMMYFUNCTION("""COMPUTED_VALUE"""),22620.0)</f>
        <v>22620</v>
      </c>
      <c r="C1282" s="1">
        <f>IFERROR(__xludf.DUMMYFUNCTION("""COMPUTED_VALUE"""),22680.0)</f>
        <v>22680</v>
      </c>
      <c r="D1282" s="1">
        <f>IFERROR(__xludf.DUMMYFUNCTION("""COMPUTED_VALUE"""),22300.0)</f>
        <v>22300</v>
      </c>
      <c r="E1282" s="1">
        <f>IFERROR(__xludf.DUMMYFUNCTION("""COMPUTED_VALUE"""),22440.0)</f>
        <v>22440</v>
      </c>
      <c r="F1282" s="1">
        <f>IFERROR(__xludf.DUMMYFUNCTION("""COMPUTED_VALUE"""),198312.0)</f>
        <v>198312</v>
      </c>
    </row>
    <row r="1283">
      <c r="A1283" s="2">
        <f>IFERROR(__xludf.DUMMYFUNCTION("""COMPUTED_VALUE"""),42450.64583333333)</f>
        <v>42450.64583</v>
      </c>
      <c r="B1283" s="1">
        <f>IFERROR(__xludf.DUMMYFUNCTION("""COMPUTED_VALUE"""),22440.0)</f>
        <v>22440</v>
      </c>
      <c r="C1283" s="1">
        <f>IFERROR(__xludf.DUMMYFUNCTION("""COMPUTED_VALUE"""),22440.0)</f>
        <v>22440</v>
      </c>
      <c r="D1283" s="1">
        <f>IFERROR(__xludf.DUMMYFUNCTION("""COMPUTED_VALUE"""),21540.0)</f>
        <v>21540</v>
      </c>
      <c r="E1283" s="1">
        <f>IFERROR(__xludf.DUMMYFUNCTION("""COMPUTED_VALUE"""),21940.0)</f>
        <v>21940</v>
      </c>
      <c r="F1283" s="1">
        <f>IFERROR(__xludf.DUMMYFUNCTION("""COMPUTED_VALUE"""),380718.0)</f>
        <v>380718</v>
      </c>
    </row>
    <row r="1284">
      <c r="A1284" s="2">
        <f>IFERROR(__xludf.DUMMYFUNCTION("""COMPUTED_VALUE"""),42451.64583333333)</f>
        <v>42451.64583</v>
      </c>
      <c r="B1284" s="1">
        <f>IFERROR(__xludf.DUMMYFUNCTION("""COMPUTED_VALUE"""),21660.0)</f>
        <v>21660</v>
      </c>
      <c r="C1284" s="1">
        <f>IFERROR(__xludf.DUMMYFUNCTION("""COMPUTED_VALUE"""),21920.0)</f>
        <v>21920</v>
      </c>
      <c r="D1284" s="1">
        <f>IFERROR(__xludf.DUMMYFUNCTION("""COMPUTED_VALUE"""),21300.0)</f>
        <v>21300</v>
      </c>
      <c r="E1284" s="1">
        <f>IFERROR(__xludf.DUMMYFUNCTION("""COMPUTED_VALUE"""),21900.0)</f>
        <v>21900</v>
      </c>
      <c r="F1284" s="1">
        <f>IFERROR(__xludf.DUMMYFUNCTION("""COMPUTED_VALUE"""),384549.0)</f>
        <v>384549</v>
      </c>
    </row>
    <row r="1285">
      <c r="A1285" s="2">
        <f>IFERROR(__xludf.DUMMYFUNCTION("""COMPUTED_VALUE"""),42452.64583333333)</f>
        <v>42452.64583</v>
      </c>
      <c r="B1285" s="1">
        <f>IFERROR(__xludf.DUMMYFUNCTION("""COMPUTED_VALUE"""),21700.0)</f>
        <v>21700</v>
      </c>
      <c r="C1285" s="1">
        <f>IFERROR(__xludf.DUMMYFUNCTION("""COMPUTED_VALUE"""),22000.0)</f>
        <v>22000</v>
      </c>
      <c r="D1285" s="1">
        <f>IFERROR(__xludf.DUMMYFUNCTION("""COMPUTED_VALUE"""),21320.0)</f>
        <v>21320</v>
      </c>
      <c r="E1285" s="1">
        <f>IFERROR(__xludf.DUMMYFUNCTION("""COMPUTED_VALUE"""),21320.0)</f>
        <v>21320</v>
      </c>
      <c r="F1285" s="1">
        <f>IFERROR(__xludf.DUMMYFUNCTION("""COMPUTED_VALUE"""),340552.0)</f>
        <v>340552</v>
      </c>
    </row>
    <row r="1286">
      <c r="A1286" s="2">
        <f>IFERROR(__xludf.DUMMYFUNCTION("""COMPUTED_VALUE"""),42453.64583333333)</f>
        <v>42453.64583</v>
      </c>
      <c r="B1286" s="1">
        <f>IFERROR(__xludf.DUMMYFUNCTION("""COMPUTED_VALUE"""),21320.0)</f>
        <v>21320</v>
      </c>
      <c r="C1286" s="1">
        <f>IFERROR(__xludf.DUMMYFUNCTION("""COMPUTED_VALUE"""),21520.0)</f>
        <v>21520</v>
      </c>
      <c r="D1286" s="1">
        <f>IFERROR(__xludf.DUMMYFUNCTION("""COMPUTED_VALUE"""),21260.0)</f>
        <v>21260</v>
      </c>
      <c r="E1286" s="1">
        <f>IFERROR(__xludf.DUMMYFUNCTION("""COMPUTED_VALUE"""),21400.0)</f>
        <v>21400</v>
      </c>
      <c r="F1286" s="1">
        <f>IFERROR(__xludf.DUMMYFUNCTION("""COMPUTED_VALUE"""),140530.0)</f>
        <v>140530</v>
      </c>
    </row>
    <row r="1287">
      <c r="A1287" s="2">
        <f>IFERROR(__xludf.DUMMYFUNCTION("""COMPUTED_VALUE"""),42454.64583333333)</f>
        <v>42454.64583</v>
      </c>
      <c r="B1287" s="1">
        <f>IFERROR(__xludf.DUMMYFUNCTION("""COMPUTED_VALUE"""),21300.0)</f>
        <v>21300</v>
      </c>
      <c r="C1287" s="1">
        <f>IFERROR(__xludf.DUMMYFUNCTION("""COMPUTED_VALUE"""),21400.0)</f>
        <v>21400</v>
      </c>
      <c r="D1287" s="1">
        <f>IFERROR(__xludf.DUMMYFUNCTION("""COMPUTED_VALUE"""),20400.0)</f>
        <v>20400</v>
      </c>
      <c r="E1287" s="1">
        <f>IFERROR(__xludf.DUMMYFUNCTION("""COMPUTED_VALUE"""),20540.0)</f>
        <v>20540</v>
      </c>
      <c r="F1287" s="1">
        <f>IFERROR(__xludf.DUMMYFUNCTION("""COMPUTED_VALUE"""),455121.0)</f>
        <v>455121</v>
      </c>
    </row>
    <row r="1288">
      <c r="A1288" s="2">
        <f>IFERROR(__xludf.DUMMYFUNCTION("""COMPUTED_VALUE"""),42457.64583333333)</f>
        <v>42457.64583</v>
      </c>
      <c r="B1288" s="1">
        <f>IFERROR(__xludf.DUMMYFUNCTION("""COMPUTED_VALUE"""),20340.0)</f>
        <v>20340</v>
      </c>
      <c r="C1288" s="1">
        <f>IFERROR(__xludf.DUMMYFUNCTION("""COMPUTED_VALUE"""),20560.0)</f>
        <v>20560</v>
      </c>
      <c r="D1288" s="1">
        <f>IFERROR(__xludf.DUMMYFUNCTION("""COMPUTED_VALUE"""),20060.0)</f>
        <v>20060</v>
      </c>
      <c r="E1288" s="1">
        <f>IFERROR(__xludf.DUMMYFUNCTION("""COMPUTED_VALUE"""),20160.0)</f>
        <v>20160</v>
      </c>
      <c r="F1288" s="1">
        <f>IFERROR(__xludf.DUMMYFUNCTION("""COMPUTED_VALUE"""),383688.0)</f>
        <v>383688</v>
      </c>
    </row>
    <row r="1289">
      <c r="A1289" s="2">
        <f>IFERROR(__xludf.DUMMYFUNCTION("""COMPUTED_VALUE"""),42458.64583333333)</f>
        <v>42458.64583</v>
      </c>
      <c r="B1289" s="1">
        <f>IFERROR(__xludf.DUMMYFUNCTION("""COMPUTED_VALUE"""),20160.0)</f>
        <v>20160</v>
      </c>
      <c r="C1289" s="1">
        <f>IFERROR(__xludf.DUMMYFUNCTION("""COMPUTED_VALUE"""),20380.0)</f>
        <v>20380</v>
      </c>
      <c r="D1289" s="1">
        <f>IFERROR(__xludf.DUMMYFUNCTION("""COMPUTED_VALUE"""),19980.0)</f>
        <v>19980</v>
      </c>
      <c r="E1289" s="1">
        <f>IFERROR(__xludf.DUMMYFUNCTION("""COMPUTED_VALUE"""),20080.0)</f>
        <v>20080</v>
      </c>
      <c r="F1289" s="1">
        <f>IFERROR(__xludf.DUMMYFUNCTION("""COMPUTED_VALUE"""),316286.0)</f>
        <v>316286</v>
      </c>
    </row>
    <row r="1290">
      <c r="A1290" s="2">
        <f>IFERROR(__xludf.DUMMYFUNCTION("""COMPUTED_VALUE"""),42459.64583333333)</f>
        <v>42459.64583</v>
      </c>
      <c r="B1290" s="1">
        <f>IFERROR(__xludf.DUMMYFUNCTION("""COMPUTED_VALUE"""),20080.0)</f>
        <v>20080</v>
      </c>
      <c r="C1290" s="1">
        <f>IFERROR(__xludf.DUMMYFUNCTION("""COMPUTED_VALUE"""),20360.0)</f>
        <v>20360</v>
      </c>
      <c r="D1290" s="1">
        <f>IFERROR(__xludf.DUMMYFUNCTION("""COMPUTED_VALUE"""),19980.0)</f>
        <v>19980</v>
      </c>
      <c r="E1290" s="1">
        <f>IFERROR(__xludf.DUMMYFUNCTION("""COMPUTED_VALUE"""),20020.0)</f>
        <v>20020</v>
      </c>
      <c r="F1290" s="1">
        <f>IFERROR(__xludf.DUMMYFUNCTION("""COMPUTED_VALUE"""),350996.0)</f>
        <v>350996</v>
      </c>
    </row>
    <row r="1291">
      <c r="A1291" s="2">
        <f>IFERROR(__xludf.DUMMYFUNCTION("""COMPUTED_VALUE"""),42460.64583333333)</f>
        <v>42460.64583</v>
      </c>
      <c r="B1291" s="1">
        <f>IFERROR(__xludf.DUMMYFUNCTION("""COMPUTED_VALUE"""),20080.0)</f>
        <v>20080</v>
      </c>
      <c r="C1291" s="1">
        <f>IFERROR(__xludf.DUMMYFUNCTION("""COMPUTED_VALUE"""),20100.0)</f>
        <v>20100</v>
      </c>
      <c r="D1291" s="1">
        <f>IFERROR(__xludf.DUMMYFUNCTION("""COMPUTED_VALUE"""),19700.0)</f>
        <v>19700</v>
      </c>
      <c r="E1291" s="1">
        <f>IFERROR(__xludf.DUMMYFUNCTION("""COMPUTED_VALUE"""),19840.0)</f>
        <v>19840</v>
      </c>
      <c r="F1291" s="1">
        <f>IFERROR(__xludf.DUMMYFUNCTION("""COMPUTED_VALUE"""),561169.0)</f>
        <v>561169</v>
      </c>
    </row>
    <row r="1292">
      <c r="A1292" s="2">
        <f>IFERROR(__xludf.DUMMYFUNCTION("""COMPUTED_VALUE"""),42461.64583333333)</f>
        <v>42461.64583</v>
      </c>
      <c r="B1292" s="1">
        <f>IFERROR(__xludf.DUMMYFUNCTION("""COMPUTED_VALUE"""),19920.0)</f>
        <v>19920</v>
      </c>
      <c r="C1292" s="1">
        <f>IFERROR(__xludf.DUMMYFUNCTION("""COMPUTED_VALUE"""),20700.0)</f>
        <v>20700</v>
      </c>
      <c r="D1292" s="1">
        <f>IFERROR(__xludf.DUMMYFUNCTION("""COMPUTED_VALUE"""),19900.0)</f>
        <v>19900</v>
      </c>
      <c r="E1292" s="1">
        <f>IFERROR(__xludf.DUMMYFUNCTION("""COMPUTED_VALUE"""),20360.0)</f>
        <v>20360</v>
      </c>
      <c r="F1292" s="1">
        <f>IFERROR(__xludf.DUMMYFUNCTION("""COMPUTED_VALUE"""),366275.0)</f>
        <v>366275</v>
      </c>
    </row>
    <row r="1293">
      <c r="A1293" s="2">
        <f>IFERROR(__xludf.DUMMYFUNCTION("""COMPUTED_VALUE"""),42464.64583333333)</f>
        <v>42464.64583</v>
      </c>
      <c r="B1293" s="1">
        <f>IFERROR(__xludf.DUMMYFUNCTION("""COMPUTED_VALUE"""),19860.0)</f>
        <v>19860</v>
      </c>
      <c r="C1293" s="1">
        <f>IFERROR(__xludf.DUMMYFUNCTION("""COMPUTED_VALUE"""),20080.0)</f>
        <v>20080</v>
      </c>
      <c r="D1293" s="1">
        <f>IFERROR(__xludf.DUMMYFUNCTION("""COMPUTED_VALUE"""),19600.0)</f>
        <v>19600</v>
      </c>
      <c r="E1293" s="1">
        <f>IFERROR(__xludf.DUMMYFUNCTION("""COMPUTED_VALUE"""),19860.0)</f>
        <v>19860</v>
      </c>
      <c r="F1293" s="1">
        <f>IFERROR(__xludf.DUMMYFUNCTION("""COMPUTED_VALUE"""),478190.0)</f>
        <v>478190</v>
      </c>
    </row>
    <row r="1294">
      <c r="A1294" s="2">
        <f>IFERROR(__xludf.DUMMYFUNCTION("""COMPUTED_VALUE"""),42465.64583333333)</f>
        <v>42465.64583</v>
      </c>
      <c r="B1294" s="1">
        <f>IFERROR(__xludf.DUMMYFUNCTION("""COMPUTED_VALUE"""),19860.0)</f>
        <v>19860</v>
      </c>
      <c r="C1294" s="1">
        <f>IFERROR(__xludf.DUMMYFUNCTION("""COMPUTED_VALUE"""),19920.0)</f>
        <v>19920</v>
      </c>
      <c r="D1294" s="1">
        <f>IFERROR(__xludf.DUMMYFUNCTION("""COMPUTED_VALUE"""),19300.0)</f>
        <v>19300</v>
      </c>
      <c r="E1294" s="1">
        <f>IFERROR(__xludf.DUMMYFUNCTION("""COMPUTED_VALUE"""),19300.0)</f>
        <v>19300</v>
      </c>
      <c r="F1294" s="1">
        <f>IFERROR(__xludf.DUMMYFUNCTION("""COMPUTED_VALUE"""),498991.0)</f>
        <v>498991</v>
      </c>
    </row>
    <row r="1295">
      <c r="A1295" s="2">
        <f>IFERROR(__xludf.DUMMYFUNCTION("""COMPUTED_VALUE"""),42466.64583333333)</f>
        <v>42466.64583</v>
      </c>
      <c r="B1295" s="1">
        <f>IFERROR(__xludf.DUMMYFUNCTION("""COMPUTED_VALUE"""),19360.0)</f>
        <v>19360</v>
      </c>
      <c r="C1295" s="1">
        <f>IFERROR(__xludf.DUMMYFUNCTION("""COMPUTED_VALUE"""),19500.0)</f>
        <v>19500</v>
      </c>
      <c r="D1295" s="1">
        <f>IFERROR(__xludf.DUMMYFUNCTION("""COMPUTED_VALUE"""),19200.0)</f>
        <v>19200</v>
      </c>
      <c r="E1295" s="1">
        <f>IFERROR(__xludf.DUMMYFUNCTION("""COMPUTED_VALUE"""),19360.0)</f>
        <v>19360</v>
      </c>
      <c r="F1295" s="1">
        <f>IFERROR(__xludf.DUMMYFUNCTION("""COMPUTED_VALUE"""),321259.0)</f>
        <v>321259</v>
      </c>
    </row>
    <row r="1296">
      <c r="A1296" s="2">
        <f>IFERROR(__xludf.DUMMYFUNCTION("""COMPUTED_VALUE"""),42467.64583333333)</f>
        <v>42467.64583</v>
      </c>
      <c r="B1296" s="1">
        <f>IFERROR(__xludf.DUMMYFUNCTION("""COMPUTED_VALUE"""),19400.0)</f>
        <v>19400</v>
      </c>
      <c r="C1296" s="1">
        <f>IFERROR(__xludf.DUMMYFUNCTION("""COMPUTED_VALUE"""),19740.0)</f>
        <v>19740</v>
      </c>
      <c r="D1296" s="1">
        <f>IFERROR(__xludf.DUMMYFUNCTION("""COMPUTED_VALUE"""),19400.0)</f>
        <v>19400</v>
      </c>
      <c r="E1296" s="1">
        <f>IFERROR(__xludf.DUMMYFUNCTION("""COMPUTED_VALUE"""),19680.0)</f>
        <v>19680</v>
      </c>
      <c r="F1296" s="1">
        <f>IFERROR(__xludf.DUMMYFUNCTION("""COMPUTED_VALUE"""),224112.0)</f>
        <v>224112</v>
      </c>
    </row>
    <row r="1297">
      <c r="A1297" s="2">
        <f>IFERROR(__xludf.DUMMYFUNCTION("""COMPUTED_VALUE"""),42468.64583333333)</f>
        <v>42468.64583</v>
      </c>
      <c r="B1297" s="1">
        <f>IFERROR(__xludf.DUMMYFUNCTION("""COMPUTED_VALUE"""),19500.0)</f>
        <v>19500</v>
      </c>
      <c r="C1297" s="1">
        <f>IFERROR(__xludf.DUMMYFUNCTION("""COMPUTED_VALUE"""),19760.0)</f>
        <v>19760</v>
      </c>
      <c r="D1297" s="1">
        <f>IFERROR(__xludf.DUMMYFUNCTION("""COMPUTED_VALUE"""),19360.0)</f>
        <v>19360</v>
      </c>
      <c r="E1297" s="1">
        <f>IFERROR(__xludf.DUMMYFUNCTION("""COMPUTED_VALUE"""),19760.0)</f>
        <v>19760</v>
      </c>
      <c r="F1297" s="1">
        <f>IFERROR(__xludf.DUMMYFUNCTION("""COMPUTED_VALUE"""),209609.0)</f>
        <v>209609</v>
      </c>
    </row>
    <row r="1298">
      <c r="A1298" s="2">
        <f>IFERROR(__xludf.DUMMYFUNCTION("""COMPUTED_VALUE"""),42471.64583333333)</f>
        <v>42471.64583</v>
      </c>
      <c r="B1298" s="1">
        <f>IFERROR(__xludf.DUMMYFUNCTION("""COMPUTED_VALUE"""),19900.0)</f>
        <v>19900</v>
      </c>
      <c r="C1298" s="1">
        <f>IFERROR(__xludf.DUMMYFUNCTION("""COMPUTED_VALUE"""),19960.0)</f>
        <v>19960</v>
      </c>
      <c r="D1298" s="1">
        <f>IFERROR(__xludf.DUMMYFUNCTION("""COMPUTED_VALUE"""),19520.0)</f>
        <v>19520</v>
      </c>
      <c r="E1298" s="1">
        <f>IFERROR(__xludf.DUMMYFUNCTION("""COMPUTED_VALUE"""),19560.0)</f>
        <v>19560</v>
      </c>
      <c r="F1298" s="1">
        <f>IFERROR(__xludf.DUMMYFUNCTION("""COMPUTED_VALUE"""),200950.0)</f>
        <v>200950</v>
      </c>
    </row>
    <row r="1299">
      <c r="A1299" s="2">
        <f>IFERROR(__xludf.DUMMYFUNCTION("""COMPUTED_VALUE"""),42472.64583333333)</f>
        <v>42472.64583</v>
      </c>
      <c r="B1299" s="1">
        <f>IFERROR(__xludf.DUMMYFUNCTION("""COMPUTED_VALUE"""),19820.0)</f>
        <v>19820</v>
      </c>
      <c r="C1299" s="1">
        <f>IFERROR(__xludf.DUMMYFUNCTION("""COMPUTED_VALUE"""),20380.0)</f>
        <v>20380</v>
      </c>
      <c r="D1299" s="1">
        <f>IFERROR(__xludf.DUMMYFUNCTION("""COMPUTED_VALUE"""),19820.0)</f>
        <v>19820</v>
      </c>
      <c r="E1299" s="1">
        <f>IFERROR(__xludf.DUMMYFUNCTION("""COMPUTED_VALUE"""),20080.0)</f>
        <v>20080</v>
      </c>
      <c r="F1299" s="1">
        <f>IFERROR(__xludf.DUMMYFUNCTION("""COMPUTED_VALUE"""),462246.0)</f>
        <v>462246</v>
      </c>
    </row>
    <row r="1300">
      <c r="A1300" s="2">
        <f>IFERROR(__xludf.DUMMYFUNCTION("""COMPUTED_VALUE"""),42474.64583333333)</f>
        <v>42474.64583</v>
      </c>
      <c r="B1300" s="1">
        <f>IFERROR(__xludf.DUMMYFUNCTION("""COMPUTED_VALUE"""),20560.0)</f>
        <v>20560</v>
      </c>
      <c r="C1300" s="1">
        <f>IFERROR(__xludf.DUMMYFUNCTION("""COMPUTED_VALUE"""),20560.0)</f>
        <v>20560</v>
      </c>
      <c r="D1300" s="1">
        <f>IFERROR(__xludf.DUMMYFUNCTION("""COMPUTED_VALUE"""),20060.0)</f>
        <v>20060</v>
      </c>
      <c r="E1300" s="1">
        <f>IFERROR(__xludf.DUMMYFUNCTION("""COMPUTED_VALUE"""),20060.0)</f>
        <v>20060</v>
      </c>
      <c r="F1300" s="1">
        <f>IFERROR(__xludf.DUMMYFUNCTION("""COMPUTED_VALUE"""),363868.0)</f>
        <v>363868</v>
      </c>
    </row>
    <row r="1301">
      <c r="A1301" s="2">
        <f>IFERROR(__xludf.DUMMYFUNCTION("""COMPUTED_VALUE"""),42475.64583333333)</f>
        <v>42475.64583</v>
      </c>
      <c r="B1301" s="1">
        <f>IFERROR(__xludf.DUMMYFUNCTION("""COMPUTED_VALUE"""),20220.0)</f>
        <v>20220</v>
      </c>
      <c r="C1301" s="1">
        <f>IFERROR(__xludf.DUMMYFUNCTION("""COMPUTED_VALUE"""),20380.0)</f>
        <v>20380</v>
      </c>
      <c r="D1301" s="1">
        <f>IFERROR(__xludf.DUMMYFUNCTION("""COMPUTED_VALUE"""),20080.0)</f>
        <v>20080</v>
      </c>
      <c r="E1301" s="1">
        <f>IFERROR(__xludf.DUMMYFUNCTION("""COMPUTED_VALUE"""),20240.0)</f>
        <v>20240</v>
      </c>
      <c r="F1301" s="1">
        <f>IFERROR(__xludf.DUMMYFUNCTION("""COMPUTED_VALUE"""),180592.0)</f>
        <v>180592</v>
      </c>
    </row>
    <row r="1302">
      <c r="A1302" s="2">
        <f>IFERROR(__xludf.DUMMYFUNCTION("""COMPUTED_VALUE"""),42478.64583333333)</f>
        <v>42478.64583</v>
      </c>
      <c r="B1302" s="1">
        <f>IFERROR(__xludf.DUMMYFUNCTION("""COMPUTED_VALUE"""),20280.0)</f>
        <v>20280</v>
      </c>
      <c r="C1302" s="1">
        <f>IFERROR(__xludf.DUMMYFUNCTION("""COMPUTED_VALUE"""),20500.0)</f>
        <v>20500</v>
      </c>
      <c r="D1302" s="1">
        <f>IFERROR(__xludf.DUMMYFUNCTION("""COMPUTED_VALUE"""),20120.0)</f>
        <v>20120</v>
      </c>
      <c r="E1302" s="1">
        <f>IFERROR(__xludf.DUMMYFUNCTION("""COMPUTED_VALUE"""),20440.0)</f>
        <v>20440</v>
      </c>
      <c r="F1302" s="1">
        <f>IFERROR(__xludf.DUMMYFUNCTION("""COMPUTED_VALUE"""),261253.0)</f>
        <v>261253</v>
      </c>
    </row>
    <row r="1303">
      <c r="A1303" s="2">
        <f>IFERROR(__xludf.DUMMYFUNCTION("""COMPUTED_VALUE"""),42479.64583333333)</f>
        <v>42479.64583</v>
      </c>
      <c r="B1303" s="1">
        <f>IFERROR(__xludf.DUMMYFUNCTION("""COMPUTED_VALUE"""),20420.0)</f>
        <v>20420</v>
      </c>
      <c r="C1303" s="1">
        <f>IFERROR(__xludf.DUMMYFUNCTION("""COMPUTED_VALUE"""),20520.0)</f>
        <v>20520</v>
      </c>
      <c r="D1303" s="1">
        <f>IFERROR(__xludf.DUMMYFUNCTION("""COMPUTED_VALUE"""),20320.0)</f>
        <v>20320</v>
      </c>
      <c r="E1303" s="1">
        <f>IFERROR(__xludf.DUMMYFUNCTION("""COMPUTED_VALUE"""),20500.0)</f>
        <v>20500</v>
      </c>
      <c r="F1303" s="1">
        <f>IFERROR(__xludf.DUMMYFUNCTION("""COMPUTED_VALUE"""),220187.0)</f>
        <v>220187</v>
      </c>
    </row>
    <row r="1304">
      <c r="A1304" s="2">
        <f>IFERROR(__xludf.DUMMYFUNCTION("""COMPUTED_VALUE"""),42480.64583333333)</f>
        <v>42480.64583</v>
      </c>
      <c r="B1304" s="1">
        <f>IFERROR(__xludf.DUMMYFUNCTION("""COMPUTED_VALUE"""),20400.0)</f>
        <v>20400</v>
      </c>
      <c r="C1304" s="1">
        <f>IFERROR(__xludf.DUMMYFUNCTION("""COMPUTED_VALUE"""),20760.0)</f>
        <v>20760</v>
      </c>
      <c r="D1304" s="1">
        <f>IFERROR(__xludf.DUMMYFUNCTION("""COMPUTED_VALUE"""),20400.0)</f>
        <v>20400</v>
      </c>
      <c r="E1304" s="1">
        <f>IFERROR(__xludf.DUMMYFUNCTION("""COMPUTED_VALUE"""),20620.0)</f>
        <v>20620</v>
      </c>
      <c r="F1304" s="1">
        <f>IFERROR(__xludf.DUMMYFUNCTION("""COMPUTED_VALUE"""),252591.0)</f>
        <v>252591</v>
      </c>
    </row>
    <row r="1305">
      <c r="A1305" s="2">
        <f>IFERROR(__xludf.DUMMYFUNCTION("""COMPUTED_VALUE"""),42481.64583333333)</f>
        <v>42481.64583</v>
      </c>
      <c r="B1305" s="1">
        <f>IFERROR(__xludf.DUMMYFUNCTION("""COMPUTED_VALUE"""),20700.0)</f>
        <v>20700</v>
      </c>
      <c r="C1305" s="1">
        <f>IFERROR(__xludf.DUMMYFUNCTION("""COMPUTED_VALUE"""),20740.0)</f>
        <v>20740</v>
      </c>
      <c r="D1305" s="1">
        <f>IFERROR(__xludf.DUMMYFUNCTION("""COMPUTED_VALUE"""),20240.0)</f>
        <v>20240</v>
      </c>
      <c r="E1305" s="1">
        <f>IFERROR(__xludf.DUMMYFUNCTION("""COMPUTED_VALUE"""),20300.0)</f>
        <v>20300</v>
      </c>
      <c r="F1305" s="1">
        <f>IFERROR(__xludf.DUMMYFUNCTION("""COMPUTED_VALUE"""),196377.0)</f>
        <v>196377</v>
      </c>
    </row>
    <row r="1306">
      <c r="A1306" s="2">
        <f>IFERROR(__xludf.DUMMYFUNCTION("""COMPUTED_VALUE"""),42482.64583333333)</f>
        <v>42482.64583</v>
      </c>
      <c r="B1306" s="1">
        <f>IFERROR(__xludf.DUMMYFUNCTION("""COMPUTED_VALUE"""),20300.0)</f>
        <v>20300</v>
      </c>
      <c r="C1306" s="1">
        <f>IFERROR(__xludf.DUMMYFUNCTION("""COMPUTED_VALUE"""),20300.0)</f>
        <v>20300</v>
      </c>
      <c r="D1306" s="1">
        <f>IFERROR(__xludf.DUMMYFUNCTION("""COMPUTED_VALUE"""),19900.0)</f>
        <v>19900</v>
      </c>
      <c r="E1306" s="1">
        <f>IFERROR(__xludf.DUMMYFUNCTION("""COMPUTED_VALUE"""),19920.0)</f>
        <v>19920</v>
      </c>
      <c r="F1306" s="1">
        <f>IFERROR(__xludf.DUMMYFUNCTION("""COMPUTED_VALUE"""),266347.0)</f>
        <v>266347</v>
      </c>
    </row>
    <row r="1307">
      <c r="A1307" s="2">
        <f>IFERROR(__xludf.DUMMYFUNCTION("""COMPUTED_VALUE"""),42485.64583333333)</f>
        <v>42485.64583</v>
      </c>
      <c r="B1307" s="1">
        <f>IFERROR(__xludf.DUMMYFUNCTION("""COMPUTED_VALUE"""),20080.0)</f>
        <v>20080</v>
      </c>
      <c r="C1307" s="1">
        <f>IFERROR(__xludf.DUMMYFUNCTION("""COMPUTED_VALUE"""),20860.0)</f>
        <v>20860</v>
      </c>
      <c r="D1307" s="1">
        <f>IFERROR(__xludf.DUMMYFUNCTION("""COMPUTED_VALUE"""),20000.0)</f>
        <v>20000</v>
      </c>
      <c r="E1307" s="1">
        <f>IFERROR(__xludf.DUMMYFUNCTION("""COMPUTED_VALUE"""),20860.0)</f>
        <v>20860</v>
      </c>
      <c r="F1307" s="1">
        <f>IFERROR(__xludf.DUMMYFUNCTION("""COMPUTED_VALUE"""),400201.0)</f>
        <v>400201</v>
      </c>
    </row>
    <row r="1308">
      <c r="A1308" s="2">
        <f>IFERROR(__xludf.DUMMYFUNCTION("""COMPUTED_VALUE"""),42486.64583333333)</f>
        <v>42486.64583</v>
      </c>
      <c r="B1308" s="1">
        <f>IFERROR(__xludf.DUMMYFUNCTION("""COMPUTED_VALUE"""),21120.0)</f>
        <v>21120</v>
      </c>
      <c r="C1308" s="1">
        <f>IFERROR(__xludf.DUMMYFUNCTION("""COMPUTED_VALUE"""),21140.0)</f>
        <v>21140</v>
      </c>
      <c r="D1308" s="1">
        <f>IFERROR(__xludf.DUMMYFUNCTION("""COMPUTED_VALUE"""),20320.0)</f>
        <v>20320</v>
      </c>
      <c r="E1308" s="1">
        <f>IFERROR(__xludf.DUMMYFUNCTION("""COMPUTED_VALUE"""),20320.0)</f>
        <v>20320</v>
      </c>
      <c r="F1308" s="1">
        <f>IFERROR(__xludf.DUMMYFUNCTION("""COMPUTED_VALUE"""),345534.0)</f>
        <v>345534</v>
      </c>
    </row>
    <row r="1309">
      <c r="A1309" s="2">
        <f>IFERROR(__xludf.DUMMYFUNCTION("""COMPUTED_VALUE"""),42487.64583333333)</f>
        <v>42487.64583</v>
      </c>
      <c r="B1309" s="1">
        <f>IFERROR(__xludf.DUMMYFUNCTION("""COMPUTED_VALUE"""),20500.0)</f>
        <v>20500</v>
      </c>
      <c r="C1309" s="1">
        <f>IFERROR(__xludf.DUMMYFUNCTION("""COMPUTED_VALUE"""),20600.0)</f>
        <v>20600</v>
      </c>
      <c r="D1309" s="1">
        <f>IFERROR(__xludf.DUMMYFUNCTION("""COMPUTED_VALUE"""),20260.0)</f>
        <v>20260</v>
      </c>
      <c r="E1309" s="1">
        <f>IFERROR(__xludf.DUMMYFUNCTION("""COMPUTED_VALUE"""),20480.0)</f>
        <v>20480</v>
      </c>
      <c r="F1309" s="1">
        <f>IFERROR(__xludf.DUMMYFUNCTION("""COMPUTED_VALUE"""),167047.0)</f>
        <v>167047</v>
      </c>
    </row>
    <row r="1310">
      <c r="A1310" s="2">
        <f>IFERROR(__xludf.DUMMYFUNCTION("""COMPUTED_VALUE"""),42488.64583333333)</f>
        <v>42488.64583</v>
      </c>
      <c r="B1310" s="1">
        <f>IFERROR(__xludf.DUMMYFUNCTION("""COMPUTED_VALUE"""),20700.0)</f>
        <v>20700</v>
      </c>
      <c r="C1310" s="1">
        <f>IFERROR(__xludf.DUMMYFUNCTION("""COMPUTED_VALUE"""),20700.0)</f>
        <v>20700</v>
      </c>
      <c r="D1310" s="1">
        <f>IFERROR(__xludf.DUMMYFUNCTION("""COMPUTED_VALUE"""),20080.0)</f>
        <v>20080</v>
      </c>
      <c r="E1310" s="1">
        <f>IFERROR(__xludf.DUMMYFUNCTION("""COMPUTED_VALUE"""),20100.0)</f>
        <v>20100</v>
      </c>
      <c r="F1310" s="1">
        <f>IFERROR(__xludf.DUMMYFUNCTION("""COMPUTED_VALUE"""),245294.0)</f>
        <v>245294</v>
      </c>
    </row>
    <row r="1311">
      <c r="A1311" s="2">
        <f>IFERROR(__xludf.DUMMYFUNCTION("""COMPUTED_VALUE"""),42489.64583333333)</f>
        <v>42489.64583</v>
      </c>
      <c r="B1311" s="1">
        <f>IFERROR(__xludf.DUMMYFUNCTION("""COMPUTED_VALUE"""),20000.0)</f>
        <v>20000</v>
      </c>
      <c r="C1311" s="1">
        <f>IFERROR(__xludf.DUMMYFUNCTION("""COMPUTED_VALUE"""),20100.0)</f>
        <v>20100</v>
      </c>
      <c r="D1311" s="1">
        <f>IFERROR(__xludf.DUMMYFUNCTION("""COMPUTED_VALUE"""),19900.0)</f>
        <v>19900</v>
      </c>
      <c r="E1311" s="1">
        <f>IFERROR(__xludf.DUMMYFUNCTION("""COMPUTED_VALUE"""),20100.0)</f>
        <v>20100</v>
      </c>
      <c r="F1311" s="1">
        <f>IFERROR(__xludf.DUMMYFUNCTION("""COMPUTED_VALUE"""),144488.0)</f>
        <v>144488</v>
      </c>
    </row>
    <row r="1312">
      <c r="A1312" s="2">
        <f>IFERROR(__xludf.DUMMYFUNCTION("""COMPUTED_VALUE"""),42492.64583333333)</f>
        <v>42492.64583</v>
      </c>
      <c r="B1312" s="1">
        <f>IFERROR(__xludf.DUMMYFUNCTION("""COMPUTED_VALUE"""),19900.0)</f>
        <v>19900</v>
      </c>
      <c r="C1312" s="1">
        <f>IFERROR(__xludf.DUMMYFUNCTION("""COMPUTED_VALUE"""),20060.0)</f>
        <v>20060</v>
      </c>
      <c r="D1312" s="1">
        <f>IFERROR(__xludf.DUMMYFUNCTION("""COMPUTED_VALUE"""),19880.0)</f>
        <v>19880</v>
      </c>
      <c r="E1312" s="1">
        <f>IFERROR(__xludf.DUMMYFUNCTION("""COMPUTED_VALUE"""),19920.0)</f>
        <v>19920</v>
      </c>
      <c r="F1312" s="1">
        <f>IFERROR(__xludf.DUMMYFUNCTION("""COMPUTED_VALUE"""),129817.0)</f>
        <v>129817</v>
      </c>
    </row>
    <row r="1313">
      <c r="A1313" s="2">
        <f>IFERROR(__xludf.DUMMYFUNCTION("""COMPUTED_VALUE"""),42493.64583333333)</f>
        <v>42493.64583</v>
      </c>
      <c r="B1313" s="1">
        <f>IFERROR(__xludf.DUMMYFUNCTION("""COMPUTED_VALUE"""),19920.0)</f>
        <v>19920</v>
      </c>
      <c r="C1313" s="1">
        <f>IFERROR(__xludf.DUMMYFUNCTION("""COMPUTED_VALUE"""),20140.0)</f>
        <v>20140</v>
      </c>
      <c r="D1313" s="1">
        <f>IFERROR(__xludf.DUMMYFUNCTION("""COMPUTED_VALUE"""),19920.0)</f>
        <v>19920</v>
      </c>
      <c r="E1313" s="1">
        <f>IFERROR(__xludf.DUMMYFUNCTION("""COMPUTED_VALUE"""),19960.0)</f>
        <v>19960</v>
      </c>
      <c r="F1313" s="1">
        <f>IFERROR(__xludf.DUMMYFUNCTION("""COMPUTED_VALUE"""),110400.0)</f>
        <v>110400</v>
      </c>
    </row>
    <row r="1314">
      <c r="A1314" s="2">
        <f>IFERROR(__xludf.DUMMYFUNCTION("""COMPUTED_VALUE"""),42494.64583333333)</f>
        <v>42494.64583</v>
      </c>
      <c r="B1314" s="1">
        <f>IFERROR(__xludf.DUMMYFUNCTION("""COMPUTED_VALUE"""),20020.0)</f>
        <v>20020</v>
      </c>
      <c r="C1314" s="1">
        <f>IFERROR(__xludf.DUMMYFUNCTION("""COMPUTED_VALUE"""),20140.0)</f>
        <v>20140</v>
      </c>
      <c r="D1314" s="1">
        <f>IFERROR(__xludf.DUMMYFUNCTION("""COMPUTED_VALUE"""),19940.0)</f>
        <v>19940</v>
      </c>
      <c r="E1314" s="1">
        <f>IFERROR(__xludf.DUMMYFUNCTION("""COMPUTED_VALUE"""),20000.0)</f>
        <v>20000</v>
      </c>
      <c r="F1314" s="1">
        <f>IFERROR(__xludf.DUMMYFUNCTION("""COMPUTED_VALUE"""),134988.0)</f>
        <v>134988</v>
      </c>
    </row>
    <row r="1315">
      <c r="A1315" s="2">
        <f>IFERROR(__xludf.DUMMYFUNCTION("""COMPUTED_VALUE"""),42499.64583333333)</f>
        <v>42499.64583</v>
      </c>
      <c r="B1315" s="1">
        <f>IFERROR(__xludf.DUMMYFUNCTION("""COMPUTED_VALUE"""),19940.0)</f>
        <v>19940</v>
      </c>
      <c r="C1315" s="1">
        <f>IFERROR(__xludf.DUMMYFUNCTION("""COMPUTED_VALUE"""),20460.0)</f>
        <v>20460</v>
      </c>
      <c r="D1315" s="1">
        <f>IFERROR(__xludf.DUMMYFUNCTION("""COMPUTED_VALUE"""),19940.0)</f>
        <v>19940</v>
      </c>
      <c r="E1315" s="1">
        <f>IFERROR(__xludf.DUMMYFUNCTION("""COMPUTED_VALUE"""),20340.0)</f>
        <v>20340</v>
      </c>
      <c r="F1315" s="1">
        <f>IFERROR(__xludf.DUMMYFUNCTION("""COMPUTED_VALUE"""),251719.0)</f>
        <v>251719</v>
      </c>
    </row>
    <row r="1316">
      <c r="A1316" s="2">
        <f>IFERROR(__xludf.DUMMYFUNCTION("""COMPUTED_VALUE"""),42500.64583333333)</f>
        <v>42500.64583</v>
      </c>
      <c r="B1316" s="1">
        <f>IFERROR(__xludf.DUMMYFUNCTION("""COMPUTED_VALUE"""),20380.0)</f>
        <v>20380</v>
      </c>
      <c r="C1316" s="1">
        <f>IFERROR(__xludf.DUMMYFUNCTION("""COMPUTED_VALUE"""),20440.0)</f>
        <v>20440</v>
      </c>
      <c r="D1316" s="1">
        <f>IFERROR(__xludf.DUMMYFUNCTION("""COMPUTED_VALUE"""),19980.0)</f>
        <v>19980</v>
      </c>
      <c r="E1316" s="1">
        <f>IFERROR(__xludf.DUMMYFUNCTION("""COMPUTED_VALUE"""),20120.0)</f>
        <v>20120</v>
      </c>
      <c r="F1316" s="1">
        <f>IFERROR(__xludf.DUMMYFUNCTION("""COMPUTED_VALUE"""),208613.0)</f>
        <v>208613</v>
      </c>
    </row>
    <row r="1317">
      <c r="A1317" s="2">
        <f>IFERROR(__xludf.DUMMYFUNCTION("""COMPUTED_VALUE"""),42501.64583333333)</f>
        <v>42501.64583</v>
      </c>
      <c r="B1317" s="1">
        <f>IFERROR(__xludf.DUMMYFUNCTION("""COMPUTED_VALUE"""),20300.0)</f>
        <v>20300</v>
      </c>
      <c r="C1317" s="1">
        <f>IFERROR(__xludf.DUMMYFUNCTION("""COMPUTED_VALUE"""),21260.0)</f>
        <v>21260</v>
      </c>
      <c r="D1317" s="1">
        <f>IFERROR(__xludf.DUMMYFUNCTION("""COMPUTED_VALUE"""),20160.0)</f>
        <v>20160</v>
      </c>
      <c r="E1317" s="1">
        <f>IFERROR(__xludf.DUMMYFUNCTION("""COMPUTED_VALUE"""),21140.0)</f>
        <v>21140</v>
      </c>
      <c r="F1317" s="1">
        <f>IFERROR(__xludf.DUMMYFUNCTION("""COMPUTED_VALUE"""),719902.0)</f>
        <v>719902</v>
      </c>
    </row>
    <row r="1318">
      <c r="A1318" s="2">
        <f>IFERROR(__xludf.DUMMYFUNCTION("""COMPUTED_VALUE"""),42502.64583333333)</f>
        <v>42502.64583</v>
      </c>
      <c r="B1318" s="1">
        <f>IFERROR(__xludf.DUMMYFUNCTION("""COMPUTED_VALUE"""),20860.0)</f>
        <v>20860</v>
      </c>
      <c r="C1318" s="1">
        <f>IFERROR(__xludf.DUMMYFUNCTION("""COMPUTED_VALUE"""),21580.0)</f>
        <v>21580</v>
      </c>
      <c r="D1318" s="1">
        <f>IFERROR(__xludf.DUMMYFUNCTION("""COMPUTED_VALUE"""),20800.0)</f>
        <v>20800</v>
      </c>
      <c r="E1318" s="1">
        <f>IFERROR(__xludf.DUMMYFUNCTION("""COMPUTED_VALUE"""),21260.0)</f>
        <v>21260</v>
      </c>
      <c r="F1318" s="1">
        <f>IFERROR(__xludf.DUMMYFUNCTION("""COMPUTED_VALUE"""),559362.0)</f>
        <v>559362</v>
      </c>
    </row>
    <row r="1319">
      <c r="A1319" s="2">
        <f>IFERROR(__xludf.DUMMYFUNCTION("""COMPUTED_VALUE"""),42503.64583333333)</f>
        <v>42503.64583</v>
      </c>
      <c r="B1319" s="1">
        <f>IFERROR(__xludf.DUMMYFUNCTION("""COMPUTED_VALUE"""),21140.0)</f>
        <v>21140</v>
      </c>
      <c r="C1319" s="1">
        <f>IFERROR(__xludf.DUMMYFUNCTION("""COMPUTED_VALUE"""),21180.0)</f>
        <v>21180</v>
      </c>
      <c r="D1319" s="1">
        <f>IFERROR(__xludf.DUMMYFUNCTION("""COMPUTED_VALUE"""),20660.0)</f>
        <v>20660</v>
      </c>
      <c r="E1319" s="1">
        <f>IFERROR(__xludf.DUMMYFUNCTION("""COMPUTED_VALUE"""),20760.0)</f>
        <v>20760</v>
      </c>
      <c r="F1319" s="1">
        <f>IFERROR(__xludf.DUMMYFUNCTION("""COMPUTED_VALUE"""),260861.0)</f>
        <v>260861</v>
      </c>
    </row>
    <row r="1320">
      <c r="A1320" s="2">
        <f>IFERROR(__xludf.DUMMYFUNCTION("""COMPUTED_VALUE"""),42506.64583333333)</f>
        <v>42506.64583</v>
      </c>
      <c r="B1320" s="1">
        <f>IFERROR(__xludf.DUMMYFUNCTION("""COMPUTED_VALUE"""),20620.0)</f>
        <v>20620</v>
      </c>
      <c r="C1320" s="1">
        <f>IFERROR(__xludf.DUMMYFUNCTION("""COMPUTED_VALUE"""),21240.0)</f>
        <v>21240</v>
      </c>
      <c r="D1320" s="1">
        <f>IFERROR(__xludf.DUMMYFUNCTION("""COMPUTED_VALUE"""),20480.0)</f>
        <v>20480</v>
      </c>
      <c r="E1320" s="1">
        <f>IFERROR(__xludf.DUMMYFUNCTION("""COMPUTED_VALUE"""),21080.0)</f>
        <v>21080</v>
      </c>
      <c r="F1320" s="1">
        <f>IFERROR(__xludf.DUMMYFUNCTION("""COMPUTED_VALUE"""),244587.0)</f>
        <v>244587</v>
      </c>
    </row>
    <row r="1321">
      <c r="A1321" s="2">
        <f>IFERROR(__xludf.DUMMYFUNCTION("""COMPUTED_VALUE"""),42507.64583333333)</f>
        <v>42507.64583</v>
      </c>
      <c r="B1321" s="1">
        <f>IFERROR(__xludf.DUMMYFUNCTION("""COMPUTED_VALUE"""),20900.0)</f>
        <v>20900</v>
      </c>
      <c r="C1321" s="1">
        <f>IFERROR(__xludf.DUMMYFUNCTION("""COMPUTED_VALUE"""),21240.0)</f>
        <v>21240</v>
      </c>
      <c r="D1321" s="1">
        <f>IFERROR(__xludf.DUMMYFUNCTION("""COMPUTED_VALUE"""),20820.0)</f>
        <v>20820</v>
      </c>
      <c r="E1321" s="1">
        <f>IFERROR(__xludf.DUMMYFUNCTION("""COMPUTED_VALUE"""),21020.0)</f>
        <v>21020</v>
      </c>
      <c r="F1321" s="1">
        <f>IFERROR(__xludf.DUMMYFUNCTION("""COMPUTED_VALUE"""),199833.0)</f>
        <v>199833</v>
      </c>
    </row>
    <row r="1322">
      <c r="A1322" s="2">
        <f>IFERROR(__xludf.DUMMYFUNCTION("""COMPUTED_VALUE"""),42508.64583333333)</f>
        <v>42508.64583</v>
      </c>
      <c r="B1322" s="1">
        <f>IFERROR(__xludf.DUMMYFUNCTION("""COMPUTED_VALUE"""),20820.0)</f>
        <v>20820</v>
      </c>
      <c r="C1322" s="1">
        <f>IFERROR(__xludf.DUMMYFUNCTION("""COMPUTED_VALUE"""),20980.0)</f>
        <v>20980</v>
      </c>
      <c r="D1322" s="1">
        <f>IFERROR(__xludf.DUMMYFUNCTION("""COMPUTED_VALUE"""),20620.0)</f>
        <v>20620</v>
      </c>
      <c r="E1322" s="1">
        <f>IFERROR(__xludf.DUMMYFUNCTION("""COMPUTED_VALUE"""),20900.0)</f>
        <v>20900</v>
      </c>
      <c r="F1322" s="1">
        <f>IFERROR(__xludf.DUMMYFUNCTION("""COMPUTED_VALUE"""),207110.0)</f>
        <v>207110</v>
      </c>
    </row>
    <row r="1323">
      <c r="A1323" s="2">
        <f>IFERROR(__xludf.DUMMYFUNCTION("""COMPUTED_VALUE"""),42509.64583333333)</f>
        <v>42509.64583</v>
      </c>
      <c r="B1323" s="1">
        <f>IFERROR(__xludf.DUMMYFUNCTION("""COMPUTED_VALUE"""),20920.0)</f>
        <v>20920</v>
      </c>
      <c r="C1323" s="1">
        <f>IFERROR(__xludf.DUMMYFUNCTION("""COMPUTED_VALUE"""),21060.0)</f>
        <v>21060</v>
      </c>
      <c r="D1323" s="1">
        <f>IFERROR(__xludf.DUMMYFUNCTION("""COMPUTED_VALUE"""),19960.0)</f>
        <v>19960</v>
      </c>
      <c r="E1323" s="1">
        <f>IFERROR(__xludf.DUMMYFUNCTION("""COMPUTED_VALUE"""),20060.0)</f>
        <v>20060</v>
      </c>
      <c r="F1323" s="1">
        <f>IFERROR(__xludf.DUMMYFUNCTION("""COMPUTED_VALUE"""),396406.0)</f>
        <v>396406</v>
      </c>
    </row>
    <row r="1324">
      <c r="A1324" s="2">
        <f>IFERROR(__xludf.DUMMYFUNCTION("""COMPUTED_VALUE"""),42510.64583333333)</f>
        <v>42510.64583</v>
      </c>
      <c r="B1324" s="1">
        <f>IFERROR(__xludf.DUMMYFUNCTION("""COMPUTED_VALUE"""),19980.0)</f>
        <v>19980</v>
      </c>
      <c r="C1324" s="1">
        <f>IFERROR(__xludf.DUMMYFUNCTION("""COMPUTED_VALUE"""),20100.0)</f>
        <v>20100</v>
      </c>
      <c r="D1324" s="1">
        <f>IFERROR(__xludf.DUMMYFUNCTION("""COMPUTED_VALUE"""),19700.0)</f>
        <v>19700</v>
      </c>
      <c r="E1324" s="1">
        <f>IFERROR(__xludf.DUMMYFUNCTION("""COMPUTED_VALUE"""),19860.0)</f>
        <v>19860</v>
      </c>
      <c r="F1324" s="1">
        <f>IFERROR(__xludf.DUMMYFUNCTION("""COMPUTED_VALUE"""),322346.0)</f>
        <v>322346</v>
      </c>
    </row>
    <row r="1325">
      <c r="A1325" s="2">
        <f>IFERROR(__xludf.DUMMYFUNCTION("""COMPUTED_VALUE"""),42513.64583333333)</f>
        <v>42513.64583</v>
      </c>
      <c r="B1325" s="1">
        <f>IFERROR(__xludf.DUMMYFUNCTION("""COMPUTED_VALUE"""),20040.0)</f>
        <v>20040</v>
      </c>
      <c r="C1325" s="1">
        <f>IFERROR(__xludf.DUMMYFUNCTION("""COMPUTED_VALUE"""),20340.0)</f>
        <v>20340</v>
      </c>
      <c r="D1325" s="1">
        <f>IFERROR(__xludf.DUMMYFUNCTION("""COMPUTED_VALUE"""),20000.0)</f>
        <v>20000</v>
      </c>
      <c r="E1325" s="1">
        <f>IFERROR(__xludf.DUMMYFUNCTION("""COMPUTED_VALUE"""),20040.0)</f>
        <v>20040</v>
      </c>
      <c r="F1325" s="1">
        <f>IFERROR(__xludf.DUMMYFUNCTION("""COMPUTED_VALUE"""),171336.0)</f>
        <v>171336</v>
      </c>
    </row>
    <row r="1326">
      <c r="A1326" s="2">
        <f>IFERROR(__xludf.DUMMYFUNCTION("""COMPUTED_VALUE"""),42514.64583333333)</f>
        <v>42514.64583</v>
      </c>
      <c r="B1326" s="1">
        <f>IFERROR(__xludf.DUMMYFUNCTION("""COMPUTED_VALUE"""),20040.0)</f>
        <v>20040</v>
      </c>
      <c r="C1326" s="1">
        <f>IFERROR(__xludf.DUMMYFUNCTION("""COMPUTED_VALUE"""),20140.0)</f>
        <v>20140</v>
      </c>
      <c r="D1326" s="1">
        <f>IFERROR(__xludf.DUMMYFUNCTION("""COMPUTED_VALUE"""),19840.0)</f>
        <v>19840</v>
      </c>
      <c r="E1326" s="1">
        <f>IFERROR(__xludf.DUMMYFUNCTION("""COMPUTED_VALUE"""),19840.0)</f>
        <v>19840</v>
      </c>
      <c r="F1326" s="1">
        <f>IFERROR(__xludf.DUMMYFUNCTION("""COMPUTED_VALUE"""),172022.0)</f>
        <v>172022</v>
      </c>
    </row>
    <row r="1327">
      <c r="A1327" s="2">
        <f>IFERROR(__xludf.DUMMYFUNCTION("""COMPUTED_VALUE"""),42515.64583333333)</f>
        <v>42515.64583</v>
      </c>
      <c r="B1327" s="1">
        <f>IFERROR(__xludf.DUMMYFUNCTION("""COMPUTED_VALUE"""),19880.0)</f>
        <v>19880</v>
      </c>
      <c r="C1327" s="1">
        <f>IFERROR(__xludf.DUMMYFUNCTION("""COMPUTED_VALUE"""),20100.0)</f>
        <v>20100</v>
      </c>
      <c r="D1327" s="1">
        <f>IFERROR(__xludf.DUMMYFUNCTION("""COMPUTED_VALUE"""),19840.0)</f>
        <v>19840</v>
      </c>
      <c r="E1327" s="1">
        <f>IFERROR(__xludf.DUMMYFUNCTION("""COMPUTED_VALUE"""),19920.0)</f>
        <v>19920</v>
      </c>
      <c r="F1327" s="1">
        <f>IFERROR(__xludf.DUMMYFUNCTION("""COMPUTED_VALUE"""),232780.0)</f>
        <v>232780</v>
      </c>
    </row>
    <row r="1328">
      <c r="A1328" s="2">
        <f>IFERROR(__xludf.DUMMYFUNCTION("""COMPUTED_VALUE"""),42516.64583333333)</f>
        <v>42516.64583</v>
      </c>
      <c r="B1328" s="1">
        <f>IFERROR(__xludf.DUMMYFUNCTION("""COMPUTED_VALUE"""),19940.0)</f>
        <v>19940</v>
      </c>
      <c r="C1328" s="1">
        <f>IFERROR(__xludf.DUMMYFUNCTION("""COMPUTED_VALUE"""),20060.0)</f>
        <v>20060</v>
      </c>
      <c r="D1328" s="1">
        <f>IFERROR(__xludf.DUMMYFUNCTION("""COMPUTED_VALUE"""),19780.0)</f>
        <v>19780</v>
      </c>
      <c r="E1328" s="1">
        <f>IFERROR(__xludf.DUMMYFUNCTION("""COMPUTED_VALUE"""),19940.0)</f>
        <v>19940</v>
      </c>
      <c r="F1328" s="1">
        <f>IFERROR(__xludf.DUMMYFUNCTION("""COMPUTED_VALUE"""),185523.0)</f>
        <v>185523</v>
      </c>
    </row>
    <row r="1329">
      <c r="A1329" s="2">
        <f>IFERROR(__xludf.DUMMYFUNCTION("""COMPUTED_VALUE"""),42517.64583333333)</f>
        <v>42517.64583</v>
      </c>
      <c r="B1329" s="1">
        <f>IFERROR(__xludf.DUMMYFUNCTION("""COMPUTED_VALUE"""),20080.0)</f>
        <v>20080</v>
      </c>
      <c r="C1329" s="1">
        <f>IFERROR(__xludf.DUMMYFUNCTION("""COMPUTED_VALUE"""),20240.0)</f>
        <v>20240</v>
      </c>
      <c r="D1329" s="1">
        <f>IFERROR(__xludf.DUMMYFUNCTION("""COMPUTED_VALUE"""),19980.0)</f>
        <v>19980</v>
      </c>
      <c r="E1329" s="1">
        <f>IFERROR(__xludf.DUMMYFUNCTION("""COMPUTED_VALUE"""),20120.0)</f>
        <v>20120</v>
      </c>
      <c r="F1329" s="1">
        <f>IFERROR(__xludf.DUMMYFUNCTION("""COMPUTED_VALUE"""),201380.0)</f>
        <v>201380</v>
      </c>
    </row>
    <row r="1330">
      <c r="A1330" s="2">
        <f>IFERROR(__xludf.DUMMYFUNCTION("""COMPUTED_VALUE"""),42520.64583333333)</f>
        <v>42520.64583</v>
      </c>
      <c r="B1330" s="1">
        <f>IFERROR(__xludf.DUMMYFUNCTION("""COMPUTED_VALUE"""),20320.0)</f>
        <v>20320</v>
      </c>
      <c r="C1330" s="1">
        <f>IFERROR(__xludf.DUMMYFUNCTION("""COMPUTED_VALUE"""),20700.0)</f>
        <v>20700</v>
      </c>
      <c r="D1330" s="1">
        <f>IFERROR(__xludf.DUMMYFUNCTION("""COMPUTED_VALUE"""),20260.0)</f>
        <v>20260</v>
      </c>
      <c r="E1330" s="1">
        <f>IFERROR(__xludf.DUMMYFUNCTION("""COMPUTED_VALUE"""),20560.0)</f>
        <v>20560</v>
      </c>
      <c r="F1330" s="1">
        <f>IFERROR(__xludf.DUMMYFUNCTION("""COMPUTED_VALUE"""),353802.0)</f>
        <v>353802</v>
      </c>
    </row>
    <row r="1331">
      <c r="A1331" s="2">
        <f>IFERROR(__xludf.DUMMYFUNCTION("""COMPUTED_VALUE"""),42521.64583333333)</f>
        <v>42521.64583</v>
      </c>
      <c r="B1331" s="1">
        <f>IFERROR(__xludf.DUMMYFUNCTION("""COMPUTED_VALUE"""),20560.0)</f>
        <v>20560</v>
      </c>
      <c r="C1331" s="1">
        <f>IFERROR(__xludf.DUMMYFUNCTION("""COMPUTED_VALUE"""),20700.0)</f>
        <v>20700</v>
      </c>
      <c r="D1331" s="1">
        <f>IFERROR(__xludf.DUMMYFUNCTION("""COMPUTED_VALUE"""),20400.0)</f>
        <v>20400</v>
      </c>
      <c r="E1331" s="1">
        <f>IFERROR(__xludf.DUMMYFUNCTION("""COMPUTED_VALUE"""),20560.0)</f>
        <v>20560</v>
      </c>
      <c r="F1331" s="1">
        <f>IFERROR(__xludf.DUMMYFUNCTION("""COMPUTED_VALUE"""),332493.0)</f>
        <v>332493</v>
      </c>
    </row>
    <row r="1332">
      <c r="A1332" s="2">
        <f>IFERROR(__xludf.DUMMYFUNCTION("""COMPUTED_VALUE"""),42522.64583333333)</f>
        <v>42522.64583</v>
      </c>
      <c r="B1332" s="1">
        <f>IFERROR(__xludf.DUMMYFUNCTION("""COMPUTED_VALUE"""),20580.0)</f>
        <v>20580</v>
      </c>
      <c r="C1332" s="1">
        <f>IFERROR(__xludf.DUMMYFUNCTION("""COMPUTED_VALUE"""),20600.0)</f>
        <v>20600</v>
      </c>
      <c r="D1332" s="1">
        <f>IFERROR(__xludf.DUMMYFUNCTION("""COMPUTED_VALUE"""),19620.0)</f>
        <v>19620</v>
      </c>
      <c r="E1332" s="1">
        <f>IFERROR(__xludf.DUMMYFUNCTION("""COMPUTED_VALUE"""),19700.0)</f>
        <v>19700</v>
      </c>
      <c r="F1332" s="1">
        <f>IFERROR(__xludf.DUMMYFUNCTION("""COMPUTED_VALUE"""),1011274.0)</f>
        <v>1011274</v>
      </c>
    </row>
    <row r="1333">
      <c r="A1333" s="2">
        <f>IFERROR(__xludf.DUMMYFUNCTION("""COMPUTED_VALUE"""),42523.64583333333)</f>
        <v>42523.64583</v>
      </c>
      <c r="B1333" s="1">
        <f>IFERROR(__xludf.DUMMYFUNCTION("""COMPUTED_VALUE"""),19800.0)</f>
        <v>19800</v>
      </c>
      <c r="C1333" s="1">
        <f>IFERROR(__xludf.DUMMYFUNCTION("""COMPUTED_VALUE"""),19860.0)</f>
        <v>19860</v>
      </c>
      <c r="D1333" s="1">
        <f>IFERROR(__xludf.DUMMYFUNCTION("""COMPUTED_VALUE"""),19260.0)</f>
        <v>19260</v>
      </c>
      <c r="E1333" s="1">
        <f>IFERROR(__xludf.DUMMYFUNCTION("""COMPUTED_VALUE"""),19500.0)</f>
        <v>19500</v>
      </c>
      <c r="F1333" s="1">
        <f>IFERROR(__xludf.DUMMYFUNCTION("""COMPUTED_VALUE"""),556790.0)</f>
        <v>556790</v>
      </c>
    </row>
    <row r="1334">
      <c r="A1334" s="2">
        <f>IFERROR(__xludf.DUMMYFUNCTION("""COMPUTED_VALUE"""),42524.64583333333)</f>
        <v>42524.64583</v>
      </c>
      <c r="B1334" s="1">
        <f>IFERROR(__xludf.DUMMYFUNCTION("""COMPUTED_VALUE"""),19400.0)</f>
        <v>19400</v>
      </c>
      <c r="C1334" s="1">
        <f>IFERROR(__xludf.DUMMYFUNCTION("""COMPUTED_VALUE"""),19720.0)</f>
        <v>19720</v>
      </c>
      <c r="D1334" s="1">
        <f>IFERROR(__xludf.DUMMYFUNCTION("""COMPUTED_VALUE"""),19380.0)</f>
        <v>19380</v>
      </c>
      <c r="E1334" s="1">
        <f>IFERROR(__xludf.DUMMYFUNCTION("""COMPUTED_VALUE"""),19600.0)</f>
        <v>19600</v>
      </c>
      <c r="F1334" s="1">
        <f>IFERROR(__xludf.DUMMYFUNCTION("""COMPUTED_VALUE"""),321939.0)</f>
        <v>321939</v>
      </c>
    </row>
    <row r="1335">
      <c r="A1335" s="2">
        <f>IFERROR(__xludf.DUMMYFUNCTION("""COMPUTED_VALUE"""),42528.64583333333)</f>
        <v>42528.64583</v>
      </c>
      <c r="B1335" s="1">
        <f>IFERROR(__xludf.DUMMYFUNCTION("""COMPUTED_VALUE"""),19580.0)</f>
        <v>19580</v>
      </c>
      <c r="C1335" s="1">
        <f>IFERROR(__xludf.DUMMYFUNCTION("""COMPUTED_VALUE"""),19720.0)</f>
        <v>19720</v>
      </c>
      <c r="D1335" s="1">
        <f>IFERROR(__xludf.DUMMYFUNCTION("""COMPUTED_VALUE"""),19420.0)</f>
        <v>19420</v>
      </c>
      <c r="E1335" s="1">
        <f>IFERROR(__xludf.DUMMYFUNCTION("""COMPUTED_VALUE"""),19640.0)</f>
        <v>19640</v>
      </c>
      <c r="F1335" s="1">
        <f>IFERROR(__xludf.DUMMYFUNCTION("""COMPUTED_VALUE"""),278467.0)</f>
        <v>278467</v>
      </c>
    </row>
    <row r="1336">
      <c r="A1336" s="2">
        <f>IFERROR(__xludf.DUMMYFUNCTION("""COMPUTED_VALUE"""),42529.64583333333)</f>
        <v>42529.64583</v>
      </c>
      <c r="B1336" s="1">
        <f>IFERROR(__xludf.DUMMYFUNCTION("""COMPUTED_VALUE"""),19480.0)</f>
        <v>19480</v>
      </c>
      <c r="C1336" s="1">
        <f>IFERROR(__xludf.DUMMYFUNCTION("""COMPUTED_VALUE"""),19680.0)</f>
        <v>19680</v>
      </c>
      <c r="D1336" s="1">
        <f>IFERROR(__xludf.DUMMYFUNCTION("""COMPUTED_VALUE"""),19380.0)</f>
        <v>19380</v>
      </c>
      <c r="E1336" s="1">
        <f>IFERROR(__xludf.DUMMYFUNCTION("""COMPUTED_VALUE"""),19400.0)</f>
        <v>19400</v>
      </c>
      <c r="F1336" s="1">
        <f>IFERROR(__xludf.DUMMYFUNCTION("""COMPUTED_VALUE"""),330359.0)</f>
        <v>330359</v>
      </c>
    </row>
    <row r="1337">
      <c r="A1337" s="2">
        <f>IFERROR(__xludf.DUMMYFUNCTION("""COMPUTED_VALUE"""),42530.64583333333)</f>
        <v>42530.64583</v>
      </c>
      <c r="B1337" s="1">
        <f>IFERROR(__xludf.DUMMYFUNCTION("""COMPUTED_VALUE"""),19480.0)</f>
        <v>19480</v>
      </c>
      <c r="C1337" s="1">
        <f>IFERROR(__xludf.DUMMYFUNCTION("""COMPUTED_VALUE"""),19500.0)</f>
        <v>19500</v>
      </c>
      <c r="D1337" s="1">
        <f>IFERROR(__xludf.DUMMYFUNCTION("""COMPUTED_VALUE"""),18880.0)</f>
        <v>18880</v>
      </c>
      <c r="E1337" s="1">
        <f>IFERROR(__xludf.DUMMYFUNCTION("""COMPUTED_VALUE"""),19040.0)</f>
        <v>19040</v>
      </c>
      <c r="F1337" s="1">
        <f>IFERROR(__xludf.DUMMYFUNCTION("""COMPUTED_VALUE"""),870266.0)</f>
        <v>870266</v>
      </c>
    </row>
    <row r="1338">
      <c r="A1338" s="2">
        <f>IFERROR(__xludf.DUMMYFUNCTION("""COMPUTED_VALUE"""),42531.64583333333)</f>
        <v>42531.64583</v>
      </c>
      <c r="B1338" s="1">
        <f>IFERROR(__xludf.DUMMYFUNCTION("""COMPUTED_VALUE"""),19100.0)</f>
        <v>19100</v>
      </c>
      <c r="C1338" s="1">
        <f>IFERROR(__xludf.DUMMYFUNCTION("""COMPUTED_VALUE"""),19220.0)</f>
        <v>19220</v>
      </c>
      <c r="D1338" s="1">
        <f>IFERROR(__xludf.DUMMYFUNCTION("""COMPUTED_VALUE"""),18920.0)</f>
        <v>18920</v>
      </c>
      <c r="E1338" s="1">
        <f>IFERROR(__xludf.DUMMYFUNCTION("""COMPUTED_VALUE"""),18980.0)</f>
        <v>18980</v>
      </c>
      <c r="F1338" s="1">
        <f>IFERROR(__xludf.DUMMYFUNCTION("""COMPUTED_VALUE"""),394023.0)</f>
        <v>394023</v>
      </c>
    </row>
    <row r="1339">
      <c r="A1339" s="2">
        <f>IFERROR(__xludf.DUMMYFUNCTION("""COMPUTED_VALUE"""),42534.64583333333)</f>
        <v>42534.64583</v>
      </c>
      <c r="B1339" s="1">
        <f>IFERROR(__xludf.DUMMYFUNCTION("""COMPUTED_VALUE"""),18840.0)</f>
        <v>18840</v>
      </c>
      <c r="C1339" s="1">
        <f>IFERROR(__xludf.DUMMYFUNCTION("""COMPUTED_VALUE"""),18900.0)</f>
        <v>18900</v>
      </c>
      <c r="D1339" s="1">
        <f>IFERROR(__xludf.DUMMYFUNCTION("""COMPUTED_VALUE"""),18700.0)</f>
        <v>18700</v>
      </c>
      <c r="E1339" s="1">
        <f>IFERROR(__xludf.DUMMYFUNCTION("""COMPUTED_VALUE"""),18760.0)</f>
        <v>18760</v>
      </c>
      <c r="F1339" s="1">
        <f>IFERROR(__xludf.DUMMYFUNCTION("""COMPUTED_VALUE"""),262900.0)</f>
        <v>262900</v>
      </c>
    </row>
    <row r="1340">
      <c r="A1340" s="2">
        <f>IFERROR(__xludf.DUMMYFUNCTION("""COMPUTED_VALUE"""),42535.64583333333)</f>
        <v>42535.64583</v>
      </c>
      <c r="B1340" s="1">
        <f>IFERROR(__xludf.DUMMYFUNCTION("""COMPUTED_VALUE"""),18600.0)</f>
        <v>18600</v>
      </c>
      <c r="C1340" s="1">
        <f>IFERROR(__xludf.DUMMYFUNCTION("""COMPUTED_VALUE"""),19040.0)</f>
        <v>19040</v>
      </c>
      <c r="D1340" s="1">
        <f>IFERROR(__xludf.DUMMYFUNCTION("""COMPUTED_VALUE"""),18600.0)</f>
        <v>18600</v>
      </c>
      <c r="E1340" s="1">
        <f>IFERROR(__xludf.DUMMYFUNCTION("""COMPUTED_VALUE"""),18820.0)</f>
        <v>18820</v>
      </c>
      <c r="F1340" s="1">
        <f>IFERROR(__xludf.DUMMYFUNCTION("""COMPUTED_VALUE"""),282122.0)</f>
        <v>282122</v>
      </c>
    </row>
    <row r="1341">
      <c r="A1341" s="2">
        <f>IFERROR(__xludf.DUMMYFUNCTION("""COMPUTED_VALUE"""),42536.64583333333)</f>
        <v>42536.64583</v>
      </c>
      <c r="B1341" s="1">
        <f>IFERROR(__xludf.DUMMYFUNCTION("""COMPUTED_VALUE"""),18780.0)</f>
        <v>18780</v>
      </c>
      <c r="C1341" s="1">
        <f>IFERROR(__xludf.DUMMYFUNCTION("""COMPUTED_VALUE"""),18800.0)</f>
        <v>18800</v>
      </c>
      <c r="D1341" s="1">
        <f>IFERROR(__xludf.DUMMYFUNCTION("""COMPUTED_VALUE"""),18560.0)</f>
        <v>18560</v>
      </c>
      <c r="E1341" s="1">
        <f>IFERROR(__xludf.DUMMYFUNCTION("""COMPUTED_VALUE"""),18560.0)</f>
        <v>18560</v>
      </c>
      <c r="F1341" s="1">
        <f>IFERROR(__xludf.DUMMYFUNCTION("""COMPUTED_VALUE"""),248917.0)</f>
        <v>248917</v>
      </c>
    </row>
    <row r="1342">
      <c r="A1342" s="2">
        <f>IFERROR(__xludf.DUMMYFUNCTION("""COMPUTED_VALUE"""),42537.64583333333)</f>
        <v>42537.64583</v>
      </c>
      <c r="B1342" s="1">
        <f>IFERROR(__xludf.DUMMYFUNCTION("""COMPUTED_VALUE"""),18600.0)</f>
        <v>18600</v>
      </c>
      <c r="C1342" s="1">
        <f>IFERROR(__xludf.DUMMYFUNCTION("""COMPUTED_VALUE"""),18760.0)</f>
        <v>18760</v>
      </c>
      <c r="D1342" s="1">
        <f>IFERROR(__xludf.DUMMYFUNCTION("""COMPUTED_VALUE"""),18180.0)</f>
        <v>18180</v>
      </c>
      <c r="E1342" s="1">
        <f>IFERROR(__xludf.DUMMYFUNCTION("""COMPUTED_VALUE"""),18240.0)</f>
        <v>18240</v>
      </c>
      <c r="F1342" s="1">
        <f>IFERROR(__xludf.DUMMYFUNCTION("""COMPUTED_VALUE"""),347392.0)</f>
        <v>347392</v>
      </c>
    </row>
    <row r="1343">
      <c r="A1343" s="2">
        <f>IFERROR(__xludf.DUMMYFUNCTION("""COMPUTED_VALUE"""),42538.64583333333)</f>
        <v>42538.64583</v>
      </c>
      <c r="B1343" s="1">
        <f>IFERROR(__xludf.DUMMYFUNCTION("""COMPUTED_VALUE"""),18340.0)</f>
        <v>18340</v>
      </c>
      <c r="C1343" s="1">
        <f>IFERROR(__xludf.DUMMYFUNCTION("""COMPUTED_VALUE"""),18480.0)</f>
        <v>18480</v>
      </c>
      <c r="D1343" s="1">
        <f>IFERROR(__xludf.DUMMYFUNCTION("""COMPUTED_VALUE"""),18140.0)</f>
        <v>18140</v>
      </c>
      <c r="E1343" s="1">
        <f>IFERROR(__xludf.DUMMYFUNCTION("""COMPUTED_VALUE"""),18260.0)</f>
        <v>18260</v>
      </c>
      <c r="F1343" s="1">
        <f>IFERROR(__xludf.DUMMYFUNCTION("""COMPUTED_VALUE"""),253700.0)</f>
        <v>253700</v>
      </c>
    </row>
    <row r="1344">
      <c r="A1344" s="2">
        <f>IFERROR(__xludf.DUMMYFUNCTION("""COMPUTED_VALUE"""),42541.64583333333)</f>
        <v>42541.64583</v>
      </c>
      <c r="B1344" s="1">
        <f>IFERROR(__xludf.DUMMYFUNCTION("""COMPUTED_VALUE"""),18300.0)</f>
        <v>18300</v>
      </c>
      <c r="C1344" s="1">
        <f>IFERROR(__xludf.DUMMYFUNCTION("""COMPUTED_VALUE"""),18980.0)</f>
        <v>18980</v>
      </c>
      <c r="D1344" s="1">
        <f>IFERROR(__xludf.DUMMYFUNCTION("""COMPUTED_VALUE"""),18300.0)</f>
        <v>18300</v>
      </c>
      <c r="E1344" s="1">
        <f>IFERROR(__xludf.DUMMYFUNCTION("""COMPUTED_VALUE"""),18980.0)</f>
        <v>18980</v>
      </c>
      <c r="F1344" s="1">
        <f>IFERROR(__xludf.DUMMYFUNCTION("""COMPUTED_VALUE"""),301386.0)</f>
        <v>301386</v>
      </c>
    </row>
    <row r="1345">
      <c r="A1345" s="2">
        <f>IFERROR(__xludf.DUMMYFUNCTION("""COMPUTED_VALUE"""),42542.64583333333)</f>
        <v>42542.64583</v>
      </c>
      <c r="B1345" s="1">
        <f>IFERROR(__xludf.DUMMYFUNCTION("""COMPUTED_VALUE"""),19040.0)</f>
        <v>19040</v>
      </c>
      <c r="C1345" s="1">
        <f>IFERROR(__xludf.DUMMYFUNCTION("""COMPUTED_VALUE"""),19140.0)</f>
        <v>19140</v>
      </c>
      <c r="D1345" s="1">
        <f>IFERROR(__xludf.DUMMYFUNCTION("""COMPUTED_VALUE"""),18720.0)</f>
        <v>18720</v>
      </c>
      <c r="E1345" s="1">
        <f>IFERROR(__xludf.DUMMYFUNCTION("""COMPUTED_VALUE"""),18760.0)</f>
        <v>18760</v>
      </c>
      <c r="F1345" s="1">
        <f>IFERROR(__xludf.DUMMYFUNCTION("""COMPUTED_VALUE"""),184809.0)</f>
        <v>184809</v>
      </c>
    </row>
    <row r="1346">
      <c r="A1346" s="2">
        <f>IFERROR(__xludf.DUMMYFUNCTION("""COMPUTED_VALUE"""),42543.64583333333)</f>
        <v>42543.64583</v>
      </c>
      <c r="B1346" s="1">
        <f>IFERROR(__xludf.DUMMYFUNCTION("""COMPUTED_VALUE"""),18660.0)</f>
        <v>18660</v>
      </c>
      <c r="C1346" s="1">
        <f>IFERROR(__xludf.DUMMYFUNCTION("""COMPUTED_VALUE"""),18940.0)</f>
        <v>18940</v>
      </c>
      <c r="D1346" s="1">
        <f>IFERROR(__xludf.DUMMYFUNCTION("""COMPUTED_VALUE"""),18660.0)</f>
        <v>18660</v>
      </c>
      <c r="E1346" s="1">
        <f>IFERROR(__xludf.DUMMYFUNCTION("""COMPUTED_VALUE"""),18840.0)</f>
        <v>18840</v>
      </c>
      <c r="F1346" s="1">
        <f>IFERROR(__xludf.DUMMYFUNCTION("""COMPUTED_VALUE"""),139412.0)</f>
        <v>139412</v>
      </c>
    </row>
    <row r="1347">
      <c r="A1347" s="2">
        <f>IFERROR(__xludf.DUMMYFUNCTION("""COMPUTED_VALUE"""),42544.64583333333)</f>
        <v>42544.64583</v>
      </c>
      <c r="B1347" s="1">
        <f>IFERROR(__xludf.DUMMYFUNCTION("""COMPUTED_VALUE"""),18760.0)</f>
        <v>18760</v>
      </c>
      <c r="C1347" s="1">
        <f>IFERROR(__xludf.DUMMYFUNCTION("""COMPUTED_VALUE"""),18800.0)</f>
        <v>18800</v>
      </c>
      <c r="D1347" s="1">
        <f>IFERROR(__xludf.DUMMYFUNCTION("""COMPUTED_VALUE"""),18580.0)</f>
        <v>18580</v>
      </c>
      <c r="E1347" s="1">
        <f>IFERROR(__xludf.DUMMYFUNCTION("""COMPUTED_VALUE"""),18640.0)</f>
        <v>18640</v>
      </c>
      <c r="F1347" s="1">
        <f>IFERROR(__xludf.DUMMYFUNCTION("""COMPUTED_VALUE"""),186812.0)</f>
        <v>186812</v>
      </c>
    </row>
    <row r="1348">
      <c r="A1348" s="2">
        <f>IFERROR(__xludf.DUMMYFUNCTION("""COMPUTED_VALUE"""),42545.64583333333)</f>
        <v>42545.64583</v>
      </c>
      <c r="B1348" s="1">
        <f>IFERROR(__xludf.DUMMYFUNCTION("""COMPUTED_VALUE"""),18900.0)</f>
        <v>18900</v>
      </c>
      <c r="C1348" s="1">
        <f>IFERROR(__xludf.DUMMYFUNCTION("""COMPUTED_VALUE"""),18920.0)</f>
        <v>18920</v>
      </c>
      <c r="D1348" s="1">
        <f>IFERROR(__xludf.DUMMYFUNCTION("""COMPUTED_VALUE"""),17660.0)</f>
        <v>17660</v>
      </c>
      <c r="E1348" s="1">
        <f>IFERROR(__xludf.DUMMYFUNCTION("""COMPUTED_VALUE"""),18240.0)</f>
        <v>18240</v>
      </c>
      <c r="F1348" s="1">
        <f>IFERROR(__xludf.DUMMYFUNCTION("""COMPUTED_VALUE"""),713158.0)</f>
        <v>713158</v>
      </c>
    </row>
    <row r="1349">
      <c r="A1349" s="2">
        <f>IFERROR(__xludf.DUMMYFUNCTION("""COMPUTED_VALUE"""),42548.64583333333)</f>
        <v>42548.64583</v>
      </c>
      <c r="B1349" s="1">
        <f>IFERROR(__xludf.DUMMYFUNCTION("""COMPUTED_VALUE"""),17740.0)</f>
        <v>17740</v>
      </c>
      <c r="C1349" s="1">
        <f>IFERROR(__xludf.DUMMYFUNCTION("""COMPUTED_VALUE"""),18360.0)</f>
        <v>18360</v>
      </c>
      <c r="D1349" s="1">
        <f>IFERROR(__xludf.DUMMYFUNCTION("""COMPUTED_VALUE"""),17740.0)</f>
        <v>17740</v>
      </c>
      <c r="E1349" s="1">
        <f>IFERROR(__xludf.DUMMYFUNCTION("""COMPUTED_VALUE"""),18320.0)</f>
        <v>18320</v>
      </c>
      <c r="F1349" s="1">
        <f>IFERROR(__xludf.DUMMYFUNCTION("""COMPUTED_VALUE"""),322279.0)</f>
        <v>322279</v>
      </c>
    </row>
    <row r="1350">
      <c r="A1350" s="2">
        <f>IFERROR(__xludf.DUMMYFUNCTION("""COMPUTED_VALUE"""),42549.64583333333)</f>
        <v>42549.64583</v>
      </c>
      <c r="B1350" s="1">
        <f>IFERROR(__xludf.DUMMYFUNCTION("""COMPUTED_VALUE"""),18200.0)</f>
        <v>18200</v>
      </c>
      <c r="C1350" s="1">
        <f>IFERROR(__xludf.DUMMYFUNCTION("""COMPUTED_VALUE"""),18520.0)</f>
        <v>18520</v>
      </c>
      <c r="D1350" s="1">
        <f>IFERROR(__xludf.DUMMYFUNCTION("""COMPUTED_VALUE"""),18180.0)</f>
        <v>18180</v>
      </c>
      <c r="E1350" s="1">
        <f>IFERROR(__xludf.DUMMYFUNCTION("""COMPUTED_VALUE"""),18240.0)</f>
        <v>18240</v>
      </c>
      <c r="F1350" s="1">
        <f>IFERROR(__xludf.DUMMYFUNCTION("""COMPUTED_VALUE"""),277899.0)</f>
        <v>277899</v>
      </c>
    </row>
    <row r="1351">
      <c r="A1351" s="2">
        <f>IFERROR(__xludf.DUMMYFUNCTION("""COMPUTED_VALUE"""),42550.64583333333)</f>
        <v>42550.64583</v>
      </c>
      <c r="B1351" s="1">
        <f>IFERROR(__xludf.DUMMYFUNCTION("""COMPUTED_VALUE"""),18440.0)</f>
        <v>18440</v>
      </c>
      <c r="C1351" s="1">
        <f>IFERROR(__xludf.DUMMYFUNCTION("""COMPUTED_VALUE"""),18660.0)</f>
        <v>18660</v>
      </c>
      <c r="D1351" s="1">
        <f>IFERROR(__xludf.DUMMYFUNCTION("""COMPUTED_VALUE"""),18440.0)</f>
        <v>18440</v>
      </c>
      <c r="E1351" s="1">
        <f>IFERROR(__xludf.DUMMYFUNCTION("""COMPUTED_VALUE"""),18440.0)</f>
        <v>18440</v>
      </c>
      <c r="F1351" s="1">
        <f>IFERROR(__xludf.DUMMYFUNCTION("""COMPUTED_VALUE"""),237550.0)</f>
        <v>237550</v>
      </c>
    </row>
    <row r="1352">
      <c r="A1352" s="2">
        <f>IFERROR(__xludf.DUMMYFUNCTION("""COMPUTED_VALUE"""),42551.64583333333)</f>
        <v>42551.64583</v>
      </c>
      <c r="B1352" s="1">
        <f>IFERROR(__xludf.DUMMYFUNCTION("""COMPUTED_VALUE"""),18620.0)</f>
        <v>18620</v>
      </c>
      <c r="C1352" s="1">
        <f>IFERROR(__xludf.DUMMYFUNCTION("""COMPUTED_VALUE"""),18740.0)</f>
        <v>18740</v>
      </c>
      <c r="D1352" s="1">
        <f>IFERROR(__xludf.DUMMYFUNCTION("""COMPUTED_VALUE"""),18540.0)</f>
        <v>18540</v>
      </c>
      <c r="E1352" s="1">
        <f>IFERROR(__xludf.DUMMYFUNCTION("""COMPUTED_VALUE"""),18620.0)</f>
        <v>18620</v>
      </c>
      <c r="F1352" s="1">
        <f>IFERROR(__xludf.DUMMYFUNCTION("""COMPUTED_VALUE"""),163504.0)</f>
        <v>163504</v>
      </c>
    </row>
    <row r="1353">
      <c r="A1353" s="2">
        <f>IFERROR(__xludf.DUMMYFUNCTION("""COMPUTED_VALUE"""),42552.64583333333)</f>
        <v>42552.64583</v>
      </c>
      <c r="B1353" s="1">
        <f>IFERROR(__xludf.DUMMYFUNCTION("""COMPUTED_VALUE"""),18720.0)</f>
        <v>18720</v>
      </c>
      <c r="C1353" s="1">
        <f>IFERROR(__xludf.DUMMYFUNCTION("""COMPUTED_VALUE"""),19060.0)</f>
        <v>19060</v>
      </c>
      <c r="D1353" s="1">
        <f>IFERROR(__xludf.DUMMYFUNCTION("""COMPUTED_VALUE"""),18700.0)</f>
        <v>18700</v>
      </c>
      <c r="E1353" s="1">
        <f>IFERROR(__xludf.DUMMYFUNCTION("""COMPUTED_VALUE"""),18940.0)</f>
        <v>18940</v>
      </c>
      <c r="F1353" s="1">
        <f>IFERROR(__xludf.DUMMYFUNCTION("""COMPUTED_VALUE"""),280867.0)</f>
        <v>280867</v>
      </c>
    </row>
    <row r="1354">
      <c r="A1354" s="2">
        <f>IFERROR(__xludf.DUMMYFUNCTION("""COMPUTED_VALUE"""),42555.64583333333)</f>
        <v>42555.64583</v>
      </c>
      <c r="B1354" s="1">
        <f>IFERROR(__xludf.DUMMYFUNCTION("""COMPUTED_VALUE"""),19040.0)</f>
        <v>19040</v>
      </c>
      <c r="C1354" s="1">
        <f>IFERROR(__xludf.DUMMYFUNCTION("""COMPUTED_VALUE"""),19100.0)</f>
        <v>19100</v>
      </c>
      <c r="D1354" s="1">
        <f>IFERROR(__xludf.DUMMYFUNCTION("""COMPUTED_VALUE"""),18740.0)</f>
        <v>18740</v>
      </c>
      <c r="E1354" s="1">
        <f>IFERROR(__xludf.DUMMYFUNCTION("""COMPUTED_VALUE"""),18760.0)</f>
        <v>18760</v>
      </c>
      <c r="F1354" s="1">
        <f>IFERROR(__xludf.DUMMYFUNCTION("""COMPUTED_VALUE"""),190799.0)</f>
        <v>190799</v>
      </c>
    </row>
    <row r="1355">
      <c r="A1355" s="2">
        <f>IFERROR(__xludf.DUMMYFUNCTION("""COMPUTED_VALUE"""),42556.64583333333)</f>
        <v>42556.64583</v>
      </c>
      <c r="B1355" s="1">
        <f>IFERROR(__xludf.DUMMYFUNCTION("""COMPUTED_VALUE"""),18720.0)</f>
        <v>18720</v>
      </c>
      <c r="C1355" s="1">
        <f>IFERROR(__xludf.DUMMYFUNCTION("""COMPUTED_VALUE"""),18860.0)</f>
        <v>18860</v>
      </c>
      <c r="D1355" s="1">
        <f>IFERROR(__xludf.DUMMYFUNCTION("""COMPUTED_VALUE"""),18580.0)</f>
        <v>18580</v>
      </c>
      <c r="E1355" s="1">
        <f>IFERROR(__xludf.DUMMYFUNCTION("""COMPUTED_VALUE"""),18660.0)</f>
        <v>18660</v>
      </c>
      <c r="F1355" s="1">
        <f>IFERROR(__xludf.DUMMYFUNCTION("""COMPUTED_VALUE"""),187924.0)</f>
        <v>187924</v>
      </c>
    </row>
    <row r="1356">
      <c r="A1356" s="2">
        <f>IFERROR(__xludf.DUMMYFUNCTION("""COMPUTED_VALUE"""),42557.64583333333)</f>
        <v>42557.64583</v>
      </c>
      <c r="B1356" s="1">
        <f>IFERROR(__xludf.DUMMYFUNCTION("""COMPUTED_VALUE"""),18760.0)</f>
        <v>18760</v>
      </c>
      <c r="C1356" s="1">
        <f>IFERROR(__xludf.DUMMYFUNCTION("""COMPUTED_VALUE"""),18980.0)</f>
        <v>18980</v>
      </c>
      <c r="D1356" s="1">
        <f>IFERROR(__xludf.DUMMYFUNCTION("""COMPUTED_VALUE"""),18520.0)</f>
        <v>18520</v>
      </c>
      <c r="E1356" s="1">
        <f>IFERROR(__xludf.DUMMYFUNCTION("""COMPUTED_VALUE"""),18940.0)</f>
        <v>18940</v>
      </c>
      <c r="F1356" s="1">
        <f>IFERROR(__xludf.DUMMYFUNCTION("""COMPUTED_VALUE"""),271543.0)</f>
        <v>271543</v>
      </c>
    </row>
    <row r="1357">
      <c r="A1357" s="2">
        <f>IFERROR(__xludf.DUMMYFUNCTION("""COMPUTED_VALUE"""),42558.64583333333)</f>
        <v>42558.64583</v>
      </c>
      <c r="B1357" s="1">
        <f>IFERROR(__xludf.DUMMYFUNCTION("""COMPUTED_VALUE"""),18960.0)</f>
        <v>18960</v>
      </c>
      <c r="C1357" s="1">
        <f>IFERROR(__xludf.DUMMYFUNCTION("""COMPUTED_VALUE"""),19140.0)</f>
        <v>19140</v>
      </c>
      <c r="D1357" s="1">
        <f>IFERROR(__xludf.DUMMYFUNCTION("""COMPUTED_VALUE"""),18940.0)</f>
        <v>18940</v>
      </c>
      <c r="E1357" s="1">
        <f>IFERROR(__xludf.DUMMYFUNCTION("""COMPUTED_VALUE"""),19000.0)</f>
        <v>19000</v>
      </c>
      <c r="F1357" s="1">
        <f>IFERROR(__xludf.DUMMYFUNCTION("""COMPUTED_VALUE"""),194706.0)</f>
        <v>194706</v>
      </c>
    </row>
    <row r="1358">
      <c r="A1358" s="2">
        <f>IFERROR(__xludf.DUMMYFUNCTION("""COMPUTED_VALUE"""),42559.64583333333)</f>
        <v>42559.64583</v>
      </c>
      <c r="B1358" s="1">
        <f>IFERROR(__xludf.DUMMYFUNCTION("""COMPUTED_VALUE"""),18800.0)</f>
        <v>18800</v>
      </c>
      <c r="C1358" s="1">
        <f>IFERROR(__xludf.DUMMYFUNCTION("""COMPUTED_VALUE"""),18860.0)</f>
        <v>18860</v>
      </c>
      <c r="D1358" s="1">
        <f>IFERROR(__xludf.DUMMYFUNCTION("""COMPUTED_VALUE"""),18680.0)</f>
        <v>18680</v>
      </c>
      <c r="E1358" s="1">
        <f>IFERROR(__xludf.DUMMYFUNCTION("""COMPUTED_VALUE"""),18740.0)</f>
        <v>18740</v>
      </c>
      <c r="F1358" s="1">
        <f>IFERROR(__xludf.DUMMYFUNCTION("""COMPUTED_VALUE"""),224800.0)</f>
        <v>224800</v>
      </c>
    </row>
    <row r="1359">
      <c r="A1359" s="2">
        <f>IFERROR(__xludf.DUMMYFUNCTION("""COMPUTED_VALUE"""),42562.64583333333)</f>
        <v>42562.64583</v>
      </c>
      <c r="B1359" s="1">
        <f>IFERROR(__xludf.DUMMYFUNCTION("""COMPUTED_VALUE"""),18840.0)</f>
        <v>18840</v>
      </c>
      <c r="C1359" s="1">
        <f>IFERROR(__xludf.DUMMYFUNCTION("""COMPUTED_VALUE"""),19000.0)</f>
        <v>19000</v>
      </c>
      <c r="D1359" s="1">
        <f>IFERROR(__xludf.DUMMYFUNCTION("""COMPUTED_VALUE"""),18720.0)</f>
        <v>18720</v>
      </c>
      <c r="E1359" s="1">
        <f>IFERROR(__xludf.DUMMYFUNCTION("""COMPUTED_VALUE"""),19000.0)</f>
        <v>19000</v>
      </c>
      <c r="F1359" s="1">
        <f>IFERROR(__xludf.DUMMYFUNCTION("""COMPUTED_VALUE"""),184007.0)</f>
        <v>184007</v>
      </c>
    </row>
    <row r="1360">
      <c r="A1360" s="2">
        <f>IFERROR(__xludf.DUMMYFUNCTION("""COMPUTED_VALUE"""),42563.64583333333)</f>
        <v>42563.64583</v>
      </c>
      <c r="B1360" s="1">
        <f>IFERROR(__xludf.DUMMYFUNCTION("""COMPUTED_VALUE"""),19020.0)</f>
        <v>19020</v>
      </c>
      <c r="C1360" s="1">
        <f>IFERROR(__xludf.DUMMYFUNCTION("""COMPUTED_VALUE"""),19140.0)</f>
        <v>19140</v>
      </c>
      <c r="D1360" s="1">
        <f>IFERROR(__xludf.DUMMYFUNCTION("""COMPUTED_VALUE"""),19000.0)</f>
        <v>19000</v>
      </c>
      <c r="E1360" s="1">
        <f>IFERROR(__xludf.DUMMYFUNCTION("""COMPUTED_VALUE"""),19100.0)</f>
        <v>19100</v>
      </c>
      <c r="F1360" s="1">
        <f>IFERROR(__xludf.DUMMYFUNCTION("""COMPUTED_VALUE"""),248311.0)</f>
        <v>248311</v>
      </c>
    </row>
    <row r="1361">
      <c r="A1361" s="2">
        <f>IFERROR(__xludf.DUMMYFUNCTION("""COMPUTED_VALUE"""),42564.64583333333)</f>
        <v>42564.64583</v>
      </c>
      <c r="B1361" s="1">
        <f>IFERROR(__xludf.DUMMYFUNCTION("""COMPUTED_VALUE"""),19200.0)</f>
        <v>19200</v>
      </c>
      <c r="C1361" s="1">
        <f>IFERROR(__xludf.DUMMYFUNCTION("""COMPUTED_VALUE"""),19240.0)</f>
        <v>19240</v>
      </c>
      <c r="D1361" s="1">
        <f>IFERROR(__xludf.DUMMYFUNCTION("""COMPUTED_VALUE"""),18840.0)</f>
        <v>18840</v>
      </c>
      <c r="E1361" s="1">
        <f>IFERROR(__xludf.DUMMYFUNCTION("""COMPUTED_VALUE"""),18900.0)</f>
        <v>18900</v>
      </c>
      <c r="F1361" s="1">
        <f>IFERROR(__xludf.DUMMYFUNCTION("""COMPUTED_VALUE"""),229034.0)</f>
        <v>229034</v>
      </c>
    </row>
    <row r="1362">
      <c r="A1362" s="2">
        <f>IFERROR(__xludf.DUMMYFUNCTION("""COMPUTED_VALUE"""),42565.64583333333)</f>
        <v>42565.64583</v>
      </c>
      <c r="B1362" s="1">
        <f>IFERROR(__xludf.DUMMYFUNCTION("""COMPUTED_VALUE"""),19000.0)</f>
        <v>19000</v>
      </c>
      <c r="C1362" s="1">
        <f>IFERROR(__xludf.DUMMYFUNCTION("""COMPUTED_VALUE"""),19000.0)</f>
        <v>19000</v>
      </c>
      <c r="D1362" s="1">
        <f>IFERROR(__xludf.DUMMYFUNCTION("""COMPUTED_VALUE"""),18800.0)</f>
        <v>18800</v>
      </c>
      <c r="E1362" s="1">
        <f>IFERROR(__xludf.DUMMYFUNCTION("""COMPUTED_VALUE"""),18960.0)</f>
        <v>18960</v>
      </c>
      <c r="F1362" s="1">
        <f>IFERROR(__xludf.DUMMYFUNCTION("""COMPUTED_VALUE"""),149363.0)</f>
        <v>149363</v>
      </c>
    </row>
    <row r="1363">
      <c r="A1363" s="2">
        <f>IFERROR(__xludf.DUMMYFUNCTION("""COMPUTED_VALUE"""),42566.64583333333)</f>
        <v>42566.64583</v>
      </c>
      <c r="B1363" s="1">
        <f>IFERROR(__xludf.DUMMYFUNCTION("""COMPUTED_VALUE"""),19000.0)</f>
        <v>19000</v>
      </c>
      <c r="C1363" s="1">
        <f>IFERROR(__xludf.DUMMYFUNCTION("""COMPUTED_VALUE"""),19080.0)</f>
        <v>19080</v>
      </c>
      <c r="D1363" s="1">
        <f>IFERROR(__xludf.DUMMYFUNCTION("""COMPUTED_VALUE"""),18860.0)</f>
        <v>18860</v>
      </c>
      <c r="E1363" s="1">
        <f>IFERROR(__xludf.DUMMYFUNCTION("""COMPUTED_VALUE"""),18860.0)</f>
        <v>18860</v>
      </c>
      <c r="F1363" s="1">
        <f>IFERROR(__xludf.DUMMYFUNCTION("""COMPUTED_VALUE"""),197554.0)</f>
        <v>197554</v>
      </c>
    </row>
    <row r="1364">
      <c r="A1364" s="2">
        <f>IFERROR(__xludf.DUMMYFUNCTION("""COMPUTED_VALUE"""),42569.64583333333)</f>
        <v>42569.64583</v>
      </c>
      <c r="B1364" s="1">
        <f>IFERROR(__xludf.DUMMYFUNCTION("""COMPUTED_VALUE"""),18860.0)</f>
        <v>18860</v>
      </c>
      <c r="C1364" s="1">
        <f>IFERROR(__xludf.DUMMYFUNCTION("""COMPUTED_VALUE"""),18900.0)</f>
        <v>18900</v>
      </c>
      <c r="D1364" s="1">
        <f>IFERROR(__xludf.DUMMYFUNCTION("""COMPUTED_VALUE"""),18620.0)</f>
        <v>18620</v>
      </c>
      <c r="E1364" s="1">
        <f>IFERROR(__xludf.DUMMYFUNCTION("""COMPUTED_VALUE"""),18640.0)</f>
        <v>18640</v>
      </c>
      <c r="F1364" s="1">
        <f>IFERROR(__xludf.DUMMYFUNCTION("""COMPUTED_VALUE"""),198412.0)</f>
        <v>198412</v>
      </c>
    </row>
    <row r="1365">
      <c r="A1365" s="2">
        <f>IFERROR(__xludf.DUMMYFUNCTION("""COMPUTED_VALUE"""),42570.64583333333)</f>
        <v>42570.64583</v>
      </c>
      <c r="B1365" s="1">
        <f>IFERROR(__xludf.DUMMYFUNCTION("""COMPUTED_VALUE"""),18600.0)</f>
        <v>18600</v>
      </c>
      <c r="C1365" s="1">
        <f>IFERROR(__xludf.DUMMYFUNCTION("""COMPUTED_VALUE"""),18780.0)</f>
        <v>18780</v>
      </c>
      <c r="D1365" s="1">
        <f>IFERROR(__xludf.DUMMYFUNCTION("""COMPUTED_VALUE"""),18600.0)</f>
        <v>18600</v>
      </c>
      <c r="E1365" s="1">
        <f>IFERROR(__xludf.DUMMYFUNCTION("""COMPUTED_VALUE"""),18700.0)</f>
        <v>18700</v>
      </c>
      <c r="F1365" s="1">
        <f>IFERROR(__xludf.DUMMYFUNCTION("""COMPUTED_VALUE"""),131218.0)</f>
        <v>131218</v>
      </c>
    </row>
    <row r="1366">
      <c r="A1366" s="2">
        <f>IFERROR(__xludf.DUMMYFUNCTION("""COMPUTED_VALUE"""),42571.64583333333)</f>
        <v>42571.64583</v>
      </c>
      <c r="B1366" s="1">
        <f>IFERROR(__xludf.DUMMYFUNCTION("""COMPUTED_VALUE"""),18720.0)</f>
        <v>18720</v>
      </c>
      <c r="C1366" s="1">
        <f>IFERROR(__xludf.DUMMYFUNCTION("""COMPUTED_VALUE"""),18920.0)</f>
        <v>18920</v>
      </c>
      <c r="D1366" s="1">
        <f>IFERROR(__xludf.DUMMYFUNCTION("""COMPUTED_VALUE"""),18660.0)</f>
        <v>18660</v>
      </c>
      <c r="E1366" s="1">
        <f>IFERROR(__xludf.DUMMYFUNCTION("""COMPUTED_VALUE"""),18700.0)</f>
        <v>18700</v>
      </c>
      <c r="F1366" s="1">
        <f>IFERROR(__xludf.DUMMYFUNCTION("""COMPUTED_VALUE"""),129539.0)</f>
        <v>129539</v>
      </c>
    </row>
    <row r="1367">
      <c r="A1367" s="2">
        <f>IFERROR(__xludf.DUMMYFUNCTION("""COMPUTED_VALUE"""),42572.64583333333)</f>
        <v>42572.64583</v>
      </c>
      <c r="B1367" s="1">
        <f>IFERROR(__xludf.DUMMYFUNCTION("""COMPUTED_VALUE"""),18820.0)</f>
        <v>18820</v>
      </c>
      <c r="C1367" s="1">
        <f>IFERROR(__xludf.DUMMYFUNCTION("""COMPUTED_VALUE"""),18860.0)</f>
        <v>18860</v>
      </c>
      <c r="D1367" s="1">
        <f>IFERROR(__xludf.DUMMYFUNCTION("""COMPUTED_VALUE"""),18540.0)</f>
        <v>18540</v>
      </c>
      <c r="E1367" s="1">
        <f>IFERROR(__xludf.DUMMYFUNCTION("""COMPUTED_VALUE"""),18540.0)</f>
        <v>18540</v>
      </c>
      <c r="F1367" s="1">
        <f>IFERROR(__xludf.DUMMYFUNCTION("""COMPUTED_VALUE"""),183072.0)</f>
        <v>183072</v>
      </c>
    </row>
    <row r="1368">
      <c r="A1368" s="2">
        <f>IFERROR(__xludf.DUMMYFUNCTION("""COMPUTED_VALUE"""),42573.64583333333)</f>
        <v>42573.64583</v>
      </c>
      <c r="B1368" s="1">
        <f>IFERROR(__xludf.DUMMYFUNCTION("""COMPUTED_VALUE"""),18540.0)</f>
        <v>18540</v>
      </c>
      <c r="C1368" s="1">
        <f>IFERROR(__xludf.DUMMYFUNCTION("""COMPUTED_VALUE"""),18820.0)</f>
        <v>18820</v>
      </c>
      <c r="D1368" s="1">
        <f>IFERROR(__xludf.DUMMYFUNCTION("""COMPUTED_VALUE"""),18540.0)</f>
        <v>18540</v>
      </c>
      <c r="E1368" s="1">
        <f>IFERROR(__xludf.DUMMYFUNCTION("""COMPUTED_VALUE"""),18540.0)</f>
        <v>18540</v>
      </c>
      <c r="F1368" s="1">
        <f>IFERROR(__xludf.DUMMYFUNCTION("""COMPUTED_VALUE"""),188337.0)</f>
        <v>188337</v>
      </c>
    </row>
    <row r="1369">
      <c r="A1369" s="2">
        <f>IFERROR(__xludf.DUMMYFUNCTION("""COMPUTED_VALUE"""),42576.64583333333)</f>
        <v>42576.64583</v>
      </c>
      <c r="B1369" s="1">
        <f>IFERROR(__xludf.DUMMYFUNCTION("""COMPUTED_VALUE"""),18620.0)</f>
        <v>18620</v>
      </c>
      <c r="C1369" s="1">
        <f>IFERROR(__xludf.DUMMYFUNCTION("""COMPUTED_VALUE"""),18640.0)</f>
        <v>18640</v>
      </c>
      <c r="D1369" s="1">
        <f>IFERROR(__xludf.DUMMYFUNCTION("""COMPUTED_VALUE"""),18420.0)</f>
        <v>18420</v>
      </c>
      <c r="E1369" s="1">
        <f>IFERROR(__xludf.DUMMYFUNCTION("""COMPUTED_VALUE"""),18440.0)</f>
        <v>18440</v>
      </c>
      <c r="F1369" s="1">
        <f>IFERROR(__xludf.DUMMYFUNCTION("""COMPUTED_VALUE"""),176203.0)</f>
        <v>176203</v>
      </c>
    </row>
    <row r="1370">
      <c r="A1370" s="2">
        <f>IFERROR(__xludf.DUMMYFUNCTION("""COMPUTED_VALUE"""),42577.64583333333)</f>
        <v>42577.64583</v>
      </c>
      <c r="B1370" s="1">
        <f>IFERROR(__xludf.DUMMYFUNCTION("""COMPUTED_VALUE"""),18520.0)</f>
        <v>18520</v>
      </c>
      <c r="C1370" s="1">
        <f>IFERROR(__xludf.DUMMYFUNCTION("""COMPUTED_VALUE"""),18520.0)</f>
        <v>18520</v>
      </c>
      <c r="D1370" s="1">
        <f>IFERROR(__xludf.DUMMYFUNCTION("""COMPUTED_VALUE"""),18280.0)</f>
        <v>18280</v>
      </c>
      <c r="E1370" s="1">
        <f>IFERROR(__xludf.DUMMYFUNCTION("""COMPUTED_VALUE"""),18300.0)</f>
        <v>18300</v>
      </c>
      <c r="F1370" s="1">
        <f>IFERROR(__xludf.DUMMYFUNCTION("""COMPUTED_VALUE"""),223967.0)</f>
        <v>223967</v>
      </c>
    </row>
    <row r="1371">
      <c r="A1371" s="2">
        <f>IFERROR(__xludf.DUMMYFUNCTION("""COMPUTED_VALUE"""),42578.64583333333)</f>
        <v>42578.64583</v>
      </c>
      <c r="B1371" s="1">
        <f>IFERROR(__xludf.DUMMYFUNCTION("""COMPUTED_VALUE"""),18240.0)</f>
        <v>18240</v>
      </c>
      <c r="C1371" s="1">
        <f>IFERROR(__xludf.DUMMYFUNCTION("""COMPUTED_VALUE"""),18460.0)</f>
        <v>18460</v>
      </c>
      <c r="D1371" s="1">
        <f>IFERROR(__xludf.DUMMYFUNCTION("""COMPUTED_VALUE"""),18220.0)</f>
        <v>18220</v>
      </c>
      <c r="E1371" s="1">
        <f>IFERROR(__xludf.DUMMYFUNCTION("""COMPUTED_VALUE"""),18240.0)</f>
        <v>18240</v>
      </c>
      <c r="F1371" s="1">
        <f>IFERROR(__xludf.DUMMYFUNCTION("""COMPUTED_VALUE"""),192058.0)</f>
        <v>192058</v>
      </c>
    </row>
    <row r="1372">
      <c r="A1372" s="2">
        <f>IFERROR(__xludf.DUMMYFUNCTION("""COMPUTED_VALUE"""),42579.64583333333)</f>
        <v>42579.64583</v>
      </c>
      <c r="B1372" s="1">
        <f>IFERROR(__xludf.DUMMYFUNCTION("""COMPUTED_VALUE"""),18280.0)</f>
        <v>18280</v>
      </c>
      <c r="C1372" s="1">
        <f>IFERROR(__xludf.DUMMYFUNCTION("""COMPUTED_VALUE"""),18400.0)</f>
        <v>18400</v>
      </c>
      <c r="D1372" s="1">
        <f>IFERROR(__xludf.DUMMYFUNCTION("""COMPUTED_VALUE"""),18140.0)</f>
        <v>18140</v>
      </c>
      <c r="E1372" s="1">
        <f>IFERROR(__xludf.DUMMYFUNCTION("""COMPUTED_VALUE"""),18320.0)</f>
        <v>18320</v>
      </c>
      <c r="F1372" s="1">
        <f>IFERROR(__xludf.DUMMYFUNCTION("""COMPUTED_VALUE"""),220576.0)</f>
        <v>220576</v>
      </c>
    </row>
    <row r="1373">
      <c r="A1373" s="2">
        <f>IFERROR(__xludf.DUMMYFUNCTION("""COMPUTED_VALUE"""),42580.64583333333)</f>
        <v>42580.64583</v>
      </c>
      <c r="B1373" s="1">
        <f>IFERROR(__xludf.DUMMYFUNCTION("""COMPUTED_VALUE"""),18300.0)</f>
        <v>18300</v>
      </c>
      <c r="C1373" s="1">
        <f>IFERROR(__xludf.DUMMYFUNCTION("""COMPUTED_VALUE"""),18320.0)</f>
        <v>18320</v>
      </c>
      <c r="D1373" s="1">
        <f>IFERROR(__xludf.DUMMYFUNCTION("""COMPUTED_VALUE"""),18180.0)</f>
        <v>18180</v>
      </c>
      <c r="E1373" s="1">
        <f>IFERROR(__xludf.DUMMYFUNCTION("""COMPUTED_VALUE"""),18180.0)</f>
        <v>18180</v>
      </c>
      <c r="F1373" s="1">
        <f>IFERROR(__xludf.DUMMYFUNCTION("""COMPUTED_VALUE"""),236131.0)</f>
        <v>236131</v>
      </c>
    </row>
    <row r="1374">
      <c r="A1374" s="2">
        <f>IFERROR(__xludf.DUMMYFUNCTION("""COMPUTED_VALUE"""),42583.64583333333)</f>
        <v>42583.64583</v>
      </c>
      <c r="B1374" s="1">
        <f>IFERROR(__xludf.DUMMYFUNCTION("""COMPUTED_VALUE"""),18300.0)</f>
        <v>18300</v>
      </c>
      <c r="C1374" s="1">
        <f>IFERROR(__xludf.DUMMYFUNCTION("""COMPUTED_VALUE"""),18320.0)</f>
        <v>18320</v>
      </c>
      <c r="D1374" s="1">
        <f>IFERROR(__xludf.DUMMYFUNCTION("""COMPUTED_VALUE"""),18120.0)</f>
        <v>18120</v>
      </c>
      <c r="E1374" s="1">
        <f>IFERROR(__xludf.DUMMYFUNCTION("""COMPUTED_VALUE"""),18200.0)</f>
        <v>18200</v>
      </c>
      <c r="F1374" s="1">
        <f>IFERROR(__xludf.DUMMYFUNCTION("""COMPUTED_VALUE"""),234983.0)</f>
        <v>234983</v>
      </c>
    </row>
    <row r="1375">
      <c r="A1375" s="2">
        <f>IFERROR(__xludf.DUMMYFUNCTION("""COMPUTED_VALUE"""),42584.64583333333)</f>
        <v>42584.64583</v>
      </c>
      <c r="B1375" s="1">
        <f>IFERROR(__xludf.DUMMYFUNCTION("""COMPUTED_VALUE"""),18200.0)</f>
        <v>18200</v>
      </c>
      <c r="C1375" s="1">
        <f>IFERROR(__xludf.DUMMYFUNCTION("""COMPUTED_VALUE"""),18260.0)</f>
        <v>18260</v>
      </c>
      <c r="D1375" s="1">
        <f>IFERROR(__xludf.DUMMYFUNCTION("""COMPUTED_VALUE"""),18160.0)</f>
        <v>18160</v>
      </c>
      <c r="E1375" s="1">
        <f>IFERROR(__xludf.DUMMYFUNCTION("""COMPUTED_VALUE"""),18200.0)</f>
        <v>18200</v>
      </c>
      <c r="F1375" s="1">
        <f>IFERROR(__xludf.DUMMYFUNCTION("""COMPUTED_VALUE"""),122894.0)</f>
        <v>122894</v>
      </c>
    </row>
    <row r="1376">
      <c r="A1376" s="2">
        <f>IFERROR(__xludf.DUMMYFUNCTION("""COMPUTED_VALUE"""),42585.64583333333)</f>
        <v>42585.64583</v>
      </c>
      <c r="B1376" s="1">
        <f>IFERROR(__xludf.DUMMYFUNCTION("""COMPUTED_VALUE"""),18140.0)</f>
        <v>18140</v>
      </c>
      <c r="C1376" s="1">
        <f>IFERROR(__xludf.DUMMYFUNCTION("""COMPUTED_VALUE"""),18840.0)</f>
        <v>18840</v>
      </c>
      <c r="D1376" s="1">
        <f>IFERROR(__xludf.DUMMYFUNCTION("""COMPUTED_VALUE"""),18120.0)</f>
        <v>18120</v>
      </c>
      <c r="E1376" s="1">
        <f>IFERROR(__xludf.DUMMYFUNCTION("""COMPUTED_VALUE"""),18780.0)</f>
        <v>18780</v>
      </c>
      <c r="F1376" s="1">
        <f>IFERROR(__xludf.DUMMYFUNCTION("""COMPUTED_VALUE"""),416577.0)</f>
        <v>416577</v>
      </c>
    </row>
    <row r="1377">
      <c r="A1377" s="2">
        <f>IFERROR(__xludf.DUMMYFUNCTION("""COMPUTED_VALUE"""),42586.64583333333)</f>
        <v>42586.64583</v>
      </c>
      <c r="B1377" s="1">
        <f>IFERROR(__xludf.DUMMYFUNCTION("""COMPUTED_VALUE"""),18760.0)</f>
        <v>18760</v>
      </c>
      <c r="C1377" s="1">
        <f>IFERROR(__xludf.DUMMYFUNCTION("""COMPUTED_VALUE"""),18760.0)</f>
        <v>18760</v>
      </c>
      <c r="D1377" s="1">
        <f>IFERROR(__xludf.DUMMYFUNCTION("""COMPUTED_VALUE"""),18460.0)</f>
        <v>18460</v>
      </c>
      <c r="E1377" s="1">
        <f>IFERROR(__xludf.DUMMYFUNCTION("""COMPUTED_VALUE"""),18460.0)</f>
        <v>18460</v>
      </c>
      <c r="F1377" s="1">
        <f>IFERROR(__xludf.DUMMYFUNCTION("""COMPUTED_VALUE"""),266692.0)</f>
        <v>266692</v>
      </c>
    </row>
    <row r="1378">
      <c r="A1378" s="2">
        <f>IFERROR(__xludf.DUMMYFUNCTION("""COMPUTED_VALUE"""),42587.64583333333)</f>
        <v>42587.64583</v>
      </c>
      <c r="B1378" s="1">
        <f>IFERROR(__xludf.DUMMYFUNCTION("""COMPUTED_VALUE"""),18560.0)</f>
        <v>18560</v>
      </c>
      <c r="C1378" s="1">
        <f>IFERROR(__xludf.DUMMYFUNCTION("""COMPUTED_VALUE"""),18720.0)</f>
        <v>18720</v>
      </c>
      <c r="D1378" s="1">
        <f>IFERROR(__xludf.DUMMYFUNCTION("""COMPUTED_VALUE"""),18400.0)</f>
        <v>18400</v>
      </c>
      <c r="E1378" s="1">
        <f>IFERROR(__xludf.DUMMYFUNCTION("""COMPUTED_VALUE"""),18420.0)</f>
        <v>18420</v>
      </c>
      <c r="F1378" s="1">
        <f>IFERROR(__xludf.DUMMYFUNCTION("""COMPUTED_VALUE"""),209258.0)</f>
        <v>209258</v>
      </c>
    </row>
    <row r="1379">
      <c r="A1379" s="2">
        <f>IFERROR(__xludf.DUMMYFUNCTION("""COMPUTED_VALUE"""),42590.64583333333)</f>
        <v>42590.64583</v>
      </c>
      <c r="B1379" s="1">
        <f>IFERROR(__xludf.DUMMYFUNCTION("""COMPUTED_VALUE"""),18540.0)</f>
        <v>18540</v>
      </c>
      <c r="C1379" s="1">
        <f>IFERROR(__xludf.DUMMYFUNCTION("""COMPUTED_VALUE"""),18540.0)</f>
        <v>18540</v>
      </c>
      <c r="D1379" s="1">
        <f>IFERROR(__xludf.DUMMYFUNCTION("""COMPUTED_VALUE"""),18240.0)</f>
        <v>18240</v>
      </c>
      <c r="E1379" s="1">
        <f>IFERROR(__xludf.DUMMYFUNCTION("""COMPUTED_VALUE"""),18300.0)</f>
        <v>18300</v>
      </c>
      <c r="F1379" s="1">
        <f>IFERROR(__xludf.DUMMYFUNCTION("""COMPUTED_VALUE"""),198686.0)</f>
        <v>198686</v>
      </c>
    </row>
    <row r="1380">
      <c r="A1380" s="2">
        <f>IFERROR(__xludf.DUMMYFUNCTION("""COMPUTED_VALUE"""),42591.64583333333)</f>
        <v>42591.64583</v>
      </c>
      <c r="B1380" s="1">
        <f>IFERROR(__xludf.DUMMYFUNCTION("""COMPUTED_VALUE"""),18380.0)</f>
        <v>18380</v>
      </c>
      <c r="C1380" s="1">
        <f>IFERROR(__xludf.DUMMYFUNCTION("""COMPUTED_VALUE"""),18600.0)</f>
        <v>18600</v>
      </c>
      <c r="D1380" s="1">
        <f>IFERROR(__xludf.DUMMYFUNCTION("""COMPUTED_VALUE"""),18320.0)</f>
        <v>18320</v>
      </c>
      <c r="E1380" s="1">
        <f>IFERROR(__xludf.DUMMYFUNCTION("""COMPUTED_VALUE"""),18580.0)</f>
        <v>18580</v>
      </c>
      <c r="F1380" s="1">
        <f>IFERROR(__xludf.DUMMYFUNCTION("""COMPUTED_VALUE"""),288342.0)</f>
        <v>288342</v>
      </c>
    </row>
    <row r="1381">
      <c r="A1381" s="2">
        <f>IFERROR(__xludf.DUMMYFUNCTION("""COMPUTED_VALUE"""),42592.64583333333)</f>
        <v>42592.64583</v>
      </c>
      <c r="B1381" s="1">
        <f>IFERROR(__xludf.DUMMYFUNCTION("""COMPUTED_VALUE"""),18680.0)</f>
        <v>18680</v>
      </c>
      <c r="C1381" s="1">
        <f>IFERROR(__xludf.DUMMYFUNCTION("""COMPUTED_VALUE"""),18680.0)</f>
        <v>18680</v>
      </c>
      <c r="D1381" s="1">
        <f>IFERROR(__xludf.DUMMYFUNCTION("""COMPUTED_VALUE"""),18520.0)</f>
        <v>18520</v>
      </c>
      <c r="E1381" s="1">
        <f>IFERROR(__xludf.DUMMYFUNCTION("""COMPUTED_VALUE"""),18540.0)</f>
        <v>18540</v>
      </c>
      <c r="F1381" s="1">
        <f>IFERROR(__xludf.DUMMYFUNCTION("""COMPUTED_VALUE"""),298220.0)</f>
        <v>298220</v>
      </c>
    </row>
    <row r="1382">
      <c r="A1382" s="2">
        <f>IFERROR(__xludf.DUMMYFUNCTION("""COMPUTED_VALUE"""),42593.64583333333)</f>
        <v>42593.64583</v>
      </c>
      <c r="B1382" s="1">
        <f>IFERROR(__xludf.DUMMYFUNCTION("""COMPUTED_VALUE"""),18720.0)</f>
        <v>18720</v>
      </c>
      <c r="C1382" s="1">
        <f>IFERROR(__xludf.DUMMYFUNCTION("""COMPUTED_VALUE"""),18860.0)</f>
        <v>18860</v>
      </c>
      <c r="D1382" s="1">
        <f>IFERROR(__xludf.DUMMYFUNCTION("""COMPUTED_VALUE"""),18240.0)</f>
        <v>18240</v>
      </c>
      <c r="E1382" s="1">
        <f>IFERROR(__xludf.DUMMYFUNCTION("""COMPUTED_VALUE"""),18260.0)</f>
        <v>18260</v>
      </c>
      <c r="F1382" s="1">
        <f>IFERROR(__xludf.DUMMYFUNCTION("""COMPUTED_VALUE"""),459030.0)</f>
        <v>459030</v>
      </c>
    </row>
    <row r="1383">
      <c r="A1383" s="2">
        <f>IFERROR(__xludf.DUMMYFUNCTION("""COMPUTED_VALUE"""),42594.64583333333)</f>
        <v>42594.64583</v>
      </c>
      <c r="B1383" s="1">
        <f>IFERROR(__xludf.DUMMYFUNCTION("""COMPUTED_VALUE"""),18280.0)</f>
        <v>18280</v>
      </c>
      <c r="C1383" s="1">
        <f>IFERROR(__xludf.DUMMYFUNCTION("""COMPUTED_VALUE"""),18300.0)</f>
        <v>18300</v>
      </c>
      <c r="D1383" s="1">
        <f>IFERROR(__xludf.DUMMYFUNCTION("""COMPUTED_VALUE"""),17840.0)</f>
        <v>17840</v>
      </c>
      <c r="E1383" s="1">
        <f>IFERROR(__xludf.DUMMYFUNCTION("""COMPUTED_VALUE"""),17900.0)</f>
        <v>17900</v>
      </c>
      <c r="F1383" s="1">
        <f>IFERROR(__xludf.DUMMYFUNCTION("""COMPUTED_VALUE"""),762281.0)</f>
        <v>762281</v>
      </c>
    </row>
    <row r="1384">
      <c r="A1384" s="2">
        <f>IFERROR(__xludf.DUMMYFUNCTION("""COMPUTED_VALUE"""),42598.64583333333)</f>
        <v>42598.64583</v>
      </c>
      <c r="B1384" s="1">
        <f>IFERROR(__xludf.DUMMYFUNCTION("""COMPUTED_VALUE"""),17920.0)</f>
        <v>17920</v>
      </c>
      <c r="C1384" s="1">
        <f>IFERROR(__xludf.DUMMYFUNCTION("""COMPUTED_VALUE"""),17960.0)</f>
        <v>17960</v>
      </c>
      <c r="D1384" s="1">
        <f>IFERROR(__xludf.DUMMYFUNCTION("""COMPUTED_VALUE"""),17720.0)</f>
        <v>17720</v>
      </c>
      <c r="E1384" s="1">
        <f>IFERROR(__xludf.DUMMYFUNCTION("""COMPUTED_VALUE"""),17720.0)</f>
        <v>17720</v>
      </c>
      <c r="F1384" s="1">
        <f>IFERROR(__xludf.DUMMYFUNCTION("""COMPUTED_VALUE"""),381711.0)</f>
        <v>381711</v>
      </c>
    </row>
    <row r="1385">
      <c r="A1385" s="2">
        <f>IFERROR(__xludf.DUMMYFUNCTION("""COMPUTED_VALUE"""),42599.64583333333)</f>
        <v>42599.64583</v>
      </c>
      <c r="B1385" s="1">
        <f>IFERROR(__xludf.DUMMYFUNCTION("""COMPUTED_VALUE"""),17720.0)</f>
        <v>17720</v>
      </c>
      <c r="C1385" s="1">
        <f>IFERROR(__xludf.DUMMYFUNCTION("""COMPUTED_VALUE"""),17860.0)</f>
        <v>17860</v>
      </c>
      <c r="D1385" s="1">
        <f>IFERROR(__xludf.DUMMYFUNCTION("""COMPUTED_VALUE"""),17600.0)</f>
        <v>17600</v>
      </c>
      <c r="E1385" s="1">
        <f>IFERROR(__xludf.DUMMYFUNCTION("""COMPUTED_VALUE"""),17600.0)</f>
        <v>17600</v>
      </c>
      <c r="F1385" s="1">
        <f>IFERROR(__xludf.DUMMYFUNCTION("""COMPUTED_VALUE"""),342989.0)</f>
        <v>342989</v>
      </c>
    </row>
    <row r="1386">
      <c r="A1386" s="2">
        <f>IFERROR(__xludf.DUMMYFUNCTION("""COMPUTED_VALUE"""),42600.64583333333)</f>
        <v>42600.64583</v>
      </c>
      <c r="B1386" s="1">
        <f>IFERROR(__xludf.DUMMYFUNCTION("""COMPUTED_VALUE"""),17600.0)</f>
        <v>17600</v>
      </c>
      <c r="C1386" s="1">
        <f>IFERROR(__xludf.DUMMYFUNCTION("""COMPUTED_VALUE"""),17700.0)</f>
        <v>17700</v>
      </c>
      <c r="D1386" s="1">
        <f>IFERROR(__xludf.DUMMYFUNCTION("""COMPUTED_VALUE"""),17320.0)</f>
        <v>17320</v>
      </c>
      <c r="E1386" s="1">
        <f>IFERROR(__xludf.DUMMYFUNCTION("""COMPUTED_VALUE"""),17340.0)</f>
        <v>17340</v>
      </c>
      <c r="F1386" s="1">
        <f>IFERROR(__xludf.DUMMYFUNCTION("""COMPUTED_VALUE"""),433201.0)</f>
        <v>433201</v>
      </c>
    </row>
    <row r="1387">
      <c r="A1387" s="2">
        <f>IFERROR(__xludf.DUMMYFUNCTION("""COMPUTED_VALUE"""),42601.64583333333)</f>
        <v>42601.64583</v>
      </c>
      <c r="B1387" s="1">
        <f>IFERROR(__xludf.DUMMYFUNCTION("""COMPUTED_VALUE"""),17300.0)</f>
        <v>17300</v>
      </c>
      <c r="C1387" s="1">
        <f>IFERROR(__xludf.DUMMYFUNCTION("""COMPUTED_VALUE"""),17340.0)</f>
        <v>17340</v>
      </c>
      <c r="D1387" s="1">
        <f>IFERROR(__xludf.DUMMYFUNCTION("""COMPUTED_VALUE"""),16920.0)</f>
        <v>16920</v>
      </c>
      <c r="E1387" s="1">
        <f>IFERROR(__xludf.DUMMYFUNCTION("""COMPUTED_VALUE"""),16940.0)</f>
        <v>16940</v>
      </c>
      <c r="F1387" s="1">
        <f>IFERROR(__xludf.DUMMYFUNCTION("""COMPUTED_VALUE"""),602877.0)</f>
        <v>602877</v>
      </c>
    </row>
    <row r="1388">
      <c r="A1388" s="2">
        <f>IFERROR(__xludf.DUMMYFUNCTION("""COMPUTED_VALUE"""),42604.64583333333)</f>
        <v>42604.64583</v>
      </c>
      <c r="B1388" s="1">
        <f>IFERROR(__xludf.DUMMYFUNCTION("""COMPUTED_VALUE"""),16900.0)</f>
        <v>16900</v>
      </c>
      <c r="C1388" s="1">
        <f>IFERROR(__xludf.DUMMYFUNCTION("""COMPUTED_VALUE"""),16940.0)</f>
        <v>16940</v>
      </c>
      <c r="D1388" s="1">
        <f>IFERROR(__xludf.DUMMYFUNCTION("""COMPUTED_VALUE"""),16540.0)</f>
        <v>16540</v>
      </c>
      <c r="E1388" s="1">
        <f>IFERROR(__xludf.DUMMYFUNCTION("""COMPUTED_VALUE"""),16540.0)</f>
        <v>16540</v>
      </c>
      <c r="F1388" s="1">
        <f>IFERROR(__xludf.DUMMYFUNCTION("""COMPUTED_VALUE"""),449238.0)</f>
        <v>449238</v>
      </c>
    </row>
    <row r="1389">
      <c r="A1389" s="2">
        <f>IFERROR(__xludf.DUMMYFUNCTION("""COMPUTED_VALUE"""),42605.64583333333)</f>
        <v>42605.64583</v>
      </c>
      <c r="B1389" s="1">
        <f>IFERROR(__xludf.DUMMYFUNCTION("""COMPUTED_VALUE"""),16400.0)</f>
        <v>16400</v>
      </c>
      <c r="C1389" s="1">
        <f>IFERROR(__xludf.DUMMYFUNCTION("""COMPUTED_VALUE"""),16780.0)</f>
        <v>16780</v>
      </c>
      <c r="D1389" s="1">
        <f>IFERROR(__xludf.DUMMYFUNCTION("""COMPUTED_VALUE"""),16040.0)</f>
        <v>16040</v>
      </c>
      <c r="E1389" s="1">
        <f>IFERROR(__xludf.DUMMYFUNCTION("""COMPUTED_VALUE"""),16100.0)</f>
        <v>16100</v>
      </c>
      <c r="F1389" s="1">
        <f>IFERROR(__xludf.DUMMYFUNCTION("""COMPUTED_VALUE"""),861917.0)</f>
        <v>861917</v>
      </c>
    </row>
    <row r="1390">
      <c r="A1390" s="2">
        <f>IFERROR(__xludf.DUMMYFUNCTION("""COMPUTED_VALUE"""),42606.64583333333)</f>
        <v>42606.64583</v>
      </c>
      <c r="B1390" s="1">
        <f>IFERROR(__xludf.DUMMYFUNCTION("""COMPUTED_VALUE"""),16220.0)</f>
        <v>16220</v>
      </c>
      <c r="C1390" s="1">
        <f>IFERROR(__xludf.DUMMYFUNCTION("""COMPUTED_VALUE"""),16620.0)</f>
        <v>16620</v>
      </c>
      <c r="D1390" s="1">
        <f>IFERROR(__xludf.DUMMYFUNCTION("""COMPUTED_VALUE"""),16140.0)</f>
        <v>16140</v>
      </c>
      <c r="E1390" s="1">
        <f>IFERROR(__xludf.DUMMYFUNCTION("""COMPUTED_VALUE"""),16500.0)</f>
        <v>16500</v>
      </c>
      <c r="F1390" s="1">
        <f>IFERROR(__xludf.DUMMYFUNCTION("""COMPUTED_VALUE"""),696481.0)</f>
        <v>696481</v>
      </c>
    </row>
    <row r="1391">
      <c r="A1391" s="2">
        <f>IFERROR(__xludf.DUMMYFUNCTION("""COMPUTED_VALUE"""),42607.64583333333)</f>
        <v>42607.64583</v>
      </c>
      <c r="B1391" s="1">
        <f>IFERROR(__xludf.DUMMYFUNCTION("""COMPUTED_VALUE"""),16420.0)</f>
        <v>16420</v>
      </c>
      <c r="C1391" s="1">
        <f>IFERROR(__xludf.DUMMYFUNCTION("""COMPUTED_VALUE"""),16600.0)</f>
        <v>16600</v>
      </c>
      <c r="D1391" s="1">
        <f>IFERROR(__xludf.DUMMYFUNCTION("""COMPUTED_VALUE"""),16200.0)</f>
        <v>16200</v>
      </c>
      <c r="E1391" s="1">
        <f>IFERROR(__xludf.DUMMYFUNCTION("""COMPUTED_VALUE"""),16200.0)</f>
        <v>16200</v>
      </c>
      <c r="F1391" s="1">
        <f>IFERROR(__xludf.DUMMYFUNCTION("""COMPUTED_VALUE"""),346409.0)</f>
        <v>346409</v>
      </c>
    </row>
    <row r="1392">
      <c r="A1392" s="2">
        <f>IFERROR(__xludf.DUMMYFUNCTION("""COMPUTED_VALUE"""),42608.64583333333)</f>
        <v>42608.64583</v>
      </c>
      <c r="B1392" s="1">
        <f>IFERROR(__xludf.DUMMYFUNCTION("""COMPUTED_VALUE"""),16100.0)</f>
        <v>16100</v>
      </c>
      <c r="C1392" s="1">
        <f>IFERROR(__xludf.DUMMYFUNCTION("""COMPUTED_VALUE"""),16300.0)</f>
        <v>16300</v>
      </c>
      <c r="D1392" s="1">
        <f>IFERROR(__xludf.DUMMYFUNCTION("""COMPUTED_VALUE"""),16100.0)</f>
        <v>16100</v>
      </c>
      <c r="E1392" s="1">
        <f>IFERROR(__xludf.DUMMYFUNCTION("""COMPUTED_VALUE"""),16200.0)</f>
        <v>16200</v>
      </c>
      <c r="F1392" s="1">
        <f>IFERROR(__xludf.DUMMYFUNCTION("""COMPUTED_VALUE"""),255043.0)</f>
        <v>255043</v>
      </c>
    </row>
    <row r="1393">
      <c r="A1393" s="2">
        <f>IFERROR(__xludf.DUMMYFUNCTION("""COMPUTED_VALUE"""),42611.64583333333)</f>
        <v>42611.64583</v>
      </c>
      <c r="B1393" s="1">
        <f>IFERROR(__xludf.DUMMYFUNCTION("""COMPUTED_VALUE"""),16160.0)</f>
        <v>16160</v>
      </c>
      <c r="C1393" s="1">
        <f>IFERROR(__xludf.DUMMYFUNCTION("""COMPUTED_VALUE"""),16180.0)</f>
        <v>16180</v>
      </c>
      <c r="D1393" s="1">
        <f>IFERROR(__xludf.DUMMYFUNCTION("""COMPUTED_VALUE"""),15860.0)</f>
        <v>15860</v>
      </c>
      <c r="E1393" s="1">
        <f>IFERROR(__xludf.DUMMYFUNCTION("""COMPUTED_VALUE"""),15860.0)</f>
        <v>15860</v>
      </c>
      <c r="F1393" s="1">
        <f>IFERROR(__xludf.DUMMYFUNCTION("""COMPUTED_VALUE"""),478825.0)</f>
        <v>478825</v>
      </c>
    </row>
    <row r="1394">
      <c r="A1394" s="2">
        <f>IFERROR(__xludf.DUMMYFUNCTION("""COMPUTED_VALUE"""),42612.64583333333)</f>
        <v>42612.64583</v>
      </c>
      <c r="B1394" s="1">
        <f>IFERROR(__xludf.DUMMYFUNCTION("""COMPUTED_VALUE"""),15900.0)</f>
        <v>15900</v>
      </c>
      <c r="C1394" s="1">
        <f>IFERROR(__xludf.DUMMYFUNCTION("""COMPUTED_VALUE"""),16160.0)</f>
        <v>16160</v>
      </c>
      <c r="D1394" s="1">
        <f>IFERROR(__xludf.DUMMYFUNCTION("""COMPUTED_VALUE"""),15880.0)</f>
        <v>15880</v>
      </c>
      <c r="E1394" s="1">
        <f>IFERROR(__xludf.DUMMYFUNCTION("""COMPUTED_VALUE"""),16000.0)</f>
        <v>16000</v>
      </c>
      <c r="F1394" s="1">
        <f>IFERROR(__xludf.DUMMYFUNCTION("""COMPUTED_VALUE"""),293565.0)</f>
        <v>293565</v>
      </c>
    </row>
    <row r="1395">
      <c r="A1395" s="2">
        <f>IFERROR(__xludf.DUMMYFUNCTION("""COMPUTED_VALUE"""),42613.64583333333)</f>
        <v>42613.64583</v>
      </c>
      <c r="B1395" s="1">
        <f>IFERROR(__xludf.DUMMYFUNCTION("""COMPUTED_VALUE"""),16000.0)</f>
        <v>16000</v>
      </c>
      <c r="C1395" s="1">
        <f>IFERROR(__xludf.DUMMYFUNCTION("""COMPUTED_VALUE"""),16260.0)</f>
        <v>16260</v>
      </c>
      <c r="D1395" s="1">
        <f>IFERROR(__xludf.DUMMYFUNCTION("""COMPUTED_VALUE"""),15940.0)</f>
        <v>15940</v>
      </c>
      <c r="E1395" s="1">
        <f>IFERROR(__xludf.DUMMYFUNCTION("""COMPUTED_VALUE"""),16260.0)</f>
        <v>16260</v>
      </c>
      <c r="F1395" s="1">
        <f>IFERROR(__xludf.DUMMYFUNCTION("""COMPUTED_VALUE"""),342533.0)</f>
        <v>342533</v>
      </c>
    </row>
    <row r="1396">
      <c r="A1396" s="2">
        <f>IFERROR(__xludf.DUMMYFUNCTION("""COMPUTED_VALUE"""),42614.64583333333)</f>
        <v>42614.64583</v>
      </c>
      <c r="B1396" s="1">
        <f>IFERROR(__xludf.DUMMYFUNCTION("""COMPUTED_VALUE"""),16260.0)</f>
        <v>16260</v>
      </c>
      <c r="C1396" s="1">
        <f>IFERROR(__xludf.DUMMYFUNCTION("""COMPUTED_VALUE"""),16440.0)</f>
        <v>16440</v>
      </c>
      <c r="D1396" s="1">
        <f>IFERROR(__xludf.DUMMYFUNCTION("""COMPUTED_VALUE"""),16160.0)</f>
        <v>16160</v>
      </c>
      <c r="E1396" s="1">
        <f>IFERROR(__xludf.DUMMYFUNCTION("""COMPUTED_VALUE"""),16420.0)</f>
        <v>16420</v>
      </c>
      <c r="F1396" s="1">
        <f>IFERROR(__xludf.DUMMYFUNCTION("""COMPUTED_VALUE"""),334011.0)</f>
        <v>334011</v>
      </c>
    </row>
    <row r="1397">
      <c r="A1397" s="2">
        <f>IFERROR(__xludf.DUMMYFUNCTION("""COMPUTED_VALUE"""),42615.64583333333)</f>
        <v>42615.64583</v>
      </c>
      <c r="B1397" s="1">
        <f>IFERROR(__xludf.DUMMYFUNCTION("""COMPUTED_VALUE"""),16300.0)</f>
        <v>16300</v>
      </c>
      <c r="C1397" s="1">
        <f>IFERROR(__xludf.DUMMYFUNCTION("""COMPUTED_VALUE"""),16400.0)</f>
        <v>16400</v>
      </c>
      <c r="D1397" s="1">
        <f>IFERROR(__xludf.DUMMYFUNCTION("""COMPUTED_VALUE"""),16180.0)</f>
        <v>16180</v>
      </c>
      <c r="E1397" s="1">
        <f>IFERROR(__xludf.DUMMYFUNCTION("""COMPUTED_VALUE"""),16200.0)</f>
        <v>16200</v>
      </c>
      <c r="F1397" s="1">
        <f>IFERROR(__xludf.DUMMYFUNCTION("""COMPUTED_VALUE"""),270384.0)</f>
        <v>270384</v>
      </c>
    </row>
    <row r="1398">
      <c r="A1398" s="2">
        <f>IFERROR(__xludf.DUMMYFUNCTION("""COMPUTED_VALUE"""),42618.64583333333)</f>
        <v>42618.64583</v>
      </c>
      <c r="B1398" s="1">
        <f>IFERROR(__xludf.DUMMYFUNCTION("""COMPUTED_VALUE"""),16240.0)</f>
        <v>16240</v>
      </c>
      <c r="C1398" s="1">
        <f>IFERROR(__xludf.DUMMYFUNCTION("""COMPUTED_VALUE"""),16440.0)</f>
        <v>16440</v>
      </c>
      <c r="D1398" s="1">
        <f>IFERROR(__xludf.DUMMYFUNCTION("""COMPUTED_VALUE"""),16180.0)</f>
        <v>16180</v>
      </c>
      <c r="E1398" s="1">
        <f>IFERROR(__xludf.DUMMYFUNCTION("""COMPUTED_VALUE"""),16200.0)</f>
        <v>16200</v>
      </c>
      <c r="F1398" s="1">
        <f>IFERROR(__xludf.DUMMYFUNCTION("""COMPUTED_VALUE"""),263587.0)</f>
        <v>263587</v>
      </c>
    </row>
    <row r="1399">
      <c r="A1399" s="2">
        <f>IFERROR(__xludf.DUMMYFUNCTION("""COMPUTED_VALUE"""),42619.64583333333)</f>
        <v>42619.64583</v>
      </c>
      <c r="B1399" s="1">
        <f>IFERROR(__xludf.DUMMYFUNCTION("""COMPUTED_VALUE"""),16280.0)</f>
        <v>16280</v>
      </c>
      <c r="C1399" s="1">
        <f>IFERROR(__xludf.DUMMYFUNCTION("""COMPUTED_VALUE"""),16420.0)</f>
        <v>16420</v>
      </c>
      <c r="D1399" s="1">
        <f>IFERROR(__xludf.DUMMYFUNCTION("""COMPUTED_VALUE"""),16180.0)</f>
        <v>16180</v>
      </c>
      <c r="E1399" s="1">
        <f>IFERROR(__xludf.DUMMYFUNCTION("""COMPUTED_VALUE"""),16240.0)</f>
        <v>16240</v>
      </c>
      <c r="F1399" s="1">
        <f>IFERROR(__xludf.DUMMYFUNCTION("""COMPUTED_VALUE"""),219973.0)</f>
        <v>219973</v>
      </c>
    </row>
    <row r="1400">
      <c r="A1400" s="2">
        <f>IFERROR(__xludf.DUMMYFUNCTION("""COMPUTED_VALUE"""),42620.64583333333)</f>
        <v>42620.64583</v>
      </c>
      <c r="B1400" s="1">
        <f>IFERROR(__xludf.DUMMYFUNCTION("""COMPUTED_VALUE"""),16120.0)</f>
        <v>16120</v>
      </c>
      <c r="C1400" s="1">
        <f>IFERROR(__xludf.DUMMYFUNCTION("""COMPUTED_VALUE"""),16140.0)</f>
        <v>16140</v>
      </c>
      <c r="D1400" s="1">
        <f>IFERROR(__xludf.DUMMYFUNCTION("""COMPUTED_VALUE"""),15920.0)</f>
        <v>15920</v>
      </c>
      <c r="E1400" s="1">
        <f>IFERROR(__xludf.DUMMYFUNCTION("""COMPUTED_VALUE"""),16000.0)</f>
        <v>16000</v>
      </c>
      <c r="F1400" s="1">
        <f>IFERROR(__xludf.DUMMYFUNCTION("""COMPUTED_VALUE"""),269047.0)</f>
        <v>269047</v>
      </c>
    </row>
    <row r="1401">
      <c r="A1401" s="2">
        <f>IFERROR(__xludf.DUMMYFUNCTION("""COMPUTED_VALUE"""),42621.64583333333)</f>
        <v>42621.64583</v>
      </c>
      <c r="B1401" s="1">
        <f>IFERROR(__xludf.DUMMYFUNCTION("""COMPUTED_VALUE"""),16020.0)</f>
        <v>16020</v>
      </c>
      <c r="C1401" s="1">
        <f>IFERROR(__xludf.DUMMYFUNCTION("""COMPUTED_VALUE"""),16360.0)</f>
        <v>16360</v>
      </c>
      <c r="D1401" s="1">
        <f>IFERROR(__xludf.DUMMYFUNCTION("""COMPUTED_VALUE"""),16020.0)</f>
        <v>16020</v>
      </c>
      <c r="E1401" s="1">
        <f>IFERROR(__xludf.DUMMYFUNCTION("""COMPUTED_VALUE"""),16360.0)</f>
        <v>16360</v>
      </c>
      <c r="F1401" s="1">
        <f>IFERROR(__xludf.DUMMYFUNCTION("""COMPUTED_VALUE"""),296809.0)</f>
        <v>296809</v>
      </c>
    </row>
    <row r="1402">
      <c r="A1402" s="2">
        <f>IFERROR(__xludf.DUMMYFUNCTION("""COMPUTED_VALUE"""),42622.64583333333)</f>
        <v>42622.64583</v>
      </c>
      <c r="B1402" s="1">
        <f>IFERROR(__xludf.DUMMYFUNCTION("""COMPUTED_VALUE"""),16180.0)</f>
        <v>16180</v>
      </c>
      <c r="C1402" s="1">
        <f>IFERROR(__xludf.DUMMYFUNCTION("""COMPUTED_VALUE"""),16280.0)</f>
        <v>16280</v>
      </c>
      <c r="D1402" s="1">
        <f>IFERROR(__xludf.DUMMYFUNCTION("""COMPUTED_VALUE"""),16080.0)</f>
        <v>16080</v>
      </c>
      <c r="E1402" s="1">
        <f>IFERROR(__xludf.DUMMYFUNCTION("""COMPUTED_VALUE"""),16120.0)</f>
        <v>16120</v>
      </c>
      <c r="F1402" s="1">
        <f>IFERROR(__xludf.DUMMYFUNCTION("""COMPUTED_VALUE"""),258472.0)</f>
        <v>258472</v>
      </c>
    </row>
    <row r="1403">
      <c r="A1403" s="2">
        <f>IFERROR(__xludf.DUMMYFUNCTION("""COMPUTED_VALUE"""),42625.64583333333)</f>
        <v>42625.64583</v>
      </c>
      <c r="B1403" s="1">
        <f>IFERROR(__xludf.DUMMYFUNCTION("""COMPUTED_VALUE"""),16000.0)</f>
        <v>16000</v>
      </c>
      <c r="C1403" s="1">
        <f>IFERROR(__xludf.DUMMYFUNCTION("""COMPUTED_VALUE"""),16080.0)</f>
        <v>16080</v>
      </c>
      <c r="D1403" s="1">
        <f>IFERROR(__xludf.DUMMYFUNCTION("""COMPUTED_VALUE"""),15860.0)</f>
        <v>15860</v>
      </c>
      <c r="E1403" s="1">
        <f>IFERROR(__xludf.DUMMYFUNCTION("""COMPUTED_VALUE"""),15980.0)</f>
        <v>15980</v>
      </c>
      <c r="F1403" s="1">
        <f>IFERROR(__xludf.DUMMYFUNCTION("""COMPUTED_VALUE"""),175099.0)</f>
        <v>175099</v>
      </c>
    </row>
    <row r="1404">
      <c r="A1404" s="2">
        <f>IFERROR(__xludf.DUMMYFUNCTION("""COMPUTED_VALUE"""),42626.64583333333)</f>
        <v>42626.64583</v>
      </c>
      <c r="B1404" s="1">
        <f>IFERROR(__xludf.DUMMYFUNCTION("""COMPUTED_VALUE"""),16000.0)</f>
        <v>16000</v>
      </c>
      <c r="C1404" s="1">
        <f>IFERROR(__xludf.DUMMYFUNCTION("""COMPUTED_VALUE"""),16120.0)</f>
        <v>16120</v>
      </c>
      <c r="D1404" s="1">
        <f>IFERROR(__xludf.DUMMYFUNCTION("""COMPUTED_VALUE"""),15980.0)</f>
        <v>15980</v>
      </c>
      <c r="E1404" s="1">
        <f>IFERROR(__xludf.DUMMYFUNCTION("""COMPUTED_VALUE"""),16100.0)</f>
        <v>16100</v>
      </c>
      <c r="F1404" s="1">
        <f>IFERROR(__xludf.DUMMYFUNCTION("""COMPUTED_VALUE"""),167806.0)</f>
        <v>167806</v>
      </c>
    </row>
    <row r="1405">
      <c r="A1405" s="2">
        <f>IFERROR(__xludf.DUMMYFUNCTION("""COMPUTED_VALUE"""),42632.64583333333)</f>
        <v>42632.64583</v>
      </c>
      <c r="B1405" s="1">
        <f>IFERROR(__xludf.DUMMYFUNCTION("""COMPUTED_VALUE"""),16020.0)</f>
        <v>16020</v>
      </c>
      <c r="C1405" s="1">
        <f>IFERROR(__xludf.DUMMYFUNCTION("""COMPUTED_VALUE"""),16120.0)</f>
        <v>16120</v>
      </c>
      <c r="D1405" s="1">
        <f>IFERROR(__xludf.DUMMYFUNCTION("""COMPUTED_VALUE"""),15980.0)</f>
        <v>15980</v>
      </c>
      <c r="E1405" s="1">
        <f>IFERROR(__xludf.DUMMYFUNCTION("""COMPUTED_VALUE"""),16100.0)</f>
        <v>16100</v>
      </c>
      <c r="F1405" s="1">
        <f>IFERROR(__xludf.DUMMYFUNCTION("""COMPUTED_VALUE"""),153998.0)</f>
        <v>153998</v>
      </c>
    </row>
    <row r="1406">
      <c r="A1406" s="2">
        <f>IFERROR(__xludf.DUMMYFUNCTION("""COMPUTED_VALUE"""),42633.64583333333)</f>
        <v>42633.64583</v>
      </c>
      <c r="B1406" s="1">
        <f>IFERROR(__xludf.DUMMYFUNCTION("""COMPUTED_VALUE"""),16140.0)</f>
        <v>16140</v>
      </c>
      <c r="C1406" s="1">
        <f>IFERROR(__xludf.DUMMYFUNCTION("""COMPUTED_VALUE"""),16700.0)</f>
        <v>16700</v>
      </c>
      <c r="D1406" s="1">
        <f>IFERROR(__xludf.DUMMYFUNCTION("""COMPUTED_VALUE"""),16120.0)</f>
        <v>16120</v>
      </c>
      <c r="E1406" s="1">
        <f>IFERROR(__xludf.DUMMYFUNCTION("""COMPUTED_VALUE"""),16440.0)</f>
        <v>16440</v>
      </c>
      <c r="F1406" s="1">
        <f>IFERROR(__xludf.DUMMYFUNCTION("""COMPUTED_VALUE"""),493052.0)</f>
        <v>493052</v>
      </c>
    </row>
    <row r="1407">
      <c r="A1407" s="2">
        <f>IFERROR(__xludf.DUMMYFUNCTION("""COMPUTED_VALUE"""),42634.64583333333)</f>
        <v>42634.64583</v>
      </c>
      <c r="B1407" s="1">
        <f>IFERROR(__xludf.DUMMYFUNCTION("""COMPUTED_VALUE"""),16400.0)</f>
        <v>16400</v>
      </c>
      <c r="C1407" s="1">
        <f>IFERROR(__xludf.DUMMYFUNCTION("""COMPUTED_VALUE"""),16500.0)</f>
        <v>16500</v>
      </c>
      <c r="D1407" s="1">
        <f>IFERROR(__xludf.DUMMYFUNCTION("""COMPUTED_VALUE"""),16240.0)</f>
        <v>16240</v>
      </c>
      <c r="E1407" s="1">
        <f>IFERROR(__xludf.DUMMYFUNCTION("""COMPUTED_VALUE"""),16460.0)</f>
        <v>16460</v>
      </c>
      <c r="F1407" s="1">
        <f>IFERROR(__xludf.DUMMYFUNCTION("""COMPUTED_VALUE"""),196029.0)</f>
        <v>196029</v>
      </c>
    </row>
    <row r="1408">
      <c r="A1408" s="2">
        <f>IFERROR(__xludf.DUMMYFUNCTION("""COMPUTED_VALUE"""),42635.64583333333)</f>
        <v>42635.64583</v>
      </c>
      <c r="B1408" s="1">
        <f>IFERROR(__xludf.DUMMYFUNCTION("""COMPUTED_VALUE"""),16600.0)</f>
        <v>16600</v>
      </c>
      <c r="C1408" s="1">
        <f>IFERROR(__xludf.DUMMYFUNCTION("""COMPUTED_VALUE"""),16940.0)</f>
        <v>16940</v>
      </c>
      <c r="D1408" s="1">
        <f>IFERROR(__xludf.DUMMYFUNCTION("""COMPUTED_VALUE"""),16480.0)</f>
        <v>16480</v>
      </c>
      <c r="E1408" s="1">
        <f>IFERROR(__xludf.DUMMYFUNCTION("""COMPUTED_VALUE"""),16900.0)</f>
        <v>16900</v>
      </c>
      <c r="F1408" s="1">
        <f>IFERROR(__xludf.DUMMYFUNCTION("""COMPUTED_VALUE"""),371860.0)</f>
        <v>371860</v>
      </c>
    </row>
    <row r="1409">
      <c r="A1409" s="2">
        <f>IFERROR(__xludf.DUMMYFUNCTION("""COMPUTED_VALUE"""),42636.64583333333)</f>
        <v>42636.64583</v>
      </c>
      <c r="B1409" s="1">
        <f>IFERROR(__xludf.DUMMYFUNCTION("""COMPUTED_VALUE"""),16840.0)</f>
        <v>16840</v>
      </c>
      <c r="C1409" s="1">
        <f>IFERROR(__xludf.DUMMYFUNCTION("""COMPUTED_VALUE"""),16900.0)</f>
        <v>16900</v>
      </c>
      <c r="D1409" s="1">
        <f>IFERROR(__xludf.DUMMYFUNCTION("""COMPUTED_VALUE"""),16660.0)</f>
        <v>16660</v>
      </c>
      <c r="E1409" s="1">
        <f>IFERROR(__xludf.DUMMYFUNCTION("""COMPUTED_VALUE"""),16720.0)</f>
        <v>16720</v>
      </c>
      <c r="F1409" s="1">
        <f>IFERROR(__xludf.DUMMYFUNCTION("""COMPUTED_VALUE"""),265218.0)</f>
        <v>265218</v>
      </c>
    </row>
    <row r="1410">
      <c r="A1410" s="2">
        <f>IFERROR(__xludf.DUMMYFUNCTION("""COMPUTED_VALUE"""),42639.64583333333)</f>
        <v>42639.64583</v>
      </c>
      <c r="B1410" s="1">
        <f>IFERROR(__xludf.DUMMYFUNCTION("""COMPUTED_VALUE"""),16640.0)</f>
        <v>16640</v>
      </c>
      <c r="C1410" s="1">
        <f>IFERROR(__xludf.DUMMYFUNCTION("""COMPUTED_VALUE"""),16660.0)</f>
        <v>16660</v>
      </c>
      <c r="D1410" s="1">
        <f>IFERROR(__xludf.DUMMYFUNCTION("""COMPUTED_VALUE"""),16460.0)</f>
        <v>16460</v>
      </c>
      <c r="E1410" s="1">
        <f>IFERROR(__xludf.DUMMYFUNCTION("""COMPUTED_VALUE"""),16520.0)</f>
        <v>16520</v>
      </c>
      <c r="F1410" s="1">
        <f>IFERROR(__xludf.DUMMYFUNCTION("""COMPUTED_VALUE"""),176917.0)</f>
        <v>176917</v>
      </c>
    </row>
    <row r="1411">
      <c r="A1411" s="2">
        <f>IFERROR(__xludf.DUMMYFUNCTION("""COMPUTED_VALUE"""),42640.64583333333)</f>
        <v>42640.64583</v>
      </c>
      <c r="B1411" s="1">
        <f>IFERROR(__xludf.DUMMYFUNCTION("""COMPUTED_VALUE"""),16480.0)</f>
        <v>16480</v>
      </c>
      <c r="C1411" s="1">
        <f>IFERROR(__xludf.DUMMYFUNCTION("""COMPUTED_VALUE"""),16820.0)</f>
        <v>16820</v>
      </c>
      <c r="D1411" s="1">
        <f>IFERROR(__xludf.DUMMYFUNCTION("""COMPUTED_VALUE"""),16380.0)</f>
        <v>16380</v>
      </c>
      <c r="E1411" s="1">
        <f>IFERROR(__xludf.DUMMYFUNCTION("""COMPUTED_VALUE"""),16720.0)</f>
        <v>16720</v>
      </c>
      <c r="F1411" s="1">
        <f>IFERROR(__xludf.DUMMYFUNCTION("""COMPUTED_VALUE"""),163326.0)</f>
        <v>163326</v>
      </c>
    </row>
    <row r="1412">
      <c r="A1412" s="2">
        <f>IFERROR(__xludf.DUMMYFUNCTION("""COMPUTED_VALUE"""),42641.64583333333)</f>
        <v>42641.64583</v>
      </c>
      <c r="B1412" s="1">
        <f>IFERROR(__xludf.DUMMYFUNCTION("""COMPUTED_VALUE"""),16680.0)</f>
        <v>16680</v>
      </c>
      <c r="C1412" s="1">
        <f>IFERROR(__xludf.DUMMYFUNCTION("""COMPUTED_VALUE"""),16720.0)</f>
        <v>16720</v>
      </c>
      <c r="D1412" s="1">
        <f>IFERROR(__xludf.DUMMYFUNCTION("""COMPUTED_VALUE"""),16480.0)</f>
        <v>16480</v>
      </c>
      <c r="E1412" s="1">
        <f>IFERROR(__xludf.DUMMYFUNCTION("""COMPUTED_VALUE"""),16560.0)</f>
        <v>16560</v>
      </c>
      <c r="F1412" s="1">
        <f>IFERROR(__xludf.DUMMYFUNCTION("""COMPUTED_VALUE"""),166639.0)</f>
        <v>166639</v>
      </c>
    </row>
    <row r="1413">
      <c r="A1413" s="2">
        <f>IFERROR(__xludf.DUMMYFUNCTION("""COMPUTED_VALUE"""),42642.64583333333)</f>
        <v>42642.64583</v>
      </c>
      <c r="B1413" s="1">
        <f>IFERROR(__xludf.DUMMYFUNCTION("""COMPUTED_VALUE"""),16540.0)</f>
        <v>16540</v>
      </c>
      <c r="C1413" s="1">
        <f>IFERROR(__xludf.DUMMYFUNCTION("""COMPUTED_VALUE"""),16580.0)</f>
        <v>16580</v>
      </c>
      <c r="D1413" s="1">
        <f>IFERROR(__xludf.DUMMYFUNCTION("""COMPUTED_VALUE"""),16400.0)</f>
        <v>16400</v>
      </c>
      <c r="E1413" s="1">
        <f>IFERROR(__xludf.DUMMYFUNCTION("""COMPUTED_VALUE"""),16540.0)</f>
        <v>16540</v>
      </c>
      <c r="F1413" s="1">
        <f>IFERROR(__xludf.DUMMYFUNCTION("""COMPUTED_VALUE"""),236280.0)</f>
        <v>236280</v>
      </c>
    </row>
    <row r="1414">
      <c r="A1414" s="2">
        <f>IFERROR(__xludf.DUMMYFUNCTION("""COMPUTED_VALUE"""),42643.64583333333)</f>
        <v>42643.64583</v>
      </c>
      <c r="B1414" s="1">
        <f>IFERROR(__xludf.DUMMYFUNCTION("""COMPUTED_VALUE"""),16660.0)</f>
        <v>16660</v>
      </c>
      <c r="C1414" s="1">
        <f>IFERROR(__xludf.DUMMYFUNCTION("""COMPUTED_VALUE"""),16840.0)</f>
        <v>16840</v>
      </c>
      <c r="D1414" s="1">
        <f>IFERROR(__xludf.DUMMYFUNCTION("""COMPUTED_VALUE"""),16340.0)</f>
        <v>16340</v>
      </c>
      <c r="E1414" s="1">
        <f>IFERROR(__xludf.DUMMYFUNCTION("""COMPUTED_VALUE"""),16360.0)</f>
        <v>16360</v>
      </c>
      <c r="F1414" s="1">
        <f>IFERROR(__xludf.DUMMYFUNCTION("""COMPUTED_VALUE"""),380670.0)</f>
        <v>380670</v>
      </c>
    </row>
    <row r="1415">
      <c r="A1415" s="2">
        <f>IFERROR(__xludf.DUMMYFUNCTION("""COMPUTED_VALUE"""),42647.64583333333)</f>
        <v>42647.64583</v>
      </c>
      <c r="B1415" s="1">
        <f>IFERROR(__xludf.DUMMYFUNCTION("""COMPUTED_VALUE"""),16340.0)</f>
        <v>16340</v>
      </c>
      <c r="C1415" s="1">
        <f>IFERROR(__xludf.DUMMYFUNCTION("""COMPUTED_VALUE"""),16540.0)</f>
        <v>16540</v>
      </c>
      <c r="D1415" s="1">
        <f>IFERROR(__xludf.DUMMYFUNCTION("""COMPUTED_VALUE"""),16240.0)</f>
        <v>16240</v>
      </c>
      <c r="E1415" s="1">
        <f>IFERROR(__xludf.DUMMYFUNCTION("""COMPUTED_VALUE"""),16240.0)</f>
        <v>16240</v>
      </c>
      <c r="F1415" s="1">
        <f>IFERROR(__xludf.DUMMYFUNCTION("""COMPUTED_VALUE"""),351455.0)</f>
        <v>351455</v>
      </c>
    </row>
    <row r="1416">
      <c r="A1416" s="2">
        <f>IFERROR(__xludf.DUMMYFUNCTION("""COMPUTED_VALUE"""),42648.64583333333)</f>
        <v>42648.64583</v>
      </c>
      <c r="B1416" s="1">
        <f>IFERROR(__xludf.DUMMYFUNCTION("""COMPUTED_VALUE"""),16400.0)</f>
        <v>16400</v>
      </c>
      <c r="C1416" s="1">
        <f>IFERROR(__xludf.DUMMYFUNCTION("""COMPUTED_VALUE"""),17100.0)</f>
        <v>17100</v>
      </c>
      <c r="D1416" s="1">
        <f>IFERROR(__xludf.DUMMYFUNCTION("""COMPUTED_VALUE"""),16360.0)</f>
        <v>16360</v>
      </c>
      <c r="E1416" s="1">
        <f>IFERROR(__xludf.DUMMYFUNCTION("""COMPUTED_VALUE"""),17100.0)</f>
        <v>17100</v>
      </c>
      <c r="F1416" s="1">
        <f>IFERROR(__xludf.DUMMYFUNCTION("""COMPUTED_VALUE"""),728681.0)</f>
        <v>728681</v>
      </c>
    </row>
    <row r="1417">
      <c r="A1417" s="2">
        <f>IFERROR(__xludf.DUMMYFUNCTION("""COMPUTED_VALUE"""),42649.64583333333)</f>
        <v>42649.64583</v>
      </c>
      <c r="B1417" s="1">
        <f>IFERROR(__xludf.DUMMYFUNCTION("""COMPUTED_VALUE"""),17040.0)</f>
        <v>17040</v>
      </c>
      <c r="C1417" s="1">
        <f>IFERROR(__xludf.DUMMYFUNCTION("""COMPUTED_VALUE"""),17260.0)</f>
        <v>17260</v>
      </c>
      <c r="D1417" s="1">
        <f>IFERROR(__xludf.DUMMYFUNCTION("""COMPUTED_VALUE"""),16820.0)</f>
        <v>16820</v>
      </c>
      <c r="E1417" s="1">
        <f>IFERROR(__xludf.DUMMYFUNCTION("""COMPUTED_VALUE"""),17060.0)</f>
        <v>17060</v>
      </c>
      <c r="F1417" s="1">
        <f>IFERROR(__xludf.DUMMYFUNCTION("""COMPUTED_VALUE"""),388287.0)</f>
        <v>388287</v>
      </c>
    </row>
    <row r="1418">
      <c r="A1418" s="2">
        <f>IFERROR(__xludf.DUMMYFUNCTION("""COMPUTED_VALUE"""),42650.64583333333)</f>
        <v>42650.64583</v>
      </c>
      <c r="B1418" s="1">
        <f>IFERROR(__xludf.DUMMYFUNCTION("""COMPUTED_VALUE"""),17020.0)</f>
        <v>17020</v>
      </c>
      <c r="C1418" s="1">
        <f>IFERROR(__xludf.DUMMYFUNCTION("""COMPUTED_VALUE"""),17080.0)</f>
        <v>17080</v>
      </c>
      <c r="D1418" s="1">
        <f>IFERROR(__xludf.DUMMYFUNCTION("""COMPUTED_VALUE"""),16660.0)</f>
        <v>16660</v>
      </c>
      <c r="E1418" s="1">
        <f>IFERROR(__xludf.DUMMYFUNCTION("""COMPUTED_VALUE"""),16680.0)</f>
        <v>16680</v>
      </c>
      <c r="F1418" s="1">
        <f>IFERROR(__xludf.DUMMYFUNCTION("""COMPUTED_VALUE"""),242697.0)</f>
        <v>242697</v>
      </c>
    </row>
    <row r="1419">
      <c r="A1419" s="2">
        <f>IFERROR(__xludf.DUMMYFUNCTION("""COMPUTED_VALUE"""),42653.64583333333)</f>
        <v>42653.64583</v>
      </c>
      <c r="B1419" s="1">
        <f>IFERROR(__xludf.DUMMYFUNCTION("""COMPUTED_VALUE"""),16640.0)</f>
        <v>16640</v>
      </c>
      <c r="C1419" s="1">
        <f>IFERROR(__xludf.DUMMYFUNCTION("""COMPUTED_VALUE"""),16740.0)</f>
        <v>16740</v>
      </c>
      <c r="D1419" s="1">
        <f>IFERROR(__xludf.DUMMYFUNCTION("""COMPUTED_VALUE"""),16500.0)</f>
        <v>16500</v>
      </c>
      <c r="E1419" s="1">
        <f>IFERROR(__xludf.DUMMYFUNCTION("""COMPUTED_VALUE"""),16520.0)</f>
        <v>16520</v>
      </c>
      <c r="F1419" s="1">
        <f>IFERROR(__xludf.DUMMYFUNCTION("""COMPUTED_VALUE"""),144551.0)</f>
        <v>144551</v>
      </c>
    </row>
    <row r="1420">
      <c r="A1420" s="2">
        <f>IFERROR(__xludf.DUMMYFUNCTION("""COMPUTED_VALUE"""),42654.64583333333)</f>
        <v>42654.64583</v>
      </c>
      <c r="B1420" s="1">
        <f>IFERROR(__xludf.DUMMYFUNCTION("""COMPUTED_VALUE"""),16540.0)</f>
        <v>16540</v>
      </c>
      <c r="C1420" s="1">
        <f>IFERROR(__xludf.DUMMYFUNCTION("""COMPUTED_VALUE"""),16580.0)</f>
        <v>16580</v>
      </c>
      <c r="D1420" s="1">
        <f>IFERROR(__xludf.DUMMYFUNCTION("""COMPUTED_VALUE"""),16300.0)</f>
        <v>16300</v>
      </c>
      <c r="E1420" s="1">
        <f>IFERROR(__xludf.DUMMYFUNCTION("""COMPUTED_VALUE"""),16300.0)</f>
        <v>16300</v>
      </c>
      <c r="F1420" s="1">
        <f>IFERROR(__xludf.DUMMYFUNCTION("""COMPUTED_VALUE"""),257663.0)</f>
        <v>257663</v>
      </c>
    </row>
    <row r="1421">
      <c r="A1421" s="2">
        <f>IFERROR(__xludf.DUMMYFUNCTION("""COMPUTED_VALUE"""),42655.64583333333)</f>
        <v>42655.64583</v>
      </c>
      <c r="B1421" s="1">
        <f>IFERROR(__xludf.DUMMYFUNCTION("""COMPUTED_VALUE"""),16300.0)</f>
        <v>16300</v>
      </c>
      <c r="C1421" s="1">
        <f>IFERROR(__xludf.DUMMYFUNCTION("""COMPUTED_VALUE"""),16300.0)</f>
        <v>16300</v>
      </c>
      <c r="D1421" s="1">
        <f>IFERROR(__xludf.DUMMYFUNCTION("""COMPUTED_VALUE"""),15800.0)</f>
        <v>15800</v>
      </c>
      <c r="E1421" s="1">
        <f>IFERROR(__xludf.DUMMYFUNCTION("""COMPUTED_VALUE"""),16040.0)</f>
        <v>16040</v>
      </c>
      <c r="F1421" s="1">
        <f>IFERROR(__xludf.DUMMYFUNCTION("""COMPUTED_VALUE"""),534287.0)</f>
        <v>534287</v>
      </c>
    </row>
    <row r="1422">
      <c r="A1422" s="2">
        <f>IFERROR(__xludf.DUMMYFUNCTION("""COMPUTED_VALUE"""),42656.64583333333)</f>
        <v>42656.64583</v>
      </c>
      <c r="B1422" s="1">
        <f>IFERROR(__xludf.DUMMYFUNCTION("""COMPUTED_VALUE"""),16080.0)</f>
        <v>16080</v>
      </c>
      <c r="C1422" s="1">
        <f>IFERROR(__xludf.DUMMYFUNCTION("""COMPUTED_VALUE"""),16100.0)</f>
        <v>16100</v>
      </c>
      <c r="D1422" s="1">
        <f>IFERROR(__xludf.DUMMYFUNCTION("""COMPUTED_VALUE"""),15860.0)</f>
        <v>15860</v>
      </c>
      <c r="E1422" s="1">
        <f>IFERROR(__xludf.DUMMYFUNCTION("""COMPUTED_VALUE"""),15860.0)</f>
        <v>15860</v>
      </c>
      <c r="F1422" s="1">
        <f>IFERROR(__xludf.DUMMYFUNCTION("""COMPUTED_VALUE"""),203778.0)</f>
        <v>203778</v>
      </c>
    </row>
    <row r="1423">
      <c r="A1423" s="2">
        <f>IFERROR(__xludf.DUMMYFUNCTION("""COMPUTED_VALUE"""),42657.64583333333)</f>
        <v>42657.64583</v>
      </c>
      <c r="B1423" s="1">
        <f>IFERROR(__xludf.DUMMYFUNCTION("""COMPUTED_VALUE"""),15860.0)</f>
        <v>15860</v>
      </c>
      <c r="C1423" s="1">
        <f>IFERROR(__xludf.DUMMYFUNCTION("""COMPUTED_VALUE"""),15960.0)</f>
        <v>15960</v>
      </c>
      <c r="D1423" s="1">
        <f>IFERROR(__xludf.DUMMYFUNCTION("""COMPUTED_VALUE"""),15800.0)</f>
        <v>15800</v>
      </c>
      <c r="E1423" s="1">
        <f>IFERROR(__xludf.DUMMYFUNCTION("""COMPUTED_VALUE"""),15860.0)</f>
        <v>15860</v>
      </c>
      <c r="F1423" s="1">
        <f>IFERROR(__xludf.DUMMYFUNCTION("""COMPUTED_VALUE"""),148730.0)</f>
        <v>148730</v>
      </c>
    </row>
    <row r="1424">
      <c r="A1424" s="2">
        <f>IFERROR(__xludf.DUMMYFUNCTION("""COMPUTED_VALUE"""),42660.64583333333)</f>
        <v>42660.64583</v>
      </c>
      <c r="B1424" s="1">
        <f>IFERROR(__xludf.DUMMYFUNCTION("""COMPUTED_VALUE"""),15900.0)</f>
        <v>15900</v>
      </c>
      <c r="C1424" s="1">
        <f>IFERROR(__xludf.DUMMYFUNCTION("""COMPUTED_VALUE"""),16200.0)</f>
        <v>16200</v>
      </c>
      <c r="D1424" s="1">
        <f>IFERROR(__xludf.DUMMYFUNCTION("""COMPUTED_VALUE"""),15900.0)</f>
        <v>15900</v>
      </c>
      <c r="E1424" s="1">
        <f>IFERROR(__xludf.DUMMYFUNCTION("""COMPUTED_VALUE"""),16100.0)</f>
        <v>16100</v>
      </c>
      <c r="F1424" s="1">
        <f>IFERROR(__xludf.DUMMYFUNCTION("""COMPUTED_VALUE"""),160442.0)</f>
        <v>160442</v>
      </c>
    </row>
    <row r="1425">
      <c r="A1425" s="2">
        <f>IFERROR(__xludf.DUMMYFUNCTION("""COMPUTED_VALUE"""),42661.64583333333)</f>
        <v>42661.64583</v>
      </c>
      <c r="B1425" s="1">
        <f>IFERROR(__xludf.DUMMYFUNCTION("""COMPUTED_VALUE"""),16060.0)</f>
        <v>16060</v>
      </c>
      <c r="C1425" s="1">
        <f>IFERROR(__xludf.DUMMYFUNCTION("""COMPUTED_VALUE"""),16160.0)</f>
        <v>16160</v>
      </c>
      <c r="D1425" s="1">
        <f>IFERROR(__xludf.DUMMYFUNCTION("""COMPUTED_VALUE"""),15940.0)</f>
        <v>15940</v>
      </c>
      <c r="E1425" s="1">
        <f>IFERROR(__xludf.DUMMYFUNCTION("""COMPUTED_VALUE"""),16160.0)</f>
        <v>16160</v>
      </c>
      <c r="F1425" s="1">
        <f>IFERROR(__xludf.DUMMYFUNCTION("""COMPUTED_VALUE"""),169592.0)</f>
        <v>169592</v>
      </c>
    </row>
    <row r="1426">
      <c r="A1426" s="2">
        <f>IFERROR(__xludf.DUMMYFUNCTION("""COMPUTED_VALUE"""),42662.64583333333)</f>
        <v>42662.64583</v>
      </c>
      <c r="B1426" s="1">
        <f>IFERROR(__xludf.DUMMYFUNCTION("""COMPUTED_VALUE"""),16200.0)</f>
        <v>16200</v>
      </c>
      <c r="C1426" s="1">
        <f>IFERROR(__xludf.DUMMYFUNCTION("""COMPUTED_VALUE"""),16440.0)</f>
        <v>16440</v>
      </c>
      <c r="D1426" s="1">
        <f>IFERROR(__xludf.DUMMYFUNCTION("""COMPUTED_VALUE"""),16080.0)</f>
        <v>16080</v>
      </c>
      <c r="E1426" s="1">
        <f>IFERROR(__xludf.DUMMYFUNCTION("""COMPUTED_VALUE"""),16340.0)</f>
        <v>16340</v>
      </c>
      <c r="F1426" s="1">
        <f>IFERROR(__xludf.DUMMYFUNCTION("""COMPUTED_VALUE"""),246435.0)</f>
        <v>246435</v>
      </c>
    </row>
    <row r="1427">
      <c r="A1427" s="2">
        <f>IFERROR(__xludf.DUMMYFUNCTION("""COMPUTED_VALUE"""),42663.64583333333)</f>
        <v>42663.64583</v>
      </c>
      <c r="B1427" s="1">
        <f>IFERROR(__xludf.DUMMYFUNCTION("""COMPUTED_VALUE"""),16420.0)</f>
        <v>16420</v>
      </c>
      <c r="C1427" s="1">
        <f>IFERROR(__xludf.DUMMYFUNCTION("""COMPUTED_VALUE"""),16580.0)</f>
        <v>16580</v>
      </c>
      <c r="D1427" s="1">
        <f>IFERROR(__xludf.DUMMYFUNCTION("""COMPUTED_VALUE"""),16200.0)</f>
        <v>16200</v>
      </c>
      <c r="E1427" s="1">
        <f>IFERROR(__xludf.DUMMYFUNCTION("""COMPUTED_VALUE"""),16200.0)</f>
        <v>16200</v>
      </c>
      <c r="F1427" s="1">
        <f>IFERROR(__xludf.DUMMYFUNCTION("""COMPUTED_VALUE"""),278568.0)</f>
        <v>278568</v>
      </c>
    </row>
    <row r="1428">
      <c r="A1428" s="2">
        <f>IFERROR(__xludf.DUMMYFUNCTION("""COMPUTED_VALUE"""),42664.64583333333)</f>
        <v>42664.64583</v>
      </c>
      <c r="B1428" s="1">
        <f>IFERROR(__xludf.DUMMYFUNCTION("""COMPUTED_VALUE"""),16320.0)</f>
        <v>16320</v>
      </c>
      <c r="C1428" s="1">
        <f>IFERROR(__xludf.DUMMYFUNCTION("""COMPUTED_VALUE"""),16340.0)</f>
        <v>16340</v>
      </c>
      <c r="D1428" s="1">
        <f>IFERROR(__xludf.DUMMYFUNCTION("""COMPUTED_VALUE"""),16080.0)</f>
        <v>16080</v>
      </c>
      <c r="E1428" s="1">
        <f>IFERROR(__xludf.DUMMYFUNCTION("""COMPUTED_VALUE"""),16120.0)</f>
        <v>16120</v>
      </c>
      <c r="F1428" s="1">
        <f>IFERROR(__xludf.DUMMYFUNCTION("""COMPUTED_VALUE"""),192255.0)</f>
        <v>192255</v>
      </c>
    </row>
    <row r="1429">
      <c r="A1429" s="2">
        <f>IFERROR(__xludf.DUMMYFUNCTION("""COMPUTED_VALUE"""),42667.64583333333)</f>
        <v>42667.64583</v>
      </c>
      <c r="B1429" s="1">
        <f>IFERROR(__xludf.DUMMYFUNCTION("""COMPUTED_VALUE"""),16340.0)</f>
        <v>16340</v>
      </c>
      <c r="C1429" s="1">
        <f>IFERROR(__xludf.DUMMYFUNCTION("""COMPUTED_VALUE"""),16340.0)</f>
        <v>16340</v>
      </c>
      <c r="D1429" s="1">
        <f>IFERROR(__xludf.DUMMYFUNCTION("""COMPUTED_VALUE"""),16100.0)</f>
        <v>16100</v>
      </c>
      <c r="E1429" s="1">
        <f>IFERROR(__xludf.DUMMYFUNCTION("""COMPUTED_VALUE"""),16140.0)</f>
        <v>16140</v>
      </c>
      <c r="F1429" s="1">
        <f>IFERROR(__xludf.DUMMYFUNCTION("""COMPUTED_VALUE"""),150118.0)</f>
        <v>150118</v>
      </c>
    </row>
    <row r="1430">
      <c r="A1430" s="2">
        <f>IFERROR(__xludf.DUMMYFUNCTION("""COMPUTED_VALUE"""),42668.64583333333)</f>
        <v>42668.64583</v>
      </c>
      <c r="B1430" s="1">
        <f>IFERROR(__xludf.DUMMYFUNCTION("""COMPUTED_VALUE"""),16060.0)</f>
        <v>16060</v>
      </c>
      <c r="C1430" s="1">
        <f>IFERROR(__xludf.DUMMYFUNCTION("""COMPUTED_VALUE"""),16540.0)</f>
        <v>16540</v>
      </c>
      <c r="D1430" s="1">
        <f>IFERROR(__xludf.DUMMYFUNCTION("""COMPUTED_VALUE"""),16060.0)</f>
        <v>16060</v>
      </c>
      <c r="E1430" s="1">
        <f>IFERROR(__xludf.DUMMYFUNCTION("""COMPUTED_VALUE"""),16460.0)</f>
        <v>16460</v>
      </c>
      <c r="F1430" s="1">
        <f>IFERROR(__xludf.DUMMYFUNCTION("""COMPUTED_VALUE"""),305185.0)</f>
        <v>305185</v>
      </c>
    </row>
    <row r="1431">
      <c r="A1431" s="2">
        <f>IFERROR(__xludf.DUMMYFUNCTION("""COMPUTED_VALUE"""),42669.64583333333)</f>
        <v>42669.64583</v>
      </c>
      <c r="B1431" s="1">
        <f>IFERROR(__xludf.DUMMYFUNCTION("""COMPUTED_VALUE"""),16480.0)</f>
        <v>16480</v>
      </c>
      <c r="C1431" s="1">
        <f>IFERROR(__xludf.DUMMYFUNCTION("""COMPUTED_VALUE"""),16500.0)</f>
        <v>16500</v>
      </c>
      <c r="D1431" s="1">
        <f>IFERROR(__xludf.DUMMYFUNCTION("""COMPUTED_VALUE"""),16080.0)</f>
        <v>16080</v>
      </c>
      <c r="E1431" s="1">
        <f>IFERROR(__xludf.DUMMYFUNCTION("""COMPUTED_VALUE"""),16180.0)</f>
        <v>16180</v>
      </c>
      <c r="F1431" s="1">
        <f>IFERROR(__xludf.DUMMYFUNCTION("""COMPUTED_VALUE"""),189596.0)</f>
        <v>189596</v>
      </c>
    </row>
    <row r="1432">
      <c r="A1432" s="2">
        <f>IFERROR(__xludf.DUMMYFUNCTION("""COMPUTED_VALUE"""),42670.64583333333)</f>
        <v>42670.64583</v>
      </c>
      <c r="B1432" s="1">
        <f>IFERROR(__xludf.DUMMYFUNCTION("""COMPUTED_VALUE"""),16180.0)</f>
        <v>16180</v>
      </c>
      <c r="C1432" s="1">
        <f>IFERROR(__xludf.DUMMYFUNCTION("""COMPUTED_VALUE"""),16360.0)</f>
        <v>16360</v>
      </c>
      <c r="D1432" s="1">
        <f>IFERROR(__xludf.DUMMYFUNCTION("""COMPUTED_VALUE"""),16160.0)</f>
        <v>16160</v>
      </c>
      <c r="E1432" s="1">
        <f>IFERROR(__xludf.DUMMYFUNCTION("""COMPUTED_VALUE"""),16260.0)</f>
        <v>16260</v>
      </c>
      <c r="F1432" s="1">
        <f>IFERROR(__xludf.DUMMYFUNCTION("""COMPUTED_VALUE"""),123235.0)</f>
        <v>123235</v>
      </c>
    </row>
    <row r="1433">
      <c r="A1433" s="2">
        <f>IFERROR(__xludf.DUMMYFUNCTION("""COMPUTED_VALUE"""),42671.64583333333)</f>
        <v>42671.64583</v>
      </c>
      <c r="B1433" s="1">
        <f>IFERROR(__xludf.DUMMYFUNCTION("""COMPUTED_VALUE"""),16180.0)</f>
        <v>16180</v>
      </c>
      <c r="C1433" s="1">
        <f>IFERROR(__xludf.DUMMYFUNCTION("""COMPUTED_VALUE"""),16220.0)</f>
        <v>16220</v>
      </c>
      <c r="D1433" s="1">
        <f>IFERROR(__xludf.DUMMYFUNCTION("""COMPUTED_VALUE"""),15920.0)</f>
        <v>15920</v>
      </c>
      <c r="E1433" s="1">
        <f>IFERROR(__xludf.DUMMYFUNCTION("""COMPUTED_VALUE"""),15920.0)</f>
        <v>15920</v>
      </c>
      <c r="F1433" s="1">
        <f>IFERROR(__xludf.DUMMYFUNCTION("""COMPUTED_VALUE"""),299652.0)</f>
        <v>299652</v>
      </c>
    </row>
    <row r="1434">
      <c r="A1434" s="2">
        <f>IFERROR(__xludf.DUMMYFUNCTION("""COMPUTED_VALUE"""),42674.64583333333)</f>
        <v>42674.64583</v>
      </c>
      <c r="B1434" s="1">
        <f>IFERROR(__xludf.DUMMYFUNCTION("""COMPUTED_VALUE"""),15920.0)</f>
        <v>15920</v>
      </c>
      <c r="C1434" s="1">
        <f>IFERROR(__xludf.DUMMYFUNCTION("""COMPUTED_VALUE"""),15980.0)</f>
        <v>15980</v>
      </c>
      <c r="D1434" s="1">
        <f>IFERROR(__xludf.DUMMYFUNCTION("""COMPUTED_VALUE"""),15280.0)</f>
        <v>15280</v>
      </c>
      <c r="E1434" s="1">
        <f>IFERROR(__xludf.DUMMYFUNCTION("""COMPUTED_VALUE"""),15280.0)</f>
        <v>15280</v>
      </c>
      <c r="F1434" s="1">
        <f>IFERROR(__xludf.DUMMYFUNCTION("""COMPUTED_VALUE"""),498234.0)</f>
        <v>498234</v>
      </c>
    </row>
    <row r="1435">
      <c r="A1435" s="2">
        <f>IFERROR(__xludf.DUMMYFUNCTION("""COMPUTED_VALUE"""),42675.64583333333)</f>
        <v>42675.64583</v>
      </c>
      <c r="B1435" s="1">
        <f>IFERROR(__xludf.DUMMYFUNCTION("""COMPUTED_VALUE"""),15120.0)</f>
        <v>15120</v>
      </c>
      <c r="C1435" s="1">
        <f>IFERROR(__xludf.DUMMYFUNCTION("""COMPUTED_VALUE"""),15320.0)</f>
        <v>15320</v>
      </c>
      <c r="D1435" s="1">
        <f>IFERROR(__xludf.DUMMYFUNCTION("""COMPUTED_VALUE"""),14800.0)</f>
        <v>14800</v>
      </c>
      <c r="E1435" s="1">
        <f>IFERROR(__xludf.DUMMYFUNCTION("""COMPUTED_VALUE"""),14920.0)</f>
        <v>14920</v>
      </c>
      <c r="F1435" s="1">
        <f>IFERROR(__xludf.DUMMYFUNCTION("""COMPUTED_VALUE"""),388432.0)</f>
        <v>388432</v>
      </c>
    </row>
    <row r="1436">
      <c r="A1436" s="2">
        <f>IFERROR(__xludf.DUMMYFUNCTION("""COMPUTED_VALUE"""),42676.64583333333)</f>
        <v>42676.64583</v>
      </c>
      <c r="B1436" s="1">
        <f>IFERROR(__xludf.DUMMYFUNCTION("""COMPUTED_VALUE"""),14800.0)</f>
        <v>14800</v>
      </c>
      <c r="C1436" s="1">
        <f>IFERROR(__xludf.DUMMYFUNCTION("""COMPUTED_VALUE"""),14900.0)</f>
        <v>14900</v>
      </c>
      <c r="D1436" s="1">
        <f>IFERROR(__xludf.DUMMYFUNCTION("""COMPUTED_VALUE"""),14260.0)</f>
        <v>14260</v>
      </c>
      <c r="E1436" s="1">
        <f>IFERROR(__xludf.DUMMYFUNCTION("""COMPUTED_VALUE"""),14260.0)</f>
        <v>14260</v>
      </c>
      <c r="F1436" s="1">
        <f>IFERROR(__xludf.DUMMYFUNCTION("""COMPUTED_VALUE"""),640159.0)</f>
        <v>640159</v>
      </c>
    </row>
    <row r="1437">
      <c r="A1437" s="2">
        <f>IFERROR(__xludf.DUMMYFUNCTION("""COMPUTED_VALUE"""),42677.64583333333)</f>
        <v>42677.64583</v>
      </c>
      <c r="B1437" s="1">
        <f>IFERROR(__xludf.DUMMYFUNCTION("""COMPUTED_VALUE"""),14080.0)</f>
        <v>14080</v>
      </c>
      <c r="C1437" s="1">
        <f>IFERROR(__xludf.DUMMYFUNCTION("""COMPUTED_VALUE"""),14520.0)</f>
        <v>14520</v>
      </c>
      <c r="D1437" s="1">
        <f>IFERROR(__xludf.DUMMYFUNCTION("""COMPUTED_VALUE"""),14060.0)</f>
        <v>14060</v>
      </c>
      <c r="E1437" s="1">
        <f>IFERROR(__xludf.DUMMYFUNCTION("""COMPUTED_VALUE"""),14280.0)</f>
        <v>14280</v>
      </c>
      <c r="F1437" s="1">
        <f>IFERROR(__xludf.DUMMYFUNCTION("""COMPUTED_VALUE"""),383722.0)</f>
        <v>383722</v>
      </c>
    </row>
    <row r="1438">
      <c r="A1438" s="2">
        <f>IFERROR(__xludf.DUMMYFUNCTION("""COMPUTED_VALUE"""),42678.64583333333)</f>
        <v>42678.64583</v>
      </c>
      <c r="B1438" s="1">
        <f>IFERROR(__xludf.DUMMYFUNCTION("""COMPUTED_VALUE"""),14240.0)</f>
        <v>14240</v>
      </c>
      <c r="C1438" s="1">
        <f>IFERROR(__xludf.DUMMYFUNCTION("""COMPUTED_VALUE"""),14800.0)</f>
        <v>14800</v>
      </c>
      <c r="D1438" s="1">
        <f>IFERROR(__xludf.DUMMYFUNCTION("""COMPUTED_VALUE"""),14240.0)</f>
        <v>14240</v>
      </c>
      <c r="E1438" s="1">
        <f>IFERROR(__xludf.DUMMYFUNCTION("""COMPUTED_VALUE"""),14640.0)</f>
        <v>14640</v>
      </c>
      <c r="F1438" s="1">
        <f>IFERROR(__xludf.DUMMYFUNCTION("""COMPUTED_VALUE"""),280780.0)</f>
        <v>280780</v>
      </c>
    </row>
    <row r="1439">
      <c r="A1439" s="2">
        <f>IFERROR(__xludf.DUMMYFUNCTION("""COMPUTED_VALUE"""),42681.64583333333)</f>
        <v>42681.64583</v>
      </c>
      <c r="B1439" s="1">
        <f>IFERROR(__xludf.DUMMYFUNCTION("""COMPUTED_VALUE"""),14640.0)</f>
        <v>14640</v>
      </c>
      <c r="C1439" s="1">
        <f>IFERROR(__xludf.DUMMYFUNCTION("""COMPUTED_VALUE"""),14840.0)</f>
        <v>14840</v>
      </c>
      <c r="D1439" s="1">
        <f>IFERROR(__xludf.DUMMYFUNCTION("""COMPUTED_VALUE"""),14620.0)</f>
        <v>14620</v>
      </c>
      <c r="E1439" s="1">
        <f>IFERROR(__xludf.DUMMYFUNCTION("""COMPUTED_VALUE"""),14740.0)</f>
        <v>14740</v>
      </c>
      <c r="F1439" s="1">
        <f>IFERROR(__xludf.DUMMYFUNCTION("""COMPUTED_VALUE"""),155971.0)</f>
        <v>155971</v>
      </c>
    </row>
    <row r="1440">
      <c r="A1440" s="2">
        <f>IFERROR(__xludf.DUMMYFUNCTION("""COMPUTED_VALUE"""),42682.64583333333)</f>
        <v>42682.64583</v>
      </c>
      <c r="B1440" s="1">
        <f>IFERROR(__xludf.DUMMYFUNCTION("""COMPUTED_VALUE"""),14860.0)</f>
        <v>14860</v>
      </c>
      <c r="C1440" s="1">
        <f>IFERROR(__xludf.DUMMYFUNCTION("""COMPUTED_VALUE"""),14900.0)</f>
        <v>14900</v>
      </c>
      <c r="D1440" s="1">
        <f>IFERROR(__xludf.DUMMYFUNCTION("""COMPUTED_VALUE"""),14760.0)</f>
        <v>14760</v>
      </c>
      <c r="E1440" s="1">
        <f>IFERROR(__xludf.DUMMYFUNCTION("""COMPUTED_VALUE"""),14860.0)</f>
        <v>14860</v>
      </c>
      <c r="F1440" s="1">
        <f>IFERROR(__xludf.DUMMYFUNCTION("""COMPUTED_VALUE"""),143280.0)</f>
        <v>143280</v>
      </c>
    </row>
    <row r="1441">
      <c r="A1441" s="2">
        <f>IFERROR(__xludf.DUMMYFUNCTION("""COMPUTED_VALUE"""),42683.64583333333)</f>
        <v>42683.64583</v>
      </c>
      <c r="B1441" s="1">
        <f>IFERROR(__xludf.DUMMYFUNCTION("""COMPUTED_VALUE"""),14860.0)</f>
        <v>14860</v>
      </c>
      <c r="C1441" s="1">
        <f>IFERROR(__xludf.DUMMYFUNCTION("""COMPUTED_VALUE"""),14920.0)</f>
        <v>14920</v>
      </c>
      <c r="D1441" s="1">
        <f>IFERROR(__xludf.DUMMYFUNCTION("""COMPUTED_VALUE"""),13980.0)</f>
        <v>13980</v>
      </c>
      <c r="E1441" s="1">
        <f>IFERROR(__xludf.DUMMYFUNCTION("""COMPUTED_VALUE"""),14260.0)</f>
        <v>14260</v>
      </c>
      <c r="F1441" s="1">
        <f>IFERROR(__xludf.DUMMYFUNCTION("""COMPUTED_VALUE"""),529993.0)</f>
        <v>529993</v>
      </c>
    </row>
    <row r="1442">
      <c r="A1442" s="2">
        <f>IFERROR(__xludf.DUMMYFUNCTION("""COMPUTED_VALUE"""),42684.64583333333)</f>
        <v>42684.64583</v>
      </c>
      <c r="B1442" s="1">
        <f>IFERROR(__xludf.DUMMYFUNCTION("""COMPUTED_VALUE"""),15060.0)</f>
        <v>15060</v>
      </c>
      <c r="C1442" s="1">
        <f>IFERROR(__xludf.DUMMYFUNCTION("""COMPUTED_VALUE"""),15980.0)</f>
        <v>15980</v>
      </c>
      <c r="D1442" s="1">
        <f>IFERROR(__xludf.DUMMYFUNCTION("""COMPUTED_VALUE"""),15040.0)</f>
        <v>15040</v>
      </c>
      <c r="E1442" s="1">
        <f>IFERROR(__xludf.DUMMYFUNCTION("""COMPUTED_VALUE"""),15940.0)</f>
        <v>15940</v>
      </c>
      <c r="F1442" s="1">
        <f>IFERROR(__xludf.DUMMYFUNCTION("""COMPUTED_VALUE"""),1182920.0)</f>
        <v>1182920</v>
      </c>
    </row>
    <row r="1443">
      <c r="A1443" s="2">
        <f>IFERROR(__xludf.DUMMYFUNCTION("""COMPUTED_VALUE"""),42685.64583333333)</f>
        <v>42685.64583</v>
      </c>
      <c r="B1443" s="1">
        <f>IFERROR(__xludf.DUMMYFUNCTION("""COMPUTED_VALUE"""),15960.0)</f>
        <v>15960</v>
      </c>
      <c r="C1443" s="1">
        <f>IFERROR(__xludf.DUMMYFUNCTION("""COMPUTED_VALUE"""),15960.0)</f>
        <v>15960</v>
      </c>
      <c r="D1443" s="1">
        <f>IFERROR(__xludf.DUMMYFUNCTION("""COMPUTED_VALUE"""),15380.0)</f>
        <v>15380</v>
      </c>
      <c r="E1443" s="1">
        <f>IFERROR(__xludf.DUMMYFUNCTION("""COMPUTED_VALUE"""),15560.0)</f>
        <v>15560</v>
      </c>
      <c r="F1443" s="1">
        <f>IFERROR(__xludf.DUMMYFUNCTION("""COMPUTED_VALUE"""),433329.0)</f>
        <v>433329</v>
      </c>
    </row>
    <row r="1444">
      <c r="A1444" s="2">
        <f>IFERROR(__xludf.DUMMYFUNCTION("""COMPUTED_VALUE"""),42688.64583333333)</f>
        <v>42688.64583</v>
      </c>
      <c r="B1444" s="1">
        <f>IFERROR(__xludf.DUMMYFUNCTION("""COMPUTED_VALUE"""),15560.0)</f>
        <v>15560</v>
      </c>
      <c r="C1444" s="1">
        <f>IFERROR(__xludf.DUMMYFUNCTION("""COMPUTED_VALUE"""),15640.0)</f>
        <v>15640</v>
      </c>
      <c r="D1444" s="1">
        <f>IFERROR(__xludf.DUMMYFUNCTION("""COMPUTED_VALUE"""),15160.0)</f>
        <v>15160</v>
      </c>
      <c r="E1444" s="1">
        <f>IFERROR(__xludf.DUMMYFUNCTION("""COMPUTED_VALUE"""),15160.0)</f>
        <v>15160</v>
      </c>
      <c r="F1444" s="1">
        <f>IFERROR(__xludf.DUMMYFUNCTION("""COMPUTED_VALUE"""),261019.0)</f>
        <v>261019</v>
      </c>
    </row>
    <row r="1445">
      <c r="A1445" s="2">
        <f>IFERROR(__xludf.DUMMYFUNCTION("""COMPUTED_VALUE"""),42689.64583333333)</f>
        <v>42689.64583</v>
      </c>
      <c r="B1445" s="1">
        <f>IFERROR(__xludf.DUMMYFUNCTION("""COMPUTED_VALUE"""),15120.0)</f>
        <v>15120</v>
      </c>
      <c r="C1445" s="1">
        <f>IFERROR(__xludf.DUMMYFUNCTION("""COMPUTED_VALUE"""),15420.0)</f>
        <v>15420</v>
      </c>
      <c r="D1445" s="1">
        <f>IFERROR(__xludf.DUMMYFUNCTION("""COMPUTED_VALUE"""),15060.0)</f>
        <v>15060</v>
      </c>
      <c r="E1445" s="1">
        <f>IFERROR(__xludf.DUMMYFUNCTION("""COMPUTED_VALUE"""),15200.0)</f>
        <v>15200</v>
      </c>
      <c r="F1445" s="1">
        <f>IFERROR(__xludf.DUMMYFUNCTION("""COMPUTED_VALUE"""),186400.0)</f>
        <v>186400</v>
      </c>
    </row>
    <row r="1446">
      <c r="A1446" s="2">
        <f>IFERROR(__xludf.DUMMYFUNCTION("""COMPUTED_VALUE"""),42690.64583333333)</f>
        <v>42690.64583</v>
      </c>
      <c r="B1446" s="1">
        <f>IFERROR(__xludf.DUMMYFUNCTION("""COMPUTED_VALUE"""),15300.0)</f>
        <v>15300</v>
      </c>
      <c r="C1446" s="1">
        <f>IFERROR(__xludf.DUMMYFUNCTION("""COMPUTED_VALUE"""),16100.0)</f>
        <v>16100</v>
      </c>
      <c r="D1446" s="1">
        <f>IFERROR(__xludf.DUMMYFUNCTION("""COMPUTED_VALUE"""),15300.0)</f>
        <v>15300</v>
      </c>
      <c r="E1446" s="1">
        <f>IFERROR(__xludf.DUMMYFUNCTION("""COMPUTED_VALUE"""),16060.0)</f>
        <v>16060</v>
      </c>
      <c r="F1446" s="1">
        <f>IFERROR(__xludf.DUMMYFUNCTION("""COMPUTED_VALUE"""),566246.0)</f>
        <v>566246</v>
      </c>
    </row>
    <row r="1447">
      <c r="A1447" s="2">
        <f>IFERROR(__xludf.DUMMYFUNCTION("""COMPUTED_VALUE"""),42691.64583333333)</f>
        <v>42691.64583</v>
      </c>
      <c r="B1447" s="1">
        <f>IFERROR(__xludf.DUMMYFUNCTION("""COMPUTED_VALUE"""),16120.0)</f>
        <v>16120</v>
      </c>
      <c r="C1447" s="1">
        <f>IFERROR(__xludf.DUMMYFUNCTION("""COMPUTED_VALUE"""),16220.0)</f>
        <v>16220</v>
      </c>
      <c r="D1447" s="1">
        <f>IFERROR(__xludf.DUMMYFUNCTION("""COMPUTED_VALUE"""),15900.0)</f>
        <v>15900</v>
      </c>
      <c r="E1447" s="1">
        <f>IFERROR(__xludf.DUMMYFUNCTION("""COMPUTED_VALUE"""),16200.0)</f>
        <v>16200</v>
      </c>
      <c r="F1447" s="1">
        <f>IFERROR(__xludf.DUMMYFUNCTION("""COMPUTED_VALUE"""),239572.0)</f>
        <v>239572</v>
      </c>
    </row>
    <row r="1448">
      <c r="A1448" s="2">
        <f>IFERROR(__xludf.DUMMYFUNCTION("""COMPUTED_VALUE"""),42692.64583333333)</f>
        <v>42692.64583</v>
      </c>
      <c r="B1448" s="1">
        <f>IFERROR(__xludf.DUMMYFUNCTION("""COMPUTED_VALUE"""),16120.0)</f>
        <v>16120</v>
      </c>
      <c r="C1448" s="1">
        <f>IFERROR(__xludf.DUMMYFUNCTION("""COMPUTED_VALUE"""),16360.0)</f>
        <v>16360</v>
      </c>
      <c r="D1448" s="1">
        <f>IFERROR(__xludf.DUMMYFUNCTION("""COMPUTED_VALUE"""),16000.0)</f>
        <v>16000</v>
      </c>
      <c r="E1448" s="1">
        <f>IFERROR(__xludf.DUMMYFUNCTION("""COMPUTED_VALUE"""),16140.0)</f>
        <v>16140</v>
      </c>
      <c r="F1448" s="1">
        <f>IFERROR(__xludf.DUMMYFUNCTION("""COMPUTED_VALUE"""),281422.0)</f>
        <v>281422</v>
      </c>
    </row>
    <row r="1449">
      <c r="A1449" s="2">
        <f>IFERROR(__xludf.DUMMYFUNCTION("""COMPUTED_VALUE"""),42695.64583333333)</f>
        <v>42695.64583</v>
      </c>
      <c r="B1449" s="1">
        <f>IFERROR(__xludf.DUMMYFUNCTION("""COMPUTED_VALUE"""),16080.0)</f>
        <v>16080</v>
      </c>
      <c r="C1449" s="1">
        <f>IFERROR(__xludf.DUMMYFUNCTION("""COMPUTED_VALUE"""),16100.0)</f>
        <v>16100</v>
      </c>
      <c r="D1449" s="1">
        <f>IFERROR(__xludf.DUMMYFUNCTION("""COMPUTED_VALUE"""),15660.0)</f>
        <v>15660</v>
      </c>
      <c r="E1449" s="1">
        <f>IFERROR(__xludf.DUMMYFUNCTION("""COMPUTED_VALUE"""),15800.0)</f>
        <v>15800</v>
      </c>
      <c r="F1449" s="1">
        <f>IFERROR(__xludf.DUMMYFUNCTION("""COMPUTED_VALUE"""),186638.0)</f>
        <v>186638</v>
      </c>
    </row>
    <row r="1450">
      <c r="A1450" s="2">
        <f>IFERROR(__xludf.DUMMYFUNCTION("""COMPUTED_VALUE"""),42696.64583333333)</f>
        <v>42696.64583</v>
      </c>
      <c r="B1450" s="1">
        <f>IFERROR(__xludf.DUMMYFUNCTION("""COMPUTED_VALUE"""),15800.0)</f>
        <v>15800</v>
      </c>
      <c r="C1450" s="1">
        <f>IFERROR(__xludf.DUMMYFUNCTION("""COMPUTED_VALUE"""),16400.0)</f>
        <v>16400</v>
      </c>
      <c r="D1450" s="1">
        <f>IFERROR(__xludf.DUMMYFUNCTION("""COMPUTED_VALUE"""),15800.0)</f>
        <v>15800</v>
      </c>
      <c r="E1450" s="1">
        <f>IFERROR(__xludf.DUMMYFUNCTION("""COMPUTED_VALUE"""),16360.0)</f>
        <v>16360</v>
      </c>
      <c r="F1450" s="1">
        <f>IFERROR(__xludf.DUMMYFUNCTION("""COMPUTED_VALUE"""),345344.0)</f>
        <v>345344</v>
      </c>
    </row>
    <row r="1451">
      <c r="A1451" s="2">
        <f>IFERROR(__xludf.DUMMYFUNCTION("""COMPUTED_VALUE"""),42697.64583333333)</f>
        <v>42697.64583</v>
      </c>
      <c r="B1451" s="1">
        <f>IFERROR(__xludf.DUMMYFUNCTION("""COMPUTED_VALUE"""),16360.0)</f>
        <v>16360</v>
      </c>
      <c r="C1451" s="1">
        <f>IFERROR(__xludf.DUMMYFUNCTION("""COMPUTED_VALUE"""),16480.0)</f>
        <v>16480</v>
      </c>
      <c r="D1451" s="1">
        <f>IFERROR(__xludf.DUMMYFUNCTION("""COMPUTED_VALUE"""),16120.0)</f>
        <v>16120</v>
      </c>
      <c r="E1451" s="1">
        <f>IFERROR(__xludf.DUMMYFUNCTION("""COMPUTED_VALUE"""),16380.0)</f>
        <v>16380</v>
      </c>
      <c r="F1451" s="1">
        <f>IFERROR(__xludf.DUMMYFUNCTION("""COMPUTED_VALUE"""),273571.0)</f>
        <v>273571</v>
      </c>
    </row>
    <row r="1452">
      <c r="A1452" s="2">
        <f>IFERROR(__xludf.DUMMYFUNCTION("""COMPUTED_VALUE"""),42698.64583333333)</f>
        <v>42698.64583</v>
      </c>
      <c r="B1452" s="1">
        <f>IFERROR(__xludf.DUMMYFUNCTION("""COMPUTED_VALUE"""),16340.0)</f>
        <v>16340</v>
      </c>
      <c r="C1452" s="1">
        <f>IFERROR(__xludf.DUMMYFUNCTION("""COMPUTED_VALUE"""),16400.0)</f>
        <v>16400</v>
      </c>
      <c r="D1452" s="1">
        <f>IFERROR(__xludf.DUMMYFUNCTION("""COMPUTED_VALUE"""),16080.0)</f>
        <v>16080</v>
      </c>
      <c r="E1452" s="1">
        <f>IFERROR(__xludf.DUMMYFUNCTION("""COMPUTED_VALUE"""),16140.0)</f>
        <v>16140</v>
      </c>
      <c r="F1452" s="1">
        <f>IFERROR(__xludf.DUMMYFUNCTION("""COMPUTED_VALUE"""),173751.0)</f>
        <v>173751</v>
      </c>
    </row>
    <row r="1453">
      <c r="A1453" s="2">
        <f>IFERROR(__xludf.DUMMYFUNCTION("""COMPUTED_VALUE"""),42699.64583333333)</f>
        <v>42699.64583</v>
      </c>
      <c r="B1453" s="1">
        <f>IFERROR(__xludf.DUMMYFUNCTION("""COMPUTED_VALUE"""),16140.0)</f>
        <v>16140</v>
      </c>
      <c r="C1453" s="1">
        <f>IFERROR(__xludf.DUMMYFUNCTION("""COMPUTED_VALUE"""),16320.0)</f>
        <v>16320</v>
      </c>
      <c r="D1453" s="1">
        <f>IFERROR(__xludf.DUMMYFUNCTION("""COMPUTED_VALUE"""),16060.0)</f>
        <v>16060</v>
      </c>
      <c r="E1453" s="1">
        <f>IFERROR(__xludf.DUMMYFUNCTION("""COMPUTED_VALUE"""),16260.0)</f>
        <v>16260</v>
      </c>
      <c r="F1453" s="1">
        <f>IFERROR(__xludf.DUMMYFUNCTION("""COMPUTED_VALUE"""),169643.0)</f>
        <v>169643</v>
      </c>
    </row>
    <row r="1454">
      <c r="A1454" s="2">
        <f>IFERROR(__xludf.DUMMYFUNCTION("""COMPUTED_VALUE"""),42702.64583333333)</f>
        <v>42702.64583</v>
      </c>
      <c r="B1454" s="1">
        <f>IFERROR(__xludf.DUMMYFUNCTION("""COMPUTED_VALUE"""),16280.0)</f>
        <v>16280</v>
      </c>
      <c r="C1454" s="1">
        <f>IFERROR(__xludf.DUMMYFUNCTION("""COMPUTED_VALUE"""),16280.0)</f>
        <v>16280</v>
      </c>
      <c r="D1454" s="1">
        <f>IFERROR(__xludf.DUMMYFUNCTION("""COMPUTED_VALUE"""),15820.0)</f>
        <v>15820</v>
      </c>
      <c r="E1454" s="1">
        <f>IFERROR(__xludf.DUMMYFUNCTION("""COMPUTED_VALUE"""),15880.0)</f>
        <v>15880</v>
      </c>
      <c r="F1454" s="1">
        <f>IFERROR(__xludf.DUMMYFUNCTION("""COMPUTED_VALUE"""),213000.0)</f>
        <v>213000</v>
      </c>
    </row>
    <row r="1455">
      <c r="A1455" s="2">
        <f>IFERROR(__xludf.DUMMYFUNCTION("""COMPUTED_VALUE"""),42703.64583333333)</f>
        <v>42703.64583</v>
      </c>
      <c r="B1455" s="1">
        <f>IFERROR(__xludf.DUMMYFUNCTION("""COMPUTED_VALUE"""),15920.0)</f>
        <v>15920</v>
      </c>
      <c r="C1455" s="1">
        <f>IFERROR(__xludf.DUMMYFUNCTION("""COMPUTED_VALUE"""),16220.0)</f>
        <v>16220</v>
      </c>
      <c r="D1455" s="1">
        <f>IFERROR(__xludf.DUMMYFUNCTION("""COMPUTED_VALUE"""),15820.0)</f>
        <v>15820</v>
      </c>
      <c r="E1455" s="1">
        <f>IFERROR(__xludf.DUMMYFUNCTION("""COMPUTED_VALUE"""),15960.0)</f>
        <v>15960</v>
      </c>
      <c r="F1455" s="1">
        <f>IFERROR(__xludf.DUMMYFUNCTION("""COMPUTED_VALUE"""),193718.0)</f>
        <v>193718</v>
      </c>
    </row>
    <row r="1456">
      <c r="A1456" s="2">
        <f>IFERROR(__xludf.DUMMYFUNCTION("""COMPUTED_VALUE"""),42704.64583333333)</f>
        <v>42704.64583</v>
      </c>
      <c r="B1456" s="1">
        <f>IFERROR(__xludf.DUMMYFUNCTION("""COMPUTED_VALUE"""),15900.0)</f>
        <v>15900</v>
      </c>
      <c r="C1456" s="1">
        <f>IFERROR(__xludf.DUMMYFUNCTION("""COMPUTED_VALUE"""),15980.0)</f>
        <v>15980</v>
      </c>
      <c r="D1456" s="1">
        <f>IFERROR(__xludf.DUMMYFUNCTION("""COMPUTED_VALUE"""),15540.0)</f>
        <v>15540</v>
      </c>
      <c r="E1456" s="1">
        <f>IFERROR(__xludf.DUMMYFUNCTION("""COMPUTED_VALUE"""),15540.0)</f>
        <v>15540</v>
      </c>
      <c r="F1456" s="1">
        <f>IFERROR(__xludf.DUMMYFUNCTION("""COMPUTED_VALUE"""),255953.0)</f>
        <v>255953</v>
      </c>
    </row>
    <row r="1457">
      <c r="A1457" s="2">
        <f>IFERROR(__xludf.DUMMYFUNCTION("""COMPUTED_VALUE"""),42705.64583333333)</f>
        <v>42705.64583</v>
      </c>
      <c r="B1457" s="1">
        <f>IFERROR(__xludf.DUMMYFUNCTION("""COMPUTED_VALUE"""),15460.0)</f>
        <v>15460</v>
      </c>
      <c r="C1457" s="1">
        <f>IFERROR(__xludf.DUMMYFUNCTION("""COMPUTED_VALUE"""),15740.0)</f>
        <v>15740</v>
      </c>
      <c r="D1457" s="1">
        <f>IFERROR(__xludf.DUMMYFUNCTION("""COMPUTED_VALUE"""),15340.0)</f>
        <v>15340</v>
      </c>
      <c r="E1457" s="1">
        <f>IFERROR(__xludf.DUMMYFUNCTION("""COMPUTED_VALUE"""),15340.0)</f>
        <v>15340</v>
      </c>
      <c r="F1457" s="1">
        <f>IFERROR(__xludf.DUMMYFUNCTION("""COMPUTED_VALUE"""),188500.0)</f>
        <v>188500</v>
      </c>
    </row>
    <row r="1458">
      <c r="A1458" s="2">
        <f>IFERROR(__xludf.DUMMYFUNCTION("""COMPUTED_VALUE"""),42706.64583333333)</f>
        <v>42706.64583</v>
      </c>
      <c r="B1458" s="1">
        <f>IFERROR(__xludf.DUMMYFUNCTION("""COMPUTED_VALUE"""),15340.0)</f>
        <v>15340</v>
      </c>
      <c r="C1458" s="1">
        <f>IFERROR(__xludf.DUMMYFUNCTION("""COMPUTED_VALUE"""),15440.0)</f>
        <v>15440</v>
      </c>
      <c r="D1458" s="1">
        <f>IFERROR(__xludf.DUMMYFUNCTION("""COMPUTED_VALUE"""),15040.0)</f>
        <v>15040</v>
      </c>
      <c r="E1458" s="1">
        <f>IFERROR(__xludf.DUMMYFUNCTION("""COMPUTED_VALUE"""),15060.0)</f>
        <v>15060</v>
      </c>
      <c r="F1458" s="1">
        <f>IFERROR(__xludf.DUMMYFUNCTION("""COMPUTED_VALUE"""),189997.0)</f>
        <v>189997</v>
      </c>
    </row>
    <row r="1459">
      <c r="A1459" s="2">
        <f>IFERROR(__xludf.DUMMYFUNCTION("""COMPUTED_VALUE"""),42709.64583333333)</f>
        <v>42709.64583</v>
      </c>
      <c r="B1459" s="1">
        <f>IFERROR(__xludf.DUMMYFUNCTION("""COMPUTED_VALUE"""),14940.0)</f>
        <v>14940</v>
      </c>
      <c r="C1459" s="1">
        <f>IFERROR(__xludf.DUMMYFUNCTION("""COMPUTED_VALUE"""),15360.0)</f>
        <v>15360</v>
      </c>
      <c r="D1459" s="1">
        <f>IFERROR(__xludf.DUMMYFUNCTION("""COMPUTED_VALUE"""),14860.0)</f>
        <v>14860</v>
      </c>
      <c r="E1459" s="1">
        <f>IFERROR(__xludf.DUMMYFUNCTION("""COMPUTED_VALUE"""),14940.0)</f>
        <v>14940</v>
      </c>
      <c r="F1459" s="1">
        <f>IFERROR(__xludf.DUMMYFUNCTION("""COMPUTED_VALUE"""),192995.0)</f>
        <v>192995</v>
      </c>
    </row>
    <row r="1460">
      <c r="A1460" s="2">
        <f>IFERROR(__xludf.DUMMYFUNCTION("""COMPUTED_VALUE"""),42710.64583333333)</f>
        <v>42710.64583</v>
      </c>
      <c r="B1460" s="1">
        <f>IFERROR(__xludf.DUMMYFUNCTION("""COMPUTED_VALUE"""),15100.0)</f>
        <v>15100</v>
      </c>
      <c r="C1460" s="1">
        <f>IFERROR(__xludf.DUMMYFUNCTION("""COMPUTED_VALUE"""),15240.0)</f>
        <v>15240</v>
      </c>
      <c r="D1460" s="1">
        <f>IFERROR(__xludf.DUMMYFUNCTION("""COMPUTED_VALUE"""),14940.0)</f>
        <v>14940</v>
      </c>
      <c r="E1460" s="1">
        <f>IFERROR(__xludf.DUMMYFUNCTION("""COMPUTED_VALUE"""),15020.0)</f>
        <v>15020</v>
      </c>
      <c r="F1460" s="1">
        <f>IFERROR(__xludf.DUMMYFUNCTION("""COMPUTED_VALUE"""),133357.0)</f>
        <v>133357</v>
      </c>
    </row>
    <row r="1461">
      <c r="A1461" s="2">
        <f>IFERROR(__xludf.DUMMYFUNCTION("""COMPUTED_VALUE"""),42711.64583333333)</f>
        <v>42711.64583</v>
      </c>
      <c r="B1461" s="1">
        <f>IFERROR(__xludf.DUMMYFUNCTION("""COMPUTED_VALUE"""),14960.0)</f>
        <v>14960</v>
      </c>
      <c r="C1461" s="1">
        <f>IFERROR(__xludf.DUMMYFUNCTION("""COMPUTED_VALUE"""),15120.0)</f>
        <v>15120</v>
      </c>
      <c r="D1461" s="1">
        <f>IFERROR(__xludf.DUMMYFUNCTION("""COMPUTED_VALUE"""),14960.0)</f>
        <v>14960</v>
      </c>
      <c r="E1461" s="1">
        <f>IFERROR(__xludf.DUMMYFUNCTION("""COMPUTED_VALUE"""),15020.0)</f>
        <v>15020</v>
      </c>
      <c r="F1461" s="1">
        <f>IFERROR(__xludf.DUMMYFUNCTION("""COMPUTED_VALUE"""),115644.0)</f>
        <v>115644</v>
      </c>
    </row>
    <row r="1462">
      <c r="A1462" s="2">
        <f>IFERROR(__xludf.DUMMYFUNCTION("""COMPUTED_VALUE"""),42712.64583333333)</f>
        <v>42712.64583</v>
      </c>
      <c r="B1462" s="1">
        <f>IFERROR(__xludf.DUMMYFUNCTION("""COMPUTED_VALUE"""),15180.0)</f>
        <v>15180</v>
      </c>
      <c r="C1462" s="1">
        <f>IFERROR(__xludf.DUMMYFUNCTION("""COMPUTED_VALUE"""),15440.0)</f>
        <v>15440</v>
      </c>
      <c r="D1462" s="1">
        <f>IFERROR(__xludf.DUMMYFUNCTION("""COMPUTED_VALUE"""),15080.0)</f>
        <v>15080</v>
      </c>
      <c r="E1462" s="1">
        <f>IFERROR(__xludf.DUMMYFUNCTION("""COMPUTED_VALUE"""),15260.0)</f>
        <v>15260</v>
      </c>
      <c r="F1462" s="1">
        <f>IFERROR(__xludf.DUMMYFUNCTION("""COMPUTED_VALUE"""),200443.0)</f>
        <v>200443</v>
      </c>
    </row>
    <row r="1463">
      <c r="A1463" s="2">
        <f>IFERROR(__xludf.DUMMYFUNCTION("""COMPUTED_VALUE"""),42713.64583333333)</f>
        <v>42713.64583</v>
      </c>
      <c r="B1463" s="1">
        <f>IFERROR(__xludf.DUMMYFUNCTION("""COMPUTED_VALUE"""),15260.0)</f>
        <v>15260</v>
      </c>
      <c r="C1463" s="1">
        <f>IFERROR(__xludf.DUMMYFUNCTION("""COMPUTED_VALUE"""),15880.0)</f>
        <v>15880</v>
      </c>
      <c r="D1463" s="1">
        <f>IFERROR(__xludf.DUMMYFUNCTION("""COMPUTED_VALUE"""),15200.0)</f>
        <v>15200</v>
      </c>
      <c r="E1463" s="1">
        <f>IFERROR(__xludf.DUMMYFUNCTION("""COMPUTED_VALUE"""),15880.0)</f>
        <v>15880</v>
      </c>
      <c r="F1463" s="1">
        <f>IFERROR(__xludf.DUMMYFUNCTION("""COMPUTED_VALUE"""),300441.0)</f>
        <v>300441</v>
      </c>
    </row>
    <row r="1464">
      <c r="A1464" s="2">
        <f>IFERROR(__xludf.DUMMYFUNCTION("""COMPUTED_VALUE"""),42716.64583333333)</f>
        <v>42716.64583</v>
      </c>
      <c r="B1464" s="1">
        <f>IFERROR(__xludf.DUMMYFUNCTION("""COMPUTED_VALUE"""),16000.0)</f>
        <v>16000</v>
      </c>
      <c r="C1464" s="1">
        <f>IFERROR(__xludf.DUMMYFUNCTION("""COMPUTED_VALUE"""),16120.0)</f>
        <v>16120</v>
      </c>
      <c r="D1464" s="1">
        <f>IFERROR(__xludf.DUMMYFUNCTION("""COMPUTED_VALUE"""),15740.0)</f>
        <v>15740</v>
      </c>
      <c r="E1464" s="1">
        <f>IFERROR(__xludf.DUMMYFUNCTION("""COMPUTED_VALUE"""),15920.0)</f>
        <v>15920</v>
      </c>
      <c r="F1464" s="1">
        <f>IFERROR(__xludf.DUMMYFUNCTION("""COMPUTED_VALUE"""),314933.0)</f>
        <v>314933</v>
      </c>
    </row>
    <row r="1465">
      <c r="A1465" s="2">
        <f>IFERROR(__xludf.DUMMYFUNCTION("""COMPUTED_VALUE"""),42717.64583333333)</f>
        <v>42717.64583</v>
      </c>
      <c r="B1465" s="1">
        <f>IFERROR(__xludf.DUMMYFUNCTION("""COMPUTED_VALUE"""),15920.0)</f>
        <v>15920</v>
      </c>
      <c r="C1465" s="1">
        <f>IFERROR(__xludf.DUMMYFUNCTION("""COMPUTED_VALUE"""),15960.0)</f>
        <v>15960</v>
      </c>
      <c r="D1465" s="1">
        <f>IFERROR(__xludf.DUMMYFUNCTION("""COMPUTED_VALUE"""),15680.0)</f>
        <v>15680</v>
      </c>
      <c r="E1465" s="1">
        <f>IFERROR(__xludf.DUMMYFUNCTION("""COMPUTED_VALUE"""),15840.0)</f>
        <v>15840</v>
      </c>
      <c r="F1465" s="1">
        <f>IFERROR(__xludf.DUMMYFUNCTION("""COMPUTED_VALUE"""),191517.0)</f>
        <v>191517</v>
      </c>
    </row>
    <row r="1466">
      <c r="A1466" s="2">
        <f>IFERROR(__xludf.DUMMYFUNCTION("""COMPUTED_VALUE"""),42718.64583333333)</f>
        <v>42718.64583</v>
      </c>
      <c r="B1466" s="1">
        <f>IFERROR(__xludf.DUMMYFUNCTION("""COMPUTED_VALUE"""),15980.0)</f>
        <v>15980</v>
      </c>
      <c r="C1466" s="1">
        <f>IFERROR(__xludf.DUMMYFUNCTION("""COMPUTED_VALUE"""),16200.0)</f>
        <v>16200</v>
      </c>
      <c r="D1466" s="1">
        <f>IFERROR(__xludf.DUMMYFUNCTION("""COMPUTED_VALUE"""),15740.0)</f>
        <v>15740</v>
      </c>
      <c r="E1466" s="1">
        <f>IFERROR(__xludf.DUMMYFUNCTION("""COMPUTED_VALUE"""),15740.0)</f>
        <v>15740</v>
      </c>
      <c r="F1466" s="1">
        <f>IFERROR(__xludf.DUMMYFUNCTION("""COMPUTED_VALUE"""),281848.0)</f>
        <v>281848</v>
      </c>
    </row>
    <row r="1467">
      <c r="A1467" s="2">
        <f>IFERROR(__xludf.DUMMYFUNCTION("""COMPUTED_VALUE"""),42719.64583333333)</f>
        <v>42719.64583</v>
      </c>
      <c r="B1467" s="1">
        <f>IFERROR(__xludf.DUMMYFUNCTION("""COMPUTED_VALUE"""),15740.0)</f>
        <v>15740</v>
      </c>
      <c r="C1467" s="1">
        <f>IFERROR(__xludf.DUMMYFUNCTION("""COMPUTED_VALUE"""),15860.0)</f>
        <v>15860</v>
      </c>
      <c r="D1467" s="1">
        <f>IFERROR(__xludf.DUMMYFUNCTION("""COMPUTED_VALUE"""),15460.0)</f>
        <v>15460</v>
      </c>
      <c r="E1467" s="1">
        <f>IFERROR(__xludf.DUMMYFUNCTION("""COMPUTED_VALUE"""),15620.0)</f>
        <v>15620</v>
      </c>
      <c r="F1467" s="1">
        <f>IFERROR(__xludf.DUMMYFUNCTION("""COMPUTED_VALUE"""),179990.0)</f>
        <v>179990</v>
      </c>
    </row>
    <row r="1468">
      <c r="A1468" s="2">
        <f>IFERROR(__xludf.DUMMYFUNCTION("""COMPUTED_VALUE"""),42720.64583333333)</f>
        <v>42720.64583</v>
      </c>
      <c r="B1468" s="1">
        <f>IFERROR(__xludf.DUMMYFUNCTION("""COMPUTED_VALUE"""),15660.0)</f>
        <v>15660</v>
      </c>
      <c r="C1468" s="1">
        <f>IFERROR(__xludf.DUMMYFUNCTION("""COMPUTED_VALUE"""),15680.0)</f>
        <v>15680</v>
      </c>
      <c r="D1468" s="1">
        <f>IFERROR(__xludf.DUMMYFUNCTION("""COMPUTED_VALUE"""),15480.0)</f>
        <v>15480</v>
      </c>
      <c r="E1468" s="1">
        <f>IFERROR(__xludf.DUMMYFUNCTION("""COMPUTED_VALUE"""),15500.0)</f>
        <v>15500</v>
      </c>
      <c r="F1468" s="1">
        <f>IFERROR(__xludf.DUMMYFUNCTION("""COMPUTED_VALUE"""),141183.0)</f>
        <v>141183</v>
      </c>
    </row>
    <row r="1469">
      <c r="A1469" s="2">
        <f>IFERROR(__xludf.DUMMYFUNCTION("""COMPUTED_VALUE"""),42723.64583333333)</f>
        <v>42723.64583</v>
      </c>
      <c r="B1469" s="1">
        <f>IFERROR(__xludf.DUMMYFUNCTION("""COMPUTED_VALUE"""),15540.0)</f>
        <v>15540</v>
      </c>
      <c r="C1469" s="1">
        <f>IFERROR(__xludf.DUMMYFUNCTION("""COMPUTED_VALUE"""),15860.0)</f>
        <v>15860</v>
      </c>
      <c r="D1469" s="1">
        <f>IFERROR(__xludf.DUMMYFUNCTION("""COMPUTED_VALUE"""),15540.0)</f>
        <v>15540</v>
      </c>
      <c r="E1469" s="1">
        <f>IFERROR(__xludf.DUMMYFUNCTION("""COMPUTED_VALUE"""),15640.0)</f>
        <v>15640</v>
      </c>
      <c r="F1469" s="1">
        <f>IFERROR(__xludf.DUMMYFUNCTION("""COMPUTED_VALUE"""),151456.0)</f>
        <v>151456</v>
      </c>
    </row>
    <row r="1470">
      <c r="A1470" s="2">
        <f>IFERROR(__xludf.DUMMYFUNCTION("""COMPUTED_VALUE"""),42724.64583333333)</f>
        <v>42724.64583</v>
      </c>
      <c r="B1470" s="1">
        <f>IFERROR(__xludf.DUMMYFUNCTION("""COMPUTED_VALUE"""),15660.0)</f>
        <v>15660</v>
      </c>
      <c r="C1470" s="1">
        <f>IFERROR(__xludf.DUMMYFUNCTION("""COMPUTED_VALUE"""),15820.0)</f>
        <v>15820</v>
      </c>
      <c r="D1470" s="1">
        <f>IFERROR(__xludf.DUMMYFUNCTION("""COMPUTED_VALUE"""),15380.0)</f>
        <v>15380</v>
      </c>
      <c r="E1470" s="1">
        <f>IFERROR(__xludf.DUMMYFUNCTION("""COMPUTED_VALUE"""),15380.0)</f>
        <v>15380</v>
      </c>
      <c r="F1470" s="1">
        <f>IFERROR(__xludf.DUMMYFUNCTION("""COMPUTED_VALUE"""),175499.0)</f>
        <v>175499</v>
      </c>
    </row>
    <row r="1471">
      <c r="A1471" s="2">
        <f>IFERROR(__xludf.DUMMYFUNCTION("""COMPUTED_VALUE"""),42725.64583333333)</f>
        <v>42725.64583</v>
      </c>
      <c r="B1471" s="1">
        <f>IFERROR(__xludf.DUMMYFUNCTION("""COMPUTED_VALUE"""),15480.0)</f>
        <v>15480</v>
      </c>
      <c r="C1471" s="1">
        <f>IFERROR(__xludf.DUMMYFUNCTION("""COMPUTED_VALUE"""),15480.0)</f>
        <v>15480</v>
      </c>
      <c r="D1471" s="1">
        <f>IFERROR(__xludf.DUMMYFUNCTION("""COMPUTED_VALUE"""),15220.0)</f>
        <v>15220</v>
      </c>
      <c r="E1471" s="1">
        <f>IFERROR(__xludf.DUMMYFUNCTION("""COMPUTED_VALUE"""),15220.0)</f>
        <v>15220</v>
      </c>
      <c r="F1471" s="1">
        <f>IFERROR(__xludf.DUMMYFUNCTION("""COMPUTED_VALUE"""),207737.0)</f>
        <v>207737</v>
      </c>
    </row>
    <row r="1472">
      <c r="A1472" s="2">
        <f>IFERROR(__xludf.DUMMYFUNCTION("""COMPUTED_VALUE"""),42726.64583333333)</f>
        <v>42726.64583</v>
      </c>
      <c r="B1472" s="1">
        <f>IFERROR(__xludf.DUMMYFUNCTION("""COMPUTED_VALUE"""),15300.0)</f>
        <v>15300</v>
      </c>
      <c r="C1472" s="1">
        <f>IFERROR(__xludf.DUMMYFUNCTION("""COMPUTED_VALUE"""),15380.0)</f>
        <v>15380</v>
      </c>
      <c r="D1472" s="1">
        <f>IFERROR(__xludf.DUMMYFUNCTION("""COMPUTED_VALUE"""),14960.0)</f>
        <v>14960</v>
      </c>
      <c r="E1472" s="1">
        <f>IFERROR(__xludf.DUMMYFUNCTION("""COMPUTED_VALUE"""),14960.0)</f>
        <v>14960</v>
      </c>
      <c r="F1472" s="1">
        <f>IFERROR(__xludf.DUMMYFUNCTION("""COMPUTED_VALUE"""),276108.0)</f>
        <v>276108</v>
      </c>
    </row>
    <row r="1473">
      <c r="A1473" s="2">
        <f>IFERROR(__xludf.DUMMYFUNCTION("""COMPUTED_VALUE"""),42727.64583333333)</f>
        <v>42727.64583</v>
      </c>
      <c r="B1473" s="1">
        <f>IFERROR(__xludf.DUMMYFUNCTION("""COMPUTED_VALUE"""),15100.0)</f>
        <v>15100</v>
      </c>
      <c r="C1473" s="1">
        <f>IFERROR(__xludf.DUMMYFUNCTION("""COMPUTED_VALUE"""),15180.0)</f>
        <v>15180</v>
      </c>
      <c r="D1473" s="1">
        <f>IFERROR(__xludf.DUMMYFUNCTION("""COMPUTED_VALUE"""),14900.0)</f>
        <v>14900</v>
      </c>
      <c r="E1473" s="1">
        <f>IFERROR(__xludf.DUMMYFUNCTION("""COMPUTED_VALUE"""),15000.0)</f>
        <v>15000</v>
      </c>
      <c r="F1473" s="1">
        <f>IFERROR(__xludf.DUMMYFUNCTION("""COMPUTED_VALUE"""),267841.0)</f>
        <v>267841</v>
      </c>
    </row>
    <row r="1474">
      <c r="A1474" s="2">
        <f>IFERROR(__xludf.DUMMYFUNCTION("""COMPUTED_VALUE"""),42730.64583333333)</f>
        <v>42730.64583</v>
      </c>
      <c r="B1474" s="1">
        <f>IFERROR(__xludf.DUMMYFUNCTION("""COMPUTED_VALUE"""),15000.0)</f>
        <v>15000</v>
      </c>
      <c r="C1474" s="1">
        <f>IFERROR(__xludf.DUMMYFUNCTION("""COMPUTED_VALUE"""),15160.0)</f>
        <v>15160</v>
      </c>
      <c r="D1474" s="1">
        <f>IFERROR(__xludf.DUMMYFUNCTION("""COMPUTED_VALUE"""),15000.0)</f>
        <v>15000</v>
      </c>
      <c r="E1474" s="1">
        <f>IFERROR(__xludf.DUMMYFUNCTION("""COMPUTED_VALUE"""),15020.0)</f>
        <v>15020</v>
      </c>
      <c r="F1474" s="1">
        <f>IFERROR(__xludf.DUMMYFUNCTION("""COMPUTED_VALUE"""),132251.0)</f>
        <v>132251</v>
      </c>
    </row>
    <row r="1475">
      <c r="A1475" s="2">
        <f>IFERROR(__xludf.DUMMYFUNCTION("""COMPUTED_VALUE"""),42731.64583333333)</f>
        <v>42731.64583</v>
      </c>
      <c r="B1475" s="1">
        <f>IFERROR(__xludf.DUMMYFUNCTION("""COMPUTED_VALUE"""),15100.0)</f>
        <v>15100</v>
      </c>
      <c r="C1475" s="1">
        <f>IFERROR(__xludf.DUMMYFUNCTION("""COMPUTED_VALUE"""),15120.0)</f>
        <v>15120</v>
      </c>
      <c r="D1475" s="1">
        <f>IFERROR(__xludf.DUMMYFUNCTION("""COMPUTED_VALUE"""),14920.0)</f>
        <v>14920</v>
      </c>
      <c r="E1475" s="1">
        <f>IFERROR(__xludf.DUMMYFUNCTION("""COMPUTED_VALUE"""),14960.0)</f>
        <v>14960</v>
      </c>
      <c r="F1475" s="1">
        <f>IFERROR(__xludf.DUMMYFUNCTION("""COMPUTED_VALUE"""),236974.0)</f>
        <v>236974</v>
      </c>
    </row>
    <row r="1476">
      <c r="A1476" s="2">
        <f>IFERROR(__xludf.DUMMYFUNCTION("""COMPUTED_VALUE"""),42732.64583333333)</f>
        <v>42732.64583</v>
      </c>
      <c r="B1476" s="1">
        <f>IFERROR(__xludf.DUMMYFUNCTION("""COMPUTED_VALUE"""),15000.0)</f>
        <v>15000</v>
      </c>
      <c r="C1476" s="1">
        <f>IFERROR(__xludf.DUMMYFUNCTION("""COMPUTED_VALUE"""),15180.0)</f>
        <v>15180</v>
      </c>
      <c r="D1476" s="1">
        <f>IFERROR(__xludf.DUMMYFUNCTION("""COMPUTED_VALUE"""),14940.0)</f>
        <v>14940</v>
      </c>
      <c r="E1476" s="1">
        <f>IFERROR(__xludf.DUMMYFUNCTION("""COMPUTED_VALUE"""),15100.0)</f>
        <v>15100</v>
      </c>
      <c r="F1476" s="1">
        <f>IFERROR(__xludf.DUMMYFUNCTION("""COMPUTED_VALUE"""),201595.0)</f>
        <v>201595</v>
      </c>
    </row>
    <row r="1477">
      <c r="A1477" s="2">
        <f>IFERROR(__xludf.DUMMYFUNCTION("""COMPUTED_VALUE"""),42733.64583333333)</f>
        <v>42733.64583</v>
      </c>
      <c r="B1477" s="1">
        <f>IFERROR(__xludf.DUMMYFUNCTION("""COMPUTED_VALUE"""),15140.0)</f>
        <v>15140</v>
      </c>
      <c r="C1477" s="1">
        <f>IFERROR(__xludf.DUMMYFUNCTION("""COMPUTED_VALUE"""),15400.0)</f>
        <v>15400</v>
      </c>
      <c r="D1477" s="1">
        <f>IFERROR(__xludf.DUMMYFUNCTION("""COMPUTED_VALUE"""),15060.0)</f>
        <v>15060</v>
      </c>
      <c r="E1477" s="1">
        <f>IFERROR(__xludf.DUMMYFUNCTION("""COMPUTED_VALUE"""),15400.0)</f>
        <v>15400</v>
      </c>
      <c r="F1477" s="1">
        <f>IFERROR(__xludf.DUMMYFUNCTION("""COMPUTED_VALUE"""),201605.0)</f>
        <v>201605</v>
      </c>
    </row>
    <row r="1478">
      <c r="A1478" s="2">
        <f>IFERROR(__xludf.DUMMYFUNCTION("""COMPUTED_VALUE"""),42737.64583333333)</f>
        <v>42737.64583</v>
      </c>
      <c r="B1478" s="1">
        <f>IFERROR(__xludf.DUMMYFUNCTION("""COMPUTED_VALUE"""),15480.0)</f>
        <v>15480</v>
      </c>
      <c r="C1478" s="1">
        <f>IFERROR(__xludf.DUMMYFUNCTION("""COMPUTED_VALUE"""),15520.0)</f>
        <v>15520</v>
      </c>
      <c r="D1478" s="1">
        <f>IFERROR(__xludf.DUMMYFUNCTION("""COMPUTED_VALUE"""),15320.0)</f>
        <v>15320</v>
      </c>
      <c r="E1478" s="1">
        <f>IFERROR(__xludf.DUMMYFUNCTION("""COMPUTED_VALUE"""),15340.0)</f>
        <v>15340</v>
      </c>
      <c r="F1478" s="1">
        <f>IFERROR(__xludf.DUMMYFUNCTION("""COMPUTED_VALUE"""),143140.0)</f>
        <v>143140</v>
      </c>
    </row>
    <row r="1479">
      <c r="A1479" s="2">
        <f>IFERROR(__xludf.DUMMYFUNCTION("""COMPUTED_VALUE"""),42738.64583333333)</f>
        <v>42738.64583</v>
      </c>
      <c r="B1479" s="1">
        <f>IFERROR(__xludf.DUMMYFUNCTION("""COMPUTED_VALUE"""),15440.0)</f>
        <v>15440</v>
      </c>
      <c r="C1479" s="1">
        <f>IFERROR(__xludf.DUMMYFUNCTION("""COMPUTED_VALUE"""),16000.0)</f>
        <v>16000</v>
      </c>
      <c r="D1479" s="1">
        <f>IFERROR(__xludf.DUMMYFUNCTION("""COMPUTED_VALUE"""),15400.0)</f>
        <v>15400</v>
      </c>
      <c r="E1479" s="1">
        <f>IFERROR(__xludf.DUMMYFUNCTION("""COMPUTED_VALUE"""),16000.0)</f>
        <v>16000</v>
      </c>
      <c r="F1479" s="1">
        <f>IFERROR(__xludf.DUMMYFUNCTION("""COMPUTED_VALUE"""),445180.0)</f>
        <v>445180</v>
      </c>
    </row>
    <row r="1480">
      <c r="A1480" s="2">
        <f>IFERROR(__xludf.DUMMYFUNCTION("""COMPUTED_VALUE"""),42739.64583333333)</f>
        <v>42739.64583</v>
      </c>
      <c r="B1480" s="1">
        <f>IFERROR(__xludf.DUMMYFUNCTION("""COMPUTED_VALUE"""),16080.0)</f>
        <v>16080</v>
      </c>
      <c r="C1480" s="1">
        <f>IFERROR(__xludf.DUMMYFUNCTION("""COMPUTED_VALUE"""),17020.0)</f>
        <v>17020</v>
      </c>
      <c r="D1480" s="1">
        <f>IFERROR(__xludf.DUMMYFUNCTION("""COMPUTED_VALUE"""),16060.0)</f>
        <v>16060</v>
      </c>
      <c r="E1480" s="1">
        <f>IFERROR(__xludf.DUMMYFUNCTION("""COMPUTED_VALUE"""),16860.0)</f>
        <v>16860</v>
      </c>
      <c r="F1480" s="1">
        <f>IFERROR(__xludf.DUMMYFUNCTION("""COMPUTED_VALUE"""),1224395.0)</f>
        <v>1224395</v>
      </c>
    </row>
    <row r="1481">
      <c r="A1481" s="2">
        <f>IFERROR(__xludf.DUMMYFUNCTION("""COMPUTED_VALUE"""),42740.64583333333)</f>
        <v>42740.64583</v>
      </c>
      <c r="B1481" s="1">
        <f>IFERROR(__xludf.DUMMYFUNCTION("""COMPUTED_VALUE"""),17000.0)</f>
        <v>17000</v>
      </c>
      <c r="C1481" s="1">
        <f>IFERROR(__xludf.DUMMYFUNCTION("""COMPUTED_VALUE"""),17200.0)</f>
        <v>17200</v>
      </c>
      <c r="D1481" s="1">
        <f>IFERROR(__xludf.DUMMYFUNCTION("""COMPUTED_VALUE"""),16800.0)</f>
        <v>16800</v>
      </c>
      <c r="E1481" s="1">
        <f>IFERROR(__xludf.DUMMYFUNCTION("""COMPUTED_VALUE"""),16800.0)</f>
        <v>16800</v>
      </c>
      <c r="F1481" s="1">
        <f>IFERROR(__xludf.DUMMYFUNCTION("""COMPUTED_VALUE"""),611713.0)</f>
        <v>611713</v>
      </c>
    </row>
    <row r="1482">
      <c r="A1482" s="2">
        <f>IFERROR(__xludf.DUMMYFUNCTION("""COMPUTED_VALUE"""),42741.64583333333)</f>
        <v>42741.64583</v>
      </c>
      <c r="B1482" s="1">
        <f>IFERROR(__xludf.DUMMYFUNCTION("""COMPUTED_VALUE"""),16880.0)</f>
        <v>16880</v>
      </c>
      <c r="C1482" s="1">
        <f>IFERROR(__xludf.DUMMYFUNCTION("""COMPUTED_VALUE"""),16900.0)</f>
        <v>16900</v>
      </c>
      <c r="D1482" s="1">
        <f>IFERROR(__xludf.DUMMYFUNCTION("""COMPUTED_VALUE"""),16440.0)</f>
        <v>16440</v>
      </c>
      <c r="E1482" s="1">
        <f>IFERROR(__xludf.DUMMYFUNCTION("""COMPUTED_VALUE"""),16740.0)</f>
        <v>16740</v>
      </c>
      <c r="F1482" s="1">
        <f>IFERROR(__xludf.DUMMYFUNCTION("""COMPUTED_VALUE"""),410880.0)</f>
        <v>410880</v>
      </c>
    </row>
    <row r="1483">
      <c r="A1483" s="2">
        <f>IFERROR(__xludf.DUMMYFUNCTION("""COMPUTED_VALUE"""),42744.64583333333)</f>
        <v>42744.64583</v>
      </c>
      <c r="B1483" s="1">
        <f>IFERROR(__xludf.DUMMYFUNCTION("""COMPUTED_VALUE"""),16840.0)</f>
        <v>16840</v>
      </c>
      <c r="C1483" s="1">
        <f>IFERROR(__xludf.DUMMYFUNCTION("""COMPUTED_VALUE"""),16900.0)</f>
        <v>16900</v>
      </c>
      <c r="D1483" s="1">
        <f>IFERROR(__xludf.DUMMYFUNCTION("""COMPUTED_VALUE"""),16500.0)</f>
        <v>16500</v>
      </c>
      <c r="E1483" s="1">
        <f>IFERROR(__xludf.DUMMYFUNCTION("""COMPUTED_VALUE"""),16560.0)</f>
        <v>16560</v>
      </c>
      <c r="F1483" s="1">
        <f>IFERROR(__xludf.DUMMYFUNCTION("""COMPUTED_VALUE"""),236036.0)</f>
        <v>236036</v>
      </c>
    </row>
    <row r="1484">
      <c r="A1484" s="2">
        <f>IFERROR(__xludf.DUMMYFUNCTION("""COMPUTED_VALUE"""),42745.64583333333)</f>
        <v>42745.64583</v>
      </c>
      <c r="B1484" s="1">
        <f>IFERROR(__xludf.DUMMYFUNCTION("""COMPUTED_VALUE"""),16520.0)</f>
        <v>16520</v>
      </c>
      <c r="C1484" s="1">
        <f>IFERROR(__xludf.DUMMYFUNCTION("""COMPUTED_VALUE"""),16700.0)</f>
        <v>16700</v>
      </c>
      <c r="D1484" s="1">
        <f>IFERROR(__xludf.DUMMYFUNCTION("""COMPUTED_VALUE"""),16300.0)</f>
        <v>16300</v>
      </c>
      <c r="E1484" s="1">
        <f>IFERROR(__xludf.DUMMYFUNCTION("""COMPUTED_VALUE"""),16400.0)</f>
        <v>16400</v>
      </c>
      <c r="F1484" s="1">
        <f>IFERROR(__xludf.DUMMYFUNCTION("""COMPUTED_VALUE"""),329302.0)</f>
        <v>329302</v>
      </c>
    </row>
    <row r="1485">
      <c r="A1485" s="2">
        <f>IFERROR(__xludf.DUMMYFUNCTION("""COMPUTED_VALUE"""),42746.64583333333)</f>
        <v>42746.64583</v>
      </c>
      <c r="B1485" s="1">
        <f>IFERROR(__xludf.DUMMYFUNCTION("""COMPUTED_VALUE"""),16400.0)</f>
        <v>16400</v>
      </c>
      <c r="C1485" s="1">
        <f>IFERROR(__xludf.DUMMYFUNCTION("""COMPUTED_VALUE"""),16740.0)</f>
        <v>16740</v>
      </c>
      <c r="D1485" s="1">
        <f>IFERROR(__xludf.DUMMYFUNCTION("""COMPUTED_VALUE"""),16320.0)</f>
        <v>16320</v>
      </c>
      <c r="E1485" s="1">
        <f>IFERROR(__xludf.DUMMYFUNCTION("""COMPUTED_VALUE"""),16640.0)</f>
        <v>16640</v>
      </c>
      <c r="F1485" s="1">
        <f>IFERROR(__xludf.DUMMYFUNCTION("""COMPUTED_VALUE"""),270488.0)</f>
        <v>270488</v>
      </c>
    </row>
    <row r="1486">
      <c r="A1486" s="2">
        <f>IFERROR(__xludf.DUMMYFUNCTION("""COMPUTED_VALUE"""),42747.64583333333)</f>
        <v>42747.64583</v>
      </c>
      <c r="B1486" s="1">
        <f>IFERROR(__xludf.DUMMYFUNCTION("""COMPUTED_VALUE"""),16700.0)</f>
        <v>16700</v>
      </c>
      <c r="C1486" s="1">
        <f>IFERROR(__xludf.DUMMYFUNCTION("""COMPUTED_VALUE"""),16740.0)</f>
        <v>16740</v>
      </c>
      <c r="D1486" s="1">
        <f>IFERROR(__xludf.DUMMYFUNCTION("""COMPUTED_VALUE"""),16380.0)</f>
        <v>16380</v>
      </c>
      <c r="E1486" s="1">
        <f>IFERROR(__xludf.DUMMYFUNCTION("""COMPUTED_VALUE"""),16380.0)</f>
        <v>16380</v>
      </c>
      <c r="F1486" s="1">
        <f>IFERROR(__xludf.DUMMYFUNCTION("""COMPUTED_VALUE"""),251638.0)</f>
        <v>251638</v>
      </c>
    </row>
    <row r="1487">
      <c r="A1487" s="2">
        <f>IFERROR(__xludf.DUMMYFUNCTION("""COMPUTED_VALUE"""),42748.64583333333)</f>
        <v>42748.64583</v>
      </c>
      <c r="B1487" s="1">
        <f>IFERROR(__xludf.DUMMYFUNCTION("""COMPUTED_VALUE"""),16380.0)</f>
        <v>16380</v>
      </c>
      <c r="C1487" s="1">
        <f>IFERROR(__xludf.DUMMYFUNCTION("""COMPUTED_VALUE"""),16880.0)</f>
        <v>16880</v>
      </c>
      <c r="D1487" s="1">
        <f>IFERROR(__xludf.DUMMYFUNCTION("""COMPUTED_VALUE"""),16320.0)</f>
        <v>16320</v>
      </c>
      <c r="E1487" s="1">
        <f>IFERROR(__xludf.DUMMYFUNCTION("""COMPUTED_VALUE"""),16780.0)</f>
        <v>16780</v>
      </c>
      <c r="F1487" s="1">
        <f>IFERROR(__xludf.DUMMYFUNCTION("""COMPUTED_VALUE"""),480932.0)</f>
        <v>480932</v>
      </c>
    </row>
    <row r="1488">
      <c r="A1488" s="2">
        <f>IFERROR(__xludf.DUMMYFUNCTION("""COMPUTED_VALUE"""),42751.64583333333)</f>
        <v>42751.64583</v>
      </c>
      <c r="B1488" s="1">
        <f>IFERROR(__xludf.DUMMYFUNCTION("""COMPUTED_VALUE"""),16880.0)</f>
        <v>16880</v>
      </c>
      <c r="C1488" s="1">
        <f>IFERROR(__xludf.DUMMYFUNCTION("""COMPUTED_VALUE"""),16900.0)</f>
        <v>16900</v>
      </c>
      <c r="D1488" s="1">
        <f>IFERROR(__xludf.DUMMYFUNCTION("""COMPUTED_VALUE"""),16480.0)</f>
        <v>16480</v>
      </c>
      <c r="E1488" s="1">
        <f>IFERROR(__xludf.DUMMYFUNCTION("""COMPUTED_VALUE"""),16520.0)</f>
        <v>16520</v>
      </c>
      <c r="F1488" s="1">
        <f>IFERROR(__xludf.DUMMYFUNCTION("""COMPUTED_VALUE"""),204539.0)</f>
        <v>204539</v>
      </c>
    </row>
    <row r="1489">
      <c r="A1489" s="2">
        <f>IFERROR(__xludf.DUMMYFUNCTION("""COMPUTED_VALUE"""),42752.64583333333)</f>
        <v>42752.64583</v>
      </c>
      <c r="B1489" s="1">
        <f>IFERROR(__xludf.DUMMYFUNCTION("""COMPUTED_VALUE"""),16520.0)</f>
        <v>16520</v>
      </c>
      <c r="C1489" s="1">
        <f>IFERROR(__xludf.DUMMYFUNCTION("""COMPUTED_VALUE"""),16680.0)</f>
        <v>16680</v>
      </c>
      <c r="D1489" s="1">
        <f>IFERROR(__xludf.DUMMYFUNCTION("""COMPUTED_VALUE"""),16280.0)</f>
        <v>16280</v>
      </c>
      <c r="E1489" s="1">
        <f>IFERROR(__xludf.DUMMYFUNCTION("""COMPUTED_VALUE"""),16380.0)</f>
        <v>16380</v>
      </c>
      <c r="F1489" s="1">
        <f>IFERROR(__xludf.DUMMYFUNCTION("""COMPUTED_VALUE"""),229108.0)</f>
        <v>229108</v>
      </c>
    </row>
    <row r="1490">
      <c r="A1490" s="2">
        <f>IFERROR(__xludf.DUMMYFUNCTION("""COMPUTED_VALUE"""),42753.64583333333)</f>
        <v>42753.64583</v>
      </c>
      <c r="B1490" s="1">
        <f>IFERROR(__xludf.DUMMYFUNCTION("""COMPUTED_VALUE"""),16440.0)</f>
        <v>16440</v>
      </c>
      <c r="C1490" s="1">
        <f>IFERROR(__xludf.DUMMYFUNCTION("""COMPUTED_VALUE"""),16520.0)</f>
        <v>16520</v>
      </c>
      <c r="D1490" s="1">
        <f>IFERROR(__xludf.DUMMYFUNCTION("""COMPUTED_VALUE"""),16060.0)</f>
        <v>16060</v>
      </c>
      <c r="E1490" s="1">
        <f>IFERROR(__xludf.DUMMYFUNCTION("""COMPUTED_VALUE"""),16220.0)</f>
        <v>16220</v>
      </c>
      <c r="F1490" s="1">
        <f>IFERROR(__xludf.DUMMYFUNCTION("""COMPUTED_VALUE"""),185724.0)</f>
        <v>185724</v>
      </c>
    </row>
    <row r="1491">
      <c r="A1491" s="2">
        <f>IFERROR(__xludf.DUMMYFUNCTION("""COMPUTED_VALUE"""),42754.64583333333)</f>
        <v>42754.64583</v>
      </c>
      <c r="B1491" s="1">
        <f>IFERROR(__xludf.DUMMYFUNCTION("""COMPUTED_VALUE"""),16140.0)</f>
        <v>16140</v>
      </c>
      <c r="C1491" s="1">
        <f>IFERROR(__xludf.DUMMYFUNCTION("""COMPUTED_VALUE"""),16460.0)</f>
        <v>16460</v>
      </c>
      <c r="D1491" s="1">
        <f>IFERROR(__xludf.DUMMYFUNCTION("""COMPUTED_VALUE"""),16100.0)</f>
        <v>16100</v>
      </c>
      <c r="E1491" s="1">
        <f>IFERROR(__xludf.DUMMYFUNCTION("""COMPUTED_VALUE"""),16460.0)</f>
        <v>16460</v>
      </c>
      <c r="F1491" s="1">
        <f>IFERROR(__xludf.DUMMYFUNCTION("""COMPUTED_VALUE"""),246388.0)</f>
        <v>246388</v>
      </c>
    </row>
    <row r="1492">
      <c r="A1492" s="2">
        <f>IFERROR(__xludf.DUMMYFUNCTION("""COMPUTED_VALUE"""),42755.64583333333)</f>
        <v>42755.64583</v>
      </c>
      <c r="B1492" s="1">
        <f>IFERROR(__xludf.DUMMYFUNCTION("""COMPUTED_VALUE"""),16360.0)</f>
        <v>16360</v>
      </c>
      <c r="C1492" s="1">
        <f>IFERROR(__xludf.DUMMYFUNCTION("""COMPUTED_VALUE"""),16440.0)</f>
        <v>16440</v>
      </c>
      <c r="D1492" s="1">
        <f>IFERROR(__xludf.DUMMYFUNCTION("""COMPUTED_VALUE"""),16060.0)</f>
        <v>16060</v>
      </c>
      <c r="E1492" s="1">
        <f>IFERROR(__xludf.DUMMYFUNCTION("""COMPUTED_VALUE"""),16080.0)</f>
        <v>16080</v>
      </c>
      <c r="F1492" s="1">
        <f>IFERROR(__xludf.DUMMYFUNCTION("""COMPUTED_VALUE"""),285281.0)</f>
        <v>285281</v>
      </c>
    </row>
    <row r="1493">
      <c r="A1493" s="2">
        <f>IFERROR(__xludf.DUMMYFUNCTION("""COMPUTED_VALUE"""),42758.64583333333)</f>
        <v>42758.64583</v>
      </c>
      <c r="B1493" s="1">
        <f>IFERROR(__xludf.DUMMYFUNCTION("""COMPUTED_VALUE"""),16000.0)</f>
        <v>16000</v>
      </c>
      <c r="C1493" s="1">
        <f>IFERROR(__xludf.DUMMYFUNCTION("""COMPUTED_VALUE"""),16060.0)</f>
        <v>16060</v>
      </c>
      <c r="D1493" s="1">
        <f>IFERROR(__xludf.DUMMYFUNCTION("""COMPUTED_VALUE"""),15680.0)</f>
        <v>15680</v>
      </c>
      <c r="E1493" s="1">
        <f>IFERROR(__xludf.DUMMYFUNCTION("""COMPUTED_VALUE"""),15800.0)</f>
        <v>15800</v>
      </c>
      <c r="F1493" s="1">
        <f>IFERROR(__xludf.DUMMYFUNCTION("""COMPUTED_VALUE"""),338781.0)</f>
        <v>338781</v>
      </c>
    </row>
    <row r="1494">
      <c r="A1494" s="2">
        <f>IFERROR(__xludf.DUMMYFUNCTION("""COMPUTED_VALUE"""),42759.64583333333)</f>
        <v>42759.64583</v>
      </c>
      <c r="B1494" s="1">
        <f>IFERROR(__xludf.DUMMYFUNCTION("""COMPUTED_VALUE"""),15900.0)</f>
        <v>15900</v>
      </c>
      <c r="C1494" s="1">
        <f>IFERROR(__xludf.DUMMYFUNCTION("""COMPUTED_VALUE"""),15940.0)</f>
        <v>15940</v>
      </c>
      <c r="D1494" s="1">
        <f>IFERROR(__xludf.DUMMYFUNCTION("""COMPUTED_VALUE"""),15760.0)</f>
        <v>15760</v>
      </c>
      <c r="E1494" s="1">
        <f>IFERROR(__xludf.DUMMYFUNCTION("""COMPUTED_VALUE"""),15760.0)</f>
        <v>15760</v>
      </c>
      <c r="F1494" s="1">
        <f>IFERROR(__xludf.DUMMYFUNCTION("""COMPUTED_VALUE"""),179068.0)</f>
        <v>179068</v>
      </c>
    </row>
    <row r="1495">
      <c r="A1495" s="2">
        <f>IFERROR(__xludf.DUMMYFUNCTION("""COMPUTED_VALUE"""),42760.64583333333)</f>
        <v>42760.64583</v>
      </c>
      <c r="B1495" s="1">
        <f>IFERROR(__xludf.DUMMYFUNCTION("""COMPUTED_VALUE"""),15660.0)</f>
        <v>15660</v>
      </c>
      <c r="C1495" s="1">
        <f>IFERROR(__xludf.DUMMYFUNCTION("""COMPUTED_VALUE"""),15840.0)</f>
        <v>15840</v>
      </c>
      <c r="D1495" s="1">
        <f>IFERROR(__xludf.DUMMYFUNCTION("""COMPUTED_VALUE"""),15220.0)</f>
        <v>15220</v>
      </c>
      <c r="E1495" s="1">
        <f>IFERROR(__xludf.DUMMYFUNCTION("""COMPUTED_VALUE"""),15220.0)</f>
        <v>15220</v>
      </c>
      <c r="F1495" s="1">
        <f>IFERROR(__xludf.DUMMYFUNCTION("""COMPUTED_VALUE"""),557017.0)</f>
        <v>557017</v>
      </c>
    </row>
    <row r="1496">
      <c r="A1496" s="2">
        <f>IFERROR(__xludf.DUMMYFUNCTION("""COMPUTED_VALUE"""),42761.64583333333)</f>
        <v>42761.64583</v>
      </c>
      <c r="B1496" s="1">
        <f>IFERROR(__xludf.DUMMYFUNCTION("""COMPUTED_VALUE"""),15240.0)</f>
        <v>15240</v>
      </c>
      <c r="C1496" s="1">
        <f>IFERROR(__xludf.DUMMYFUNCTION("""COMPUTED_VALUE"""),15540.0)</f>
        <v>15540</v>
      </c>
      <c r="D1496" s="1">
        <f>IFERROR(__xludf.DUMMYFUNCTION("""COMPUTED_VALUE"""),15240.0)</f>
        <v>15240</v>
      </c>
      <c r="E1496" s="1">
        <f>IFERROR(__xludf.DUMMYFUNCTION("""COMPUTED_VALUE"""),15420.0)</f>
        <v>15420</v>
      </c>
      <c r="F1496" s="1">
        <f>IFERROR(__xludf.DUMMYFUNCTION("""COMPUTED_VALUE"""),316390.0)</f>
        <v>316390</v>
      </c>
    </row>
    <row r="1497">
      <c r="A1497" s="2">
        <f>IFERROR(__xludf.DUMMYFUNCTION("""COMPUTED_VALUE"""),42766.64583333333)</f>
        <v>42766.64583</v>
      </c>
      <c r="B1497" s="1">
        <f>IFERROR(__xludf.DUMMYFUNCTION("""COMPUTED_VALUE"""),15440.0)</f>
        <v>15440</v>
      </c>
      <c r="C1497" s="1">
        <f>IFERROR(__xludf.DUMMYFUNCTION("""COMPUTED_VALUE"""),15860.0)</f>
        <v>15860</v>
      </c>
      <c r="D1497" s="1">
        <f>IFERROR(__xludf.DUMMYFUNCTION("""COMPUTED_VALUE"""),15380.0)</f>
        <v>15380</v>
      </c>
      <c r="E1497" s="1">
        <f>IFERROR(__xludf.DUMMYFUNCTION("""COMPUTED_VALUE"""),15540.0)</f>
        <v>15540</v>
      </c>
      <c r="F1497" s="1">
        <f>IFERROR(__xludf.DUMMYFUNCTION("""COMPUTED_VALUE"""),260779.0)</f>
        <v>260779</v>
      </c>
    </row>
    <row r="1498">
      <c r="A1498" s="2">
        <f>IFERROR(__xludf.DUMMYFUNCTION("""COMPUTED_VALUE"""),42767.64583333333)</f>
        <v>42767.64583</v>
      </c>
      <c r="B1498" s="1">
        <f>IFERROR(__xludf.DUMMYFUNCTION("""COMPUTED_VALUE"""),15640.0)</f>
        <v>15640</v>
      </c>
      <c r="C1498" s="1">
        <f>IFERROR(__xludf.DUMMYFUNCTION("""COMPUTED_VALUE"""),15780.0)</f>
        <v>15780</v>
      </c>
      <c r="D1498" s="1">
        <f>IFERROR(__xludf.DUMMYFUNCTION("""COMPUTED_VALUE"""),15600.0)</f>
        <v>15600</v>
      </c>
      <c r="E1498" s="1">
        <f>IFERROR(__xludf.DUMMYFUNCTION("""COMPUTED_VALUE"""),15680.0)</f>
        <v>15680</v>
      </c>
      <c r="F1498" s="1">
        <f>IFERROR(__xludf.DUMMYFUNCTION("""COMPUTED_VALUE"""),197510.0)</f>
        <v>197510</v>
      </c>
    </row>
    <row r="1499">
      <c r="A1499" s="2">
        <f>IFERROR(__xludf.DUMMYFUNCTION("""COMPUTED_VALUE"""),42768.64583333333)</f>
        <v>42768.64583</v>
      </c>
      <c r="B1499" s="1">
        <f>IFERROR(__xludf.DUMMYFUNCTION("""COMPUTED_VALUE"""),15820.0)</f>
        <v>15820</v>
      </c>
      <c r="C1499" s="1">
        <f>IFERROR(__xludf.DUMMYFUNCTION("""COMPUTED_VALUE"""),16000.0)</f>
        <v>16000</v>
      </c>
      <c r="D1499" s="1">
        <f>IFERROR(__xludf.DUMMYFUNCTION("""COMPUTED_VALUE"""),15520.0)</f>
        <v>15520</v>
      </c>
      <c r="E1499" s="1">
        <f>IFERROR(__xludf.DUMMYFUNCTION("""COMPUTED_VALUE"""),15540.0)</f>
        <v>15540</v>
      </c>
      <c r="F1499" s="1">
        <f>IFERROR(__xludf.DUMMYFUNCTION("""COMPUTED_VALUE"""),285670.0)</f>
        <v>285670</v>
      </c>
    </row>
    <row r="1500">
      <c r="A1500" s="2">
        <f>IFERROR(__xludf.DUMMYFUNCTION("""COMPUTED_VALUE"""),42769.64583333333)</f>
        <v>42769.64583</v>
      </c>
      <c r="B1500" s="1">
        <f>IFERROR(__xludf.DUMMYFUNCTION("""COMPUTED_VALUE"""),15600.0)</f>
        <v>15600</v>
      </c>
      <c r="C1500" s="1">
        <f>IFERROR(__xludf.DUMMYFUNCTION("""COMPUTED_VALUE"""),15700.0)</f>
        <v>15700</v>
      </c>
      <c r="D1500" s="1">
        <f>IFERROR(__xludf.DUMMYFUNCTION("""COMPUTED_VALUE"""),15500.0)</f>
        <v>15500</v>
      </c>
      <c r="E1500" s="1">
        <f>IFERROR(__xludf.DUMMYFUNCTION("""COMPUTED_VALUE"""),15600.0)</f>
        <v>15600</v>
      </c>
      <c r="F1500" s="1">
        <f>IFERROR(__xludf.DUMMYFUNCTION("""COMPUTED_VALUE"""),178240.0)</f>
        <v>178240</v>
      </c>
    </row>
    <row r="1501">
      <c r="A1501" s="2">
        <f>IFERROR(__xludf.DUMMYFUNCTION("""COMPUTED_VALUE"""),42772.64583333333)</f>
        <v>42772.64583</v>
      </c>
      <c r="B1501" s="1">
        <f>IFERROR(__xludf.DUMMYFUNCTION("""COMPUTED_VALUE"""),15620.0)</f>
        <v>15620</v>
      </c>
      <c r="C1501" s="1">
        <f>IFERROR(__xludf.DUMMYFUNCTION("""COMPUTED_VALUE"""),15700.0)</f>
        <v>15700</v>
      </c>
      <c r="D1501" s="1">
        <f>IFERROR(__xludf.DUMMYFUNCTION("""COMPUTED_VALUE"""),15400.0)</f>
        <v>15400</v>
      </c>
      <c r="E1501" s="1">
        <f>IFERROR(__xludf.DUMMYFUNCTION("""COMPUTED_VALUE"""),15460.0)</f>
        <v>15460</v>
      </c>
      <c r="F1501" s="1">
        <f>IFERROR(__xludf.DUMMYFUNCTION("""COMPUTED_VALUE"""),169147.0)</f>
        <v>169147</v>
      </c>
    </row>
    <row r="1502">
      <c r="A1502" s="2">
        <f>IFERROR(__xludf.DUMMYFUNCTION("""COMPUTED_VALUE"""),42773.64583333333)</f>
        <v>42773.64583</v>
      </c>
      <c r="B1502" s="1">
        <f>IFERROR(__xludf.DUMMYFUNCTION("""COMPUTED_VALUE"""),15400.0)</f>
        <v>15400</v>
      </c>
      <c r="C1502" s="1">
        <f>IFERROR(__xludf.DUMMYFUNCTION("""COMPUTED_VALUE"""),15820.0)</f>
        <v>15820</v>
      </c>
      <c r="D1502" s="1">
        <f>IFERROR(__xludf.DUMMYFUNCTION("""COMPUTED_VALUE"""),15400.0)</f>
        <v>15400</v>
      </c>
      <c r="E1502" s="1">
        <f>IFERROR(__xludf.DUMMYFUNCTION("""COMPUTED_VALUE"""),15660.0)</f>
        <v>15660</v>
      </c>
      <c r="F1502" s="1">
        <f>IFERROR(__xludf.DUMMYFUNCTION("""COMPUTED_VALUE"""),173244.0)</f>
        <v>173244</v>
      </c>
    </row>
    <row r="1503">
      <c r="A1503" s="2">
        <f>IFERROR(__xludf.DUMMYFUNCTION("""COMPUTED_VALUE"""),42774.64583333333)</f>
        <v>42774.64583</v>
      </c>
      <c r="B1503" s="1">
        <f>IFERROR(__xludf.DUMMYFUNCTION("""COMPUTED_VALUE"""),15760.0)</f>
        <v>15760</v>
      </c>
      <c r="C1503" s="1">
        <f>IFERROR(__xludf.DUMMYFUNCTION("""COMPUTED_VALUE"""),15960.0)</f>
        <v>15960</v>
      </c>
      <c r="D1503" s="1">
        <f>IFERROR(__xludf.DUMMYFUNCTION("""COMPUTED_VALUE"""),15560.0)</f>
        <v>15560</v>
      </c>
      <c r="E1503" s="1">
        <f>IFERROR(__xludf.DUMMYFUNCTION("""COMPUTED_VALUE"""),15960.0)</f>
        <v>15960</v>
      </c>
      <c r="F1503" s="1">
        <f>IFERROR(__xludf.DUMMYFUNCTION("""COMPUTED_VALUE"""),269292.0)</f>
        <v>269292</v>
      </c>
    </row>
    <row r="1504">
      <c r="A1504" s="2">
        <f>IFERROR(__xludf.DUMMYFUNCTION("""COMPUTED_VALUE"""),42775.64583333333)</f>
        <v>42775.64583</v>
      </c>
      <c r="B1504" s="1">
        <f>IFERROR(__xludf.DUMMYFUNCTION("""COMPUTED_VALUE"""),16340.0)</f>
        <v>16340</v>
      </c>
      <c r="C1504" s="1">
        <f>IFERROR(__xludf.DUMMYFUNCTION("""COMPUTED_VALUE"""),17140.0)</f>
        <v>17140</v>
      </c>
      <c r="D1504" s="1">
        <f>IFERROR(__xludf.DUMMYFUNCTION("""COMPUTED_VALUE"""),16260.0)</f>
        <v>16260</v>
      </c>
      <c r="E1504" s="1">
        <f>IFERROR(__xludf.DUMMYFUNCTION("""COMPUTED_VALUE"""),17080.0)</f>
        <v>17080</v>
      </c>
      <c r="F1504" s="1">
        <f>IFERROR(__xludf.DUMMYFUNCTION("""COMPUTED_VALUE"""),1550608.0)</f>
        <v>1550608</v>
      </c>
    </row>
    <row r="1505">
      <c r="A1505" s="2">
        <f>IFERROR(__xludf.DUMMYFUNCTION("""COMPUTED_VALUE"""),42776.64583333333)</f>
        <v>42776.64583</v>
      </c>
      <c r="B1505" s="1">
        <f>IFERROR(__xludf.DUMMYFUNCTION("""COMPUTED_VALUE"""),17060.0)</f>
        <v>17060</v>
      </c>
      <c r="C1505" s="1">
        <f>IFERROR(__xludf.DUMMYFUNCTION("""COMPUTED_VALUE"""),17260.0)</f>
        <v>17260</v>
      </c>
      <c r="D1505" s="1">
        <f>IFERROR(__xludf.DUMMYFUNCTION("""COMPUTED_VALUE"""),16820.0)</f>
        <v>16820</v>
      </c>
      <c r="E1505" s="1">
        <f>IFERROR(__xludf.DUMMYFUNCTION("""COMPUTED_VALUE"""),17020.0)</f>
        <v>17020</v>
      </c>
      <c r="F1505" s="1">
        <f>IFERROR(__xludf.DUMMYFUNCTION("""COMPUTED_VALUE"""),792741.0)</f>
        <v>792741</v>
      </c>
    </row>
    <row r="1506">
      <c r="A1506" s="2">
        <f>IFERROR(__xludf.DUMMYFUNCTION("""COMPUTED_VALUE"""),42779.64583333333)</f>
        <v>42779.64583</v>
      </c>
      <c r="B1506" s="1">
        <f>IFERROR(__xludf.DUMMYFUNCTION("""COMPUTED_VALUE"""),17080.0)</f>
        <v>17080</v>
      </c>
      <c r="C1506" s="1">
        <f>IFERROR(__xludf.DUMMYFUNCTION("""COMPUTED_VALUE"""),17100.0)</f>
        <v>17100</v>
      </c>
      <c r="D1506" s="1">
        <f>IFERROR(__xludf.DUMMYFUNCTION("""COMPUTED_VALUE"""),16740.0)</f>
        <v>16740</v>
      </c>
      <c r="E1506" s="1">
        <f>IFERROR(__xludf.DUMMYFUNCTION("""COMPUTED_VALUE"""),16820.0)</f>
        <v>16820</v>
      </c>
      <c r="F1506" s="1">
        <f>IFERROR(__xludf.DUMMYFUNCTION("""COMPUTED_VALUE"""),397630.0)</f>
        <v>397630</v>
      </c>
    </row>
    <row r="1507">
      <c r="A1507" s="2">
        <f>IFERROR(__xludf.DUMMYFUNCTION("""COMPUTED_VALUE"""),42780.64583333333)</f>
        <v>42780.64583</v>
      </c>
      <c r="B1507" s="1">
        <f>IFERROR(__xludf.DUMMYFUNCTION("""COMPUTED_VALUE"""),16800.0)</f>
        <v>16800</v>
      </c>
      <c r="C1507" s="1">
        <f>IFERROR(__xludf.DUMMYFUNCTION("""COMPUTED_VALUE"""),17060.0)</f>
        <v>17060</v>
      </c>
      <c r="D1507" s="1">
        <f>IFERROR(__xludf.DUMMYFUNCTION("""COMPUTED_VALUE"""),16600.0)</f>
        <v>16600</v>
      </c>
      <c r="E1507" s="1">
        <f>IFERROR(__xludf.DUMMYFUNCTION("""COMPUTED_VALUE"""),16980.0)</f>
        <v>16980</v>
      </c>
      <c r="F1507" s="1">
        <f>IFERROR(__xludf.DUMMYFUNCTION("""COMPUTED_VALUE"""),427851.0)</f>
        <v>427851</v>
      </c>
    </row>
    <row r="1508">
      <c r="A1508" s="2">
        <f>IFERROR(__xludf.DUMMYFUNCTION("""COMPUTED_VALUE"""),42781.64583333333)</f>
        <v>42781.64583</v>
      </c>
      <c r="B1508" s="1">
        <f>IFERROR(__xludf.DUMMYFUNCTION("""COMPUTED_VALUE"""),17020.0)</f>
        <v>17020</v>
      </c>
      <c r="C1508" s="1">
        <f>IFERROR(__xludf.DUMMYFUNCTION("""COMPUTED_VALUE"""),17120.0)</f>
        <v>17120</v>
      </c>
      <c r="D1508" s="1">
        <f>IFERROR(__xludf.DUMMYFUNCTION("""COMPUTED_VALUE"""),16820.0)</f>
        <v>16820</v>
      </c>
      <c r="E1508" s="1">
        <f>IFERROR(__xludf.DUMMYFUNCTION("""COMPUTED_VALUE"""),16980.0)</f>
        <v>16980</v>
      </c>
      <c r="F1508" s="1">
        <f>IFERROR(__xludf.DUMMYFUNCTION("""COMPUTED_VALUE"""),321230.0)</f>
        <v>321230</v>
      </c>
    </row>
    <row r="1509">
      <c r="A1509" s="2">
        <f>IFERROR(__xludf.DUMMYFUNCTION("""COMPUTED_VALUE"""),42782.64583333333)</f>
        <v>42782.64583</v>
      </c>
      <c r="B1509" s="1">
        <f>IFERROR(__xludf.DUMMYFUNCTION("""COMPUTED_VALUE"""),16920.0)</f>
        <v>16920</v>
      </c>
      <c r="C1509" s="1">
        <f>IFERROR(__xludf.DUMMYFUNCTION("""COMPUTED_VALUE"""),16960.0)</f>
        <v>16960</v>
      </c>
      <c r="D1509" s="1">
        <f>IFERROR(__xludf.DUMMYFUNCTION("""COMPUTED_VALUE"""),16440.0)</f>
        <v>16440</v>
      </c>
      <c r="E1509" s="1">
        <f>IFERROR(__xludf.DUMMYFUNCTION("""COMPUTED_VALUE"""),16480.0)</f>
        <v>16480</v>
      </c>
      <c r="F1509" s="1">
        <f>IFERROR(__xludf.DUMMYFUNCTION("""COMPUTED_VALUE"""),569723.0)</f>
        <v>569723</v>
      </c>
    </row>
    <row r="1510">
      <c r="A1510" s="2">
        <f>IFERROR(__xludf.DUMMYFUNCTION("""COMPUTED_VALUE"""),42783.64583333333)</f>
        <v>42783.64583</v>
      </c>
      <c r="B1510" s="1">
        <f>IFERROR(__xludf.DUMMYFUNCTION("""COMPUTED_VALUE"""),16480.0)</f>
        <v>16480</v>
      </c>
      <c r="C1510" s="1">
        <f>IFERROR(__xludf.DUMMYFUNCTION("""COMPUTED_VALUE"""),17060.0)</f>
        <v>17060</v>
      </c>
      <c r="D1510" s="1">
        <f>IFERROR(__xludf.DUMMYFUNCTION("""COMPUTED_VALUE"""),16480.0)</f>
        <v>16480</v>
      </c>
      <c r="E1510" s="1">
        <f>IFERROR(__xludf.DUMMYFUNCTION("""COMPUTED_VALUE"""),16940.0)</f>
        <v>16940</v>
      </c>
      <c r="F1510" s="1">
        <f>IFERROR(__xludf.DUMMYFUNCTION("""COMPUTED_VALUE"""),563691.0)</f>
        <v>563691</v>
      </c>
    </row>
    <row r="1511">
      <c r="A1511" s="2">
        <f>IFERROR(__xludf.DUMMYFUNCTION("""COMPUTED_VALUE"""),42786.64583333333)</f>
        <v>42786.64583</v>
      </c>
      <c r="B1511" s="1">
        <f>IFERROR(__xludf.DUMMYFUNCTION("""COMPUTED_VALUE"""),16880.0)</f>
        <v>16880</v>
      </c>
      <c r="C1511" s="1">
        <f>IFERROR(__xludf.DUMMYFUNCTION("""COMPUTED_VALUE"""),17060.0)</f>
        <v>17060</v>
      </c>
      <c r="D1511" s="1">
        <f>IFERROR(__xludf.DUMMYFUNCTION("""COMPUTED_VALUE"""),16720.0)</f>
        <v>16720</v>
      </c>
      <c r="E1511" s="1">
        <f>IFERROR(__xludf.DUMMYFUNCTION("""COMPUTED_VALUE"""),16960.0)</f>
        <v>16960</v>
      </c>
      <c r="F1511" s="1">
        <f>IFERROR(__xludf.DUMMYFUNCTION("""COMPUTED_VALUE"""),294768.0)</f>
        <v>294768</v>
      </c>
    </row>
    <row r="1512">
      <c r="A1512" s="2">
        <f>IFERROR(__xludf.DUMMYFUNCTION("""COMPUTED_VALUE"""),42787.64583333333)</f>
        <v>42787.64583</v>
      </c>
      <c r="B1512" s="1">
        <f>IFERROR(__xludf.DUMMYFUNCTION("""COMPUTED_VALUE"""),17140.0)</f>
        <v>17140</v>
      </c>
      <c r="C1512" s="1">
        <f>IFERROR(__xludf.DUMMYFUNCTION("""COMPUTED_VALUE"""),17820.0)</f>
        <v>17820</v>
      </c>
      <c r="D1512" s="1">
        <f>IFERROR(__xludf.DUMMYFUNCTION("""COMPUTED_VALUE"""),17140.0)</f>
        <v>17140</v>
      </c>
      <c r="E1512" s="1">
        <f>IFERROR(__xludf.DUMMYFUNCTION("""COMPUTED_VALUE"""),17680.0)</f>
        <v>17680</v>
      </c>
      <c r="F1512" s="1">
        <f>IFERROR(__xludf.DUMMYFUNCTION("""COMPUTED_VALUE"""),1573781.0)</f>
        <v>1573781</v>
      </c>
    </row>
    <row r="1513">
      <c r="A1513" s="2">
        <f>IFERROR(__xludf.DUMMYFUNCTION("""COMPUTED_VALUE"""),42788.64583333333)</f>
        <v>42788.64583</v>
      </c>
      <c r="B1513" s="1">
        <f>IFERROR(__xludf.DUMMYFUNCTION("""COMPUTED_VALUE"""),17720.0)</f>
        <v>17720</v>
      </c>
      <c r="C1513" s="1">
        <f>IFERROR(__xludf.DUMMYFUNCTION("""COMPUTED_VALUE"""),18040.0)</f>
        <v>18040</v>
      </c>
      <c r="D1513" s="1">
        <f>IFERROR(__xludf.DUMMYFUNCTION("""COMPUTED_VALUE"""),17640.0)</f>
        <v>17640</v>
      </c>
      <c r="E1513" s="1">
        <f>IFERROR(__xludf.DUMMYFUNCTION("""COMPUTED_VALUE"""),17900.0)</f>
        <v>17900</v>
      </c>
      <c r="F1513" s="1">
        <f>IFERROR(__xludf.DUMMYFUNCTION("""COMPUTED_VALUE"""),1034489.0)</f>
        <v>1034489</v>
      </c>
    </row>
    <row r="1514">
      <c r="A1514" s="2">
        <f>IFERROR(__xludf.DUMMYFUNCTION("""COMPUTED_VALUE"""),42789.64583333333)</f>
        <v>42789.64583</v>
      </c>
      <c r="B1514" s="1">
        <f>IFERROR(__xludf.DUMMYFUNCTION("""COMPUTED_VALUE"""),17820.0)</f>
        <v>17820</v>
      </c>
      <c r="C1514" s="1">
        <f>IFERROR(__xludf.DUMMYFUNCTION("""COMPUTED_VALUE"""),17900.0)</f>
        <v>17900</v>
      </c>
      <c r="D1514" s="1">
        <f>IFERROR(__xludf.DUMMYFUNCTION("""COMPUTED_VALUE"""),17520.0)</f>
        <v>17520</v>
      </c>
      <c r="E1514" s="1">
        <f>IFERROR(__xludf.DUMMYFUNCTION("""COMPUTED_VALUE"""),17580.0)</f>
        <v>17580</v>
      </c>
      <c r="F1514" s="1">
        <f>IFERROR(__xludf.DUMMYFUNCTION("""COMPUTED_VALUE"""),507957.0)</f>
        <v>507957</v>
      </c>
    </row>
    <row r="1515">
      <c r="A1515" s="2">
        <f>IFERROR(__xludf.DUMMYFUNCTION("""COMPUTED_VALUE"""),42790.64583333333)</f>
        <v>42790.64583</v>
      </c>
      <c r="B1515" s="1">
        <f>IFERROR(__xludf.DUMMYFUNCTION("""COMPUTED_VALUE"""),17700.0)</f>
        <v>17700</v>
      </c>
      <c r="C1515" s="1">
        <f>IFERROR(__xludf.DUMMYFUNCTION("""COMPUTED_VALUE"""),17920.0)</f>
        <v>17920</v>
      </c>
      <c r="D1515" s="1">
        <f>IFERROR(__xludf.DUMMYFUNCTION("""COMPUTED_VALUE"""),17520.0)</f>
        <v>17520</v>
      </c>
      <c r="E1515" s="1">
        <f>IFERROR(__xludf.DUMMYFUNCTION("""COMPUTED_VALUE"""),17620.0)</f>
        <v>17620</v>
      </c>
      <c r="F1515" s="1">
        <f>IFERROR(__xludf.DUMMYFUNCTION("""COMPUTED_VALUE"""),369669.0)</f>
        <v>369669</v>
      </c>
    </row>
    <row r="1516">
      <c r="A1516" s="2">
        <f>IFERROR(__xludf.DUMMYFUNCTION("""COMPUTED_VALUE"""),42793.64583333333)</f>
        <v>42793.64583</v>
      </c>
      <c r="B1516" s="1">
        <f>IFERROR(__xludf.DUMMYFUNCTION("""COMPUTED_VALUE"""),17500.0)</f>
        <v>17500</v>
      </c>
      <c r="C1516" s="1">
        <f>IFERROR(__xludf.DUMMYFUNCTION("""COMPUTED_VALUE"""),17580.0)</f>
        <v>17580</v>
      </c>
      <c r="D1516" s="1">
        <f>IFERROR(__xludf.DUMMYFUNCTION("""COMPUTED_VALUE"""),17140.0)</f>
        <v>17140</v>
      </c>
      <c r="E1516" s="1">
        <f>IFERROR(__xludf.DUMMYFUNCTION("""COMPUTED_VALUE"""),17160.0)</f>
        <v>17160</v>
      </c>
      <c r="F1516" s="1">
        <f>IFERROR(__xludf.DUMMYFUNCTION("""COMPUTED_VALUE"""),330736.0)</f>
        <v>330736</v>
      </c>
    </row>
    <row r="1517">
      <c r="A1517" s="2">
        <f>IFERROR(__xludf.DUMMYFUNCTION("""COMPUTED_VALUE"""),42794.64583333333)</f>
        <v>42794.64583</v>
      </c>
      <c r="B1517" s="1">
        <f>IFERROR(__xludf.DUMMYFUNCTION("""COMPUTED_VALUE"""),17300.0)</f>
        <v>17300</v>
      </c>
      <c r="C1517" s="1">
        <f>IFERROR(__xludf.DUMMYFUNCTION("""COMPUTED_VALUE"""),17360.0)</f>
        <v>17360</v>
      </c>
      <c r="D1517" s="1">
        <f>IFERROR(__xludf.DUMMYFUNCTION("""COMPUTED_VALUE"""),16980.0)</f>
        <v>16980</v>
      </c>
      <c r="E1517" s="1">
        <f>IFERROR(__xludf.DUMMYFUNCTION("""COMPUTED_VALUE"""),17080.0)</f>
        <v>17080</v>
      </c>
      <c r="F1517" s="1">
        <f>IFERROR(__xludf.DUMMYFUNCTION("""COMPUTED_VALUE"""),444304.0)</f>
        <v>444304</v>
      </c>
    </row>
    <row r="1518">
      <c r="A1518" s="2">
        <f>IFERROR(__xludf.DUMMYFUNCTION("""COMPUTED_VALUE"""),42796.64583333333)</f>
        <v>42796.64583</v>
      </c>
      <c r="B1518" s="1">
        <f>IFERROR(__xludf.DUMMYFUNCTION("""COMPUTED_VALUE"""),17200.0)</f>
        <v>17200</v>
      </c>
      <c r="C1518" s="1">
        <f>IFERROR(__xludf.DUMMYFUNCTION("""COMPUTED_VALUE"""),17220.0)</f>
        <v>17220</v>
      </c>
      <c r="D1518" s="1">
        <f>IFERROR(__xludf.DUMMYFUNCTION("""COMPUTED_VALUE"""),16900.0)</f>
        <v>16900</v>
      </c>
      <c r="E1518" s="1">
        <f>IFERROR(__xludf.DUMMYFUNCTION("""COMPUTED_VALUE"""),17060.0)</f>
        <v>17060</v>
      </c>
      <c r="F1518" s="1">
        <f>IFERROR(__xludf.DUMMYFUNCTION("""COMPUTED_VALUE"""),354383.0)</f>
        <v>354383</v>
      </c>
    </row>
    <row r="1519">
      <c r="A1519" s="2">
        <f>IFERROR(__xludf.DUMMYFUNCTION("""COMPUTED_VALUE"""),42797.64583333333)</f>
        <v>42797.64583</v>
      </c>
      <c r="B1519" s="1">
        <f>IFERROR(__xludf.DUMMYFUNCTION("""COMPUTED_VALUE"""),17000.0)</f>
        <v>17000</v>
      </c>
      <c r="C1519" s="1">
        <f>IFERROR(__xludf.DUMMYFUNCTION("""COMPUTED_VALUE"""),17300.0)</f>
        <v>17300</v>
      </c>
      <c r="D1519" s="1">
        <f>IFERROR(__xludf.DUMMYFUNCTION("""COMPUTED_VALUE"""),16880.0)</f>
        <v>16880</v>
      </c>
      <c r="E1519" s="1">
        <f>IFERROR(__xludf.DUMMYFUNCTION("""COMPUTED_VALUE"""),17160.0)</f>
        <v>17160</v>
      </c>
      <c r="F1519" s="1">
        <f>IFERROR(__xludf.DUMMYFUNCTION("""COMPUTED_VALUE"""),396672.0)</f>
        <v>396672</v>
      </c>
    </row>
    <row r="1520">
      <c r="A1520" s="2">
        <f>IFERROR(__xludf.DUMMYFUNCTION("""COMPUTED_VALUE"""),42800.64583333333)</f>
        <v>42800.64583</v>
      </c>
      <c r="B1520" s="1">
        <f>IFERROR(__xludf.DUMMYFUNCTION("""COMPUTED_VALUE"""),17000.0)</f>
        <v>17000</v>
      </c>
      <c r="C1520" s="1">
        <f>IFERROR(__xludf.DUMMYFUNCTION("""COMPUTED_VALUE"""),17140.0)</f>
        <v>17140</v>
      </c>
      <c r="D1520" s="1">
        <f>IFERROR(__xludf.DUMMYFUNCTION("""COMPUTED_VALUE"""),16720.0)</f>
        <v>16720</v>
      </c>
      <c r="E1520" s="1">
        <f>IFERROR(__xludf.DUMMYFUNCTION("""COMPUTED_VALUE"""),16760.0)</f>
        <v>16760</v>
      </c>
      <c r="F1520" s="1">
        <f>IFERROR(__xludf.DUMMYFUNCTION("""COMPUTED_VALUE"""),382382.0)</f>
        <v>382382</v>
      </c>
    </row>
    <row r="1521">
      <c r="A1521" s="2">
        <f>IFERROR(__xludf.DUMMYFUNCTION("""COMPUTED_VALUE"""),42801.64583333333)</f>
        <v>42801.64583</v>
      </c>
      <c r="B1521" s="1">
        <f>IFERROR(__xludf.DUMMYFUNCTION("""COMPUTED_VALUE"""),16720.0)</f>
        <v>16720</v>
      </c>
      <c r="C1521" s="1">
        <f>IFERROR(__xludf.DUMMYFUNCTION("""COMPUTED_VALUE"""),16860.0)</f>
        <v>16860</v>
      </c>
      <c r="D1521" s="1">
        <f>IFERROR(__xludf.DUMMYFUNCTION("""COMPUTED_VALUE"""),16520.0)</f>
        <v>16520</v>
      </c>
      <c r="E1521" s="1">
        <f>IFERROR(__xludf.DUMMYFUNCTION("""COMPUTED_VALUE"""),16740.0)</f>
        <v>16740</v>
      </c>
      <c r="F1521" s="1">
        <f>IFERROR(__xludf.DUMMYFUNCTION("""COMPUTED_VALUE"""),277748.0)</f>
        <v>277748</v>
      </c>
    </row>
    <row r="1522">
      <c r="A1522" s="2">
        <f>IFERROR(__xludf.DUMMYFUNCTION("""COMPUTED_VALUE"""),42802.64583333333)</f>
        <v>42802.64583</v>
      </c>
      <c r="B1522" s="1">
        <f>IFERROR(__xludf.DUMMYFUNCTION("""COMPUTED_VALUE"""),16840.0)</f>
        <v>16840</v>
      </c>
      <c r="C1522" s="1">
        <f>IFERROR(__xludf.DUMMYFUNCTION("""COMPUTED_VALUE"""),16860.0)</f>
        <v>16860</v>
      </c>
      <c r="D1522" s="1">
        <f>IFERROR(__xludf.DUMMYFUNCTION("""COMPUTED_VALUE"""),16540.0)</f>
        <v>16540</v>
      </c>
      <c r="E1522" s="1">
        <f>IFERROR(__xludf.DUMMYFUNCTION("""COMPUTED_VALUE"""),16600.0)</f>
        <v>16600</v>
      </c>
      <c r="F1522" s="1">
        <f>IFERROR(__xludf.DUMMYFUNCTION("""COMPUTED_VALUE"""),286714.0)</f>
        <v>286714</v>
      </c>
    </row>
    <row r="1523">
      <c r="A1523" s="2">
        <f>IFERROR(__xludf.DUMMYFUNCTION("""COMPUTED_VALUE"""),42803.64583333333)</f>
        <v>42803.64583</v>
      </c>
      <c r="B1523" s="1">
        <f>IFERROR(__xludf.DUMMYFUNCTION("""COMPUTED_VALUE"""),16700.0)</f>
        <v>16700</v>
      </c>
      <c r="C1523" s="1">
        <f>IFERROR(__xludf.DUMMYFUNCTION("""COMPUTED_VALUE"""),16980.0)</f>
        <v>16980</v>
      </c>
      <c r="D1523" s="1">
        <f>IFERROR(__xludf.DUMMYFUNCTION("""COMPUTED_VALUE"""),16560.0)</f>
        <v>16560</v>
      </c>
      <c r="E1523" s="1">
        <f>IFERROR(__xludf.DUMMYFUNCTION("""COMPUTED_VALUE"""),16560.0)</f>
        <v>16560</v>
      </c>
      <c r="F1523" s="1">
        <f>IFERROR(__xludf.DUMMYFUNCTION("""COMPUTED_VALUE"""),350630.0)</f>
        <v>350630</v>
      </c>
    </row>
    <row r="1524">
      <c r="A1524" s="2">
        <f>IFERROR(__xludf.DUMMYFUNCTION("""COMPUTED_VALUE"""),42804.64583333333)</f>
        <v>42804.64583</v>
      </c>
      <c r="B1524" s="1">
        <f>IFERROR(__xludf.DUMMYFUNCTION("""COMPUTED_VALUE"""),16700.0)</f>
        <v>16700</v>
      </c>
      <c r="C1524" s="1">
        <f>IFERROR(__xludf.DUMMYFUNCTION("""COMPUTED_VALUE"""),17160.0)</f>
        <v>17160</v>
      </c>
      <c r="D1524" s="1">
        <f>IFERROR(__xludf.DUMMYFUNCTION("""COMPUTED_VALUE"""),16320.0)</f>
        <v>16320</v>
      </c>
      <c r="E1524" s="1">
        <f>IFERROR(__xludf.DUMMYFUNCTION("""COMPUTED_VALUE"""),17060.0)</f>
        <v>17060</v>
      </c>
      <c r="F1524" s="1">
        <f>IFERROR(__xludf.DUMMYFUNCTION("""COMPUTED_VALUE"""),501305.0)</f>
        <v>501305</v>
      </c>
    </row>
    <row r="1525">
      <c r="A1525" s="2">
        <f>IFERROR(__xludf.DUMMYFUNCTION("""COMPUTED_VALUE"""),42807.64583333333)</f>
        <v>42807.64583</v>
      </c>
      <c r="B1525" s="1">
        <f>IFERROR(__xludf.DUMMYFUNCTION("""COMPUTED_VALUE"""),17080.0)</f>
        <v>17080</v>
      </c>
      <c r="C1525" s="1">
        <f>IFERROR(__xludf.DUMMYFUNCTION("""COMPUTED_VALUE"""),17100.0)</f>
        <v>17100</v>
      </c>
      <c r="D1525" s="1">
        <f>IFERROR(__xludf.DUMMYFUNCTION("""COMPUTED_VALUE"""),16800.0)</f>
        <v>16800</v>
      </c>
      <c r="E1525" s="1">
        <f>IFERROR(__xludf.DUMMYFUNCTION("""COMPUTED_VALUE"""),16960.0)</f>
        <v>16960</v>
      </c>
      <c r="F1525" s="1">
        <f>IFERROR(__xludf.DUMMYFUNCTION("""COMPUTED_VALUE"""),341028.0)</f>
        <v>341028</v>
      </c>
    </row>
    <row r="1526">
      <c r="A1526" s="2">
        <f>IFERROR(__xludf.DUMMYFUNCTION("""COMPUTED_VALUE"""),42808.64583333333)</f>
        <v>42808.64583</v>
      </c>
      <c r="B1526" s="1">
        <f>IFERROR(__xludf.DUMMYFUNCTION("""COMPUTED_VALUE"""),16920.0)</f>
        <v>16920</v>
      </c>
      <c r="C1526" s="1">
        <f>IFERROR(__xludf.DUMMYFUNCTION("""COMPUTED_VALUE"""),16960.0)</f>
        <v>16960</v>
      </c>
      <c r="D1526" s="1">
        <f>IFERROR(__xludf.DUMMYFUNCTION("""COMPUTED_VALUE"""),16520.0)</f>
        <v>16520</v>
      </c>
      <c r="E1526" s="1">
        <f>IFERROR(__xludf.DUMMYFUNCTION("""COMPUTED_VALUE"""),16700.0)</f>
        <v>16700</v>
      </c>
      <c r="F1526" s="1">
        <f>IFERROR(__xludf.DUMMYFUNCTION("""COMPUTED_VALUE"""),625453.0)</f>
        <v>625453</v>
      </c>
    </row>
    <row r="1527">
      <c r="A1527" s="2">
        <f>IFERROR(__xludf.DUMMYFUNCTION("""COMPUTED_VALUE"""),42809.64583333333)</f>
        <v>42809.64583</v>
      </c>
      <c r="B1527" s="1">
        <f>IFERROR(__xludf.DUMMYFUNCTION("""COMPUTED_VALUE"""),16720.0)</f>
        <v>16720</v>
      </c>
      <c r="C1527" s="1">
        <f>IFERROR(__xludf.DUMMYFUNCTION("""COMPUTED_VALUE"""),16760.0)</f>
        <v>16760</v>
      </c>
      <c r="D1527" s="1">
        <f>IFERROR(__xludf.DUMMYFUNCTION("""COMPUTED_VALUE"""),16400.0)</f>
        <v>16400</v>
      </c>
      <c r="E1527" s="1">
        <f>IFERROR(__xludf.DUMMYFUNCTION("""COMPUTED_VALUE"""),16440.0)</f>
        <v>16440</v>
      </c>
      <c r="F1527" s="1">
        <f>IFERROR(__xludf.DUMMYFUNCTION("""COMPUTED_VALUE"""),317640.0)</f>
        <v>317640</v>
      </c>
    </row>
    <row r="1528">
      <c r="A1528" s="2">
        <f>IFERROR(__xludf.DUMMYFUNCTION("""COMPUTED_VALUE"""),42810.64583333333)</f>
        <v>42810.64583</v>
      </c>
      <c r="B1528" s="1">
        <f>IFERROR(__xludf.DUMMYFUNCTION("""COMPUTED_VALUE"""),16580.0)</f>
        <v>16580</v>
      </c>
      <c r="C1528" s="1">
        <f>IFERROR(__xludf.DUMMYFUNCTION("""COMPUTED_VALUE"""),16760.0)</f>
        <v>16760</v>
      </c>
      <c r="D1528" s="1">
        <f>IFERROR(__xludf.DUMMYFUNCTION("""COMPUTED_VALUE"""),16300.0)</f>
        <v>16300</v>
      </c>
      <c r="E1528" s="1">
        <f>IFERROR(__xludf.DUMMYFUNCTION("""COMPUTED_VALUE"""),16760.0)</f>
        <v>16760</v>
      </c>
      <c r="F1528" s="1">
        <f>IFERROR(__xludf.DUMMYFUNCTION("""COMPUTED_VALUE"""),469582.0)</f>
        <v>469582</v>
      </c>
    </row>
    <row r="1529">
      <c r="A1529" s="2">
        <f>IFERROR(__xludf.DUMMYFUNCTION("""COMPUTED_VALUE"""),42811.64583333333)</f>
        <v>42811.64583</v>
      </c>
      <c r="B1529" s="1">
        <f>IFERROR(__xludf.DUMMYFUNCTION("""COMPUTED_VALUE"""),16760.0)</f>
        <v>16760</v>
      </c>
      <c r="C1529" s="1">
        <f>IFERROR(__xludf.DUMMYFUNCTION("""COMPUTED_VALUE"""),16820.0)</f>
        <v>16820</v>
      </c>
      <c r="D1529" s="1">
        <f>IFERROR(__xludf.DUMMYFUNCTION("""COMPUTED_VALUE"""),16640.0)</f>
        <v>16640</v>
      </c>
      <c r="E1529" s="1">
        <f>IFERROR(__xludf.DUMMYFUNCTION("""COMPUTED_VALUE"""),16800.0)</f>
        <v>16800</v>
      </c>
      <c r="F1529" s="1">
        <f>IFERROR(__xludf.DUMMYFUNCTION("""COMPUTED_VALUE"""),221183.0)</f>
        <v>221183</v>
      </c>
    </row>
    <row r="1530">
      <c r="A1530" s="2">
        <f>IFERROR(__xludf.DUMMYFUNCTION("""COMPUTED_VALUE"""),42814.64583333333)</f>
        <v>42814.64583</v>
      </c>
      <c r="B1530" s="1">
        <f>IFERROR(__xludf.DUMMYFUNCTION("""COMPUTED_VALUE"""),16940.0)</f>
        <v>16940</v>
      </c>
      <c r="C1530" s="1">
        <f>IFERROR(__xludf.DUMMYFUNCTION("""COMPUTED_VALUE"""),17040.0)</f>
        <v>17040</v>
      </c>
      <c r="D1530" s="1">
        <f>IFERROR(__xludf.DUMMYFUNCTION("""COMPUTED_VALUE"""),16500.0)</f>
        <v>16500</v>
      </c>
      <c r="E1530" s="1">
        <f>IFERROR(__xludf.DUMMYFUNCTION("""COMPUTED_VALUE"""),16980.0)</f>
        <v>16980</v>
      </c>
      <c r="F1530" s="1">
        <f>IFERROR(__xludf.DUMMYFUNCTION("""COMPUTED_VALUE"""),506090.0)</f>
        <v>506090</v>
      </c>
    </row>
    <row r="1531">
      <c r="A1531" s="2">
        <f>IFERROR(__xludf.DUMMYFUNCTION("""COMPUTED_VALUE"""),42815.64583333333)</f>
        <v>42815.64583</v>
      </c>
      <c r="B1531" s="1">
        <f>IFERROR(__xludf.DUMMYFUNCTION("""COMPUTED_VALUE"""),17000.0)</f>
        <v>17000</v>
      </c>
      <c r="C1531" s="1">
        <f>IFERROR(__xludf.DUMMYFUNCTION("""COMPUTED_VALUE"""),17240.0)</f>
        <v>17240</v>
      </c>
      <c r="D1531" s="1">
        <f>IFERROR(__xludf.DUMMYFUNCTION("""COMPUTED_VALUE"""),16860.0)</f>
        <v>16860</v>
      </c>
      <c r="E1531" s="1">
        <f>IFERROR(__xludf.DUMMYFUNCTION("""COMPUTED_VALUE"""),17220.0)</f>
        <v>17220</v>
      </c>
      <c r="F1531" s="1">
        <f>IFERROR(__xludf.DUMMYFUNCTION("""COMPUTED_VALUE"""),515560.0)</f>
        <v>515560</v>
      </c>
    </row>
    <row r="1532">
      <c r="A1532" s="2">
        <f>IFERROR(__xludf.DUMMYFUNCTION("""COMPUTED_VALUE"""),42816.64583333333)</f>
        <v>42816.64583</v>
      </c>
      <c r="B1532" s="1">
        <f>IFERROR(__xludf.DUMMYFUNCTION("""COMPUTED_VALUE"""),17100.0)</f>
        <v>17100</v>
      </c>
      <c r="C1532" s="1">
        <f>IFERROR(__xludf.DUMMYFUNCTION("""COMPUTED_VALUE"""),17340.0)</f>
        <v>17340</v>
      </c>
      <c r="D1532" s="1">
        <f>IFERROR(__xludf.DUMMYFUNCTION("""COMPUTED_VALUE"""),16940.0)</f>
        <v>16940</v>
      </c>
      <c r="E1532" s="1">
        <f>IFERROR(__xludf.DUMMYFUNCTION("""COMPUTED_VALUE"""),17320.0)</f>
        <v>17320</v>
      </c>
      <c r="F1532" s="1">
        <f>IFERROR(__xludf.DUMMYFUNCTION("""COMPUTED_VALUE"""),476268.0)</f>
        <v>476268</v>
      </c>
    </row>
    <row r="1533">
      <c r="A1533" s="2">
        <f>IFERROR(__xludf.DUMMYFUNCTION("""COMPUTED_VALUE"""),42817.64583333333)</f>
        <v>42817.64583</v>
      </c>
      <c r="B1533" s="1">
        <f>IFERROR(__xludf.DUMMYFUNCTION("""COMPUTED_VALUE"""),17340.0)</f>
        <v>17340</v>
      </c>
      <c r="C1533" s="1">
        <f>IFERROR(__xludf.DUMMYFUNCTION("""COMPUTED_VALUE"""),17340.0)</f>
        <v>17340</v>
      </c>
      <c r="D1533" s="1">
        <f>IFERROR(__xludf.DUMMYFUNCTION("""COMPUTED_VALUE"""),17080.0)</f>
        <v>17080</v>
      </c>
      <c r="E1533" s="1">
        <f>IFERROR(__xludf.DUMMYFUNCTION("""COMPUTED_VALUE"""),17180.0)</f>
        <v>17180</v>
      </c>
      <c r="F1533" s="1">
        <f>IFERROR(__xludf.DUMMYFUNCTION("""COMPUTED_VALUE"""),310710.0)</f>
        <v>310710</v>
      </c>
    </row>
    <row r="1534">
      <c r="A1534" s="2">
        <f>IFERROR(__xludf.DUMMYFUNCTION("""COMPUTED_VALUE"""),42818.64583333333)</f>
        <v>42818.64583</v>
      </c>
      <c r="B1534" s="1">
        <f>IFERROR(__xludf.DUMMYFUNCTION("""COMPUTED_VALUE"""),17240.0)</f>
        <v>17240</v>
      </c>
      <c r="C1534" s="1">
        <f>IFERROR(__xludf.DUMMYFUNCTION("""COMPUTED_VALUE"""),17240.0)</f>
        <v>17240</v>
      </c>
      <c r="D1534" s="1">
        <f>IFERROR(__xludf.DUMMYFUNCTION("""COMPUTED_VALUE"""),16620.0)</f>
        <v>16620</v>
      </c>
      <c r="E1534" s="1">
        <f>IFERROR(__xludf.DUMMYFUNCTION("""COMPUTED_VALUE"""),16820.0)</f>
        <v>16820</v>
      </c>
      <c r="F1534" s="1">
        <f>IFERROR(__xludf.DUMMYFUNCTION("""COMPUTED_VALUE"""),537901.0)</f>
        <v>537901</v>
      </c>
    </row>
    <row r="1535">
      <c r="A1535" s="2">
        <f>IFERROR(__xludf.DUMMYFUNCTION("""COMPUTED_VALUE"""),42821.64583333333)</f>
        <v>42821.64583</v>
      </c>
      <c r="B1535" s="1">
        <f>IFERROR(__xludf.DUMMYFUNCTION("""COMPUTED_VALUE"""),16680.0)</f>
        <v>16680</v>
      </c>
      <c r="C1535" s="1">
        <f>IFERROR(__xludf.DUMMYFUNCTION("""COMPUTED_VALUE"""),16840.0)</f>
        <v>16840</v>
      </c>
      <c r="D1535" s="1">
        <f>IFERROR(__xludf.DUMMYFUNCTION("""COMPUTED_VALUE"""),16560.0)</f>
        <v>16560</v>
      </c>
      <c r="E1535" s="1">
        <f>IFERROR(__xludf.DUMMYFUNCTION("""COMPUTED_VALUE"""),16580.0)</f>
        <v>16580</v>
      </c>
      <c r="F1535" s="1">
        <f>IFERROR(__xludf.DUMMYFUNCTION("""COMPUTED_VALUE"""),319059.0)</f>
        <v>319059</v>
      </c>
    </row>
    <row r="1536">
      <c r="A1536" s="2">
        <f>IFERROR(__xludf.DUMMYFUNCTION("""COMPUTED_VALUE"""),42822.64583333333)</f>
        <v>42822.64583</v>
      </c>
      <c r="B1536" s="1">
        <f>IFERROR(__xludf.DUMMYFUNCTION("""COMPUTED_VALUE"""),16660.0)</f>
        <v>16660</v>
      </c>
      <c r="C1536" s="1">
        <f>IFERROR(__xludf.DUMMYFUNCTION("""COMPUTED_VALUE"""),16800.0)</f>
        <v>16800</v>
      </c>
      <c r="D1536" s="1">
        <f>IFERROR(__xludf.DUMMYFUNCTION("""COMPUTED_VALUE"""),16480.0)</f>
        <v>16480</v>
      </c>
      <c r="E1536" s="1">
        <f>IFERROR(__xludf.DUMMYFUNCTION("""COMPUTED_VALUE"""),16640.0)</f>
        <v>16640</v>
      </c>
      <c r="F1536" s="1">
        <f>IFERROR(__xludf.DUMMYFUNCTION("""COMPUTED_VALUE"""),346230.0)</f>
        <v>346230</v>
      </c>
    </row>
    <row r="1537">
      <c r="A1537" s="2">
        <f>IFERROR(__xludf.DUMMYFUNCTION("""COMPUTED_VALUE"""),42823.64583333333)</f>
        <v>42823.64583</v>
      </c>
      <c r="B1537" s="1">
        <f>IFERROR(__xludf.DUMMYFUNCTION("""COMPUTED_VALUE"""),16800.0)</f>
        <v>16800</v>
      </c>
      <c r="C1537" s="1">
        <f>IFERROR(__xludf.DUMMYFUNCTION("""COMPUTED_VALUE"""),16820.0)</f>
        <v>16820</v>
      </c>
      <c r="D1537" s="1">
        <f>IFERROR(__xludf.DUMMYFUNCTION("""COMPUTED_VALUE"""),16580.0)</f>
        <v>16580</v>
      </c>
      <c r="E1537" s="1">
        <f>IFERROR(__xludf.DUMMYFUNCTION("""COMPUTED_VALUE"""),16760.0)</f>
        <v>16760</v>
      </c>
      <c r="F1537" s="1">
        <f>IFERROR(__xludf.DUMMYFUNCTION("""COMPUTED_VALUE"""),245176.0)</f>
        <v>245176</v>
      </c>
    </row>
    <row r="1538">
      <c r="A1538" s="2">
        <f>IFERROR(__xludf.DUMMYFUNCTION("""COMPUTED_VALUE"""),42824.64583333333)</f>
        <v>42824.64583</v>
      </c>
      <c r="B1538" s="1">
        <f>IFERROR(__xludf.DUMMYFUNCTION("""COMPUTED_VALUE"""),16820.0)</f>
        <v>16820</v>
      </c>
      <c r="C1538" s="1">
        <f>IFERROR(__xludf.DUMMYFUNCTION("""COMPUTED_VALUE"""),16820.0)</f>
        <v>16820</v>
      </c>
      <c r="D1538" s="1">
        <f>IFERROR(__xludf.DUMMYFUNCTION("""COMPUTED_VALUE"""),16540.0)</f>
        <v>16540</v>
      </c>
      <c r="E1538" s="1">
        <f>IFERROR(__xludf.DUMMYFUNCTION("""COMPUTED_VALUE"""),16560.0)</f>
        <v>16560</v>
      </c>
      <c r="F1538" s="1">
        <f>IFERROR(__xludf.DUMMYFUNCTION("""COMPUTED_VALUE"""),230451.0)</f>
        <v>230451</v>
      </c>
    </row>
    <row r="1539">
      <c r="A1539" s="2">
        <f>IFERROR(__xludf.DUMMYFUNCTION("""COMPUTED_VALUE"""),42825.64583333333)</f>
        <v>42825.64583</v>
      </c>
      <c r="B1539" s="1">
        <f>IFERROR(__xludf.DUMMYFUNCTION("""COMPUTED_VALUE"""),16700.0)</f>
        <v>16700</v>
      </c>
      <c r="C1539" s="1">
        <f>IFERROR(__xludf.DUMMYFUNCTION("""COMPUTED_VALUE"""),16740.0)</f>
        <v>16740</v>
      </c>
      <c r="D1539" s="1">
        <f>IFERROR(__xludf.DUMMYFUNCTION("""COMPUTED_VALUE"""),16540.0)</f>
        <v>16540</v>
      </c>
      <c r="E1539" s="1">
        <f>IFERROR(__xludf.DUMMYFUNCTION("""COMPUTED_VALUE"""),16620.0)</f>
        <v>16620</v>
      </c>
      <c r="F1539" s="1">
        <f>IFERROR(__xludf.DUMMYFUNCTION("""COMPUTED_VALUE"""),179689.0)</f>
        <v>179689</v>
      </c>
    </row>
    <row r="1540">
      <c r="A1540" s="2">
        <f>IFERROR(__xludf.DUMMYFUNCTION("""COMPUTED_VALUE"""),42828.64583333333)</f>
        <v>42828.64583</v>
      </c>
      <c r="B1540" s="1">
        <f>IFERROR(__xludf.DUMMYFUNCTION("""COMPUTED_VALUE"""),16700.0)</f>
        <v>16700</v>
      </c>
      <c r="C1540" s="1">
        <f>IFERROR(__xludf.DUMMYFUNCTION("""COMPUTED_VALUE"""),17400.0)</f>
        <v>17400</v>
      </c>
      <c r="D1540" s="1">
        <f>IFERROR(__xludf.DUMMYFUNCTION("""COMPUTED_VALUE"""),16680.0)</f>
        <v>16680</v>
      </c>
      <c r="E1540" s="1">
        <f>IFERROR(__xludf.DUMMYFUNCTION("""COMPUTED_VALUE"""),17400.0)</f>
        <v>17400</v>
      </c>
      <c r="F1540" s="1">
        <f>IFERROR(__xludf.DUMMYFUNCTION("""COMPUTED_VALUE"""),862856.0)</f>
        <v>862856</v>
      </c>
    </row>
    <row r="1541">
      <c r="A1541" s="2">
        <f>IFERROR(__xludf.DUMMYFUNCTION("""COMPUTED_VALUE"""),42829.64583333333)</f>
        <v>42829.64583</v>
      </c>
      <c r="B1541" s="1">
        <f>IFERROR(__xludf.DUMMYFUNCTION("""COMPUTED_VALUE"""),17500.0)</f>
        <v>17500</v>
      </c>
      <c r="C1541" s="1">
        <f>IFERROR(__xludf.DUMMYFUNCTION("""COMPUTED_VALUE"""),17520.0)</f>
        <v>17520</v>
      </c>
      <c r="D1541" s="1">
        <f>IFERROR(__xludf.DUMMYFUNCTION("""COMPUTED_VALUE"""),17140.0)</f>
        <v>17140</v>
      </c>
      <c r="E1541" s="1">
        <f>IFERROR(__xludf.DUMMYFUNCTION("""COMPUTED_VALUE"""),17140.0)</f>
        <v>17140</v>
      </c>
      <c r="F1541" s="1">
        <f>IFERROR(__xludf.DUMMYFUNCTION("""COMPUTED_VALUE"""),1954434.0)</f>
        <v>1954434</v>
      </c>
    </row>
    <row r="1542">
      <c r="A1542" s="2">
        <f>IFERROR(__xludf.DUMMYFUNCTION("""COMPUTED_VALUE"""),42830.64583333333)</f>
        <v>42830.64583</v>
      </c>
      <c r="B1542" s="1">
        <f>IFERROR(__xludf.DUMMYFUNCTION("""COMPUTED_VALUE"""),17360.0)</f>
        <v>17360</v>
      </c>
      <c r="C1542" s="1">
        <f>IFERROR(__xludf.DUMMYFUNCTION("""COMPUTED_VALUE"""),17740.0)</f>
        <v>17740</v>
      </c>
      <c r="D1542" s="1">
        <f>IFERROR(__xludf.DUMMYFUNCTION("""COMPUTED_VALUE"""),17120.0)</f>
        <v>17120</v>
      </c>
      <c r="E1542" s="1">
        <f>IFERROR(__xludf.DUMMYFUNCTION("""COMPUTED_VALUE"""),17180.0)</f>
        <v>17180</v>
      </c>
      <c r="F1542" s="1">
        <f>IFERROR(__xludf.DUMMYFUNCTION("""COMPUTED_VALUE"""),1526823.0)</f>
        <v>1526823</v>
      </c>
    </row>
    <row r="1543">
      <c r="A1543" s="2">
        <f>IFERROR(__xludf.DUMMYFUNCTION("""COMPUTED_VALUE"""),42831.64583333333)</f>
        <v>42831.64583</v>
      </c>
      <c r="B1543" s="1">
        <f>IFERROR(__xludf.DUMMYFUNCTION("""COMPUTED_VALUE"""),16900.0)</f>
        <v>16900</v>
      </c>
      <c r="C1543" s="1">
        <f>IFERROR(__xludf.DUMMYFUNCTION("""COMPUTED_VALUE"""),17000.0)</f>
        <v>17000</v>
      </c>
      <c r="D1543" s="1">
        <f>IFERROR(__xludf.DUMMYFUNCTION("""COMPUTED_VALUE"""),16660.0)</f>
        <v>16660</v>
      </c>
      <c r="E1543" s="1">
        <f>IFERROR(__xludf.DUMMYFUNCTION("""COMPUTED_VALUE"""),16900.0)</f>
        <v>16900</v>
      </c>
      <c r="F1543" s="1">
        <f>IFERROR(__xludf.DUMMYFUNCTION("""COMPUTED_VALUE"""),3843443.0)</f>
        <v>3843443</v>
      </c>
    </row>
    <row r="1544">
      <c r="A1544" s="2">
        <f>IFERROR(__xludf.DUMMYFUNCTION("""COMPUTED_VALUE"""),42832.64583333333)</f>
        <v>42832.64583</v>
      </c>
      <c r="B1544" s="1">
        <f>IFERROR(__xludf.DUMMYFUNCTION("""COMPUTED_VALUE"""),17060.0)</f>
        <v>17060</v>
      </c>
      <c r="C1544" s="1">
        <f>IFERROR(__xludf.DUMMYFUNCTION("""COMPUTED_VALUE"""),17420.0)</f>
        <v>17420</v>
      </c>
      <c r="D1544" s="1">
        <f>IFERROR(__xludf.DUMMYFUNCTION("""COMPUTED_VALUE"""),16980.0)</f>
        <v>16980</v>
      </c>
      <c r="E1544" s="1">
        <f>IFERROR(__xludf.DUMMYFUNCTION("""COMPUTED_VALUE"""),17320.0)</f>
        <v>17320</v>
      </c>
      <c r="F1544" s="1">
        <f>IFERROR(__xludf.DUMMYFUNCTION("""COMPUTED_VALUE"""),1424420.0)</f>
        <v>1424420</v>
      </c>
    </row>
    <row r="1545">
      <c r="A1545" s="2">
        <f>IFERROR(__xludf.DUMMYFUNCTION("""COMPUTED_VALUE"""),42835.64583333333)</f>
        <v>42835.64583</v>
      </c>
      <c r="B1545" s="1">
        <f>IFERROR(__xludf.DUMMYFUNCTION("""COMPUTED_VALUE"""),17420.0)</f>
        <v>17420</v>
      </c>
      <c r="C1545" s="1">
        <f>IFERROR(__xludf.DUMMYFUNCTION("""COMPUTED_VALUE"""),17420.0)</f>
        <v>17420</v>
      </c>
      <c r="D1545" s="1">
        <f>IFERROR(__xludf.DUMMYFUNCTION("""COMPUTED_VALUE"""),16840.0)</f>
        <v>16840</v>
      </c>
      <c r="E1545" s="1">
        <f>IFERROR(__xludf.DUMMYFUNCTION("""COMPUTED_VALUE"""),16980.0)</f>
        <v>16980</v>
      </c>
      <c r="F1545" s="1">
        <f>IFERROR(__xludf.DUMMYFUNCTION("""COMPUTED_VALUE"""),819880.0)</f>
        <v>819880</v>
      </c>
    </row>
    <row r="1546">
      <c r="A1546" s="2">
        <f>IFERROR(__xludf.DUMMYFUNCTION("""COMPUTED_VALUE"""),42836.64583333333)</f>
        <v>42836.64583</v>
      </c>
      <c r="B1546" s="1">
        <f>IFERROR(__xludf.DUMMYFUNCTION("""COMPUTED_VALUE"""),16940.0)</f>
        <v>16940</v>
      </c>
      <c r="C1546" s="1">
        <f>IFERROR(__xludf.DUMMYFUNCTION("""COMPUTED_VALUE"""),17240.0)</f>
        <v>17240</v>
      </c>
      <c r="D1546" s="1">
        <f>IFERROR(__xludf.DUMMYFUNCTION("""COMPUTED_VALUE"""),16820.0)</f>
        <v>16820</v>
      </c>
      <c r="E1546" s="1">
        <f>IFERROR(__xludf.DUMMYFUNCTION("""COMPUTED_VALUE"""),17140.0)</f>
        <v>17140</v>
      </c>
      <c r="F1546" s="1">
        <f>IFERROR(__xludf.DUMMYFUNCTION("""COMPUTED_VALUE"""),750110.0)</f>
        <v>750110</v>
      </c>
    </row>
    <row r="1547">
      <c r="A1547" s="2">
        <f>IFERROR(__xludf.DUMMYFUNCTION("""COMPUTED_VALUE"""),42837.64583333333)</f>
        <v>42837.64583</v>
      </c>
      <c r="B1547" s="1">
        <f>IFERROR(__xludf.DUMMYFUNCTION("""COMPUTED_VALUE"""),17140.0)</f>
        <v>17140</v>
      </c>
      <c r="C1547" s="1">
        <f>IFERROR(__xludf.DUMMYFUNCTION("""COMPUTED_VALUE"""),17240.0)</f>
        <v>17240</v>
      </c>
      <c r="D1547" s="1">
        <f>IFERROR(__xludf.DUMMYFUNCTION("""COMPUTED_VALUE"""),17020.0)</f>
        <v>17020</v>
      </c>
      <c r="E1547" s="1">
        <f>IFERROR(__xludf.DUMMYFUNCTION("""COMPUTED_VALUE"""),17180.0)</f>
        <v>17180</v>
      </c>
      <c r="F1547" s="1">
        <f>IFERROR(__xludf.DUMMYFUNCTION("""COMPUTED_VALUE"""),465429.0)</f>
        <v>465429</v>
      </c>
    </row>
    <row r="1548">
      <c r="A1548" s="2">
        <f>IFERROR(__xludf.DUMMYFUNCTION("""COMPUTED_VALUE"""),42838.64583333333)</f>
        <v>42838.64583</v>
      </c>
      <c r="B1548" s="1">
        <f>IFERROR(__xludf.DUMMYFUNCTION("""COMPUTED_VALUE"""),17140.0)</f>
        <v>17140</v>
      </c>
      <c r="C1548" s="1">
        <f>IFERROR(__xludf.DUMMYFUNCTION("""COMPUTED_VALUE"""),17700.0)</f>
        <v>17700</v>
      </c>
      <c r="D1548" s="1">
        <f>IFERROR(__xludf.DUMMYFUNCTION("""COMPUTED_VALUE"""),17120.0)</f>
        <v>17120</v>
      </c>
      <c r="E1548" s="1">
        <f>IFERROR(__xludf.DUMMYFUNCTION("""COMPUTED_VALUE"""),17600.0)</f>
        <v>17600</v>
      </c>
      <c r="F1548" s="1">
        <f>IFERROR(__xludf.DUMMYFUNCTION("""COMPUTED_VALUE"""),1362238.0)</f>
        <v>1362238</v>
      </c>
    </row>
    <row r="1549">
      <c r="A1549" s="2">
        <f>IFERROR(__xludf.DUMMYFUNCTION("""COMPUTED_VALUE"""),42839.64583333333)</f>
        <v>42839.64583</v>
      </c>
      <c r="B1549" s="1">
        <f>IFERROR(__xludf.DUMMYFUNCTION("""COMPUTED_VALUE"""),17560.0)</f>
        <v>17560</v>
      </c>
      <c r="C1549" s="1">
        <f>IFERROR(__xludf.DUMMYFUNCTION("""COMPUTED_VALUE"""),18040.0)</f>
        <v>18040</v>
      </c>
      <c r="D1549" s="1">
        <f>IFERROR(__xludf.DUMMYFUNCTION("""COMPUTED_VALUE"""),17500.0)</f>
        <v>17500</v>
      </c>
      <c r="E1549" s="1">
        <f>IFERROR(__xludf.DUMMYFUNCTION("""COMPUTED_VALUE"""),17760.0)</f>
        <v>17760</v>
      </c>
      <c r="F1549" s="1">
        <f>IFERROR(__xludf.DUMMYFUNCTION("""COMPUTED_VALUE"""),1146797.0)</f>
        <v>1146797</v>
      </c>
    </row>
    <row r="1550">
      <c r="A1550" s="2">
        <f>IFERROR(__xludf.DUMMYFUNCTION("""COMPUTED_VALUE"""),42842.64583333333)</f>
        <v>42842.64583</v>
      </c>
      <c r="B1550" s="1">
        <f>IFERROR(__xludf.DUMMYFUNCTION("""COMPUTED_VALUE"""),18000.0)</f>
        <v>18000</v>
      </c>
      <c r="C1550" s="1">
        <f>IFERROR(__xludf.DUMMYFUNCTION("""COMPUTED_VALUE"""),18060.0)</f>
        <v>18060</v>
      </c>
      <c r="D1550" s="1">
        <f>IFERROR(__xludf.DUMMYFUNCTION("""COMPUTED_VALUE"""),17680.0)</f>
        <v>17680</v>
      </c>
      <c r="E1550" s="1">
        <f>IFERROR(__xludf.DUMMYFUNCTION("""COMPUTED_VALUE"""),17820.0)</f>
        <v>17820</v>
      </c>
      <c r="F1550" s="1">
        <f>IFERROR(__xludf.DUMMYFUNCTION("""COMPUTED_VALUE"""),747833.0)</f>
        <v>747833</v>
      </c>
    </row>
    <row r="1551">
      <c r="A1551" s="2">
        <f>IFERROR(__xludf.DUMMYFUNCTION("""COMPUTED_VALUE"""),42843.64583333333)</f>
        <v>42843.64583</v>
      </c>
      <c r="B1551" s="1">
        <f>IFERROR(__xludf.DUMMYFUNCTION("""COMPUTED_VALUE"""),17820.0)</f>
        <v>17820</v>
      </c>
      <c r="C1551" s="1">
        <f>IFERROR(__xludf.DUMMYFUNCTION("""COMPUTED_VALUE"""),17960.0)</f>
        <v>17960</v>
      </c>
      <c r="D1551" s="1">
        <f>IFERROR(__xludf.DUMMYFUNCTION("""COMPUTED_VALUE"""),17600.0)</f>
        <v>17600</v>
      </c>
      <c r="E1551" s="1">
        <f>IFERROR(__xludf.DUMMYFUNCTION("""COMPUTED_VALUE"""),17640.0)</f>
        <v>17640</v>
      </c>
      <c r="F1551" s="1">
        <f>IFERROR(__xludf.DUMMYFUNCTION("""COMPUTED_VALUE"""),539494.0)</f>
        <v>539494</v>
      </c>
    </row>
    <row r="1552">
      <c r="A1552" s="2">
        <f>IFERROR(__xludf.DUMMYFUNCTION("""COMPUTED_VALUE"""),42844.64583333333)</f>
        <v>42844.64583</v>
      </c>
      <c r="B1552" s="1">
        <f>IFERROR(__xludf.DUMMYFUNCTION("""COMPUTED_VALUE"""),17400.0)</f>
        <v>17400</v>
      </c>
      <c r="C1552" s="1">
        <f>IFERROR(__xludf.DUMMYFUNCTION("""COMPUTED_VALUE"""),17720.0)</f>
        <v>17720</v>
      </c>
      <c r="D1552" s="1">
        <f>IFERROR(__xludf.DUMMYFUNCTION("""COMPUTED_VALUE"""),17300.0)</f>
        <v>17300</v>
      </c>
      <c r="E1552" s="1">
        <f>IFERROR(__xludf.DUMMYFUNCTION("""COMPUTED_VALUE"""),17440.0)</f>
        <v>17440</v>
      </c>
      <c r="F1552" s="1">
        <f>IFERROR(__xludf.DUMMYFUNCTION("""COMPUTED_VALUE"""),686885.0)</f>
        <v>686885</v>
      </c>
    </row>
    <row r="1553">
      <c r="A1553" s="2">
        <f>IFERROR(__xludf.DUMMYFUNCTION("""COMPUTED_VALUE"""),42845.64583333333)</f>
        <v>42845.64583</v>
      </c>
      <c r="B1553" s="1">
        <f>IFERROR(__xludf.DUMMYFUNCTION("""COMPUTED_VALUE"""),17780.0)</f>
        <v>17780</v>
      </c>
      <c r="C1553" s="1">
        <f>IFERROR(__xludf.DUMMYFUNCTION("""COMPUTED_VALUE"""),18220.0)</f>
        <v>18220</v>
      </c>
      <c r="D1553" s="1">
        <f>IFERROR(__xludf.DUMMYFUNCTION("""COMPUTED_VALUE"""),17640.0)</f>
        <v>17640</v>
      </c>
      <c r="E1553" s="1">
        <f>IFERROR(__xludf.DUMMYFUNCTION("""COMPUTED_VALUE"""),18160.0)</f>
        <v>18160</v>
      </c>
      <c r="F1553" s="1">
        <f>IFERROR(__xludf.DUMMYFUNCTION("""COMPUTED_VALUE"""),1559946.0)</f>
        <v>1559946</v>
      </c>
    </row>
    <row r="1554">
      <c r="A1554" s="2">
        <f>IFERROR(__xludf.DUMMYFUNCTION("""COMPUTED_VALUE"""),42846.64583333333)</f>
        <v>42846.64583</v>
      </c>
      <c r="B1554" s="1">
        <f>IFERROR(__xludf.DUMMYFUNCTION("""COMPUTED_VALUE"""),18340.0)</f>
        <v>18340</v>
      </c>
      <c r="C1554" s="1">
        <f>IFERROR(__xludf.DUMMYFUNCTION("""COMPUTED_VALUE"""),18380.0)</f>
        <v>18380</v>
      </c>
      <c r="D1554" s="1">
        <f>IFERROR(__xludf.DUMMYFUNCTION("""COMPUTED_VALUE"""),17920.0)</f>
        <v>17920</v>
      </c>
      <c r="E1554" s="1">
        <f>IFERROR(__xludf.DUMMYFUNCTION("""COMPUTED_VALUE"""),18000.0)</f>
        <v>18000</v>
      </c>
      <c r="F1554" s="1">
        <f>IFERROR(__xludf.DUMMYFUNCTION("""COMPUTED_VALUE"""),860895.0)</f>
        <v>860895</v>
      </c>
    </row>
    <row r="1555">
      <c r="A1555" s="2">
        <f>IFERROR(__xludf.DUMMYFUNCTION("""COMPUTED_VALUE"""),42849.64583333333)</f>
        <v>42849.64583</v>
      </c>
      <c r="B1555" s="1">
        <f>IFERROR(__xludf.DUMMYFUNCTION("""COMPUTED_VALUE"""),18120.0)</f>
        <v>18120</v>
      </c>
      <c r="C1555" s="1">
        <f>IFERROR(__xludf.DUMMYFUNCTION("""COMPUTED_VALUE"""),18300.0)</f>
        <v>18300</v>
      </c>
      <c r="D1555" s="1">
        <f>IFERROR(__xludf.DUMMYFUNCTION("""COMPUTED_VALUE"""),17860.0)</f>
        <v>17860</v>
      </c>
      <c r="E1555" s="1">
        <f>IFERROR(__xludf.DUMMYFUNCTION("""COMPUTED_VALUE"""),18040.0)</f>
        <v>18040</v>
      </c>
      <c r="F1555" s="1">
        <f>IFERROR(__xludf.DUMMYFUNCTION("""COMPUTED_VALUE"""),609794.0)</f>
        <v>609794</v>
      </c>
    </row>
    <row r="1556">
      <c r="A1556" s="2">
        <f>IFERROR(__xludf.DUMMYFUNCTION("""COMPUTED_VALUE"""),42850.64583333333)</f>
        <v>42850.64583</v>
      </c>
      <c r="B1556" s="1">
        <f>IFERROR(__xludf.DUMMYFUNCTION("""COMPUTED_VALUE"""),18140.0)</f>
        <v>18140</v>
      </c>
      <c r="C1556" s="1">
        <f>IFERROR(__xludf.DUMMYFUNCTION("""COMPUTED_VALUE"""),18160.0)</f>
        <v>18160</v>
      </c>
      <c r="D1556" s="1">
        <f>IFERROR(__xludf.DUMMYFUNCTION("""COMPUTED_VALUE"""),17920.0)</f>
        <v>17920</v>
      </c>
      <c r="E1556" s="1">
        <f>IFERROR(__xludf.DUMMYFUNCTION("""COMPUTED_VALUE"""),18160.0)</f>
        <v>18160</v>
      </c>
      <c r="F1556" s="1">
        <f>IFERROR(__xludf.DUMMYFUNCTION("""COMPUTED_VALUE"""),512570.0)</f>
        <v>512570</v>
      </c>
    </row>
    <row r="1557">
      <c r="A1557" s="2">
        <f>IFERROR(__xludf.DUMMYFUNCTION("""COMPUTED_VALUE"""),42851.64583333333)</f>
        <v>42851.64583</v>
      </c>
      <c r="B1557" s="1">
        <f>IFERROR(__xludf.DUMMYFUNCTION("""COMPUTED_VALUE"""),18360.0)</f>
        <v>18360</v>
      </c>
      <c r="C1557" s="1">
        <f>IFERROR(__xludf.DUMMYFUNCTION("""COMPUTED_VALUE"""),18820.0)</f>
        <v>18820</v>
      </c>
      <c r="D1557" s="1">
        <f>IFERROR(__xludf.DUMMYFUNCTION("""COMPUTED_VALUE"""),18280.0)</f>
        <v>18280</v>
      </c>
      <c r="E1557" s="1">
        <f>IFERROR(__xludf.DUMMYFUNCTION("""COMPUTED_VALUE"""),18520.0)</f>
        <v>18520</v>
      </c>
      <c r="F1557" s="1">
        <f>IFERROR(__xludf.DUMMYFUNCTION("""COMPUTED_VALUE"""),1219425.0)</f>
        <v>1219425</v>
      </c>
    </row>
    <row r="1558">
      <c r="A1558" s="2">
        <f>IFERROR(__xludf.DUMMYFUNCTION("""COMPUTED_VALUE"""),42852.64583333333)</f>
        <v>42852.64583</v>
      </c>
      <c r="B1558" s="1">
        <f>IFERROR(__xludf.DUMMYFUNCTION("""COMPUTED_VALUE"""),18600.0)</f>
        <v>18600</v>
      </c>
      <c r="C1558" s="1">
        <f>IFERROR(__xludf.DUMMYFUNCTION("""COMPUTED_VALUE"""),18600.0)</f>
        <v>18600</v>
      </c>
      <c r="D1558" s="1">
        <f>IFERROR(__xludf.DUMMYFUNCTION("""COMPUTED_VALUE"""),18240.0)</f>
        <v>18240</v>
      </c>
      <c r="E1558" s="1">
        <f>IFERROR(__xludf.DUMMYFUNCTION("""COMPUTED_VALUE"""),18280.0)</f>
        <v>18280</v>
      </c>
      <c r="F1558" s="1">
        <f>IFERROR(__xludf.DUMMYFUNCTION("""COMPUTED_VALUE"""),487452.0)</f>
        <v>487452</v>
      </c>
    </row>
    <row r="1559">
      <c r="A1559" s="2">
        <f>IFERROR(__xludf.DUMMYFUNCTION("""COMPUTED_VALUE"""),42853.64583333333)</f>
        <v>42853.64583</v>
      </c>
      <c r="B1559" s="1">
        <f>IFERROR(__xludf.DUMMYFUNCTION("""COMPUTED_VALUE"""),18340.0)</f>
        <v>18340</v>
      </c>
      <c r="C1559" s="1">
        <f>IFERROR(__xludf.DUMMYFUNCTION("""COMPUTED_VALUE"""),18460.0)</f>
        <v>18460</v>
      </c>
      <c r="D1559" s="1">
        <f>IFERROR(__xludf.DUMMYFUNCTION("""COMPUTED_VALUE"""),17860.0)</f>
        <v>17860</v>
      </c>
      <c r="E1559" s="1">
        <f>IFERROR(__xludf.DUMMYFUNCTION("""COMPUTED_VALUE"""),18080.0)</f>
        <v>18080</v>
      </c>
      <c r="F1559" s="1">
        <f>IFERROR(__xludf.DUMMYFUNCTION("""COMPUTED_VALUE"""),597202.0)</f>
        <v>597202</v>
      </c>
    </row>
    <row r="1560">
      <c r="A1560" s="2">
        <f>IFERROR(__xludf.DUMMYFUNCTION("""COMPUTED_VALUE"""),42857.64583333333)</f>
        <v>42857.64583</v>
      </c>
      <c r="B1560" s="1">
        <f>IFERROR(__xludf.DUMMYFUNCTION("""COMPUTED_VALUE"""),18300.0)</f>
        <v>18300</v>
      </c>
      <c r="C1560" s="1">
        <f>IFERROR(__xludf.DUMMYFUNCTION("""COMPUTED_VALUE"""),18560.0)</f>
        <v>18560</v>
      </c>
      <c r="D1560" s="1">
        <f>IFERROR(__xludf.DUMMYFUNCTION("""COMPUTED_VALUE"""),18200.0)</f>
        <v>18200</v>
      </c>
      <c r="E1560" s="1">
        <f>IFERROR(__xludf.DUMMYFUNCTION("""COMPUTED_VALUE"""),18520.0)</f>
        <v>18520</v>
      </c>
      <c r="F1560" s="1">
        <f>IFERROR(__xludf.DUMMYFUNCTION("""COMPUTED_VALUE"""),547726.0)</f>
        <v>547726</v>
      </c>
    </row>
    <row r="1561">
      <c r="A1561" s="2">
        <f>IFERROR(__xludf.DUMMYFUNCTION("""COMPUTED_VALUE"""),42859.64583333333)</f>
        <v>42859.64583</v>
      </c>
      <c r="B1561" s="1">
        <f>IFERROR(__xludf.DUMMYFUNCTION("""COMPUTED_VALUE"""),18760.0)</f>
        <v>18760</v>
      </c>
      <c r="C1561" s="1">
        <f>IFERROR(__xludf.DUMMYFUNCTION("""COMPUTED_VALUE"""),18980.0)</f>
        <v>18980</v>
      </c>
      <c r="D1561" s="1">
        <f>IFERROR(__xludf.DUMMYFUNCTION("""COMPUTED_VALUE"""),18640.0)</f>
        <v>18640</v>
      </c>
      <c r="E1561" s="1">
        <f>IFERROR(__xludf.DUMMYFUNCTION("""COMPUTED_VALUE"""),18800.0)</f>
        <v>18800</v>
      </c>
      <c r="F1561" s="1">
        <f>IFERROR(__xludf.DUMMYFUNCTION("""COMPUTED_VALUE"""),641966.0)</f>
        <v>641966</v>
      </c>
    </row>
    <row r="1562">
      <c r="A1562" s="2">
        <f>IFERROR(__xludf.DUMMYFUNCTION("""COMPUTED_VALUE"""),42863.64583333333)</f>
        <v>42863.64583</v>
      </c>
      <c r="B1562" s="1">
        <f>IFERROR(__xludf.DUMMYFUNCTION("""COMPUTED_VALUE"""),18840.0)</f>
        <v>18840</v>
      </c>
      <c r="C1562" s="1">
        <f>IFERROR(__xludf.DUMMYFUNCTION("""COMPUTED_VALUE"""),19000.0)</f>
        <v>19000</v>
      </c>
      <c r="D1562" s="1">
        <f>IFERROR(__xludf.DUMMYFUNCTION("""COMPUTED_VALUE"""),18680.0)</f>
        <v>18680</v>
      </c>
      <c r="E1562" s="1">
        <f>IFERROR(__xludf.DUMMYFUNCTION("""COMPUTED_VALUE"""),19000.0)</f>
        <v>19000</v>
      </c>
      <c r="F1562" s="1">
        <f>IFERROR(__xludf.DUMMYFUNCTION("""COMPUTED_VALUE"""),606290.0)</f>
        <v>606290</v>
      </c>
    </row>
    <row r="1563">
      <c r="A1563" s="2">
        <f>IFERROR(__xludf.DUMMYFUNCTION("""COMPUTED_VALUE"""),42865.64583333333)</f>
        <v>42865.64583</v>
      </c>
      <c r="B1563" s="1">
        <f>IFERROR(__xludf.DUMMYFUNCTION("""COMPUTED_VALUE"""),19160.0)</f>
        <v>19160</v>
      </c>
      <c r="C1563" s="1">
        <f>IFERROR(__xludf.DUMMYFUNCTION("""COMPUTED_VALUE"""),19160.0)</f>
        <v>19160</v>
      </c>
      <c r="D1563" s="1">
        <f>IFERROR(__xludf.DUMMYFUNCTION("""COMPUTED_VALUE"""),18720.0)</f>
        <v>18720</v>
      </c>
      <c r="E1563" s="1">
        <f>IFERROR(__xludf.DUMMYFUNCTION("""COMPUTED_VALUE"""),18800.0)</f>
        <v>18800</v>
      </c>
      <c r="F1563" s="1">
        <f>IFERROR(__xludf.DUMMYFUNCTION("""COMPUTED_VALUE"""),591255.0)</f>
        <v>591255</v>
      </c>
    </row>
    <row r="1564">
      <c r="A1564" s="2">
        <f>IFERROR(__xludf.DUMMYFUNCTION("""COMPUTED_VALUE"""),42866.64583333333)</f>
        <v>42866.64583</v>
      </c>
      <c r="B1564" s="1">
        <f>IFERROR(__xludf.DUMMYFUNCTION("""COMPUTED_VALUE"""),19160.0)</f>
        <v>19160</v>
      </c>
      <c r="C1564" s="1">
        <f>IFERROR(__xludf.DUMMYFUNCTION("""COMPUTED_VALUE"""),19200.0)</f>
        <v>19200</v>
      </c>
      <c r="D1564" s="1">
        <f>IFERROR(__xludf.DUMMYFUNCTION("""COMPUTED_VALUE"""),18960.0)</f>
        <v>18960</v>
      </c>
      <c r="E1564" s="1">
        <f>IFERROR(__xludf.DUMMYFUNCTION("""COMPUTED_VALUE"""),19040.0)</f>
        <v>19040</v>
      </c>
      <c r="F1564" s="1">
        <f>IFERROR(__xludf.DUMMYFUNCTION("""COMPUTED_VALUE"""),742959.0)</f>
        <v>742959</v>
      </c>
    </row>
    <row r="1565">
      <c r="A1565" s="2">
        <f>IFERROR(__xludf.DUMMYFUNCTION("""COMPUTED_VALUE"""),42867.64583333333)</f>
        <v>42867.64583</v>
      </c>
      <c r="B1565" s="1">
        <f>IFERROR(__xludf.DUMMYFUNCTION("""COMPUTED_VALUE"""),19140.0)</f>
        <v>19140</v>
      </c>
      <c r="C1565" s="1">
        <f>IFERROR(__xludf.DUMMYFUNCTION("""COMPUTED_VALUE"""),19160.0)</f>
        <v>19160</v>
      </c>
      <c r="D1565" s="1">
        <f>IFERROR(__xludf.DUMMYFUNCTION("""COMPUTED_VALUE"""),18900.0)</f>
        <v>18900</v>
      </c>
      <c r="E1565" s="1">
        <f>IFERROR(__xludf.DUMMYFUNCTION("""COMPUTED_VALUE"""),19160.0)</f>
        <v>19160</v>
      </c>
      <c r="F1565" s="1">
        <f>IFERROR(__xludf.DUMMYFUNCTION("""COMPUTED_VALUE"""),456417.0)</f>
        <v>456417</v>
      </c>
    </row>
    <row r="1566">
      <c r="A1566" s="2">
        <f>IFERROR(__xludf.DUMMYFUNCTION("""COMPUTED_VALUE"""),42870.64583333333)</f>
        <v>42870.64583</v>
      </c>
      <c r="B1566" s="1">
        <f>IFERROR(__xludf.DUMMYFUNCTION("""COMPUTED_VALUE"""),19160.0)</f>
        <v>19160</v>
      </c>
      <c r="C1566" s="1">
        <f>IFERROR(__xludf.DUMMYFUNCTION("""COMPUTED_VALUE"""),19260.0)</f>
        <v>19260</v>
      </c>
      <c r="D1566" s="1">
        <f>IFERROR(__xludf.DUMMYFUNCTION("""COMPUTED_VALUE"""),18700.0)</f>
        <v>18700</v>
      </c>
      <c r="E1566" s="1">
        <f>IFERROR(__xludf.DUMMYFUNCTION("""COMPUTED_VALUE"""),18760.0)</f>
        <v>18760</v>
      </c>
      <c r="F1566" s="1">
        <f>IFERROR(__xludf.DUMMYFUNCTION("""COMPUTED_VALUE"""),637232.0)</f>
        <v>637232</v>
      </c>
    </row>
    <row r="1567">
      <c r="A1567" s="2">
        <f>IFERROR(__xludf.DUMMYFUNCTION("""COMPUTED_VALUE"""),42871.64583333333)</f>
        <v>42871.64583</v>
      </c>
      <c r="B1567" s="1">
        <f>IFERROR(__xludf.DUMMYFUNCTION("""COMPUTED_VALUE"""),18900.0)</f>
        <v>18900</v>
      </c>
      <c r="C1567" s="1">
        <f>IFERROR(__xludf.DUMMYFUNCTION("""COMPUTED_VALUE"""),19080.0)</f>
        <v>19080</v>
      </c>
      <c r="D1567" s="1">
        <f>IFERROR(__xludf.DUMMYFUNCTION("""COMPUTED_VALUE"""),18820.0)</f>
        <v>18820</v>
      </c>
      <c r="E1567" s="1">
        <f>IFERROR(__xludf.DUMMYFUNCTION("""COMPUTED_VALUE"""),19040.0)</f>
        <v>19040</v>
      </c>
      <c r="F1567" s="1">
        <f>IFERROR(__xludf.DUMMYFUNCTION("""COMPUTED_VALUE"""),523113.0)</f>
        <v>523113</v>
      </c>
    </row>
    <row r="1568">
      <c r="A1568" s="2">
        <f>IFERROR(__xludf.DUMMYFUNCTION("""COMPUTED_VALUE"""),42872.64583333333)</f>
        <v>42872.64583</v>
      </c>
      <c r="B1568" s="1">
        <f>IFERROR(__xludf.DUMMYFUNCTION("""COMPUTED_VALUE"""),19100.0)</f>
        <v>19100</v>
      </c>
      <c r="C1568" s="1">
        <f>IFERROR(__xludf.DUMMYFUNCTION("""COMPUTED_VALUE"""),19120.0)</f>
        <v>19120</v>
      </c>
      <c r="D1568" s="1">
        <f>IFERROR(__xludf.DUMMYFUNCTION("""COMPUTED_VALUE"""),18840.0)</f>
        <v>18840</v>
      </c>
      <c r="E1568" s="1">
        <f>IFERROR(__xludf.DUMMYFUNCTION("""COMPUTED_VALUE"""),19040.0)</f>
        <v>19040</v>
      </c>
      <c r="F1568" s="1">
        <f>IFERROR(__xludf.DUMMYFUNCTION("""COMPUTED_VALUE"""),367716.0)</f>
        <v>367716</v>
      </c>
    </row>
    <row r="1569">
      <c r="A1569" s="2">
        <f>IFERROR(__xludf.DUMMYFUNCTION("""COMPUTED_VALUE"""),42873.64583333333)</f>
        <v>42873.64583</v>
      </c>
      <c r="B1569" s="1">
        <f>IFERROR(__xludf.DUMMYFUNCTION("""COMPUTED_VALUE"""),18800.0)</f>
        <v>18800</v>
      </c>
      <c r="C1569" s="1">
        <f>IFERROR(__xludf.DUMMYFUNCTION("""COMPUTED_VALUE"""),19100.0)</f>
        <v>19100</v>
      </c>
      <c r="D1569" s="1">
        <f>IFERROR(__xludf.DUMMYFUNCTION("""COMPUTED_VALUE"""),18760.0)</f>
        <v>18760</v>
      </c>
      <c r="E1569" s="1">
        <f>IFERROR(__xludf.DUMMYFUNCTION("""COMPUTED_VALUE"""),19040.0)</f>
        <v>19040</v>
      </c>
      <c r="F1569" s="1">
        <f>IFERROR(__xludf.DUMMYFUNCTION("""COMPUTED_VALUE"""),494101.0)</f>
        <v>494101</v>
      </c>
    </row>
    <row r="1570">
      <c r="A1570" s="2">
        <f>IFERROR(__xludf.DUMMYFUNCTION("""COMPUTED_VALUE"""),42874.64583333333)</f>
        <v>42874.64583</v>
      </c>
      <c r="B1570" s="1">
        <f>IFERROR(__xludf.DUMMYFUNCTION("""COMPUTED_VALUE"""),19100.0)</f>
        <v>19100</v>
      </c>
      <c r="C1570" s="1">
        <f>IFERROR(__xludf.DUMMYFUNCTION("""COMPUTED_VALUE"""),19680.0)</f>
        <v>19680</v>
      </c>
      <c r="D1570" s="1">
        <f>IFERROR(__xludf.DUMMYFUNCTION("""COMPUTED_VALUE"""),19100.0)</f>
        <v>19100</v>
      </c>
      <c r="E1570" s="1">
        <f>IFERROR(__xludf.DUMMYFUNCTION("""COMPUTED_VALUE"""),19600.0)</f>
        <v>19600</v>
      </c>
      <c r="F1570" s="1">
        <f>IFERROR(__xludf.DUMMYFUNCTION("""COMPUTED_VALUE"""),864141.0)</f>
        <v>864141</v>
      </c>
    </row>
    <row r="1571">
      <c r="A1571" s="2">
        <f>IFERROR(__xludf.DUMMYFUNCTION("""COMPUTED_VALUE"""),42877.64583333333)</f>
        <v>42877.64583</v>
      </c>
      <c r="B1571" s="1">
        <f>IFERROR(__xludf.DUMMYFUNCTION("""COMPUTED_VALUE"""),19800.0)</f>
        <v>19800</v>
      </c>
      <c r="C1571" s="1">
        <f>IFERROR(__xludf.DUMMYFUNCTION("""COMPUTED_VALUE"""),19900.0)</f>
        <v>19900</v>
      </c>
      <c r="D1571" s="1">
        <f>IFERROR(__xludf.DUMMYFUNCTION("""COMPUTED_VALUE"""),19540.0)</f>
        <v>19540</v>
      </c>
      <c r="E1571" s="1">
        <f>IFERROR(__xludf.DUMMYFUNCTION("""COMPUTED_VALUE"""),19900.0)</f>
        <v>19900</v>
      </c>
      <c r="F1571" s="1">
        <f>IFERROR(__xludf.DUMMYFUNCTION("""COMPUTED_VALUE"""),586072.0)</f>
        <v>586072</v>
      </c>
    </row>
    <row r="1572">
      <c r="A1572" s="2">
        <f>IFERROR(__xludf.DUMMYFUNCTION("""COMPUTED_VALUE"""),42878.64583333333)</f>
        <v>42878.64583</v>
      </c>
      <c r="B1572" s="1">
        <f>IFERROR(__xludf.DUMMYFUNCTION("""COMPUTED_VALUE"""),19920.0)</f>
        <v>19920</v>
      </c>
      <c r="C1572" s="1">
        <f>IFERROR(__xludf.DUMMYFUNCTION("""COMPUTED_VALUE"""),19960.0)</f>
        <v>19960</v>
      </c>
      <c r="D1572" s="1">
        <f>IFERROR(__xludf.DUMMYFUNCTION("""COMPUTED_VALUE"""),19700.0)</f>
        <v>19700</v>
      </c>
      <c r="E1572" s="1">
        <f>IFERROR(__xludf.DUMMYFUNCTION("""COMPUTED_VALUE"""),19800.0)</f>
        <v>19800</v>
      </c>
      <c r="F1572" s="1">
        <f>IFERROR(__xludf.DUMMYFUNCTION("""COMPUTED_VALUE"""),441606.0)</f>
        <v>441606</v>
      </c>
    </row>
    <row r="1573">
      <c r="A1573" s="2">
        <f>IFERROR(__xludf.DUMMYFUNCTION("""COMPUTED_VALUE"""),42879.64583333333)</f>
        <v>42879.64583</v>
      </c>
      <c r="B1573" s="1">
        <f>IFERROR(__xludf.DUMMYFUNCTION("""COMPUTED_VALUE"""),19780.0)</f>
        <v>19780</v>
      </c>
      <c r="C1573" s="1">
        <f>IFERROR(__xludf.DUMMYFUNCTION("""COMPUTED_VALUE"""),19900.0)</f>
        <v>19900</v>
      </c>
      <c r="D1573" s="1">
        <f>IFERROR(__xludf.DUMMYFUNCTION("""COMPUTED_VALUE"""),19640.0)</f>
        <v>19640</v>
      </c>
      <c r="E1573" s="1">
        <f>IFERROR(__xludf.DUMMYFUNCTION("""COMPUTED_VALUE"""),19900.0)</f>
        <v>19900</v>
      </c>
      <c r="F1573" s="1">
        <f>IFERROR(__xludf.DUMMYFUNCTION("""COMPUTED_VALUE"""),365620.0)</f>
        <v>365620</v>
      </c>
    </row>
    <row r="1574">
      <c r="A1574" s="2">
        <f>IFERROR(__xludf.DUMMYFUNCTION("""COMPUTED_VALUE"""),42880.64583333333)</f>
        <v>42880.64583</v>
      </c>
      <c r="B1574" s="1">
        <f>IFERROR(__xludf.DUMMYFUNCTION("""COMPUTED_VALUE"""),19980.0)</f>
        <v>19980</v>
      </c>
      <c r="C1574" s="1">
        <f>IFERROR(__xludf.DUMMYFUNCTION("""COMPUTED_VALUE"""),19980.0)</f>
        <v>19980</v>
      </c>
      <c r="D1574" s="1">
        <f>IFERROR(__xludf.DUMMYFUNCTION("""COMPUTED_VALUE"""),19720.0)</f>
        <v>19720</v>
      </c>
      <c r="E1574" s="1">
        <f>IFERROR(__xludf.DUMMYFUNCTION("""COMPUTED_VALUE"""),19720.0)</f>
        <v>19720</v>
      </c>
      <c r="F1574" s="1">
        <f>IFERROR(__xludf.DUMMYFUNCTION("""COMPUTED_VALUE"""),373447.0)</f>
        <v>373447</v>
      </c>
    </row>
    <row r="1575">
      <c r="A1575" s="2">
        <f>IFERROR(__xludf.DUMMYFUNCTION("""COMPUTED_VALUE"""),42881.64583333333)</f>
        <v>42881.64583</v>
      </c>
      <c r="B1575" s="1">
        <f>IFERROR(__xludf.DUMMYFUNCTION("""COMPUTED_VALUE"""),19840.0)</f>
        <v>19840</v>
      </c>
      <c r="C1575" s="1">
        <f>IFERROR(__xludf.DUMMYFUNCTION("""COMPUTED_VALUE"""),20200.0)</f>
        <v>20200</v>
      </c>
      <c r="D1575" s="1">
        <f>IFERROR(__xludf.DUMMYFUNCTION("""COMPUTED_VALUE"""),19820.0)</f>
        <v>19820</v>
      </c>
      <c r="E1575" s="1">
        <f>IFERROR(__xludf.DUMMYFUNCTION("""COMPUTED_VALUE"""),19940.0)</f>
        <v>19940</v>
      </c>
      <c r="F1575" s="1">
        <f>IFERROR(__xludf.DUMMYFUNCTION("""COMPUTED_VALUE"""),495326.0)</f>
        <v>495326</v>
      </c>
    </row>
    <row r="1576">
      <c r="A1576" s="2">
        <f>IFERROR(__xludf.DUMMYFUNCTION("""COMPUTED_VALUE"""),42884.64583333333)</f>
        <v>42884.64583</v>
      </c>
      <c r="B1576" s="1">
        <f>IFERROR(__xludf.DUMMYFUNCTION("""COMPUTED_VALUE"""),20040.0)</f>
        <v>20040</v>
      </c>
      <c r="C1576" s="1">
        <f>IFERROR(__xludf.DUMMYFUNCTION("""COMPUTED_VALUE"""),20040.0)</f>
        <v>20040</v>
      </c>
      <c r="D1576" s="1">
        <f>IFERROR(__xludf.DUMMYFUNCTION("""COMPUTED_VALUE"""),19820.0)</f>
        <v>19820</v>
      </c>
      <c r="E1576" s="1">
        <f>IFERROR(__xludf.DUMMYFUNCTION("""COMPUTED_VALUE"""),19840.0)</f>
        <v>19840</v>
      </c>
      <c r="F1576" s="1">
        <f>IFERROR(__xludf.DUMMYFUNCTION("""COMPUTED_VALUE"""),382156.0)</f>
        <v>382156</v>
      </c>
    </row>
    <row r="1577">
      <c r="A1577" s="2">
        <f>IFERROR(__xludf.DUMMYFUNCTION("""COMPUTED_VALUE"""),42885.64583333333)</f>
        <v>42885.64583</v>
      </c>
      <c r="B1577" s="1">
        <f>IFERROR(__xludf.DUMMYFUNCTION("""COMPUTED_VALUE"""),19900.0)</f>
        <v>19900</v>
      </c>
      <c r="C1577" s="1">
        <f>IFERROR(__xludf.DUMMYFUNCTION("""COMPUTED_VALUE"""),19940.0)</f>
        <v>19940</v>
      </c>
      <c r="D1577" s="1">
        <f>IFERROR(__xludf.DUMMYFUNCTION("""COMPUTED_VALUE"""),19600.0)</f>
        <v>19600</v>
      </c>
      <c r="E1577" s="1">
        <f>IFERROR(__xludf.DUMMYFUNCTION("""COMPUTED_VALUE"""),19620.0)</f>
        <v>19620</v>
      </c>
      <c r="F1577" s="1">
        <f>IFERROR(__xludf.DUMMYFUNCTION("""COMPUTED_VALUE"""),452940.0)</f>
        <v>452940</v>
      </c>
    </row>
    <row r="1578">
      <c r="A1578" s="2">
        <f>IFERROR(__xludf.DUMMYFUNCTION("""COMPUTED_VALUE"""),42886.64583333333)</f>
        <v>42886.64583</v>
      </c>
      <c r="B1578" s="1">
        <f>IFERROR(__xludf.DUMMYFUNCTION("""COMPUTED_VALUE"""),19640.0)</f>
        <v>19640</v>
      </c>
      <c r="C1578" s="1">
        <f>IFERROR(__xludf.DUMMYFUNCTION("""COMPUTED_VALUE"""),19880.0)</f>
        <v>19880</v>
      </c>
      <c r="D1578" s="1">
        <f>IFERROR(__xludf.DUMMYFUNCTION("""COMPUTED_VALUE"""),19640.0)</f>
        <v>19640</v>
      </c>
      <c r="E1578" s="1">
        <f>IFERROR(__xludf.DUMMYFUNCTION("""COMPUTED_VALUE"""),19760.0)</f>
        <v>19760</v>
      </c>
      <c r="F1578" s="1">
        <f>IFERROR(__xludf.DUMMYFUNCTION("""COMPUTED_VALUE"""),543164.0)</f>
        <v>543164</v>
      </c>
    </row>
    <row r="1579">
      <c r="A1579" s="2">
        <f>IFERROR(__xludf.DUMMYFUNCTION("""COMPUTED_VALUE"""),42887.64583333333)</f>
        <v>42887.64583</v>
      </c>
      <c r="B1579" s="1">
        <f>IFERROR(__xludf.DUMMYFUNCTION("""COMPUTED_VALUE"""),19800.0)</f>
        <v>19800</v>
      </c>
      <c r="C1579" s="1">
        <f>IFERROR(__xludf.DUMMYFUNCTION("""COMPUTED_VALUE"""),19880.0)</f>
        <v>19880</v>
      </c>
      <c r="D1579" s="1">
        <f>IFERROR(__xludf.DUMMYFUNCTION("""COMPUTED_VALUE"""),19640.0)</f>
        <v>19640</v>
      </c>
      <c r="E1579" s="1">
        <f>IFERROR(__xludf.DUMMYFUNCTION("""COMPUTED_VALUE"""),19760.0)</f>
        <v>19760</v>
      </c>
      <c r="F1579" s="1">
        <f>IFERROR(__xludf.DUMMYFUNCTION("""COMPUTED_VALUE"""),268742.0)</f>
        <v>268742</v>
      </c>
    </row>
    <row r="1580">
      <c r="A1580" s="2">
        <f>IFERROR(__xludf.DUMMYFUNCTION("""COMPUTED_VALUE"""),42888.64583333333)</f>
        <v>42888.64583</v>
      </c>
      <c r="B1580" s="1">
        <f>IFERROR(__xludf.DUMMYFUNCTION("""COMPUTED_VALUE"""),19840.0)</f>
        <v>19840</v>
      </c>
      <c r="C1580" s="1">
        <f>IFERROR(__xludf.DUMMYFUNCTION("""COMPUTED_VALUE"""),20180.0)</f>
        <v>20180</v>
      </c>
      <c r="D1580" s="1">
        <f>IFERROR(__xludf.DUMMYFUNCTION("""COMPUTED_VALUE"""),19840.0)</f>
        <v>19840</v>
      </c>
      <c r="E1580" s="1">
        <f>IFERROR(__xludf.DUMMYFUNCTION("""COMPUTED_VALUE"""),20160.0)</f>
        <v>20160</v>
      </c>
      <c r="F1580" s="1">
        <f>IFERROR(__xludf.DUMMYFUNCTION("""COMPUTED_VALUE"""),602328.0)</f>
        <v>602328</v>
      </c>
    </row>
    <row r="1581">
      <c r="A1581" s="2">
        <f>IFERROR(__xludf.DUMMYFUNCTION("""COMPUTED_VALUE"""),42891.64583333333)</f>
        <v>42891.64583</v>
      </c>
      <c r="B1581" s="1">
        <f>IFERROR(__xludf.DUMMYFUNCTION("""COMPUTED_VALUE"""),20300.0)</f>
        <v>20300</v>
      </c>
      <c r="C1581" s="1">
        <f>IFERROR(__xludf.DUMMYFUNCTION("""COMPUTED_VALUE"""),20920.0)</f>
        <v>20920</v>
      </c>
      <c r="D1581" s="1">
        <f>IFERROR(__xludf.DUMMYFUNCTION("""COMPUTED_VALUE"""),20240.0)</f>
        <v>20240</v>
      </c>
      <c r="E1581" s="1">
        <f>IFERROR(__xludf.DUMMYFUNCTION("""COMPUTED_VALUE"""),20900.0)</f>
        <v>20900</v>
      </c>
      <c r="F1581" s="1">
        <f>IFERROR(__xludf.DUMMYFUNCTION("""COMPUTED_VALUE"""),840185.0)</f>
        <v>840185</v>
      </c>
    </row>
    <row r="1582">
      <c r="A1582" s="2">
        <f>IFERROR(__xludf.DUMMYFUNCTION("""COMPUTED_VALUE"""),42893.64583333333)</f>
        <v>42893.64583</v>
      </c>
      <c r="B1582" s="1">
        <f>IFERROR(__xludf.DUMMYFUNCTION("""COMPUTED_VALUE"""),21000.0)</f>
        <v>21000</v>
      </c>
      <c r="C1582" s="1">
        <f>IFERROR(__xludf.DUMMYFUNCTION("""COMPUTED_VALUE"""),21660.0)</f>
        <v>21660</v>
      </c>
      <c r="D1582" s="1">
        <f>IFERROR(__xludf.DUMMYFUNCTION("""COMPUTED_VALUE"""),20840.0)</f>
        <v>20840</v>
      </c>
      <c r="E1582" s="1">
        <f>IFERROR(__xludf.DUMMYFUNCTION("""COMPUTED_VALUE"""),21600.0)</f>
        <v>21600</v>
      </c>
      <c r="F1582" s="1">
        <f>IFERROR(__xludf.DUMMYFUNCTION("""COMPUTED_VALUE"""),1018606.0)</f>
        <v>1018606</v>
      </c>
    </row>
    <row r="1583">
      <c r="A1583" s="2">
        <f>IFERROR(__xludf.DUMMYFUNCTION("""COMPUTED_VALUE"""),42894.64583333333)</f>
        <v>42894.64583</v>
      </c>
      <c r="B1583" s="1">
        <f>IFERROR(__xludf.DUMMYFUNCTION("""COMPUTED_VALUE"""),21760.0)</f>
        <v>21760</v>
      </c>
      <c r="C1583" s="1">
        <f>IFERROR(__xludf.DUMMYFUNCTION("""COMPUTED_VALUE"""),22020.0)</f>
        <v>22020</v>
      </c>
      <c r="D1583" s="1">
        <f>IFERROR(__xludf.DUMMYFUNCTION("""COMPUTED_VALUE"""),21340.0)</f>
        <v>21340</v>
      </c>
      <c r="E1583" s="1">
        <f>IFERROR(__xludf.DUMMYFUNCTION("""COMPUTED_VALUE"""),21700.0)</f>
        <v>21700</v>
      </c>
      <c r="F1583" s="1">
        <f>IFERROR(__xludf.DUMMYFUNCTION("""COMPUTED_VALUE"""),993097.0)</f>
        <v>993097</v>
      </c>
    </row>
    <row r="1584">
      <c r="A1584" s="2">
        <f>IFERROR(__xludf.DUMMYFUNCTION("""COMPUTED_VALUE"""),42895.64583333333)</f>
        <v>42895.64583</v>
      </c>
      <c r="B1584" s="1">
        <f>IFERROR(__xludf.DUMMYFUNCTION("""COMPUTED_VALUE"""),21700.0)</f>
        <v>21700</v>
      </c>
      <c r="C1584" s="1">
        <f>IFERROR(__xludf.DUMMYFUNCTION("""COMPUTED_VALUE"""),22000.0)</f>
        <v>22000</v>
      </c>
      <c r="D1584" s="1">
        <f>IFERROR(__xludf.DUMMYFUNCTION("""COMPUTED_VALUE"""),21580.0)</f>
        <v>21580</v>
      </c>
      <c r="E1584" s="1">
        <f>IFERROR(__xludf.DUMMYFUNCTION("""COMPUTED_VALUE"""),21960.0)</f>
        <v>21960</v>
      </c>
      <c r="F1584" s="1">
        <f>IFERROR(__xludf.DUMMYFUNCTION("""COMPUTED_VALUE"""),589751.0)</f>
        <v>589751</v>
      </c>
    </row>
    <row r="1585">
      <c r="A1585" s="2">
        <f>IFERROR(__xludf.DUMMYFUNCTION("""COMPUTED_VALUE"""),42898.64583333333)</f>
        <v>42898.64583</v>
      </c>
      <c r="B1585" s="1">
        <f>IFERROR(__xludf.DUMMYFUNCTION("""COMPUTED_VALUE"""),21400.0)</f>
        <v>21400</v>
      </c>
      <c r="C1585" s="1">
        <f>IFERROR(__xludf.DUMMYFUNCTION("""COMPUTED_VALUE"""),21560.0)</f>
        <v>21560</v>
      </c>
      <c r="D1585" s="1">
        <f>IFERROR(__xludf.DUMMYFUNCTION("""COMPUTED_VALUE"""),20680.0)</f>
        <v>20680</v>
      </c>
      <c r="E1585" s="1">
        <f>IFERROR(__xludf.DUMMYFUNCTION("""COMPUTED_VALUE"""),21000.0)</f>
        <v>21000</v>
      </c>
      <c r="F1585" s="1">
        <f>IFERROR(__xludf.DUMMYFUNCTION("""COMPUTED_VALUE"""),1280193.0)</f>
        <v>1280193</v>
      </c>
    </row>
    <row r="1586">
      <c r="A1586" s="2">
        <f>IFERROR(__xludf.DUMMYFUNCTION("""COMPUTED_VALUE"""),42899.64583333333)</f>
        <v>42899.64583</v>
      </c>
      <c r="B1586" s="1">
        <f>IFERROR(__xludf.DUMMYFUNCTION("""COMPUTED_VALUE"""),21240.0)</f>
        <v>21240</v>
      </c>
      <c r="C1586" s="1">
        <f>IFERROR(__xludf.DUMMYFUNCTION("""COMPUTED_VALUE"""),21500.0)</f>
        <v>21500</v>
      </c>
      <c r="D1586" s="1">
        <f>IFERROR(__xludf.DUMMYFUNCTION("""COMPUTED_VALUE"""),21100.0)</f>
        <v>21100</v>
      </c>
      <c r="E1586" s="1">
        <f>IFERROR(__xludf.DUMMYFUNCTION("""COMPUTED_VALUE"""),21380.0)</f>
        <v>21380</v>
      </c>
      <c r="F1586" s="1">
        <f>IFERROR(__xludf.DUMMYFUNCTION("""COMPUTED_VALUE"""),655263.0)</f>
        <v>655263</v>
      </c>
    </row>
    <row r="1587">
      <c r="A1587" s="2">
        <f>IFERROR(__xludf.DUMMYFUNCTION("""COMPUTED_VALUE"""),42900.64583333333)</f>
        <v>42900.64583</v>
      </c>
      <c r="B1587" s="1">
        <f>IFERROR(__xludf.DUMMYFUNCTION("""COMPUTED_VALUE"""),21620.0)</f>
        <v>21620</v>
      </c>
      <c r="C1587" s="1">
        <f>IFERROR(__xludf.DUMMYFUNCTION("""COMPUTED_VALUE"""),21680.0)</f>
        <v>21680</v>
      </c>
      <c r="D1587" s="1">
        <f>IFERROR(__xludf.DUMMYFUNCTION("""COMPUTED_VALUE"""),21000.0)</f>
        <v>21000</v>
      </c>
      <c r="E1587" s="1">
        <f>IFERROR(__xludf.DUMMYFUNCTION("""COMPUTED_VALUE"""),21280.0)</f>
        <v>21280</v>
      </c>
      <c r="F1587" s="1">
        <f>IFERROR(__xludf.DUMMYFUNCTION("""COMPUTED_VALUE"""),675374.0)</f>
        <v>675374</v>
      </c>
    </row>
    <row r="1588">
      <c r="A1588" s="2">
        <f>IFERROR(__xludf.DUMMYFUNCTION("""COMPUTED_VALUE"""),42901.64583333333)</f>
        <v>42901.64583</v>
      </c>
      <c r="B1588" s="1">
        <f>IFERROR(__xludf.DUMMYFUNCTION("""COMPUTED_VALUE"""),21340.0)</f>
        <v>21340</v>
      </c>
      <c r="C1588" s="1">
        <f>IFERROR(__xludf.DUMMYFUNCTION("""COMPUTED_VALUE"""),21380.0)</f>
        <v>21380</v>
      </c>
      <c r="D1588" s="1">
        <f>IFERROR(__xludf.DUMMYFUNCTION("""COMPUTED_VALUE"""),20960.0)</f>
        <v>20960</v>
      </c>
      <c r="E1588" s="1">
        <f>IFERROR(__xludf.DUMMYFUNCTION("""COMPUTED_VALUE"""),21100.0)</f>
        <v>21100</v>
      </c>
      <c r="F1588" s="1">
        <f>IFERROR(__xludf.DUMMYFUNCTION("""COMPUTED_VALUE"""),418961.0)</f>
        <v>418961</v>
      </c>
    </row>
    <row r="1589">
      <c r="A1589" s="2">
        <f>IFERROR(__xludf.DUMMYFUNCTION("""COMPUTED_VALUE"""),42905.64583333333)</f>
        <v>42905.64583</v>
      </c>
      <c r="B1589" s="1">
        <f>IFERROR(__xludf.DUMMYFUNCTION("""COMPUTED_VALUE"""),20480.0)</f>
        <v>20480</v>
      </c>
      <c r="C1589" s="1">
        <f>IFERROR(__xludf.DUMMYFUNCTION("""COMPUTED_VALUE"""),20900.0)</f>
        <v>20900</v>
      </c>
      <c r="D1589" s="1">
        <f>IFERROR(__xludf.DUMMYFUNCTION("""COMPUTED_VALUE"""),20480.0)</f>
        <v>20480</v>
      </c>
      <c r="E1589" s="1">
        <f>IFERROR(__xludf.DUMMYFUNCTION("""COMPUTED_VALUE"""),20760.0)</f>
        <v>20760</v>
      </c>
      <c r="F1589" s="1">
        <f>IFERROR(__xludf.DUMMYFUNCTION("""COMPUTED_VALUE"""),395315.0)</f>
        <v>395315</v>
      </c>
    </row>
    <row r="1590">
      <c r="A1590" s="2">
        <f>IFERROR(__xludf.DUMMYFUNCTION("""COMPUTED_VALUE"""),42906.64583333333)</f>
        <v>42906.64583</v>
      </c>
      <c r="B1590" s="1">
        <f>IFERROR(__xludf.DUMMYFUNCTION("""COMPUTED_VALUE"""),20980.0)</f>
        <v>20980</v>
      </c>
      <c r="C1590" s="1">
        <f>IFERROR(__xludf.DUMMYFUNCTION("""COMPUTED_VALUE"""),21000.0)</f>
        <v>21000</v>
      </c>
      <c r="D1590" s="1">
        <f>IFERROR(__xludf.DUMMYFUNCTION("""COMPUTED_VALUE"""),20220.0)</f>
        <v>20220</v>
      </c>
      <c r="E1590" s="1">
        <f>IFERROR(__xludf.DUMMYFUNCTION("""COMPUTED_VALUE"""),20300.0)</f>
        <v>20300</v>
      </c>
      <c r="F1590" s="1">
        <f>IFERROR(__xludf.DUMMYFUNCTION("""COMPUTED_VALUE"""),557636.0)</f>
        <v>557636</v>
      </c>
    </row>
    <row r="1591">
      <c r="A1591" s="2">
        <f>IFERROR(__xludf.DUMMYFUNCTION("""COMPUTED_VALUE"""),42907.64583333333)</f>
        <v>42907.64583</v>
      </c>
      <c r="B1591" s="1">
        <f>IFERROR(__xludf.DUMMYFUNCTION("""COMPUTED_VALUE"""),20040.0)</f>
        <v>20040</v>
      </c>
      <c r="C1591" s="1">
        <f>IFERROR(__xludf.DUMMYFUNCTION("""COMPUTED_VALUE"""),20060.0)</f>
        <v>20060</v>
      </c>
      <c r="D1591" s="1">
        <f>IFERROR(__xludf.DUMMYFUNCTION("""COMPUTED_VALUE"""),19600.0)</f>
        <v>19600</v>
      </c>
      <c r="E1591" s="1">
        <f>IFERROR(__xludf.DUMMYFUNCTION("""COMPUTED_VALUE"""),19760.0)</f>
        <v>19760</v>
      </c>
      <c r="F1591" s="1">
        <f>IFERROR(__xludf.DUMMYFUNCTION("""COMPUTED_VALUE"""),953598.0)</f>
        <v>953598</v>
      </c>
    </row>
    <row r="1592">
      <c r="A1592" s="2">
        <f>IFERROR(__xludf.DUMMYFUNCTION("""COMPUTED_VALUE"""),42908.64583333333)</f>
        <v>42908.64583</v>
      </c>
      <c r="B1592" s="1">
        <f>IFERROR(__xludf.DUMMYFUNCTION("""COMPUTED_VALUE"""),19960.0)</f>
        <v>19960</v>
      </c>
      <c r="C1592" s="1">
        <f>IFERROR(__xludf.DUMMYFUNCTION("""COMPUTED_VALUE"""),19980.0)</f>
        <v>19980</v>
      </c>
      <c r="D1592" s="1">
        <f>IFERROR(__xludf.DUMMYFUNCTION("""COMPUTED_VALUE"""),19420.0)</f>
        <v>19420</v>
      </c>
      <c r="E1592" s="1">
        <f>IFERROR(__xludf.DUMMYFUNCTION("""COMPUTED_VALUE"""),19600.0)</f>
        <v>19600</v>
      </c>
      <c r="F1592" s="1">
        <f>IFERROR(__xludf.DUMMYFUNCTION("""COMPUTED_VALUE"""),552636.0)</f>
        <v>552636</v>
      </c>
    </row>
    <row r="1593">
      <c r="A1593" s="2">
        <f>IFERROR(__xludf.DUMMYFUNCTION("""COMPUTED_VALUE"""),42909.64583333333)</f>
        <v>42909.64583</v>
      </c>
      <c r="B1593" s="1">
        <f>IFERROR(__xludf.DUMMYFUNCTION("""COMPUTED_VALUE"""),19560.0)</f>
        <v>19560</v>
      </c>
      <c r="C1593" s="1">
        <f>IFERROR(__xludf.DUMMYFUNCTION("""COMPUTED_VALUE"""),20300.0)</f>
        <v>20300</v>
      </c>
      <c r="D1593" s="1">
        <f>IFERROR(__xludf.DUMMYFUNCTION("""COMPUTED_VALUE"""),19500.0)</f>
        <v>19500</v>
      </c>
      <c r="E1593" s="1">
        <f>IFERROR(__xludf.DUMMYFUNCTION("""COMPUTED_VALUE"""),20300.0)</f>
        <v>20300</v>
      </c>
      <c r="F1593" s="1">
        <f>IFERROR(__xludf.DUMMYFUNCTION("""COMPUTED_VALUE"""),540430.0)</f>
        <v>540430</v>
      </c>
    </row>
    <row r="1594">
      <c r="A1594" s="2">
        <f>IFERROR(__xludf.DUMMYFUNCTION("""COMPUTED_VALUE"""),42912.64583333333)</f>
        <v>42912.64583</v>
      </c>
      <c r="B1594" s="1">
        <f>IFERROR(__xludf.DUMMYFUNCTION("""COMPUTED_VALUE"""),20340.0)</f>
        <v>20340</v>
      </c>
      <c r="C1594" s="1">
        <f>IFERROR(__xludf.DUMMYFUNCTION("""COMPUTED_VALUE"""),20420.0)</f>
        <v>20420</v>
      </c>
      <c r="D1594" s="1">
        <f>IFERROR(__xludf.DUMMYFUNCTION("""COMPUTED_VALUE"""),19940.0)</f>
        <v>19940</v>
      </c>
      <c r="E1594" s="1">
        <f>IFERROR(__xludf.DUMMYFUNCTION("""COMPUTED_VALUE"""),20040.0)</f>
        <v>20040</v>
      </c>
      <c r="F1594" s="1">
        <f>IFERROR(__xludf.DUMMYFUNCTION("""COMPUTED_VALUE"""),388658.0)</f>
        <v>388658</v>
      </c>
    </row>
    <row r="1595">
      <c r="A1595" s="2">
        <f>IFERROR(__xludf.DUMMYFUNCTION("""COMPUTED_VALUE"""),42913.64583333333)</f>
        <v>42913.64583</v>
      </c>
      <c r="B1595" s="1">
        <f>IFERROR(__xludf.DUMMYFUNCTION("""COMPUTED_VALUE"""),20140.0)</f>
        <v>20140</v>
      </c>
      <c r="C1595" s="1">
        <f>IFERROR(__xludf.DUMMYFUNCTION("""COMPUTED_VALUE"""),20880.0)</f>
        <v>20880</v>
      </c>
      <c r="D1595" s="1">
        <f>IFERROR(__xludf.DUMMYFUNCTION("""COMPUTED_VALUE"""),20080.0)</f>
        <v>20080</v>
      </c>
      <c r="E1595" s="1">
        <f>IFERROR(__xludf.DUMMYFUNCTION("""COMPUTED_VALUE"""),20760.0)</f>
        <v>20760</v>
      </c>
      <c r="F1595" s="1">
        <f>IFERROR(__xludf.DUMMYFUNCTION("""COMPUTED_VALUE"""),729641.0)</f>
        <v>729641</v>
      </c>
    </row>
    <row r="1596">
      <c r="A1596" s="2">
        <f>IFERROR(__xludf.DUMMYFUNCTION("""COMPUTED_VALUE"""),42914.64583333333)</f>
        <v>42914.64583</v>
      </c>
      <c r="B1596" s="1">
        <f>IFERROR(__xludf.DUMMYFUNCTION("""COMPUTED_VALUE"""),20440.0)</f>
        <v>20440</v>
      </c>
      <c r="C1596" s="1">
        <f>IFERROR(__xludf.DUMMYFUNCTION("""COMPUTED_VALUE"""),20600.0)</f>
        <v>20600</v>
      </c>
      <c r="D1596" s="1">
        <f>IFERROR(__xludf.DUMMYFUNCTION("""COMPUTED_VALUE"""),20100.0)</f>
        <v>20100</v>
      </c>
      <c r="E1596" s="1">
        <f>IFERROR(__xludf.DUMMYFUNCTION("""COMPUTED_VALUE"""),20160.0)</f>
        <v>20160</v>
      </c>
      <c r="F1596" s="1">
        <f>IFERROR(__xludf.DUMMYFUNCTION("""COMPUTED_VALUE"""),418589.0)</f>
        <v>418589</v>
      </c>
    </row>
    <row r="1597">
      <c r="A1597" s="2">
        <f>IFERROR(__xludf.DUMMYFUNCTION("""COMPUTED_VALUE"""),42915.64583333333)</f>
        <v>42915.64583</v>
      </c>
      <c r="B1597" s="1">
        <f>IFERROR(__xludf.DUMMYFUNCTION("""COMPUTED_VALUE"""),20480.0)</f>
        <v>20480</v>
      </c>
      <c r="C1597" s="1">
        <f>IFERROR(__xludf.DUMMYFUNCTION("""COMPUTED_VALUE"""),20540.0)</f>
        <v>20540</v>
      </c>
      <c r="D1597" s="1">
        <f>IFERROR(__xludf.DUMMYFUNCTION("""COMPUTED_VALUE"""),20160.0)</f>
        <v>20160</v>
      </c>
      <c r="E1597" s="1">
        <f>IFERROR(__xludf.DUMMYFUNCTION("""COMPUTED_VALUE"""),20300.0)</f>
        <v>20300</v>
      </c>
      <c r="F1597" s="1">
        <f>IFERROR(__xludf.DUMMYFUNCTION("""COMPUTED_VALUE"""),254580.0)</f>
        <v>254580</v>
      </c>
    </row>
    <row r="1598">
      <c r="A1598" s="2">
        <f>IFERROR(__xludf.DUMMYFUNCTION("""COMPUTED_VALUE"""),42916.64583333333)</f>
        <v>42916.64583</v>
      </c>
      <c r="B1598" s="1">
        <f>IFERROR(__xludf.DUMMYFUNCTION("""COMPUTED_VALUE"""),20060.0)</f>
        <v>20060</v>
      </c>
      <c r="C1598" s="1">
        <f>IFERROR(__xludf.DUMMYFUNCTION("""COMPUTED_VALUE"""),20660.0)</f>
        <v>20660</v>
      </c>
      <c r="D1598" s="1">
        <f>IFERROR(__xludf.DUMMYFUNCTION("""COMPUTED_VALUE"""),20060.0)</f>
        <v>20060</v>
      </c>
      <c r="E1598" s="1">
        <f>IFERROR(__xludf.DUMMYFUNCTION("""COMPUTED_VALUE"""),20300.0)</f>
        <v>20300</v>
      </c>
      <c r="F1598" s="1">
        <f>IFERROR(__xludf.DUMMYFUNCTION("""COMPUTED_VALUE"""),322137.0)</f>
        <v>322137</v>
      </c>
    </row>
    <row r="1599">
      <c r="A1599" s="2">
        <f>IFERROR(__xludf.DUMMYFUNCTION("""COMPUTED_VALUE"""),42919.64583333333)</f>
        <v>42919.64583</v>
      </c>
      <c r="B1599" s="1">
        <f>IFERROR(__xludf.DUMMYFUNCTION("""COMPUTED_VALUE"""),20480.0)</f>
        <v>20480</v>
      </c>
      <c r="C1599" s="1">
        <f>IFERROR(__xludf.DUMMYFUNCTION("""COMPUTED_VALUE"""),20540.0)</f>
        <v>20540</v>
      </c>
      <c r="D1599" s="1">
        <f>IFERROR(__xludf.DUMMYFUNCTION("""COMPUTED_VALUE"""),19820.0)</f>
        <v>19820</v>
      </c>
      <c r="E1599" s="1">
        <f>IFERROR(__xludf.DUMMYFUNCTION("""COMPUTED_VALUE"""),19880.0)</f>
        <v>19880</v>
      </c>
      <c r="F1599" s="1">
        <f>IFERROR(__xludf.DUMMYFUNCTION("""COMPUTED_VALUE"""),466365.0)</f>
        <v>466365</v>
      </c>
    </row>
    <row r="1600">
      <c r="A1600" s="2">
        <f>IFERROR(__xludf.DUMMYFUNCTION("""COMPUTED_VALUE"""),42920.64583333333)</f>
        <v>42920.64583</v>
      </c>
      <c r="B1600" s="1">
        <f>IFERROR(__xludf.DUMMYFUNCTION("""COMPUTED_VALUE"""),19980.0)</f>
        <v>19980</v>
      </c>
      <c r="C1600" s="1">
        <f>IFERROR(__xludf.DUMMYFUNCTION("""COMPUTED_VALUE"""),20100.0)</f>
        <v>20100</v>
      </c>
      <c r="D1600" s="1">
        <f>IFERROR(__xludf.DUMMYFUNCTION("""COMPUTED_VALUE"""),19600.0)</f>
        <v>19600</v>
      </c>
      <c r="E1600" s="1">
        <f>IFERROR(__xludf.DUMMYFUNCTION("""COMPUTED_VALUE"""),19660.0)</f>
        <v>19660</v>
      </c>
      <c r="F1600" s="1">
        <f>IFERROR(__xludf.DUMMYFUNCTION("""COMPUTED_VALUE"""),436397.0)</f>
        <v>436397</v>
      </c>
    </row>
    <row r="1601">
      <c r="A1601" s="2">
        <f>IFERROR(__xludf.DUMMYFUNCTION("""COMPUTED_VALUE"""),42921.64583333333)</f>
        <v>42921.64583</v>
      </c>
      <c r="B1601" s="1">
        <f>IFERROR(__xludf.DUMMYFUNCTION("""COMPUTED_VALUE"""),19700.0)</f>
        <v>19700</v>
      </c>
      <c r="C1601" s="1">
        <f>IFERROR(__xludf.DUMMYFUNCTION("""COMPUTED_VALUE"""),20520.0)</f>
        <v>20520</v>
      </c>
      <c r="D1601" s="1">
        <f>IFERROR(__xludf.DUMMYFUNCTION("""COMPUTED_VALUE"""),19700.0)</f>
        <v>19700</v>
      </c>
      <c r="E1601" s="1">
        <f>IFERROR(__xludf.DUMMYFUNCTION("""COMPUTED_VALUE"""),20500.0)</f>
        <v>20500</v>
      </c>
      <c r="F1601" s="1">
        <f>IFERROR(__xludf.DUMMYFUNCTION("""COMPUTED_VALUE"""),596647.0)</f>
        <v>596647</v>
      </c>
    </row>
    <row r="1602">
      <c r="A1602" s="2">
        <f>IFERROR(__xludf.DUMMYFUNCTION("""COMPUTED_VALUE"""),42922.64583333333)</f>
        <v>42922.64583</v>
      </c>
      <c r="B1602" s="1">
        <f>IFERROR(__xludf.DUMMYFUNCTION("""COMPUTED_VALUE"""),20660.0)</f>
        <v>20660</v>
      </c>
      <c r="C1602" s="1">
        <f>IFERROR(__xludf.DUMMYFUNCTION("""COMPUTED_VALUE"""),21180.0)</f>
        <v>21180</v>
      </c>
      <c r="D1602" s="1">
        <f>IFERROR(__xludf.DUMMYFUNCTION("""COMPUTED_VALUE"""),20640.0)</f>
        <v>20640</v>
      </c>
      <c r="E1602" s="1">
        <f>IFERROR(__xludf.DUMMYFUNCTION("""COMPUTED_VALUE"""),20820.0)</f>
        <v>20820</v>
      </c>
      <c r="F1602" s="1">
        <f>IFERROR(__xludf.DUMMYFUNCTION("""COMPUTED_VALUE"""),707536.0)</f>
        <v>707536</v>
      </c>
    </row>
    <row r="1603">
      <c r="A1603" s="2">
        <f>IFERROR(__xludf.DUMMYFUNCTION("""COMPUTED_VALUE"""),42923.64583333333)</f>
        <v>42923.64583</v>
      </c>
      <c r="B1603" s="1">
        <f>IFERROR(__xludf.DUMMYFUNCTION("""COMPUTED_VALUE"""),20700.0)</f>
        <v>20700</v>
      </c>
      <c r="C1603" s="1">
        <f>IFERROR(__xludf.DUMMYFUNCTION("""COMPUTED_VALUE"""),20740.0)</f>
        <v>20740</v>
      </c>
      <c r="D1603" s="1">
        <f>IFERROR(__xludf.DUMMYFUNCTION("""COMPUTED_VALUE"""),20040.0)</f>
        <v>20040</v>
      </c>
      <c r="E1603" s="1">
        <f>IFERROR(__xludf.DUMMYFUNCTION("""COMPUTED_VALUE"""),20320.0)</f>
        <v>20320</v>
      </c>
      <c r="F1603" s="1">
        <f>IFERROR(__xludf.DUMMYFUNCTION("""COMPUTED_VALUE"""),996796.0)</f>
        <v>996796</v>
      </c>
    </row>
    <row r="1604">
      <c r="A1604" s="2">
        <f>IFERROR(__xludf.DUMMYFUNCTION("""COMPUTED_VALUE"""),42926.64583333333)</f>
        <v>42926.64583</v>
      </c>
      <c r="B1604" s="1">
        <f>IFERROR(__xludf.DUMMYFUNCTION("""COMPUTED_VALUE"""),20500.0)</f>
        <v>20500</v>
      </c>
      <c r="C1604" s="1">
        <f>IFERROR(__xludf.DUMMYFUNCTION("""COMPUTED_VALUE"""),20700.0)</f>
        <v>20700</v>
      </c>
      <c r="D1604" s="1">
        <f>IFERROR(__xludf.DUMMYFUNCTION("""COMPUTED_VALUE"""),20200.0)</f>
        <v>20200</v>
      </c>
      <c r="E1604" s="1">
        <f>IFERROR(__xludf.DUMMYFUNCTION("""COMPUTED_VALUE"""),20400.0)</f>
        <v>20400</v>
      </c>
      <c r="F1604" s="1">
        <f>IFERROR(__xludf.DUMMYFUNCTION("""COMPUTED_VALUE"""),356174.0)</f>
        <v>356174</v>
      </c>
    </row>
    <row r="1605">
      <c r="A1605" s="2">
        <f>IFERROR(__xludf.DUMMYFUNCTION("""COMPUTED_VALUE"""),42927.64583333333)</f>
        <v>42927.64583</v>
      </c>
      <c r="B1605" s="1">
        <f>IFERROR(__xludf.DUMMYFUNCTION("""COMPUTED_VALUE"""),20500.0)</f>
        <v>20500</v>
      </c>
      <c r="C1605" s="1">
        <f>IFERROR(__xludf.DUMMYFUNCTION("""COMPUTED_VALUE"""),20500.0)</f>
        <v>20500</v>
      </c>
      <c r="D1605" s="1">
        <f>IFERROR(__xludf.DUMMYFUNCTION("""COMPUTED_VALUE"""),19940.0)</f>
        <v>19940</v>
      </c>
      <c r="E1605" s="1">
        <f>IFERROR(__xludf.DUMMYFUNCTION("""COMPUTED_VALUE"""),20100.0)</f>
        <v>20100</v>
      </c>
      <c r="F1605" s="1">
        <f>IFERROR(__xludf.DUMMYFUNCTION("""COMPUTED_VALUE"""),352591.0)</f>
        <v>352591</v>
      </c>
    </row>
    <row r="1606">
      <c r="A1606" s="2">
        <f>IFERROR(__xludf.DUMMYFUNCTION("""COMPUTED_VALUE"""),42928.64583333333)</f>
        <v>42928.64583</v>
      </c>
      <c r="B1606" s="1">
        <f>IFERROR(__xludf.DUMMYFUNCTION("""COMPUTED_VALUE"""),19700.0)</f>
        <v>19700</v>
      </c>
      <c r="C1606" s="1">
        <f>IFERROR(__xludf.DUMMYFUNCTION("""COMPUTED_VALUE"""),19980.0)</f>
        <v>19980</v>
      </c>
      <c r="D1606" s="1">
        <f>IFERROR(__xludf.DUMMYFUNCTION("""COMPUTED_VALUE"""),19520.0)</f>
        <v>19520</v>
      </c>
      <c r="E1606" s="1">
        <f>IFERROR(__xludf.DUMMYFUNCTION("""COMPUTED_VALUE"""),19700.0)</f>
        <v>19700</v>
      </c>
      <c r="F1606" s="1">
        <f>IFERROR(__xludf.DUMMYFUNCTION("""COMPUTED_VALUE"""),621240.0)</f>
        <v>621240</v>
      </c>
    </row>
    <row r="1607">
      <c r="A1607" s="2">
        <f>IFERROR(__xludf.DUMMYFUNCTION("""COMPUTED_VALUE"""),42929.64583333333)</f>
        <v>42929.64583</v>
      </c>
      <c r="B1607" s="1">
        <f>IFERROR(__xludf.DUMMYFUNCTION("""COMPUTED_VALUE"""),19840.0)</f>
        <v>19840</v>
      </c>
      <c r="C1607" s="1">
        <f>IFERROR(__xludf.DUMMYFUNCTION("""COMPUTED_VALUE"""),20100.0)</f>
        <v>20100</v>
      </c>
      <c r="D1607" s="1">
        <f>IFERROR(__xludf.DUMMYFUNCTION("""COMPUTED_VALUE"""),19700.0)</f>
        <v>19700</v>
      </c>
      <c r="E1607" s="1">
        <f>IFERROR(__xludf.DUMMYFUNCTION("""COMPUTED_VALUE"""),19980.0)</f>
        <v>19980</v>
      </c>
      <c r="F1607" s="1">
        <f>IFERROR(__xludf.DUMMYFUNCTION("""COMPUTED_VALUE"""),318819.0)</f>
        <v>318819</v>
      </c>
    </row>
    <row r="1608">
      <c r="A1608" s="2">
        <f>IFERROR(__xludf.DUMMYFUNCTION("""COMPUTED_VALUE"""),42930.64583333333)</f>
        <v>42930.64583</v>
      </c>
      <c r="B1608" s="1">
        <f>IFERROR(__xludf.DUMMYFUNCTION("""COMPUTED_VALUE"""),20100.0)</f>
        <v>20100</v>
      </c>
      <c r="C1608" s="1">
        <f>IFERROR(__xludf.DUMMYFUNCTION("""COMPUTED_VALUE"""),20300.0)</f>
        <v>20300</v>
      </c>
      <c r="D1608" s="1">
        <f>IFERROR(__xludf.DUMMYFUNCTION("""COMPUTED_VALUE"""),19800.0)</f>
        <v>19800</v>
      </c>
      <c r="E1608" s="1">
        <f>IFERROR(__xludf.DUMMYFUNCTION("""COMPUTED_VALUE"""),19800.0)</f>
        <v>19800</v>
      </c>
      <c r="F1608" s="1">
        <f>IFERROR(__xludf.DUMMYFUNCTION("""COMPUTED_VALUE"""),197097.0)</f>
        <v>197097</v>
      </c>
    </row>
    <row r="1609">
      <c r="A1609" s="2">
        <f>IFERROR(__xludf.DUMMYFUNCTION("""COMPUTED_VALUE"""),42933.64583333333)</f>
        <v>42933.64583</v>
      </c>
      <c r="B1609" s="1">
        <f>IFERROR(__xludf.DUMMYFUNCTION("""COMPUTED_VALUE"""),19840.0)</f>
        <v>19840</v>
      </c>
      <c r="C1609" s="1">
        <f>IFERROR(__xludf.DUMMYFUNCTION("""COMPUTED_VALUE"""),20200.0)</f>
        <v>20200</v>
      </c>
      <c r="D1609" s="1">
        <f>IFERROR(__xludf.DUMMYFUNCTION("""COMPUTED_VALUE"""),19840.0)</f>
        <v>19840</v>
      </c>
      <c r="E1609" s="1">
        <f>IFERROR(__xludf.DUMMYFUNCTION("""COMPUTED_VALUE"""),20100.0)</f>
        <v>20100</v>
      </c>
      <c r="F1609" s="1">
        <f>IFERROR(__xludf.DUMMYFUNCTION("""COMPUTED_VALUE"""),211816.0)</f>
        <v>211816</v>
      </c>
    </row>
    <row r="1610">
      <c r="A1610" s="2">
        <f>IFERROR(__xludf.DUMMYFUNCTION("""COMPUTED_VALUE"""),42934.64583333333)</f>
        <v>42934.64583</v>
      </c>
      <c r="B1610" s="1">
        <f>IFERROR(__xludf.DUMMYFUNCTION("""COMPUTED_VALUE"""),20300.0)</f>
        <v>20300</v>
      </c>
      <c r="C1610" s="1">
        <f>IFERROR(__xludf.DUMMYFUNCTION("""COMPUTED_VALUE"""),20900.0)</f>
        <v>20900</v>
      </c>
      <c r="D1610" s="1">
        <f>IFERROR(__xludf.DUMMYFUNCTION("""COMPUTED_VALUE"""),20200.0)</f>
        <v>20200</v>
      </c>
      <c r="E1610" s="1">
        <f>IFERROR(__xludf.DUMMYFUNCTION("""COMPUTED_VALUE"""),20700.0)</f>
        <v>20700</v>
      </c>
      <c r="F1610" s="1">
        <f>IFERROR(__xludf.DUMMYFUNCTION("""COMPUTED_VALUE"""),701273.0)</f>
        <v>701273</v>
      </c>
    </row>
    <row r="1611">
      <c r="A1611" s="2">
        <f>IFERROR(__xludf.DUMMYFUNCTION("""COMPUTED_VALUE"""),42935.64583333333)</f>
        <v>42935.64583</v>
      </c>
      <c r="B1611" s="1">
        <f>IFERROR(__xludf.DUMMYFUNCTION("""COMPUTED_VALUE"""),21000.0)</f>
        <v>21000</v>
      </c>
      <c r="C1611" s="1">
        <f>IFERROR(__xludf.DUMMYFUNCTION("""COMPUTED_VALUE"""),21200.0)</f>
        <v>21200</v>
      </c>
      <c r="D1611" s="1">
        <f>IFERROR(__xludf.DUMMYFUNCTION("""COMPUTED_VALUE"""),20700.0)</f>
        <v>20700</v>
      </c>
      <c r="E1611" s="1">
        <f>IFERROR(__xludf.DUMMYFUNCTION("""COMPUTED_VALUE"""),21000.0)</f>
        <v>21000</v>
      </c>
      <c r="F1611" s="1">
        <f>IFERROR(__xludf.DUMMYFUNCTION("""COMPUTED_VALUE"""),444737.0)</f>
        <v>444737</v>
      </c>
    </row>
    <row r="1612">
      <c r="A1612" s="2">
        <f>IFERROR(__xludf.DUMMYFUNCTION("""COMPUTED_VALUE"""),42936.64583333333)</f>
        <v>42936.64583</v>
      </c>
      <c r="B1612" s="1">
        <f>IFERROR(__xludf.DUMMYFUNCTION("""COMPUTED_VALUE"""),21200.0)</f>
        <v>21200</v>
      </c>
      <c r="C1612" s="1">
        <f>IFERROR(__xludf.DUMMYFUNCTION("""COMPUTED_VALUE"""),21300.0)</f>
        <v>21300</v>
      </c>
      <c r="D1612" s="1">
        <f>IFERROR(__xludf.DUMMYFUNCTION("""COMPUTED_VALUE"""),21000.0)</f>
        <v>21000</v>
      </c>
      <c r="E1612" s="1">
        <f>IFERROR(__xludf.DUMMYFUNCTION("""COMPUTED_VALUE"""),21000.0)</f>
        <v>21000</v>
      </c>
      <c r="F1612" s="1">
        <f>IFERROR(__xludf.DUMMYFUNCTION("""COMPUTED_VALUE"""),347492.0)</f>
        <v>347492</v>
      </c>
    </row>
    <row r="1613">
      <c r="A1613" s="2">
        <f>IFERROR(__xludf.DUMMYFUNCTION("""COMPUTED_VALUE"""),42937.64583333333)</f>
        <v>42937.64583</v>
      </c>
      <c r="B1613" s="1">
        <f>IFERROR(__xludf.DUMMYFUNCTION("""COMPUTED_VALUE"""),21100.0)</f>
        <v>21100</v>
      </c>
      <c r="C1613" s="1">
        <f>IFERROR(__xludf.DUMMYFUNCTION("""COMPUTED_VALUE"""),21600.0)</f>
        <v>21600</v>
      </c>
      <c r="D1613" s="1">
        <f>IFERROR(__xludf.DUMMYFUNCTION("""COMPUTED_VALUE"""),21000.0)</f>
        <v>21000</v>
      </c>
      <c r="E1613" s="1">
        <f>IFERROR(__xludf.DUMMYFUNCTION("""COMPUTED_VALUE"""),21600.0)</f>
        <v>21600</v>
      </c>
      <c r="F1613" s="1">
        <f>IFERROR(__xludf.DUMMYFUNCTION("""COMPUTED_VALUE"""),595184.0)</f>
        <v>595184</v>
      </c>
    </row>
    <row r="1614">
      <c r="A1614" s="2">
        <f>IFERROR(__xludf.DUMMYFUNCTION("""COMPUTED_VALUE"""),42940.64583333333)</f>
        <v>42940.64583</v>
      </c>
      <c r="B1614" s="1">
        <f>IFERROR(__xludf.DUMMYFUNCTION("""COMPUTED_VALUE"""),21700.0)</f>
        <v>21700</v>
      </c>
      <c r="C1614" s="1">
        <f>IFERROR(__xludf.DUMMYFUNCTION("""COMPUTED_VALUE"""),22100.0)</f>
        <v>22100</v>
      </c>
      <c r="D1614" s="1">
        <f>IFERROR(__xludf.DUMMYFUNCTION("""COMPUTED_VALUE"""),21400.0)</f>
        <v>21400</v>
      </c>
      <c r="E1614" s="1">
        <f>IFERROR(__xludf.DUMMYFUNCTION("""COMPUTED_VALUE"""),21800.0)</f>
        <v>21800</v>
      </c>
      <c r="F1614" s="1">
        <f>IFERROR(__xludf.DUMMYFUNCTION("""COMPUTED_VALUE"""),628757.0)</f>
        <v>628757</v>
      </c>
    </row>
    <row r="1615">
      <c r="A1615" s="2">
        <f>IFERROR(__xludf.DUMMYFUNCTION("""COMPUTED_VALUE"""),42941.64583333333)</f>
        <v>42941.64583</v>
      </c>
      <c r="B1615" s="1">
        <f>IFERROR(__xludf.DUMMYFUNCTION("""COMPUTED_VALUE"""),21900.0)</f>
        <v>21900</v>
      </c>
      <c r="C1615" s="1">
        <f>IFERROR(__xludf.DUMMYFUNCTION("""COMPUTED_VALUE"""),22000.0)</f>
        <v>22000</v>
      </c>
      <c r="D1615" s="1">
        <f>IFERROR(__xludf.DUMMYFUNCTION("""COMPUTED_VALUE"""),21400.0)</f>
        <v>21400</v>
      </c>
      <c r="E1615" s="1">
        <f>IFERROR(__xludf.DUMMYFUNCTION("""COMPUTED_VALUE"""),21500.0)</f>
        <v>21500</v>
      </c>
      <c r="F1615" s="1">
        <f>IFERROR(__xludf.DUMMYFUNCTION("""COMPUTED_VALUE"""),324849.0)</f>
        <v>324849</v>
      </c>
    </row>
    <row r="1616">
      <c r="A1616" s="2">
        <f>IFERROR(__xludf.DUMMYFUNCTION("""COMPUTED_VALUE"""),42942.64583333333)</f>
        <v>42942.64583</v>
      </c>
      <c r="B1616" s="1">
        <f>IFERROR(__xludf.DUMMYFUNCTION("""COMPUTED_VALUE"""),21600.0)</f>
        <v>21600</v>
      </c>
      <c r="C1616" s="1">
        <f>IFERROR(__xludf.DUMMYFUNCTION("""COMPUTED_VALUE"""),21700.0)</f>
        <v>21700</v>
      </c>
      <c r="D1616" s="1">
        <f>IFERROR(__xludf.DUMMYFUNCTION("""COMPUTED_VALUE"""),20800.0)</f>
        <v>20800</v>
      </c>
      <c r="E1616" s="1">
        <f>IFERROR(__xludf.DUMMYFUNCTION("""COMPUTED_VALUE"""),21100.0)</f>
        <v>21100</v>
      </c>
      <c r="F1616" s="1">
        <f>IFERROR(__xludf.DUMMYFUNCTION("""COMPUTED_VALUE"""),467047.0)</f>
        <v>467047</v>
      </c>
    </row>
    <row r="1617">
      <c r="A1617" s="2">
        <f>IFERROR(__xludf.DUMMYFUNCTION("""COMPUTED_VALUE"""),42943.64583333333)</f>
        <v>42943.64583</v>
      </c>
      <c r="B1617" s="1">
        <f>IFERROR(__xludf.DUMMYFUNCTION("""COMPUTED_VALUE"""),21500.0)</f>
        <v>21500</v>
      </c>
      <c r="C1617" s="1">
        <f>IFERROR(__xludf.DUMMYFUNCTION("""COMPUTED_VALUE"""),21900.0)</f>
        <v>21900</v>
      </c>
      <c r="D1617" s="1">
        <f>IFERROR(__xludf.DUMMYFUNCTION("""COMPUTED_VALUE"""),21200.0)</f>
        <v>21200</v>
      </c>
      <c r="E1617" s="1">
        <f>IFERROR(__xludf.DUMMYFUNCTION("""COMPUTED_VALUE"""),21900.0)</f>
        <v>21900</v>
      </c>
      <c r="F1617" s="1">
        <f>IFERROR(__xludf.DUMMYFUNCTION("""COMPUTED_VALUE"""),755654.0)</f>
        <v>755654</v>
      </c>
    </row>
    <row r="1618">
      <c r="A1618" s="2">
        <f>IFERROR(__xludf.DUMMYFUNCTION("""COMPUTED_VALUE"""),42944.64583333333)</f>
        <v>42944.64583</v>
      </c>
      <c r="B1618" s="1">
        <f>IFERROR(__xludf.DUMMYFUNCTION("""COMPUTED_VALUE"""),22500.0)</f>
        <v>22500</v>
      </c>
      <c r="C1618" s="1">
        <f>IFERROR(__xludf.DUMMYFUNCTION("""COMPUTED_VALUE"""),22800.0)</f>
        <v>22800</v>
      </c>
      <c r="D1618" s="1">
        <f>IFERROR(__xludf.DUMMYFUNCTION("""COMPUTED_VALUE"""),21900.0)</f>
        <v>21900</v>
      </c>
      <c r="E1618" s="1">
        <f>IFERROR(__xludf.DUMMYFUNCTION("""COMPUTED_VALUE"""),22200.0)</f>
        <v>22200</v>
      </c>
      <c r="F1618" s="1">
        <f>IFERROR(__xludf.DUMMYFUNCTION("""COMPUTED_VALUE"""),1687002.0)</f>
        <v>1687002</v>
      </c>
    </row>
    <row r="1619">
      <c r="A1619" s="2">
        <f>IFERROR(__xludf.DUMMYFUNCTION("""COMPUTED_VALUE"""),42947.64583333333)</f>
        <v>42947.64583</v>
      </c>
      <c r="B1619" s="1">
        <f>IFERROR(__xludf.DUMMYFUNCTION("""COMPUTED_VALUE"""),22700.0)</f>
        <v>22700</v>
      </c>
      <c r="C1619" s="1">
        <f>IFERROR(__xludf.DUMMYFUNCTION("""COMPUTED_VALUE"""),24200.0)</f>
        <v>24200</v>
      </c>
      <c r="D1619" s="1">
        <f>IFERROR(__xludf.DUMMYFUNCTION("""COMPUTED_VALUE"""),22500.0)</f>
        <v>22500</v>
      </c>
      <c r="E1619" s="1">
        <f>IFERROR(__xludf.DUMMYFUNCTION("""COMPUTED_VALUE"""),24000.0)</f>
        <v>24000</v>
      </c>
      <c r="F1619" s="1">
        <f>IFERROR(__xludf.DUMMYFUNCTION("""COMPUTED_VALUE"""),3120156.0)</f>
        <v>3120156</v>
      </c>
    </row>
    <row r="1620">
      <c r="A1620" s="2">
        <f>IFERROR(__xludf.DUMMYFUNCTION("""COMPUTED_VALUE"""),42948.64583333333)</f>
        <v>42948.64583</v>
      </c>
      <c r="B1620" s="1">
        <f>IFERROR(__xludf.DUMMYFUNCTION("""COMPUTED_VALUE"""),24300.0)</f>
        <v>24300</v>
      </c>
      <c r="C1620" s="1">
        <f>IFERROR(__xludf.DUMMYFUNCTION("""COMPUTED_VALUE"""),24900.0)</f>
        <v>24900</v>
      </c>
      <c r="D1620" s="1">
        <f>IFERROR(__xludf.DUMMYFUNCTION("""COMPUTED_VALUE"""),23400.0)</f>
        <v>23400</v>
      </c>
      <c r="E1620" s="1">
        <f>IFERROR(__xludf.DUMMYFUNCTION("""COMPUTED_VALUE"""),23600.0)</f>
        <v>23600</v>
      </c>
      <c r="F1620" s="1">
        <f>IFERROR(__xludf.DUMMYFUNCTION("""COMPUTED_VALUE"""),2508504.0)</f>
        <v>2508504</v>
      </c>
    </row>
    <row r="1621">
      <c r="A1621" s="2">
        <f>IFERROR(__xludf.DUMMYFUNCTION("""COMPUTED_VALUE"""),42949.64583333333)</f>
        <v>42949.64583</v>
      </c>
      <c r="B1621" s="1">
        <f>IFERROR(__xludf.DUMMYFUNCTION("""COMPUTED_VALUE"""),22700.0)</f>
        <v>22700</v>
      </c>
      <c r="C1621" s="1">
        <f>IFERROR(__xludf.DUMMYFUNCTION("""COMPUTED_VALUE"""),23300.0)</f>
        <v>23300</v>
      </c>
      <c r="D1621" s="1">
        <f>IFERROR(__xludf.DUMMYFUNCTION("""COMPUTED_VALUE"""),22100.0)</f>
        <v>22100</v>
      </c>
      <c r="E1621" s="1">
        <f>IFERROR(__xludf.DUMMYFUNCTION("""COMPUTED_VALUE"""),22900.0)</f>
        <v>22900</v>
      </c>
      <c r="F1621" s="1">
        <f>IFERROR(__xludf.DUMMYFUNCTION("""COMPUTED_VALUE"""),2152274.0)</f>
        <v>2152274</v>
      </c>
    </row>
    <row r="1622">
      <c r="A1622" s="2">
        <f>IFERROR(__xludf.DUMMYFUNCTION("""COMPUTED_VALUE"""),42950.64583333333)</f>
        <v>42950.64583</v>
      </c>
      <c r="B1622" s="1">
        <f>IFERROR(__xludf.DUMMYFUNCTION("""COMPUTED_VALUE"""),23300.0)</f>
        <v>23300</v>
      </c>
      <c r="C1622" s="1">
        <f>IFERROR(__xludf.DUMMYFUNCTION("""COMPUTED_VALUE"""),23400.0)</f>
        <v>23400</v>
      </c>
      <c r="D1622" s="1">
        <f>IFERROR(__xludf.DUMMYFUNCTION("""COMPUTED_VALUE"""),22500.0)</f>
        <v>22500</v>
      </c>
      <c r="E1622" s="1">
        <f>IFERROR(__xludf.DUMMYFUNCTION("""COMPUTED_VALUE"""),22900.0)</f>
        <v>22900</v>
      </c>
      <c r="F1622" s="1">
        <f>IFERROR(__xludf.DUMMYFUNCTION("""COMPUTED_VALUE"""),1007302.0)</f>
        <v>1007302</v>
      </c>
    </row>
    <row r="1623">
      <c r="A1623" s="2">
        <f>IFERROR(__xludf.DUMMYFUNCTION("""COMPUTED_VALUE"""),42951.64583333333)</f>
        <v>42951.64583</v>
      </c>
      <c r="B1623" s="1">
        <f>IFERROR(__xludf.DUMMYFUNCTION("""COMPUTED_VALUE"""),22700.0)</f>
        <v>22700</v>
      </c>
      <c r="C1623" s="1">
        <f>IFERROR(__xludf.DUMMYFUNCTION("""COMPUTED_VALUE"""),23100.0)</f>
        <v>23100</v>
      </c>
      <c r="D1623" s="1">
        <f>IFERROR(__xludf.DUMMYFUNCTION("""COMPUTED_VALUE"""),22000.0)</f>
        <v>22000</v>
      </c>
      <c r="E1623" s="1">
        <f>IFERROR(__xludf.DUMMYFUNCTION("""COMPUTED_VALUE"""),22100.0)</f>
        <v>22100</v>
      </c>
      <c r="F1623" s="1">
        <f>IFERROR(__xludf.DUMMYFUNCTION("""COMPUTED_VALUE"""),941027.0)</f>
        <v>941027</v>
      </c>
    </row>
    <row r="1624">
      <c r="A1624" s="2">
        <f>IFERROR(__xludf.DUMMYFUNCTION("""COMPUTED_VALUE"""),42954.64583333333)</f>
        <v>42954.64583</v>
      </c>
      <c r="B1624" s="1">
        <f>IFERROR(__xludf.DUMMYFUNCTION("""COMPUTED_VALUE"""),22200.0)</f>
        <v>22200</v>
      </c>
      <c r="C1624" s="1">
        <f>IFERROR(__xludf.DUMMYFUNCTION("""COMPUTED_VALUE"""),22500.0)</f>
        <v>22500</v>
      </c>
      <c r="D1624" s="1">
        <f>IFERROR(__xludf.DUMMYFUNCTION("""COMPUTED_VALUE"""),21600.0)</f>
        <v>21600</v>
      </c>
      <c r="E1624" s="1">
        <f>IFERROR(__xludf.DUMMYFUNCTION("""COMPUTED_VALUE"""),22100.0)</f>
        <v>22100</v>
      </c>
      <c r="F1624" s="1">
        <f>IFERROR(__xludf.DUMMYFUNCTION("""COMPUTED_VALUE"""),678083.0)</f>
        <v>678083</v>
      </c>
    </row>
    <row r="1625">
      <c r="A1625" s="2">
        <f>IFERROR(__xludf.DUMMYFUNCTION("""COMPUTED_VALUE"""),42955.64583333333)</f>
        <v>42955.64583</v>
      </c>
      <c r="B1625" s="1">
        <f>IFERROR(__xludf.DUMMYFUNCTION("""COMPUTED_VALUE"""),22100.0)</f>
        <v>22100</v>
      </c>
      <c r="C1625" s="1">
        <f>IFERROR(__xludf.DUMMYFUNCTION("""COMPUTED_VALUE"""),22700.0)</f>
        <v>22700</v>
      </c>
      <c r="D1625" s="1">
        <f>IFERROR(__xludf.DUMMYFUNCTION("""COMPUTED_VALUE"""),22100.0)</f>
        <v>22100</v>
      </c>
      <c r="E1625" s="1">
        <f>IFERROR(__xludf.DUMMYFUNCTION("""COMPUTED_VALUE"""),22200.0)</f>
        <v>22200</v>
      </c>
      <c r="F1625" s="1">
        <f>IFERROR(__xludf.DUMMYFUNCTION("""COMPUTED_VALUE"""),478659.0)</f>
        <v>478659</v>
      </c>
    </row>
    <row r="1626">
      <c r="A1626" s="2">
        <f>IFERROR(__xludf.DUMMYFUNCTION("""COMPUTED_VALUE"""),42956.64583333333)</f>
        <v>42956.64583</v>
      </c>
      <c r="B1626" s="1">
        <f>IFERROR(__xludf.DUMMYFUNCTION("""COMPUTED_VALUE"""),22200.0)</f>
        <v>22200</v>
      </c>
      <c r="C1626" s="1">
        <f>IFERROR(__xludf.DUMMYFUNCTION("""COMPUTED_VALUE"""),22300.0)</f>
        <v>22300</v>
      </c>
      <c r="D1626" s="1">
        <f>IFERROR(__xludf.DUMMYFUNCTION("""COMPUTED_VALUE"""),21500.0)</f>
        <v>21500</v>
      </c>
      <c r="E1626" s="1">
        <f>IFERROR(__xludf.DUMMYFUNCTION("""COMPUTED_VALUE"""),21700.0)</f>
        <v>21700</v>
      </c>
      <c r="F1626" s="1">
        <f>IFERROR(__xludf.DUMMYFUNCTION("""COMPUTED_VALUE"""),623624.0)</f>
        <v>623624</v>
      </c>
    </row>
    <row r="1627">
      <c r="A1627" s="2">
        <f>IFERROR(__xludf.DUMMYFUNCTION("""COMPUTED_VALUE"""),42957.64583333333)</f>
        <v>42957.64583</v>
      </c>
      <c r="B1627" s="1">
        <f>IFERROR(__xludf.DUMMYFUNCTION("""COMPUTED_VALUE"""),22000.0)</f>
        <v>22000</v>
      </c>
      <c r="C1627" s="1">
        <f>IFERROR(__xludf.DUMMYFUNCTION("""COMPUTED_VALUE"""),22300.0)</f>
        <v>22300</v>
      </c>
      <c r="D1627" s="1">
        <f>IFERROR(__xludf.DUMMYFUNCTION("""COMPUTED_VALUE"""),21400.0)</f>
        <v>21400</v>
      </c>
      <c r="E1627" s="1">
        <f>IFERROR(__xludf.DUMMYFUNCTION("""COMPUTED_VALUE"""),21700.0)</f>
        <v>21700</v>
      </c>
      <c r="F1627" s="1">
        <f>IFERROR(__xludf.DUMMYFUNCTION("""COMPUTED_VALUE"""),790214.0)</f>
        <v>790214</v>
      </c>
    </row>
    <row r="1628">
      <c r="A1628" s="2">
        <f>IFERROR(__xludf.DUMMYFUNCTION("""COMPUTED_VALUE"""),42958.64583333333)</f>
        <v>42958.64583</v>
      </c>
      <c r="B1628" s="1">
        <f>IFERROR(__xludf.DUMMYFUNCTION("""COMPUTED_VALUE"""),21500.0)</f>
        <v>21500</v>
      </c>
      <c r="C1628" s="1">
        <f>IFERROR(__xludf.DUMMYFUNCTION("""COMPUTED_VALUE"""),22100.0)</f>
        <v>22100</v>
      </c>
      <c r="D1628" s="1">
        <f>IFERROR(__xludf.DUMMYFUNCTION("""COMPUTED_VALUE"""),21300.0)</f>
        <v>21300</v>
      </c>
      <c r="E1628" s="1">
        <f>IFERROR(__xludf.DUMMYFUNCTION("""COMPUTED_VALUE"""),22000.0)</f>
        <v>22000</v>
      </c>
      <c r="F1628" s="1">
        <f>IFERROR(__xludf.DUMMYFUNCTION("""COMPUTED_VALUE"""),783638.0)</f>
        <v>783638</v>
      </c>
    </row>
    <row r="1629">
      <c r="A1629" s="2">
        <f>IFERROR(__xludf.DUMMYFUNCTION("""COMPUTED_VALUE"""),42961.64583333333)</f>
        <v>42961.64583</v>
      </c>
      <c r="B1629" s="1">
        <f>IFERROR(__xludf.DUMMYFUNCTION("""COMPUTED_VALUE"""),22500.0)</f>
        <v>22500</v>
      </c>
      <c r="C1629" s="1">
        <f>IFERROR(__xludf.DUMMYFUNCTION("""COMPUTED_VALUE"""),22800.0)</f>
        <v>22800</v>
      </c>
      <c r="D1629" s="1">
        <f>IFERROR(__xludf.DUMMYFUNCTION("""COMPUTED_VALUE"""),22200.0)</f>
        <v>22200</v>
      </c>
      <c r="E1629" s="1">
        <f>IFERROR(__xludf.DUMMYFUNCTION("""COMPUTED_VALUE"""),22600.0)</f>
        <v>22600</v>
      </c>
      <c r="F1629" s="1">
        <f>IFERROR(__xludf.DUMMYFUNCTION("""COMPUTED_VALUE"""),705373.0)</f>
        <v>705373</v>
      </c>
    </row>
    <row r="1630">
      <c r="A1630" s="2">
        <f>IFERROR(__xludf.DUMMYFUNCTION("""COMPUTED_VALUE"""),42963.64583333333)</f>
        <v>42963.64583</v>
      </c>
      <c r="B1630" s="1">
        <f>IFERROR(__xludf.DUMMYFUNCTION("""COMPUTED_VALUE"""),22900.0)</f>
        <v>22900</v>
      </c>
      <c r="C1630" s="1">
        <f>IFERROR(__xludf.DUMMYFUNCTION("""COMPUTED_VALUE"""),23000.0)</f>
        <v>23000</v>
      </c>
      <c r="D1630" s="1">
        <f>IFERROR(__xludf.DUMMYFUNCTION("""COMPUTED_VALUE"""),22700.0)</f>
        <v>22700</v>
      </c>
      <c r="E1630" s="1">
        <f>IFERROR(__xludf.DUMMYFUNCTION("""COMPUTED_VALUE"""),22900.0)</f>
        <v>22900</v>
      </c>
      <c r="F1630" s="1">
        <f>IFERROR(__xludf.DUMMYFUNCTION("""COMPUTED_VALUE"""),545437.0)</f>
        <v>545437</v>
      </c>
    </row>
    <row r="1631">
      <c r="A1631" s="2">
        <f>IFERROR(__xludf.DUMMYFUNCTION("""COMPUTED_VALUE"""),42964.64583333333)</f>
        <v>42964.64583</v>
      </c>
      <c r="B1631" s="1">
        <f>IFERROR(__xludf.DUMMYFUNCTION("""COMPUTED_VALUE"""),23100.0)</f>
        <v>23100</v>
      </c>
      <c r="C1631" s="1">
        <f>IFERROR(__xludf.DUMMYFUNCTION("""COMPUTED_VALUE"""),23200.0)</f>
        <v>23200</v>
      </c>
      <c r="D1631" s="1">
        <f>IFERROR(__xludf.DUMMYFUNCTION("""COMPUTED_VALUE"""),22700.0)</f>
        <v>22700</v>
      </c>
      <c r="E1631" s="1">
        <f>IFERROR(__xludf.DUMMYFUNCTION("""COMPUTED_VALUE"""),22900.0)</f>
        <v>22900</v>
      </c>
      <c r="F1631" s="1">
        <f>IFERROR(__xludf.DUMMYFUNCTION("""COMPUTED_VALUE"""),359227.0)</f>
        <v>359227</v>
      </c>
    </row>
    <row r="1632">
      <c r="A1632" s="2">
        <f>IFERROR(__xludf.DUMMYFUNCTION("""COMPUTED_VALUE"""),42965.64583333333)</f>
        <v>42965.64583</v>
      </c>
      <c r="B1632" s="1">
        <f>IFERROR(__xludf.DUMMYFUNCTION("""COMPUTED_VALUE"""),22600.0)</f>
        <v>22600</v>
      </c>
      <c r="C1632" s="1">
        <f>IFERROR(__xludf.DUMMYFUNCTION("""COMPUTED_VALUE"""),23000.0)</f>
        <v>23000</v>
      </c>
      <c r="D1632" s="1">
        <f>IFERROR(__xludf.DUMMYFUNCTION("""COMPUTED_VALUE"""),22500.0)</f>
        <v>22500</v>
      </c>
      <c r="E1632" s="1">
        <f>IFERROR(__xludf.DUMMYFUNCTION("""COMPUTED_VALUE"""),22700.0)</f>
        <v>22700</v>
      </c>
      <c r="F1632" s="1">
        <f>IFERROR(__xludf.DUMMYFUNCTION("""COMPUTED_VALUE"""),353415.0)</f>
        <v>353415</v>
      </c>
    </row>
    <row r="1633">
      <c r="A1633" s="2">
        <f>IFERROR(__xludf.DUMMYFUNCTION("""COMPUTED_VALUE"""),42968.64583333333)</f>
        <v>42968.64583</v>
      </c>
      <c r="B1633" s="1">
        <f>IFERROR(__xludf.DUMMYFUNCTION("""COMPUTED_VALUE"""),22800.0)</f>
        <v>22800</v>
      </c>
      <c r="C1633" s="1">
        <f>IFERROR(__xludf.DUMMYFUNCTION("""COMPUTED_VALUE"""),23000.0)</f>
        <v>23000</v>
      </c>
      <c r="D1633" s="1">
        <f>IFERROR(__xludf.DUMMYFUNCTION("""COMPUTED_VALUE"""),22600.0)</f>
        <v>22600</v>
      </c>
      <c r="E1633" s="1">
        <f>IFERROR(__xludf.DUMMYFUNCTION("""COMPUTED_VALUE"""),22800.0)</f>
        <v>22800</v>
      </c>
      <c r="F1633" s="1">
        <f>IFERROR(__xludf.DUMMYFUNCTION("""COMPUTED_VALUE"""),257439.0)</f>
        <v>257439</v>
      </c>
    </row>
    <row r="1634">
      <c r="A1634" s="2">
        <f>IFERROR(__xludf.DUMMYFUNCTION("""COMPUTED_VALUE"""),42969.64583333333)</f>
        <v>42969.64583</v>
      </c>
      <c r="B1634" s="1">
        <f>IFERROR(__xludf.DUMMYFUNCTION("""COMPUTED_VALUE"""),22900.0)</f>
        <v>22900</v>
      </c>
      <c r="C1634" s="1">
        <f>IFERROR(__xludf.DUMMYFUNCTION("""COMPUTED_VALUE"""),23300.0)</f>
        <v>23300</v>
      </c>
      <c r="D1634" s="1">
        <f>IFERROR(__xludf.DUMMYFUNCTION("""COMPUTED_VALUE"""),22600.0)</f>
        <v>22600</v>
      </c>
      <c r="E1634" s="1">
        <f>IFERROR(__xludf.DUMMYFUNCTION("""COMPUTED_VALUE"""),23100.0)</f>
        <v>23100</v>
      </c>
      <c r="F1634" s="1">
        <f>IFERROR(__xludf.DUMMYFUNCTION("""COMPUTED_VALUE"""),434151.0)</f>
        <v>434151</v>
      </c>
    </row>
    <row r="1635">
      <c r="A1635" s="2">
        <f>IFERROR(__xludf.DUMMYFUNCTION("""COMPUTED_VALUE"""),42970.64583333333)</f>
        <v>42970.64583</v>
      </c>
      <c r="B1635" s="1">
        <f>IFERROR(__xludf.DUMMYFUNCTION("""COMPUTED_VALUE"""),23300.0)</f>
        <v>23300</v>
      </c>
      <c r="C1635" s="1">
        <f>IFERROR(__xludf.DUMMYFUNCTION("""COMPUTED_VALUE"""),23300.0)</f>
        <v>23300</v>
      </c>
      <c r="D1635" s="1">
        <f>IFERROR(__xludf.DUMMYFUNCTION("""COMPUTED_VALUE"""),22900.0)</f>
        <v>22900</v>
      </c>
      <c r="E1635" s="1">
        <f>IFERROR(__xludf.DUMMYFUNCTION("""COMPUTED_VALUE"""),23000.0)</f>
        <v>23000</v>
      </c>
      <c r="F1635" s="1">
        <f>IFERROR(__xludf.DUMMYFUNCTION("""COMPUTED_VALUE"""),284841.0)</f>
        <v>284841</v>
      </c>
    </row>
    <row r="1636">
      <c r="A1636" s="2">
        <f>IFERROR(__xludf.DUMMYFUNCTION("""COMPUTED_VALUE"""),42971.64583333333)</f>
        <v>42971.64583</v>
      </c>
      <c r="B1636" s="1">
        <f>IFERROR(__xludf.DUMMYFUNCTION("""COMPUTED_VALUE"""),23100.0)</f>
        <v>23100</v>
      </c>
      <c r="C1636" s="1">
        <f>IFERROR(__xludf.DUMMYFUNCTION("""COMPUTED_VALUE"""),23700.0)</f>
        <v>23700</v>
      </c>
      <c r="D1636" s="1">
        <f>IFERROR(__xludf.DUMMYFUNCTION("""COMPUTED_VALUE"""),23100.0)</f>
        <v>23100</v>
      </c>
      <c r="E1636" s="1">
        <f>IFERROR(__xludf.DUMMYFUNCTION("""COMPUTED_VALUE"""),23300.0)</f>
        <v>23300</v>
      </c>
      <c r="F1636" s="1">
        <f>IFERROR(__xludf.DUMMYFUNCTION("""COMPUTED_VALUE"""),494534.0)</f>
        <v>494534</v>
      </c>
    </row>
    <row r="1637">
      <c r="A1637" s="2">
        <f>IFERROR(__xludf.DUMMYFUNCTION("""COMPUTED_VALUE"""),42972.64583333333)</f>
        <v>42972.64583</v>
      </c>
      <c r="B1637" s="1">
        <f>IFERROR(__xludf.DUMMYFUNCTION("""COMPUTED_VALUE"""),23500.0)</f>
        <v>23500</v>
      </c>
      <c r="C1637" s="1">
        <f>IFERROR(__xludf.DUMMYFUNCTION("""COMPUTED_VALUE"""),23700.0)</f>
        <v>23700</v>
      </c>
      <c r="D1637" s="1">
        <f>IFERROR(__xludf.DUMMYFUNCTION("""COMPUTED_VALUE"""),23300.0)</f>
        <v>23300</v>
      </c>
      <c r="E1637" s="1">
        <f>IFERROR(__xludf.DUMMYFUNCTION("""COMPUTED_VALUE"""),23500.0)</f>
        <v>23500</v>
      </c>
      <c r="F1637" s="1">
        <f>IFERROR(__xludf.DUMMYFUNCTION("""COMPUTED_VALUE"""),411686.0)</f>
        <v>411686</v>
      </c>
    </row>
    <row r="1638">
      <c r="A1638" s="2">
        <f>IFERROR(__xludf.DUMMYFUNCTION("""COMPUTED_VALUE"""),42975.64583333333)</f>
        <v>42975.64583</v>
      </c>
      <c r="B1638" s="1">
        <f>IFERROR(__xludf.DUMMYFUNCTION("""COMPUTED_VALUE"""),23600.0)</f>
        <v>23600</v>
      </c>
      <c r="C1638" s="1">
        <f>IFERROR(__xludf.DUMMYFUNCTION("""COMPUTED_VALUE"""),23700.0)</f>
        <v>23700</v>
      </c>
      <c r="D1638" s="1">
        <f>IFERROR(__xludf.DUMMYFUNCTION("""COMPUTED_VALUE"""),23300.0)</f>
        <v>23300</v>
      </c>
      <c r="E1638" s="1">
        <f>IFERROR(__xludf.DUMMYFUNCTION("""COMPUTED_VALUE"""),23600.0)</f>
        <v>23600</v>
      </c>
      <c r="F1638" s="1">
        <f>IFERROR(__xludf.DUMMYFUNCTION("""COMPUTED_VALUE"""),298415.0)</f>
        <v>298415</v>
      </c>
    </row>
    <row r="1639">
      <c r="A1639" s="2">
        <f>IFERROR(__xludf.DUMMYFUNCTION("""COMPUTED_VALUE"""),42976.64583333333)</f>
        <v>42976.64583</v>
      </c>
      <c r="B1639" s="1">
        <f>IFERROR(__xludf.DUMMYFUNCTION("""COMPUTED_VALUE"""),23400.0)</f>
        <v>23400</v>
      </c>
      <c r="C1639" s="1">
        <f>IFERROR(__xludf.DUMMYFUNCTION("""COMPUTED_VALUE"""),24000.0)</f>
        <v>24000</v>
      </c>
      <c r="D1639" s="1">
        <f>IFERROR(__xludf.DUMMYFUNCTION("""COMPUTED_VALUE"""),23300.0)</f>
        <v>23300</v>
      </c>
      <c r="E1639" s="1">
        <f>IFERROR(__xludf.DUMMYFUNCTION("""COMPUTED_VALUE"""),23800.0)</f>
        <v>23800</v>
      </c>
      <c r="F1639" s="1">
        <f>IFERROR(__xludf.DUMMYFUNCTION("""COMPUTED_VALUE"""),679797.0)</f>
        <v>679797</v>
      </c>
    </row>
    <row r="1640">
      <c r="A1640" s="2">
        <f>IFERROR(__xludf.DUMMYFUNCTION("""COMPUTED_VALUE"""),42977.64583333333)</f>
        <v>42977.64583</v>
      </c>
      <c r="B1640" s="1">
        <f>IFERROR(__xludf.DUMMYFUNCTION("""COMPUTED_VALUE"""),24500.0)</f>
        <v>24500</v>
      </c>
      <c r="C1640" s="1">
        <f>IFERROR(__xludf.DUMMYFUNCTION("""COMPUTED_VALUE"""),25000.0)</f>
        <v>25000</v>
      </c>
      <c r="D1640" s="1">
        <f>IFERROR(__xludf.DUMMYFUNCTION("""COMPUTED_VALUE"""),24400.0)</f>
        <v>24400</v>
      </c>
      <c r="E1640" s="1">
        <f>IFERROR(__xludf.DUMMYFUNCTION("""COMPUTED_VALUE"""),24400.0)</f>
        <v>24400</v>
      </c>
      <c r="F1640" s="1">
        <f>IFERROR(__xludf.DUMMYFUNCTION("""COMPUTED_VALUE"""),1279951.0)</f>
        <v>1279951</v>
      </c>
    </row>
    <row r="1641">
      <c r="A1641" s="2">
        <f>IFERROR(__xludf.DUMMYFUNCTION("""COMPUTED_VALUE"""),42978.64583333333)</f>
        <v>42978.64583</v>
      </c>
      <c r="B1641" s="1">
        <f>IFERROR(__xludf.DUMMYFUNCTION("""COMPUTED_VALUE"""),24600.0)</f>
        <v>24600</v>
      </c>
      <c r="C1641" s="1">
        <f>IFERROR(__xludf.DUMMYFUNCTION("""COMPUTED_VALUE"""),24900.0)</f>
        <v>24900</v>
      </c>
      <c r="D1641" s="1">
        <f>IFERROR(__xludf.DUMMYFUNCTION("""COMPUTED_VALUE"""),24400.0)</f>
        <v>24400</v>
      </c>
      <c r="E1641" s="1">
        <f>IFERROR(__xludf.DUMMYFUNCTION("""COMPUTED_VALUE"""),24600.0)</f>
        <v>24600</v>
      </c>
      <c r="F1641" s="1">
        <f>IFERROR(__xludf.DUMMYFUNCTION("""COMPUTED_VALUE"""),615126.0)</f>
        <v>615126</v>
      </c>
    </row>
    <row r="1642">
      <c r="A1642" s="2">
        <f>IFERROR(__xludf.DUMMYFUNCTION("""COMPUTED_VALUE"""),42979.64583333333)</f>
        <v>42979.64583</v>
      </c>
      <c r="B1642" s="1">
        <f>IFERROR(__xludf.DUMMYFUNCTION("""COMPUTED_VALUE"""),24600.0)</f>
        <v>24600</v>
      </c>
      <c r="C1642" s="1">
        <f>IFERROR(__xludf.DUMMYFUNCTION("""COMPUTED_VALUE"""),24600.0)</f>
        <v>24600</v>
      </c>
      <c r="D1642" s="1">
        <f>IFERROR(__xludf.DUMMYFUNCTION("""COMPUTED_VALUE"""),24000.0)</f>
        <v>24000</v>
      </c>
      <c r="E1642" s="1">
        <f>IFERROR(__xludf.DUMMYFUNCTION("""COMPUTED_VALUE"""),24400.0)</f>
        <v>24400</v>
      </c>
      <c r="F1642" s="1">
        <f>IFERROR(__xludf.DUMMYFUNCTION("""COMPUTED_VALUE"""),509704.0)</f>
        <v>509704</v>
      </c>
    </row>
    <row r="1643">
      <c r="A1643" s="2">
        <f>IFERROR(__xludf.DUMMYFUNCTION("""COMPUTED_VALUE"""),42982.64583333333)</f>
        <v>42982.64583</v>
      </c>
      <c r="B1643" s="1">
        <f>IFERROR(__xludf.DUMMYFUNCTION("""COMPUTED_VALUE"""),23500.0)</f>
        <v>23500</v>
      </c>
      <c r="C1643" s="1">
        <f>IFERROR(__xludf.DUMMYFUNCTION("""COMPUTED_VALUE"""),24400.0)</f>
        <v>24400</v>
      </c>
      <c r="D1643" s="1">
        <f>IFERROR(__xludf.DUMMYFUNCTION("""COMPUTED_VALUE"""),23500.0)</f>
        <v>23500</v>
      </c>
      <c r="E1643" s="1">
        <f>IFERROR(__xludf.DUMMYFUNCTION("""COMPUTED_VALUE"""),23900.0)</f>
        <v>23900</v>
      </c>
      <c r="F1643" s="1">
        <f>IFERROR(__xludf.DUMMYFUNCTION("""COMPUTED_VALUE"""),727539.0)</f>
        <v>727539</v>
      </c>
    </row>
    <row r="1644">
      <c r="A1644" s="2">
        <f>IFERROR(__xludf.DUMMYFUNCTION("""COMPUTED_VALUE"""),42983.64583333333)</f>
        <v>42983.64583</v>
      </c>
      <c r="B1644" s="1">
        <f>IFERROR(__xludf.DUMMYFUNCTION("""COMPUTED_VALUE"""),24300.0)</f>
        <v>24300</v>
      </c>
      <c r="C1644" s="1">
        <f>IFERROR(__xludf.DUMMYFUNCTION("""COMPUTED_VALUE"""),25200.0)</f>
        <v>25200</v>
      </c>
      <c r="D1644" s="1">
        <f>IFERROR(__xludf.DUMMYFUNCTION("""COMPUTED_VALUE"""),24100.0)</f>
        <v>24100</v>
      </c>
      <c r="E1644" s="1">
        <f>IFERROR(__xludf.DUMMYFUNCTION("""COMPUTED_VALUE"""),25100.0)</f>
        <v>25100</v>
      </c>
      <c r="F1644" s="1">
        <f>IFERROR(__xludf.DUMMYFUNCTION("""COMPUTED_VALUE"""),1049572.0)</f>
        <v>1049572</v>
      </c>
    </row>
    <row r="1645">
      <c r="A1645" s="2">
        <f>IFERROR(__xludf.DUMMYFUNCTION("""COMPUTED_VALUE"""),42984.64583333333)</f>
        <v>42984.64583</v>
      </c>
      <c r="B1645" s="1">
        <f>IFERROR(__xludf.DUMMYFUNCTION("""COMPUTED_VALUE"""),25200.0)</f>
        <v>25200</v>
      </c>
      <c r="C1645" s="1">
        <f>IFERROR(__xludf.DUMMYFUNCTION("""COMPUTED_VALUE"""),25800.0)</f>
        <v>25800</v>
      </c>
      <c r="D1645" s="1">
        <f>IFERROR(__xludf.DUMMYFUNCTION("""COMPUTED_VALUE"""),25000.0)</f>
        <v>25000</v>
      </c>
      <c r="E1645" s="1">
        <f>IFERROR(__xludf.DUMMYFUNCTION("""COMPUTED_VALUE"""),25600.0)</f>
        <v>25600</v>
      </c>
      <c r="F1645" s="1">
        <f>IFERROR(__xludf.DUMMYFUNCTION("""COMPUTED_VALUE"""),1081421.0)</f>
        <v>1081421</v>
      </c>
    </row>
    <row r="1646">
      <c r="A1646" s="2">
        <f>IFERROR(__xludf.DUMMYFUNCTION("""COMPUTED_VALUE"""),42985.64583333333)</f>
        <v>42985.64583</v>
      </c>
      <c r="B1646" s="1">
        <f>IFERROR(__xludf.DUMMYFUNCTION("""COMPUTED_VALUE"""),25600.0)</f>
        <v>25600</v>
      </c>
      <c r="C1646" s="1">
        <f>IFERROR(__xludf.DUMMYFUNCTION("""COMPUTED_VALUE"""),25800.0)</f>
        <v>25800</v>
      </c>
      <c r="D1646" s="1">
        <f>IFERROR(__xludf.DUMMYFUNCTION("""COMPUTED_VALUE"""),25300.0)</f>
        <v>25300</v>
      </c>
      <c r="E1646" s="1">
        <f>IFERROR(__xludf.DUMMYFUNCTION("""COMPUTED_VALUE"""),25400.0)</f>
        <v>25400</v>
      </c>
      <c r="F1646" s="1">
        <f>IFERROR(__xludf.DUMMYFUNCTION("""COMPUTED_VALUE"""),635882.0)</f>
        <v>635882</v>
      </c>
    </row>
    <row r="1647">
      <c r="A1647" s="2">
        <f>IFERROR(__xludf.DUMMYFUNCTION("""COMPUTED_VALUE"""),42986.64583333333)</f>
        <v>42986.64583</v>
      </c>
      <c r="B1647" s="1">
        <f>IFERROR(__xludf.DUMMYFUNCTION("""COMPUTED_VALUE"""),25600.0)</f>
        <v>25600</v>
      </c>
      <c r="C1647" s="1">
        <f>IFERROR(__xludf.DUMMYFUNCTION("""COMPUTED_VALUE"""),26000.0)</f>
        <v>26000</v>
      </c>
      <c r="D1647" s="1">
        <f>IFERROR(__xludf.DUMMYFUNCTION("""COMPUTED_VALUE"""),25500.0)</f>
        <v>25500</v>
      </c>
      <c r="E1647" s="1">
        <f>IFERROR(__xludf.DUMMYFUNCTION("""COMPUTED_VALUE"""),25900.0)</f>
        <v>25900</v>
      </c>
      <c r="F1647" s="1">
        <f>IFERROR(__xludf.DUMMYFUNCTION("""COMPUTED_VALUE"""),654931.0)</f>
        <v>654931</v>
      </c>
    </row>
    <row r="1648">
      <c r="A1648" s="2">
        <f>IFERROR(__xludf.DUMMYFUNCTION("""COMPUTED_VALUE"""),42989.64583333333)</f>
        <v>42989.64583</v>
      </c>
      <c r="B1648" s="1">
        <f>IFERROR(__xludf.DUMMYFUNCTION("""COMPUTED_VALUE"""),26000.0)</f>
        <v>26000</v>
      </c>
      <c r="C1648" s="1">
        <f>IFERROR(__xludf.DUMMYFUNCTION("""COMPUTED_VALUE"""),26400.0)</f>
        <v>26400</v>
      </c>
      <c r="D1648" s="1">
        <f>IFERROR(__xludf.DUMMYFUNCTION("""COMPUTED_VALUE"""),25900.0)</f>
        <v>25900</v>
      </c>
      <c r="E1648" s="1">
        <f>IFERROR(__xludf.DUMMYFUNCTION("""COMPUTED_VALUE"""),26100.0)</f>
        <v>26100</v>
      </c>
      <c r="F1648" s="1">
        <f>IFERROR(__xludf.DUMMYFUNCTION("""COMPUTED_VALUE"""),664143.0)</f>
        <v>664143</v>
      </c>
    </row>
    <row r="1649">
      <c r="A1649" s="2">
        <f>IFERROR(__xludf.DUMMYFUNCTION("""COMPUTED_VALUE"""),42990.64583333333)</f>
        <v>42990.64583</v>
      </c>
      <c r="B1649" s="1">
        <f>IFERROR(__xludf.DUMMYFUNCTION("""COMPUTED_VALUE"""),26100.0)</f>
        <v>26100</v>
      </c>
      <c r="C1649" s="1">
        <f>IFERROR(__xludf.DUMMYFUNCTION("""COMPUTED_VALUE"""),26200.0)</f>
        <v>26200</v>
      </c>
      <c r="D1649" s="1">
        <f>IFERROR(__xludf.DUMMYFUNCTION("""COMPUTED_VALUE"""),25700.0)</f>
        <v>25700</v>
      </c>
      <c r="E1649" s="1">
        <f>IFERROR(__xludf.DUMMYFUNCTION("""COMPUTED_VALUE"""),26100.0)</f>
        <v>26100</v>
      </c>
      <c r="F1649" s="1">
        <f>IFERROR(__xludf.DUMMYFUNCTION("""COMPUTED_VALUE"""),640335.0)</f>
        <v>640335</v>
      </c>
    </row>
    <row r="1650">
      <c r="A1650" s="2">
        <f>IFERROR(__xludf.DUMMYFUNCTION("""COMPUTED_VALUE"""),42991.64583333333)</f>
        <v>42991.64583</v>
      </c>
      <c r="B1650" s="1">
        <f>IFERROR(__xludf.DUMMYFUNCTION("""COMPUTED_VALUE"""),26000.0)</f>
        <v>26000</v>
      </c>
      <c r="C1650" s="1">
        <f>IFERROR(__xludf.DUMMYFUNCTION("""COMPUTED_VALUE"""),26000.0)</f>
        <v>26000</v>
      </c>
      <c r="D1650" s="1">
        <f>IFERROR(__xludf.DUMMYFUNCTION("""COMPUTED_VALUE"""),25400.0)</f>
        <v>25400</v>
      </c>
      <c r="E1650" s="1">
        <f>IFERROR(__xludf.DUMMYFUNCTION("""COMPUTED_VALUE"""),25500.0)</f>
        <v>25500</v>
      </c>
      <c r="F1650" s="1">
        <f>IFERROR(__xludf.DUMMYFUNCTION("""COMPUTED_VALUE"""),972020.0)</f>
        <v>972020</v>
      </c>
    </row>
    <row r="1651">
      <c r="A1651" s="2">
        <f>IFERROR(__xludf.DUMMYFUNCTION("""COMPUTED_VALUE"""),42992.64583333333)</f>
        <v>42992.64583</v>
      </c>
      <c r="B1651" s="1">
        <f>IFERROR(__xludf.DUMMYFUNCTION("""COMPUTED_VALUE"""),25800.0)</f>
        <v>25800</v>
      </c>
      <c r="C1651" s="1">
        <f>IFERROR(__xludf.DUMMYFUNCTION("""COMPUTED_VALUE"""),26600.0)</f>
        <v>26600</v>
      </c>
      <c r="D1651" s="1">
        <f>IFERROR(__xludf.DUMMYFUNCTION("""COMPUTED_VALUE"""),25700.0)</f>
        <v>25700</v>
      </c>
      <c r="E1651" s="1">
        <f>IFERROR(__xludf.DUMMYFUNCTION("""COMPUTED_VALUE"""),26400.0)</f>
        <v>26400</v>
      </c>
      <c r="F1651" s="1">
        <f>IFERROR(__xludf.DUMMYFUNCTION("""COMPUTED_VALUE"""),2492580.0)</f>
        <v>2492580</v>
      </c>
    </row>
    <row r="1652">
      <c r="A1652" s="2">
        <f>IFERROR(__xludf.DUMMYFUNCTION("""COMPUTED_VALUE"""),42993.64583333333)</f>
        <v>42993.64583</v>
      </c>
      <c r="B1652" s="1">
        <f>IFERROR(__xludf.DUMMYFUNCTION("""COMPUTED_VALUE"""),26500.0)</f>
        <v>26500</v>
      </c>
      <c r="C1652" s="1">
        <f>IFERROR(__xludf.DUMMYFUNCTION("""COMPUTED_VALUE"""),27200.0)</f>
        <v>27200</v>
      </c>
      <c r="D1652" s="1">
        <f>IFERROR(__xludf.DUMMYFUNCTION("""COMPUTED_VALUE"""),26200.0)</f>
        <v>26200</v>
      </c>
      <c r="E1652" s="1">
        <f>IFERROR(__xludf.DUMMYFUNCTION("""COMPUTED_VALUE"""),27100.0)</f>
        <v>27100</v>
      </c>
      <c r="F1652" s="1">
        <f>IFERROR(__xludf.DUMMYFUNCTION("""COMPUTED_VALUE"""),1146819.0)</f>
        <v>1146819</v>
      </c>
    </row>
    <row r="1653">
      <c r="A1653" s="2">
        <f>IFERROR(__xludf.DUMMYFUNCTION("""COMPUTED_VALUE"""),42996.64583333333)</f>
        <v>42996.64583</v>
      </c>
      <c r="B1653" s="1">
        <f>IFERROR(__xludf.DUMMYFUNCTION("""COMPUTED_VALUE"""),27300.0)</f>
        <v>27300</v>
      </c>
      <c r="C1653" s="1">
        <f>IFERROR(__xludf.DUMMYFUNCTION("""COMPUTED_VALUE"""),27500.0)</f>
        <v>27500</v>
      </c>
      <c r="D1653" s="1">
        <f>IFERROR(__xludf.DUMMYFUNCTION("""COMPUTED_VALUE"""),27000.0)</f>
        <v>27000</v>
      </c>
      <c r="E1653" s="1">
        <f>IFERROR(__xludf.DUMMYFUNCTION("""COMPUTED_VALUE"""),27100.0)</f>
        <v>27100</v>
      </c>
      <c r="F1653" s="1">
        <f>IFERROR(__xludf.DUMMYFUNCTION("""COMPUTED_VALUE"""),718173.0)</f>
        <v>718173</v>
      </c>
    </row>
    <row r="1654">
      <c r="A1654" s="2">
        <f>IFERROR(__xludf.DUMMYFUNCTION("""COMPUTED_VALUE"""),42997.64583333333)</f>
        <v>42997.64583</v>
      </c>
      <c r="B1654" s="1">
        <f>IFERROR(__xludf.DUMMYFUNCTION("""COMPUTED_VALUE"""),27000.0)</f>
        <v>27000</v>
      </c>
      <c r="C1654" s="1">
        <f>IFERROR(__xludf.DUMMYFUNCTION("""COMPUTED_VALUE"""),27400.0)</f>
        <v>27400</v>
      </c>
      <c r="D1654" s="1">
        <f>IFERROR(__xludf.DUMMYFUNCTION("""COMPUTED_VALUE"""),26400.0)</f>
        <v>26400</v>
      </c>
      <c r="E1654" s="1">
        <f>IFERROR(__xludf.DUMMYFUNCTION("""COMPUTED_VALUE"""),27400.0)</f>
        <v>27400</v>
      </c>
      <c r="F1654" s="1">
        <f>IFERROR(__xludf.DUMMYFUNCTION("""COMPUTED_VALUE"""),646410.0)</f>
        <v>646410</v>
      </c>
    </row>
    <row r="1655">
      <c r="A1655" s="2">
        <f>IFERROR(__xludf.DUMMYFUNCTION("""COMPUTED_VALUE"""),42998.64583333333)</f>
        <v>42998.64583</v>
      </c>
      <c r="B1655" s="1">
        <f>IFERROR(__xludf.DUMMYFUNCTION("""COMPUTED_VALUE"""),27600.0)</f>
        <v>27600</v>
      </c>
      <c r="C1655" s="1">
        <f>IFERROR(__xludf.DUMMYFUNCTION("""COMPUTED_VALUE"""),28800.0)</f>
        <v>28800</v>
      </c>
      <c r="D1655" s="1">
        <f>IFERROR(__xludf.DUMMYFUNCTION("""COMPUTED_VALUE"""),27600.0)</f>
        <v>27600</v>
      </c>
      <c r="E1655" s="1">
        <f>IFERROR(__xludf.DUMMYFUNCTION("""COMPUTED_VALUE"""),28500.0)</f>
        <v>28500</v>
      </c>
      <c r="F1655" s="1">
        <f>IFERROR(__xludf.DUMMYFUNCTION("""COMPUTED_VALUE"""),1321516.0)</f>
        <v>1321516</v>
      </c>
    </row>
    <row r="1656">
      <c r="A1656" s="2">
        <f>IFERROR(__xludf.DUMMYFUNCTION("""COMPUTED_VALUE"""),42999.64583333333)</f>
        <v>42999.64583</v>
      </c>
      <c r="B1656" s="1">
        <f>IFERROR(__xludf.DUMMYFUNCTION("""COMPUTED_VALUE"""),28800.0)</f>
        <v>28800</v>
      </c>
      <c r="C1656" s="1">
        <f>IFERROR(__xludf.DUMMYFUNCTION("""COMPUTED_VALUE"""),28900.0)</f>
        <v>28900</v>
      </c>
      <c r="D1656" s="1">
        <f>IFERROR(__xludf.DUMMYFUNCTION("""COMPUTED_VALUE"""),27900.0)</f>
        <v>27900</v>
      </c>
      <c r="E1656" s="1">
        <f>IFERROR(__xludf.DUMMYFUNCTION("""COMPUTED_VALUE"""),28400.0)</f>
        <v>28400</v>
      </c>
      <c r="F1656" s="1">
        <f>IFERROR(__xludf.DUMMYFUNCTION("""COMPUTED_VALUE"""),815469.0)</f>
        <v>815469</v>
      </c>
    </row>
    <row r="1657">
      <c r="A1657" s="2">
        <f>IFERROR(__xludf.DUMMYFUNCTION("""COMPUTED_VALUE"""),43000.64583333333)</f>
        <v>43000.64583</v>
      </c>
      <c r="B1657" s="1">
        <f>IFERROR(__xludf.DUMMYFUNCTION("""COMPUTED_VALUE"""),28000.0)</f>
        <v>28000</v>
      </c>
      <c r="C1657" s="1">
        <f>IFERROR(__xludf.DUMMYFUNCTION("""COMPUTED_VALUE"""),28500.0)</f>
        <v>28500</v>
      </c>
      <c r="D1657" s="1">
        <f>IFERROR(__xludf.DUMMYFUNCTION("""COMPUTED_VALUE"""),27400.0)</f>
        <v>27400</v>
      </c>
      <c r="E1657" s="1">
        <f>IFERROR(__xludf.DUMMYFUNCTION("""COMPUTED_VALUE"""),27700.0)</f>
        <v>27700</v>
      </c>
      <c r="F1657" s="1">
        <f>IFERROR(__xludf.DUMMYFUNCTION("""COMPUTED_VALUE"""),917817.0)</f>
        <v>917817</v>
      </c>
    </row>
    <row r="1658">
      <c r="A1658" s="2">
        <f>IFERROR(__xludf.DUMMYFUNCTION("""COMPUTED_VALUE"""),43003.64583333333)</f>
        <v>43003.64583</v>
      </c>
      <c r="B1658" s="1">
        <f>IFERROR(__xludf.DUMMYFUNCTION("""COMPUTED_VALUE"""),27200.0)</f>
        <v>27200</v>
      </c>
      <c r="C1658" s="1">
        <f>IFERROR(__xludf.DUMMYFUNCTION("""COMPUTED_VALUE"""),28100.0)</f>
        <v>28100</v>
      </c>
      <c r="D1658" s="1">
        <f>IFERROR(__xludf.DUMMYFUNCTION("""COMPUTED_VALUE"""),26800.0)</f>
        <v>26800</v>
      </c>
      <c r="E1658" s="1">
        <f>IFERROR(__xludf.DUMMYFUNCTION("""COMPUTED_VALUE"""),27700.0)</f>
        <v>27700</v>
      </c>
      <c r="F1658" s="1">
        <f>IFERROR(__xludf.DUMMYFUNCTION("""COMPUTED_VALUE"""),693111.0)</f>
        <v>693111</v>
      </c>
    </row>
    <row r="1659">
      <c r="A1659" s="2">
        <f>IFERROR(__xludf.DUMMYFUNCTION("""COMPUTED_VALUE"""),43004.64583333333)</f>
        <v>43004.64583</v>
      </c>
      <c r="B1659" s="1">
        <f>IFERROR(__xludf.DUMMYFUNCTION("""COMPUTED_VALUE"""),27700.0)</f>
        <v>27700</v>
      </c>
      <c r="C1659" s="1">
        <f>IFERROR(__xludf.DUMMYFUNCTION("""COMPUTED_VALUE"""),28300.0)</f>
        <v>28300</v>
      </c>
      <c r="D1659" s="1">
        <f>IFERROR(__xludf.DUMMYFUNCTION("""COMPUTED_VALUE"""),27700.0)</f>
        <v>27700</v>
      </c>
      <c r="E1659" s="1">
        <f>IFERROR(__xludf.DUMMYFUNCTION("""COMPUTED_VALUE"""),28200.0)</f>
        <v>28200</v>
      </c>
      <c r="F1659" s="1">
        <f>IFERROR(__xludf.DUMMYFUNCTION("""COMPUTED_VALUE"""),540125.0)</f>
        <v>540125</v>
      </c>
    </row>
    <row r="1660">
      <c r="A1660" s="2">
        <f>IFERROR(__xludf.DUMMYFUNCTION("""COMPUTED_VALUE"""),43005.64583333333)</f>
        <v>43005.64583</v>
      </c>
      <c r="B1660" s="1">
        <f>IFERROR(__xludf.DUMMYFUNCTION("""COMPUTED_VALUE"""),28300.0)</f>
        <v>28300</v>
      </c>
      <c r="C1660" s="1">
        <f>IFERROR(__xludf.DUMMYFUNCTION("""COMPUTED_VALUE"""),28400.0)</f>
        <v>28400</v>
      </c>
      <c r="D1660" s="1">
        <f>IFERROR(__xludf.DUMMYFUNCTION("""COMPUTED_VALUE"""),27900.0)</f>
        <v>27900</v>
      </c>
      <c r="E1660" s="1">
        <f>IFERROR(__xludf.DUMMYFUNCTION("""COMPUTED_VALUE"""),28100.0)</f>
        <v>28100</v>
      </c>
      <c r="F1660" s="1">
        <f>IFERROR(__xludf.DUMMYFUNCTION("""COMPUTED_VALUE"""),457782.0)</f>
        <v>457782</v>
      </c>
    </row>
    <row r="1661">
      <c r="A1661" s="2">
        <f>IFERROR(__xludf.DUMMYFUNCTION("""COMPUTED_VALUE"""),43006.64583333333)</f>
        <v>43006.64583</v>
      </c>
      <c r="B1661" s="1">
        <f>IFERROR(__xludf.DUMMYFUNCTION("""COMPUTED_VALUE"""),28100.0)</f>
        <v>28100</v>
      </c>
      <c r="C1661" s="1">
        <f>IFERROR(__xludf.DUMMYFUNCTION("""COMPUTED_VALUE"""),28200.0)</f>
        <v>28200</v>
      </c>
      <c r="D1661" s="1">
        <f>IFERROR(__xludf.DUMMYFUNCTION("""COMPUTED_VALUE"""),27800.0)</f>
        <v>27800</v>
      </c>
      <c r="E1661" s="1">
        <f>IFERROR(__xludf.DUMMYFUNCTION("""COMPUTED_VALUE"""),27900.0)</f>
        <v>27900</v>
      </c>
      <c r="F1661" s="1">
        <f>IFERROR(__xludf.DUMMYFUNCTION("""COMPUTED_VALUE"""),320185.0)</f>
        <v>320185</v>
      </c>
    </row>
    <row r="1662">
      <c r="A1662" s="2">
        <f>IFERROR(__xludf.DUMMYFUNCTION("""COMPUTED_VALUE"""),43007.64583333333)</f>
        <v>43007.64583</v>
      </c>
      <c r="B1662" s="1">
        <f>IFERROR(__xludf.DUMMYFUNCTION("""COMPUTED_VALUE"""),28100.0)</f>
        <v>28100</v>
      </c>
      <c r="C1662" s="1">
        <f>IFERROR(__xludf.DUMMYFUNCTION("""COMPUTED_VALUE"""),29000.0)</f>
        <v>29000</v>
      </c>
      <c r="D1662" s="1">
        <f>IFERROR(__xludf.DUMMYFUNCTION("""COMPUTED_VALUE"""),27900.0)</f>
        <v>27900</v>
      </c>
      <c r="E1662" s="1">
        <f>IFERROR(__xludf.DUMMYFUNCTION("""COMPUTED_VALUE"""),28800.0)</f>
        <v>28800</v>
      </c>
      <c r="F1662" s="1">
        <f>IFERROR(__xludf.DUMMYFUNCTION("""COMPUTED_VALUE"""),750550.0)</f>
        <v>750550</v>
      </c>
    </row>
    <row r="1663">
      <c r="A1663" s="2">
        <f>IFERROR(__xludf.DUMMYFUNCTION("""COMPUTED_VALUE"""),43018.64583333333)</f>
        <v>43018.64583</v>
      </c>
      <c r="B1663" s="1">
        <f>IFERROR(__xludf.DUMMYFUNCTION("""COMPUTED_VALUE"""),29400.0)</f>
        <v>29400</v>
      </c>
      <c r="C1663" s="1">
        <f>IFERROR(__xludf.DUMMYFUNCTION("""COMPUTED_VALUE"""),29900.0)</f>
        <v>29900</v>
      </c>
      <c r="D1663" s="1">
        <f>IFERROR(__xludf.DUMMYFUNCTION("""COMPUTED_VALUE"""),29100.0)</f>
        <v>29100</v>
      </c>
      <c r="E1663" s="1">
        <f>IFERROR(__xludf.DUMMYFUNCTION("""COMPUTED_VALUE"""),29800.0)</f>
        <v>29800</v>
      </c>
      <c r="F1663" s="1">
        <f>IFERROR(__xludf.DUMMYFUNCTION("""COMPUTED_VALUE"""),837504.0)</f>
        <v>837504</v>
      </c>
    </row>
    <row r="1664">
      <c r="A1664" s="2">
        <f>IFERROR(__xludf.DUMMYFUNCTION("""COMPUTED_VALUE"""),43019.64583333333)</f>
        <v>43019.64583</v>
      </c>
      <c r="B1664" s="1">
        <f>IFERROR(__xludf.DUMMYFUNCTION("""COMPUTED_VALUE"""),29900.0)</f>
        <v>29900</v>
      </c>
      <c r="C1664" s="1">
        <f>IFERROR(__xludf.DUMMYFUNCTION("""COMPUTED_VALUE"""),30300.0)</f>
        <v>30300</v>
      </c>
      <c r="D1664" s="1">
        <f>IFERROR(__xludf.DUMMYFUNCTION("""COMPUTED_VALUE"""),29600.0)</f>
        <v>29600</v>
      </c>
      <c r="E1664" s="1">
        <f>IFERROR(__xludf.DUMMYFUNCTION("""COMPUTED_VALUE"""),30100.0)</f>
        <v>30100</v>
      </c>
      <c r="F1664" s="1">
        <f>IFERROR(__xludf.DUMMYFUNCTION("""COMPUTED_VALUE"""),523485.0)</f>
        <v>523485</v>
      </c>
    </row>
    <row r="1665">
      <c r="A1665" s="2">
        <f>IFERROR(__xludf.DUMMYFUNCTION("""COMPUTED_VALUE"""),43020.64583333333)</f>
        <v>43020.64583</v>
      </c>
      <c r="B1665" s="1">
        <f>IFERROR(__xludf.DUMMYFUNCTION("""COMPUTED_VALUE"""),30300.0)</f>
        <v>30300</v>
      </c>
      <c r="C1665" s="1">
        <f>IFERROR(__xludf.DUMMYFUNCTION("""COMPUTED_VALUE"""),31900.0)</f>
        <v>31900</v>
      </c>
      <c r="D1665" s="1">
        <f>IFERROR(__xludf.DUMMYFUNCTION("""COMPUTED_VALUE"""),30200.0)</f>
        <v>30200</v>
      </c>
      <c r="E1665" s="1">
        <f>IFERROR(__xludf.DUMMYFUNCTION("""COMPUTED_VALUE"""),31900.0)</f>
        <v>31900</v>
      </c>
      <c r="F1665" s="1">
        <f>IFERROR(__xludf.DUMMYFUNCTION("""COMPUTED_VALUE"""),1304122.0)</f>
        <v>1304122</v>
      </c>
    </row>
    <row r="1666">
      <c r="A1666" s="2">
        <f>IFERROR(__xludf.DUMMYFUNCTION("""COMPUTED_VALUE"""),43021.64583333333)</f>
        <v>43021.64583</v>
      </c>
      <c r="B1666" s="1">
        <f>IFERROR(__xludf.DUMMYFUNCTION("""COMPUTED_VALUE"""),32000.0)</f>
        <v>32000</v>
      </c>
      <c r="C1666" s="1">
        <f>IFERROR(__xludf.DUMMYFUNCTION("""COMPUTED_VALUE"""),33600.0)</f>
        <v>33600</v>
      </c>
      <c r="D1666" s="1">
        <f>IFERROR(__xludf.DUMMYFUNCTION("""COMPUTED_VALUE"""),30300.0)</f>
        <v>30300</v>
      </c>
      <c r="E1666" s="1">
        <f>IFERROR(__xludf.DUMMYFUNCTION("""COMPUTED_VALUE"""),30500.0)</f>
        <v>30500</v>
      </c>
      <c r="F1666" s="1">
        <f>IFERROR(__xludf.DUMMYFUNCTION("""COMPUTED_VALUE"""),2543079.0)</f>
        <v>2543079</v>
      </c>
    </row>
    <row r="1667">
      <c r="A1667" s="2">
        <f>IFERROR(__xludf.DUMMYFUNCTION("""COMPUTED_VALUE"""),43024.64583333333)</f>
        <v>43024.64583</v>
      </c>
      <c r="B1667" s="1">
        <f>IFERROR(__xludf.DUMMYFUNCTION("""COMPUTED_VALUE"""),30100.0)</f>
        <v>30100</v>
      </c>
      <c r="C1667" s="1">
        <f>IFERROR(__xludf.DUMMYFUNCTION("""COMPUTED_VALUE"""),31400.0)</f>
        <v>31400</v>
      </c>
      <c r="D1667" s="1">
        <f>IFERROR(__xludf.DUMMYFUNCTION("""COMPUTED_VALUE"""),29200.0)</f>
        <v>29200</v>
      </c>
      <c r="E1667" s="1">
        <f>IFERROR(__xludf.DUMMYFUNCTION("""COMPUTED_VALUE"""),31200.0)</f>
        <v>31200</v>
      </c>
      <c r="F1667" s="1">
        <f>IFERROR(__xludf.DUMMYFUNCTION("""COMPUTED_VALUE"""),1723984.0)</f>
        <v>1723984</v>
      </c>
    </row>
    <row r="1668">
      <c r="A1668" s="2">
        <f>IFERROR(__xludf.DUMMYFUNCTION("""COMPUTED_VALUE"""),43025.64583333333)</f>
        <v>43025.64583</v>
      </c>
      <c r="B1668" s="1">
        <f>IFERROR(__xludf.DUMMYFUNCTION("""COMPUTED_VALUE"""),31400.0)</f>
        <v>31400</v>
      </c>
      <c r="C1668" s="1">
        <f>IFERROR(__xludf.DUMMYFUNCTION("""COMPUTED_VALUE"""),31800.0)</f>
        <v>31800</v>
      </c>
      <c r="D1668" s="1">
        <f>IFERROR(__xludf.DUMMYFUNCTION("""COMPUTED_VALUE"""),30600.0)</f>
        <v>30600</v>
      </c>
      <c r="E1668" s="1">
        <f>IFERROR(__xludf.DUMMYFUNCTION("""COMPUTED_VALUE"""),31500.0)</f>
        <v>31500</v>
      </c>
      <c r="F1668" s="1">
        <f>IFERROR(__xludf.DUMMYFUNCTION("""COMPUTED_VALUE"""),719696.0)</f>
        <v>719696</v>
      </c>
    </row>
    <row r="1669">
      <c r="A1669" s="2">
        <f>IFERROR(__xludf.DUMMYFUNCTION("""COMPUTED_VALUE"""),43026.64583333333)</f>
        <v>43026.64583</v>
      </c>
      <c r="B1669" s="1">
        <f>IFERROR(__xludf.DUMMYFUNCTION("""COMPUTED_VALUE"""),31300.0)</f>
        <v>31300</v>
      </c>
      <c r="C1669" s="1">
        <f>IFERROR(__xludf.DUMMYFUNCTION("""COMPUTED_VALUE"""),31300.0)</f>
        <v>31300</v>
      </c>
      <c r="D1669" s="1">
        <f>IFERROR(__xludf.DUMMYFUNCTION("""COMPUTED_VALUE"""),29500.0)</f>
        <v>29500</v>
      </c>
      <c r="E1669" s="1">
        <f>IFERROR(__xludf.DUMMYFUNCTION("""COMPUTED_VALUE"""),29700.0)</f>
        <v>29700</v>
      </c>
      <c r="F1669" s="1">
        <f>IFERROR(__xludf.DUMMYFUNCTION("""COMPUTED_VALUE"""),1640427.0)</f>
        <v>1640427</v>
      </c>
    </row>
    <row r="1670">
      <c r="A1670" s="2">
        <f>IFERROR(__xludf.DUMMYFUNCTION("""COMPUTED_VALUE"""),43027.64583333333)</f>
        <v>43027.64583</v>
      </c>
      <c r="B1670" s="1">
        <f>IFERROR(__xludf.DUMMYFUNCTION("""COMPUTED_VALUE"""),29800.0)</f>
        <v>29800</v>
      </c>
      <c r="C1670" s="1">
        <f>IFERROR(__xludf.DUMMYFUNCTION("""COMPUTED_VALUE"""),30300.0)</f>
        <v>30300</v>
      </c>
      <c r="D1670" s="1">
        <f>IFERROR(__xludf.DUMMYFUNCTION("""COMPUTED_VALUE"""),29000.0)</f>
        <v>29000</v>
      </c>
      <c r="E1670" s="1">
        <f>IFERROR(__xludf.DUMMYFUNCTION("""COMPUTED_VALUE"""),29400.0)</f>
        <v>29400</v>
      </c>
      <c r="F1670" s="1">
        <f>IFERROR(__xludf.DUMMYFUNCTION("""COMPUTED_VALUE"""),1065448.0)</f>
        <v>1065448</v>
      </c>
    </row>
    <row r="1671">
      <c r="A1671" s="2">
        <f>IFERROR(__xludf.DUMMYFUNCTION("""COMPUTED_VALUE"""),43028.64583333333)</f>
        <v>43028.64583</v>
      </c>
      <c r="B1671" s="1">
        <f>IFERROR(__xludf.DUMMYFUNCTION("""COMPUTED_VALUE"""),29800.0)</f>
        <v>29800</v>
      </c>
      <c r="C1671" s="1">
        <f>IFERROR(__xludf.DUMMYFUNCTION("""COMPUTED_VALUE"""),30300.0)</f>
        <v>30300</v>
      </c>
      <c r="D1671" s="1">
        <f>IFERROR(__xludf.DUMMYFUNCTION("""COMPUTED_VALUE"""),29600.0)</f>
        <v>29600</v>
      </c>
      <c r="E1671" s="1">
        <f>IFERROR(__xludf.DUMMYFUNCTION("""COMPUTED_VALUE"""),30000.0)</f>
        <v>30000</v>
      </c>
      <c r="F1671" s="1">
        <f>IFERROR(__xludf.DUMMYFUNCTION("""COMPUTED_VALUE"""),667108.0)</f>
        <v>667108</v>
      </c>
    </row>
    <row r="1672">
      <c r="A1672" s="2">
        <f>IFERROR(__xludf.DUMMYFUNCTION("""COMPUTED_VALUE"""),43031.64583333333)</f>
        <v>43031.64583</v>
      </c>
      <c r="B1672" s="1">
        <f>IFERROR(__xludf.DUMMYFUNCTION("""COMPUTED_VALUE"""),29800.0)</f>
        <v>29800</v>
      </c>
      <c r="C1672" s="1">
        <f>IFERROR(__xludf.DUMMYFUNCTION("""COMPUTED_VALUE"""),30300.0)</f>
        <v>30300</v>
      </c>
      <c r="D1672" s="1">
        <f>IFERROR(__xludf.DUMMYFUNCTION("""COMPUTED_VALUE"""),29500.0)</f>
        <v>29500</v>
      </c>
      <c r="E1672" s="1">
        <f>IFERROR(__xludf.DUMMYFUNCTION("""COMPUTED_VALUE"""),30200.0)</f>
        <v>30200</v>
      </c>
      <c r="F1672" s="1">
        <f>IFERROR(__xludf.DUMMYFUNCTION("""COMPUTED_VALUE"""),565904.0)</f>
        <v>565904</v>
      </c>
    </row>
    <row r="1673">
      <c r="A1673" s="2">
        <f>IFERROR(__xludf.DUMMYFUNCTION("""COMPUTED_VALUE"""),43032.64583333333)</f>
        <v>43032.64583</v>
      </c>
      <c r="B1673" s="1">
        <f>IFERROR(__xludf.DUMMYFUNCTION("""COMPUTED_VALUE"""),30200.0)</f>
        <v>30200</v>
      </c>
      <c r="C1673" s="1">
        <f>IFERROR(__xludf.DUMMYFUNCTION("""COMPUTED_VALUE"""),30600.0)</f>
        <v>30600</v>
      </c>
      <c r="D1673" s="1">
        <f>IFERROR(__xludf.DUMMYFUNCTION("""COMPUTED_VALUE"""),30000.0)</f>
        <v>30000</v>
      </c>
      <c r="E1673" s="1">
        <f>IFERROR(__xludf.DUMMYFUNCTION("""COMPUTED_VALUE"""),30000.0)</f>
        <v>30000</v>
      </c>
      <c r="F1673" s="1">
        <f>IFERROR(__xludf.DUMMYFUNCTION("""COMPUTED_VALUE"""),467080.0)</f>
        <v>467080</v>
      </c>
    </row>
    <row r="1674">
      <c r="A1674" s="2">
        <f>IFERROR(__xludf.DUMMYFUNCTION("""COMPUTED_VALUE"""),43033.64583333333)</f>
        <v>43033.64583</v>
      </c>
      <c r="B1674" s="1">
        <f>IFERROR(__xludf.DUMMYFUNCTION("""COMPUTED_VALUE"""),30300.0)</f>
        <v>30300</v>
      </c>
      <c r="C1674" s="1">
        <f>IFERROR(__xludf.DUMMYFUNCTION("""COMPUTED_VALUE"""),30400.0)</f>
        <v>30400</v>
      </c>
      <c r="D1674" s="1">
        <f>IFERROR(__xludf.DUMMYFUNCTION("""COMPUTED_VALUE"""),29000.0)</f>
        <v>29000</v>
      </c>
      <c r="E1674" s="1">
        <f>IFERROR(__xludf.DUMMYFUNCTION("""COMPUTED_VALUE"""),29200.0)</f>
        <v>29200</v>
      </c>
      <c r="F1674" s="1">
        <f>IFERROR(__xludf.DUMMYFUNCTION("""COMPUTED_VALUE"""),768872.0)</f>
        <v>768872</v>
      </c>
    </row>
    <row r="1675">
      <c r="A1675" s="2">
        <f>IFERROR(__xludf.DUMMYFUNCTION("""COMPUTED_VALUE"""),43034.64583333333)</f>
        <v>43034.64583</v>
      </c>
      <c r="B1675" s="1">
        <f>IFERROR(__xludf.DUMMYFUNCTION("""COMPUTED_VALUE"""),29100.0)</f>
        <v>29100</v>
      </c>
      <c r="C1675" s="1">
        <f>IFERROR(__xludf.DUMMYFUNCTION("""COMPUTED_VALUE"""),29100.0)</f>
        <v>29100</v>
      </c>
      <c r="D1675" s="1">
        <f>IFERROR(__xludf.DUMMYFUNCTION("""COMPUTED_VALUE"""),27800.0)</f>
        <v>27800</v>
      </c>
      <c r="E1675" s="1">
        <f>IFERROR(__xludf.DUMMYFUNCTION("""COMPUTED_VALUE"""),28000.0)</f>
        <v>28000</v>
      </c>
      <c r="F1675" s="1">
        <f>IFERROR(__xludf.DUMMYFUNCTION("""COMPUTED_VALUE"""),1893626.0)</f>
        <v>1893626</v>
      </c>
    </row>
    <row r="1676">
      <c r="A1676" s="2">
        <f>IFERROR(__xludf.DUMMYFUNCTION("""COMPUTED_VALUE"""),43035.64583333333)</f>
        <v>43035.64583</v>
      </c>
      <c r="B1676" s="1">
        <f>IFERROR(__xludf.DUMMYFUNCTION("""COMPUTED_VALUE"""),27900.0)</f>
        <v>27900</v>
      </c>
      <c r="C1676" s="1">
        <f>IFERROR(__xludf.DUMMYFUNCTION("""COMPUTED_VALUE"""),28700.0)</f>
        <v>28700</v>
      </c>
      <c r="D1676" s="1">
        <f>IFERROR(__xludf.DUMMYFUNCTION("""COMPUTED_VALUE"""),27300.0)</f>
        <v>27300</v>
      </c>
      <c r="E1676" s="1">
        <f>IFERROR(__xludf.DUMMYFUNCTION("""COMPUTED_VALUE"""),28700.0)</f>
        <v>28700</v>
      </c>
      <c r="F1676" s="1">
        <f>IFERROR(__xludf.DUMMYFUNCTION("""COMPUTED_VALUE"""),1032642.0)</f>
        <v>1032642</v>
      </c>
    </row>
    <row r="1677">
      <c r="A1677" s="2">
        <f>IFERROR(__xludf.DUMMYFUNCTION("""COMPUTED_VALUE"""),43038.64583333333)</f>
        <v>43038.64583</v>
      </c>
      <c r="B1677" s="1">
        <f>IFERROR(__xludf.DUMMYFUNCTION("""COMPUTED_VALUE"""),28800.0)</f>
        <v>28800</v>
      </c>
      <c r="C1677" s="1">
        <f>IFERROR(__xludf.DUMMYFUNCTION("""COMPUTED_VALUE"""),29300.0)</f>
        <v>29300</v>
      </c>
      <c r="D1677" s="1">
        <f>IFERROR(__xludf.DUMMYFUNCTION("""COMPUTED_VALUE"""),28100.0)</f>
        <v>28100</v>
      </c>
      <c r="E1677" s="1">
        <f>IFERROR(__xludf.DUMMYFUNCTION("""COMPUTED_VALUE"""),28400.0)</f>
        <v>28400</v>
      </c>
      <c r="F1677" s="1">
        <f>IFERROR(__xludf.DUMMYFUNCTION("""COMPUTED_VALUE"""),652066.0)</f>
        <v>652066</v>
      </c>
    </row>
    <row r="1678">
      <c r="A1678" s="2">
        <f>IFERROR(__xludf.DUMMYFUNCTION("""COMPUTED_VALUE"""),43039.64583333333)</f>
        <v>43039.64583</v>
      </c>
      <c r="B1678" s="1">
        <f>IFERROR(__xludf.DUMMYFUNCTION("""COMPUTED_VALUE"""),28600.0)</f>
        <v>28600</v>
      </c>
      <c r="C1678" s="1">
        <f>IFERROR(__xludf.DUMMYFUNCTION("""COMPUTED_VALUE"""),29200.0)</f>
        <v>29200</v>
      </c>
      <c r="D1678" s="1">
        <f>IFERROR(__xludf.DUMMYFUNCTION("""COMPUTED_VALUE"""),28500.0)</f>
        <v>28500</v>
      </c>
      <c r="E1678" s="1">
        <f>IFERROR(__xludf.DUMMYFUNCTION("""COMPUTED_VALUE"""),28800.0)</f>
        <v>28800</v>
      </c>
      <c r="F1678" s="1">
        <f>IFERROR(__xludf.DUMMYFUNCTION("""COMPUTED_VALUE"""),465396.0)</f>
        <v>465396</v>
      </c>
    </row>
    <row r="1679">
      <c r="A1679" s="2">
        <f>IFERROR(__xludf.DUMMYFUNCTION("""COMPUTED_VALUE"""),43040.64583333333)</f>
        <v>43040.64583</v>
      </c>
      <c r="B1679" s="1">
        <f>IFERROR(__xludf.DUMMYFUNCTION("""COMPUTED_VALUE"""),29000.0)</f>
        <v>29000</v>
      </c>
      <c r="C1679" s="1">
        <f>IFERROR(__xludf.DUMMYFUNCTION("""COMPUTED_VALUE"""),30300.0)</f>
        <v>30300</v>
      </c>
      <c r="D1679" s="1">
        <f>IFERROR(__xludf.DUMMYFUNCTION("""COMPUTED_VALUE"""),28600.0)</f>
        <v>28600</v>
      </c>
      <c r="E1679" s="1">
        <f>IFERROR(__xludf.DUMMYFUNCTION("""COMPUTED_VALUE"""),30200.0)</f>
        <v>30200</v>
      </c>
      <c r="F1679" s="1">
        <f>IFERROR(__xludf.DUMMYFUNCTION("""COMPUTED_VALUE"""),1022580.0)</f>
        <v>1022580</v>
      </c>
    </row>
    <row r="1680">
      <c r="A1680" s="2">
        <f>IFERROR(__xludf.DUMMYFUNCTION("""COMPUTED_VALUE"""),43041.64583333333)</f>
        <v>43041.64583</v>
      </c>
      <c r="B1680" s="1">
        <f>IFERROR(__xludf.DUMMYFUNCTION("""COMPUTED_VALUE"""),30500.0)</f>
        <v>30500</v>
      </c>
      <c r="C1680" s="1">
        <f>IFERROR(__xludf.DUMMYFUNCTION("""COMPUTED_VALUE"""),30600.0)</f>
        <v>30600</v>
      </c>
      <c r="D1680" s="1">
        <f>IFERROR(__xludf.DUMMYFUNCTION("""COMPUTED_VALUE"""),29800.0)</f>
        <v>29800</v>
      </c>
      <c r="E1680" s="1">
        <f>IFERROR(__xludf.DUMMYFUNCTION("""COMPUTED_VALUE"""),30000.0)</f>
        <v>30000</v>
      </c>
      <c r="F1680" s="1">
        <f>IFERROR(__xludf.DUMMYFUNCTION("""COMPUTED_VALUE"""),506579.0)</f>
        <v>506579</v>
      </c>
    </row>
    <row r="1681">
      <c r="A1681" s="2">
        <f>IFERROR(__xludf.DUMMYFUNCTION("""COMPUTED_VALUE"""),43042.64583333333)</f>
        <v>43042.64583</v>
      </c>
      <c r="B1681" s="1">
        <f>IFERROR(__xludf.DUMMYFUNCTION("""COMPUTED_VALUE"""),30200.0)</f>
        <v>30200</v>
      </c>
      <c r="C1681" s="1">
        <f>IFERROR(__xludf.DUMMYFUNCTION("""COMPUTED_VALUE"""),30600.0)</f>
        <v>30600</v>
      </c>
      <c r="D1681" s="1">
        <f>IFERROR(__xludf.DUMMYFUNCTION("""COMPUTED_VALUE"""),29300.0)</f>
        <v>29300</v>
      </c>
      <c r="E1681" s="1">
        <f>IFERROR(__xludf.DUMMYFUNCTION("""COMPUTED_VALUE"""),30500.0)</f>
        <v>30500</v>
      </c>
      <c r="F1681" s="1">
        <f>IFERROR(__xludf.DUMMYFUNCTION("""COMPUTED_VALUE"""),627354.0)</f>
        <v>627354</v>
      </c>
    </row>
    <row r="1682">
      <c r="A1682" s="2">
        <f>IFERROR(__xludf.DUMMYFUNCTION("""COMPUTED_VALUE"""),43045.64583333333)</f>
        <v>43045.64583</v>
      </c>
      <c r="B1682" s="1">
        <f>IFERROR(__xludf.DUMMYFUNCTION("""COMPUTED_VALUE"""),30700.0)</f>
        <v>30700</v>
      </c>
      <c r="C1682" s="1">
        <f>IFERROR(__xludf.DUMMYFUNCTION("""COMPUTED_VALUE"""),30800.0)</f>
        <v>30800</v>
      </c>
      <c r="D1682" s="1">
        <f>IFERROR(__xludf.DUMMYFUNCTION("""COMPUTED_VALUE"""),30300.0)</f>
        <v>30300</v>
      </c>
      <c r="E1682" s="1">
        <f>IFERROR(__xludf.DUMMYFUNCTION("""COMPUTED_VALUE"""),30600.0)</f>
        <v>30600</v>
      </c>
      <c r="F1682" s="1">
        <f>IFERROR(__xludf.DUMMYFUNCTION("""COMPUTED_VALUE"""),497572.0)</f>
        <v>497572</v>
      </c>
    </row>
    <row r="1683">
      <c r="A1683" s="2">
        <f>IFERROR(__xludf.DUMMYFUNCTION("""COMPUTED_VALUE"""),43046.64583333333)</f>
        <v>43046.64583</v>
      </c>
      <c r="B1683" s="1">
        <f>IFERROR(__xludf.DUMMYFUNCTION("""COMPUTED_VALUE"""),30700.0)</f>
        <v>30700</v>
      </c>
      <c r="C1683" s="1">
        <f>IFERROR(__xludf.DUMMYFUNCTION("""COMPUTED_VALUE"""),31000.0)</f>
        <v>31000</v>
      </c>
      <c r="D1683" s="1">
        <f>IFERROR(__xludf.DUMMYFUNCTION("""COMPUTED_VALUE"""),30400.0)</f>
        <v>30400</v>
      </c>
      <c r="E1683" s="1">
        <f>IFERROR(__xludf.DUMMYFUNCTION("""COMPUTED_VALUE"""),30800.0)</f>
        <v>30800</v>
      </c>
      <c r="F1683" s="1">
        <f>IFERROR(__xludf.DUMMYFUNCTION("""COMPUTED_VALUE"""),482499.0)</f>
        <v>482499</v>
      </c>
    </row>
    <row r="1684">
      <c r="A1684" s="2">
        <f>IFERROR(__xludf.DUMMYFUNCTION("""COMPUTED_VALUE"""),43047.64583333333)</f>
        <v>43047.64583</v>
      </c>
      <c r="B1684" s="1">
        <f>IFERROR(__xludf.DUMMYFUNCTION("""COMPUTED_VALUE"""),30900.0)</f>
        <v>30900</v>
      </c>
      <c r="C1684" s="1">
        <f>IFERROR(__xludf.DUMMYFUNCTION("""COMPUTED_VALUE"""),31600.0)</f>
        <v>31600</v>
      </c>
      <c r="D1684" s="1">
        <f>IFERROR(__xludf.DUMMYFUNCTION("""COMPUTED_VALUE"""),30800.0)</f>
        <v>30800</v>
      </c>
      <c r="E1684" s="1">
        <f>IFERROR(__xludf.DUMMYFUNCTION("""COMPUTED_VALUE"""),31500.0)</f>
        <v>31500</v>
      </c>
      <c r="F1684" s="1">
        <f>IFERROR(__xludf.DUMMYFUNCTION("""COMPUTED_VALUE"""),821591.0)</f>
        <v>821591</v>
      </c>
    </row>
    <row r="1685">
      <c r="A1685" s="2">
        <f>IFERROR(__xludf.DUMMYFUNCTION("""COMPUTED_VALUE"""),43048.64583333333)</f>
        <v>43048.64583</v>
      </c>
      <c r="B1685" s="1">
        <f>IFERROR(__xludf.DUMMYFUNCTION("""COMPUTED_VALUE"""),31900.0)</f>
        <v>31900</v>
      </c>
      <c r="C1685" s="1">
        <f>IFERROR(__xludf.DUMMYFUNCTION("""COMPUTED_VALUE"""),32500.0)</f>
        <v>32500</v>
      </c>
      <c r="D1685" s="1">
        <f>IFERROR(__xludf.DUMMYFUNCTION("""COMPUTED_VALUE"""),29900.0)</f>
        <v>29900</v>
      </c>
      <c r="E1685" s="1">
        <f>IFERROR(__xludf.DUMMYFUNCTION("""COMPUTED_VALUE"""),30500.0)</f>
        <v>30500</v>
      </c>
      <c r="F1685" s="1">
        <f>IFERROR(__xludf.DUMMYFUNCTION("""COMPUTED_VALUE"""),1633218.0)</f>
        <v>1633218</v>
      </c>
    </row>
    <row r="1686">
      <c r="A1686" s="2">
        <f>IFERROR(__xludf.DUMMYFUNCTION("""COMPUTED_VALUE"""),43049.64583333333)</f>
        <v>43049.64583</v>
      </c>
      <c r="B1686" s="1">
        <f>IFERROR(__xludf.DUMMYFUNCTION("""COMPUTED_VALUE"""),30200.0)</f>
        <v>30200</v>
      </c>
      <c r="C1686" s="1">
        <f>IFERROR(__xludf.DUMMYFUNCTION("""COMPUTED_VALUE"""),31200.0)</f>
        <v>31200</v>
      </c>
      <c r="D1686" s="1">
        <f>IFERROR(__xludf.DUMMYFUNCTION("""COMPUTED_VALUE"""),30000.0)</f>
        <v>30000</v>
      </c>
      <c r="E1686" s="1">
        <f>IFERROR(__xludf.DUMMYFUNCTION("""COMPUTED_VALUE"""),30500.0)</f>
        <v>30500</v>
      </c>
      <c r="F1686" s="1">
        <f>IFERROR(__xludf.DUMMYFUNCTION("""COMPUTED_VALUE"""),737490.0)</f>
        <v>737490</v>
      </c>
    </row>
    <row r="1687">
      <c r="A1687" s="2">
        <f>IFERROR(__xludf.DUMMYFUNCTION("""COMPUTED_VALUE"""),43052.64583333333)</f>
        <v>43052.64583</v>
      </c>
      <c r="B1687" s="1">
        <f>IFERROR(__xludf.DUMMYFUNCTION("""COMPUTED_VALUE"""),30600.0)</f>
        <v>30600</v>
      </c>
      <c r="C1687" s="1">
        <f>IFERROR(__xludf.DUMMYFUNCTION("""COMPUTED_VALUE"""),31100.0)</f>
        <v>31100</v>
      </c>
      <c r="D1687" s="1">
        <f>IFERROR(__xludf.DUMMYFUNCTION("""COMPUTED_VALUE"""),30400.0)</f>
        <v>30400</v>
      </c>
      <c r="E1687" s="1">
        <f>IFERROR(__xludf.DUMMYFUNCTION("""COMPUTED_VALUE"""),30800.0)</f>
        <v>30800</v>
      </c>
      <c r="F1687" s="1">
        <f>IFERROR(__xludf.DUMMYFUNCTION("""COMPUTED_VALUE"""),604366.0)</f>
        <v>604366</v>
      </c>
    </row>
    <row r="1688">
      <c r="A1688" s="2">
        <f>IFERROR(__xludf.DUMMYFUNCTION("""COMPUTED_VALUE"""),43053.64583333333)</f>
        <v>43053.64583</v>
      </c>
      <c r="B1688" s="1">
        <f>IFERROR(__xludf.DUMMYFUNCTION("""COMPUTED_VALUE"""),30800.0)</f>
        <v>30800</v>
      </c>
      <c r="C1688" s="1">
        <f>IFERROR(__xludf.DUMMYFUNCTION("""COMPUTED_VALUE"""),31200.0)</f>
        <v>31200</v>
      </c>
      <c r="D1688" s="1">
        <f>IFERROR(__xludf.DUMMYFUNCTION("""COMPUTED_VALUE"""),30500.0)</f>
        <v>30500</v>
      </c>
      <c r="E1688" s="1">
        <f>IFERROR(__xludf.DUMMYFUNCTION("""COMPUTED_VALUE"""),31000.0)</f>
        <v>31000</v>
      </c>
      <c r="F1688" s="1">
        <f>IFERROR(__xludf.DUMMYFUNCTION("""COMPUTED_VALUE"""),516918.0)</f>
        <v>516918</v>
      </c>
    </row>
    <row r="1689">
      <c r="A1689" s="2">
        <f>IFERROR(__xludf.DUMMYFUNCTION("""COMPUTED_VALUE"""),43054.64583333333)</f>
        <v>43054.64583</v>
      </c>
      <c r="B1689" s="1">
        <f>IFERROR(__xludf.DUMMYFUNCTION("""COMPUTED_VALUE"""),31100.0)</f>
        <v>31100</v>
      </c>
      <c r="C1689" s="1">
        <f>IFERROR(__xludf.DUMMYFUNCTION("""COMPUTED_VALUE"""),31200.0)</f>
        <v>31200</v>
      </c>
      <c r="D1689" s="1">
        <f>IFERROR(__xludf.DUMMYFUNCTION("""COMPUTED_VALUE"""),30700.0)</f>
        <v>30700</v>
      </c>
      <c r="E1689" s="1">
        <f>IFERROR(__xludf.DUMMYFUNCTION("""COMPUTED_VALUE"""),30800.0)</f>
        <v>30800</v>
      </c>
      <c r="F1689" s="1">
        <f>IFERROR(__xludf.DUMMYFUNCTION("""COMPUTED_VALUE"""),491354.0)</f>
        <v>491354</v>
      </c>
    </row>
    <row r="1690">
      <c r="A1690" s="2">
        <f>IFERROR(__xludf.DUMMYFUNCTION("""COMPUTED_VALUE"""),43055.64583333333)</f>
        <v>43055.64583</v>
      </c>
      <c r="B1690" s="1">
        <f>IFERROR(__xludf.DUMMYFUNCTION("""COMPUTED_VALUE"""),30800.0)</f>
        <v>30800</v>
      </c>
      <c r="C1690" s="1">
        <f>IFERROR(__xludf.DUMMYFUNCTION("""COMPUTED_VALUE"""),31100.0)</f>
        <v>31100</v>
      </c>
      <c r="D1690" s="1">
        <f>IFERROR(__xludf.DUMMYFUNCTION("""COMPUTED_VALUE"""),30400.0)</f>
        <v>30400</v>
      </c>
      <c r="E1690" s="1">
        <f>IFERROR(__xludf.DUMMYFUNCTION("""COMPUTED_VALUE"""),30900.0)</f>
        <v>30900</v>
      </c>
      <c r="F1690" s="1">
        <f>IFERROR(__xludf.DUMMYFUNCTION("""COMPUTED_VALUE"""),420594.0)</f>
        <v>420594</v>
      </c>
    </row>
    <row r="1691">
      <c r="A1691" s="2">
        <f>IFERROR(__xludf.DUMMYFUNCTION("""COMPUTED_VALUE"""),43056.64583333333)</f>
        <v>43056.64583</v>
      </c>
      <c r="B1691" s="1">
        <f>IFERROR(__xludf.DUMMYFUNCTION("""COMPUTED_VALUE"""),31100.0)</f>
        <v>31100</v>
      </c>
      <c r="C1691" s="1">
        <f>IFERROR(__xludf.DUMMYFUNCTION("""COMPUTED_VALUE"""),31900.0)</f>
        <v>31900</v>
      </c>
      <c r="D1691" s="1">
        <f>IFERROR(__xludf.DUMMYFUNCTION("""COMPUTED_VALUE"""),30900.0)</f>
        <v>30900</v>
      </c>
      <c r="E1691" s="1">
        <f>IFERROR(__xludf.DUMMYFUNCTION("""COMPUTED_VALUE"""),31500.0)</f>
        <v>31500</v>
      </c>
      <c r="F1691" s="1">
        <f>IFERROR(__xludf.DUMMYFUNCTION("""COMPUTED_VALUE"""),718319.0)</f>
        <v>718319</v>
      </c>
    </row>
    <row r="1692">
      <c r="A1692" s="2">
        <f>IFERROR(__xludf.DUMMYFUNCTION("""COMPUTED_VALUE"""),43059.64583333333)</f>
        <v>43059.64583</v>
      </c>
      <c r="B1692" s="1">
        <f>IFERROR(__xludf.DUMMYFUNCTION("""COMPUTED_VALUE"""),31700.0)</f>
        <v>31700</v>
      </c>
      <c r="C1692" s="1">
        <f>IFERROR(__xludf.DUMMYFUNCTION("""COMPUTED_VALUE"""),32200.0)</f>
        <v>32200</v>
      </c>
      <c r="D1692" s="1">
        <f>IFERROR(__xludf.DUMMYFUNCTION("""COMPUTED_VALUE"""),31600.0)</f>
        <v>31600</v>
      </c>
      <c r="E1692" s="1">
        <f>IFERROR(__xludf.DUMMYFUNCTION("""COMPUTED_VALUE"""),32000.0)</f>
        <v>32000</v>
      </c>
      <c r="F1692" s="1">
        <f>IFERROR(__xludf.DUMMYFUNCTION("""COMPUTED_VALUE"""),714306.0)</f>
        <v>714306</v>
      </c>
    </row>
    <row r="1693">
      <c r="A1693" s="2">
        <f>IFERROR(__xludf.DUMMYFUNCTION("""COMPUTED_VALUE"""),43060.64583333333)</f>
        <v>43060.64583</v>
      </c>
      <c r="B1693" s="1">
        <f>IFERROR(__xludf.DUMMYFUNCTION("""COMPUTED_VALUE"""),32300.0)</f>
        <v>32300</v>
      </c>
      <c r="C1693" s="1">
        <f>IFERROR(__xludf.DUMMYFUNCTION("""COMPUTED_VALUE"""),33200.0)</f>
        <v>33200</v>
      </c>
      <c r="D1693" s="1">
        <f>IFERROR(__xludf.DUMMYFUNCTION("""COMPUTED_VALUE"""),32000.0)</f>
        <v>32000</v>
      </c>
      <c r="E1693" s="1">
        <f>IFERROR(__xludf.DUMMYFUNCTION("""COMPUTED_VALUE"""),32200.0)</f>
        <v>32200</v>
      </c>
      <c r="F1693" s="1">
        <f>IFERROR(__xludf.DUMMYFUNCTION("""COMPUTED_VALUE"""),1244207.0)</f>
        <v>1244207</v>
      </c>
    </row>
    <row r="1694">
      <c r="A1694" s="2">
        <f>IFERROR(__xludf.DUMMYFUNCTION("""COMPUTED_VALUE"""),43061.64583333333)</f>
        <v>43061.64583</v>
      </c>
      <c r="B1694" s="1">
        <f>IFERROR(__xludf.DUMMYFUNCTION("""COMPUTED_VALUE"""),32200.0)</f>
        <v>32200</v>
      </c>
      <c r="C1694" s="1">
        <f>IFERROR(__xludf.DUMMYFUNCTION("""COMPUTED_VALUE"""),32300.0)</f>
        <v>32300</v>
      </c>
      <c r="D1694" s="1">
        <f>IFERROR(__xludf.DUMMYFUNCTION("""COMPUTED_VALUE"""),30600.0)</f>
        <v>30600</v>
      </c>
      <c r="E1694" s="1">
        <f>IFERROR(__xludf.DUMMYFUNCTION("""COMPUTED_VALUE"""),30900.0)</f>
        <v>30900</v>
      </c>
      <c r="F1694" s="1">
        <f>IFERROR(__xludf.DUMMYFUNCTION("""COMPUTED_VALUE"""),4520630.0)</f>
        <v>4520630</v>
      </c>
    </row>
    <row r="1695">
      <c r="A1695" s="2">
        <f>IFERROR(__xludf.DUMMYFUNCTION("""COMPUTED_VALUE"""),43062.69791666667)</f>
        <v>43062.69792</v>
      </c>
      <c r="B1695" s="1">
        <f>IFERROR(__xludf.DUMMYFUNCTION("""COMPUTED_VALUE"""),31000.0)</f>
        <v>31000</v>
      </c>
      <c r="C1695" s="1">
        <f>IFERROR(__xludf.DUMMYFUNCTION("""COMPUTED_VALUE"""),31200.0)</f>
        <v>31200</v>
      </c>
      <c r="D1695" s="1">
        <f>IFERROR(__xludf.DUMMYFUNCTION("""COMPUTED_VALUE"""),29900.0)</f>
        <v>29900</v>
      </c>
      <c r="E1695" s="1">
        <f>IFERROR(__xludf.DUMMYFUNCTION("""COMPUTED_VALUE"""),29900.0)</f>
        <v>29900</v>
      </c>
      <c r="F1695" s="1">
        <f>IFERROR(__xludf.DUMMYFUNCTION("""COMPUTED_VALUE"""),1224919.0)</f>
        <v>1224919</v>
      </c>
    </row>
    <row r="1696">
      <c r="A1696" s="2">
        <f>IFERROR(__xludf.DUMMYFUNCTION("""COMPUTED_VALUE"""),43063.64583333333)</f>
        <v>43063.64583</v>
      </c>
      <c r="B1696" s="1">
        <f>IFERROR(__xludf.DUMMYFUNCTION("""COMPUTED_VALUE"""),30000.0)</f>
        <v>30000</v>
      </c>
      <c r="C1696" s="1">
        <f>IFERROR(__xludf.DUMMYFUNCTION("""COMPUTED_VALUE"""),30700.0)</f>
        <v>30700</v>
      </c>
      <c r="D1696" s="1">
        <f>IFERROR(__xludf.DUMMYFUNCTION("""COMPUTED_VALUE"""),29300.0)</f>
        <v>29300</v>
      </c>
      <c r="E1696" s="1">
        <f>IFERROR(__xludf.DUMMYFUNCTION("""COMPUTED_VALUE"""),29600.0)</f>
        <v>29600</v>
      </c>
      <c r="F1696" s="1">
        <f>IFERROR(__xludf.DUMMYFUNCTION("""COMPUTED_VALUE"""),1274472.0)</f>
        <v>1274472</v>
      </c>
    </row>
    <row r="1697">
      <c r="A1697" s="2">
        <f>IFERROR(__xludf.DUMMYFUNCTION("""COMPUTED_VALUE"""),43066.64583333333)</f>
        <v>43066.64583</v>
      </c>
      <c r="B1697" s="1">
        <f>IFERROR(__xludf.DUMMYFUNCTION("""COMPUTED_VALUE"""),29500.0)</f>
        <v>29500</v>
      </c>
      <c r="C1697" s="1">
        <f>IFERROR(__xludf.DUMMYFUNCTION("""COMPUTED_VALUE"""),30200.0)</f>
        <v>30200</v>
      </c>
      <c r="D1697" s="1">
        <f>IFERROR(__xludf.DUMMYFUNCTION("""COMPUTED_VALUE"""),29400.0)</f>
        <v>29400</v>
      </c>
      <c r="E1697" s="1">
        <f>IFERROR(__xludf.DUMMYFUNCTION("""COMPUTED_VALUE"""),29500.0)</f>
        <v>29500</v>
      </c>
      <c r="F1697" s="1">
        <f>IFERROR(__xludf.DUMMYFUNCTION("""COMPUTED_VALUE"""),771973.0)</f>
        <v>771973</v>
      </c>
    </row>
    <row r="1698">
      <c r="A1698" s="2">
        <f>IFERROR(__xludf.DUMMYFUNCTION("""COMPUTED_VALUE"""),43067.64583333333)</f>
        <v>43067.64583</v>
      </c>
      <c r="B1698" s="1">
        <f>IFERROR(__xludf.DUMMYFUNCTION("""COMPUTED_VALUE"""),29500.0)</f>
        <v>29500</v>
      </c>
      <c r="C1698" s="1">
        <f>IFERROR(__xludf.DUMMYFUNCTION("""COMPUTED_VALUE"""),29600.0)</f>
        <v>29600</v>
      </c>
      <c r="D1698" s="1">
        <f>IFERROR(__xludf.DUMMYFUNCTION("""COMPUTED_VALUE"""),29000.0)</f>
        <v>29000</v>
      </c>
      <c r="E1698" s="1">
        <f>IFERROR(__xludf.DUMMYFUNCTION("""COMPUTED_VALUE"""),29100.0)</f>
        <v>29100</v>
      </c>
      <c r="F1698" s="1">
        <f>IFERROR(__xludf.DUMMYFUNCTION("""COMPUTED_VALUE"""),651234.0)</f>
        <v>651234</v>
      </c>
    </row>
    <row r="1699">
      <c r="A1699" s="2">
        <f>IFERROR(__xludf.DUMMYFUNCTION("""COMPUTED_VALUE"""),43068.64583333333)</f>
        <v>43068.64583</v>
      </c>
      <c r="B1699" s="1">
        <f>IFERROR(__xludf.DUMMYFUNCTION("""COMPUTED_VALUE"""),29200.0)</f>
        <v>29200</v>
      </c>
      <c r="C1699" s="1">
        <f>IFERROR(__xludf.DUMMYFUNCTION("""COMPUTED_VALUE"""),29300.0)</f>
        <v>29300</v>
      </c>
      <c r="D1699" s="1">
        <f>IFERROR(__xludf.DUMMYFUNCTION("""COMPUTED_VALUE"""),28400.0)</f>
        <v>28400</v>
      </c>
      <c r="E1699" s="1">
        <f>IFERROR(__xludf.DUMMYFUNCTION("""COMPUTED_VALUE"""),29000.0)</f>
        <v>29000</v>
      </c>
      <c r="F1699" s="1">
        <f>IFERROR(__xludf.DUMMYFUNCTION("""COMPUTED_VALUE"""),1022981.0)</f>
        <v>1022981</v>
      </c>
    </row>
    <row r="1700">
      <c r="A1700" s="2">
        <f>IFERROR(__xludf.DUMMYFUNCTION("""COMPUTED_VALUE"""),43069.64583333333)</f>
        <v>43069.64583</v>
      </c>
      <c r="B1700" s="1">
        <f>IFERROR(__xludf.DUMMYFUNCTION("""COMPUTED_VALUE"""),29000.0)</f>
        <v>29000</v>
      </c>
      <c r="C1700" s="1">
        <f>IFERROR(__xludf.DUMMYFUNCTION("""COMPUTED_VALUE"""),29100.0)</f>
        <v>29100</v>
      </c>
      <c r="D1700" s="1">
        <f>IFERROR(__xludf.DUMMYFUNCTION("""COMPUTED_VALUE"""),27000.0)</f>
        <v>27000</v>
      </c>
      <c r="E1700" s="1">
        <f>IFERROR(__xludf.DUMMYFUNCTION("""COMPUTED_VALUE"""),27300.0)</f>
        <v>27300</v>
      </c>
      <c r="F1700" s="1">
        <f>IFERROR(__xludf.DUMMYFUNCTION("""COMPUTED_VALUE"""),1808464.0)</f>
        <v>1808464</v>
      </c>
    </row>
    <row r="1701">
      <c r="A1701" s="2">
        <f>IFERROR(__xludf.DUMMYFUNCTION("""COMPUTED_VALUE"""),43070.64583333333)</f>
        <v>43070.64583</v>
      </c>
      <c r="B1701" s="1">
        <f>IFERROR(__xludf.DUMMYFUNCTION("""COMPUTED_VALUE"""),27300.0)</f>
        <v>27300</v>
      </c>
      <c r="C1701" s="1">
        <f>IFERROR(__xludf.DUMMYFUNCTION("""COMPUTED_VALUE"""),28200.0)</f>
        <v>28200</v>
      </c>
      <c r="D1701" s="1">
        <f>IFERROR(__xludf.DUMMYFUNCTION("""COMPUTED_VALUE"""),27300.0)</f>
        <v>27300</v>
      </c>
      <c r="E1701" s="1">
        <f>IFERROR(__xludf.DUMMYFUNCTION("""COMPUTED_VALUE"""),28000.0)</f>
        <v>28000</v>
      </c>
      <c r="F1701" s="1">
        <f>IFERROR(__xludf.DUMMYFUNCTION("""COMPUTED_VALUE"""),867012.0)</f>
        <v>867012</v>
      </c>
    </row>
    <row r="1702">
      <c r="A1702" s="2">
        <f>IFERROR(__xludf.DUMMYFUNCTION("""COMPUTED_VALUE"""),43073.64583333333)</f>
        <v>43073.64583</v>
      </c>
      <c r="B1702" s="1">
        <f>IFERROR(__xludf.DUMMYFUNCTION("""COMPUTED_VALUE"""),28100.0)</f>
        <v>28100</v>
      </c>
      <c r="C1702" s="1">
        <f>IFERROR(__xludf.DUMMYFUNCTION("""COMPUTED_VALUE"""),28600.0)</f>
        <v>28600</v>
      </c>
      <c r="D1702" s="1">
        <f>IFERROR(__xludf.DUMMYFUNCTION("""COMPUTED_VALUE"""),27700.0)</f>
        <v>27700</v>
      </c>
      <c r="E1702" s="1">
        <f>IFERROR(__xludf.DUMMYFUNCTION("""COMPUTED_VALUE"""),27900.0)</f>
        <v>27900</v>
      </c>
      <c r="F1702" s="1">
        <f>IFERROR(__xludf.DUMMYFUNCTION("""COMPUTED_VALUE"""),481190.0)</f>
        <v>481190</v>
      </c>
    </row>
    <row r="1703">
      <c r="A1703" s="2">
        <f>IFERROR(__xludf.DUMMYFUNCTION("""COMPUTED_VALUE"""),43074.64583333333)</f>
        <v>43074.64583</v>
      </c>
      <c r="B1703" s="1">
        <f>IFERROR(__xludf.DUMMYFUNCTION("""COMPUTED_VALUE"""),27800.0)</f>
        <v>27800</v>
      </c>
      <c r="C1703" s="1">
        <f>IFERROR(__xludf.DUMMYFUNCTION("""COMPUTED_VALUE"""),28200.0)</f>
        <v>28200</v>
      </c>
      <c r="D1703" s="1">
        <f>IFERROR(__xludf.DUMMYFUNCTION("""COMPUTED_VALUE"""),26800.0)</f>
        <v>26800</v>
      </c>
      <c r="E1703" s="1">
        <f>IFERROR(__xludf.DUMMYFUNCTION("""COMPUTED_VALUE"""),28100.0)</f>
        <v>28100</v>
      </c>
      <c r="F1703" s="1">
        <f>IFERROR(__xludf.DUMMYFUNCTION("""COMPUTED_VALUE"""),779716.0)</f>
        <v>779716</v>
      </c>
    </row>
    <row r="1704">
      <c r="A1704" s="2">
        <f>IFERROR(__xludf.DUMMYFUNCTION("""COMPUTED_VALUE"""),43075.64583333333)</f>
        <v>43075.64583</v>
      </c>
      <c r="B1704" s="1">
        <f>IFERROR(__xludf.DUMMYFUNCTION("""COMPUTED_VALUE"""),27900.0)</f>
        <v>27900</v>
      </c>
      <c r="C1704" s="1">
        <f>IFERROR(__xludf.DUMMYFUNCTION("""COMPUTED_VALUE"""),28600.0)</f>
        <v>28600</v>
      </c>
      <c r="D1704" s="1">
        <f>IFERROR(__xludf.DUMMYFUNCTION("""COMPUTED_VALUE"""),27600.0)</f>
        <v>27600</v>
      </c>
      <c r="E1704" s="1">
        <f>IFERROR(__xludf.DUMMYFUNCTION("""COMPUTED_VALUE"""),27600.0)</f>
        <v>27600</v>
      </c>
      <c r="F1704" s="1">
        <f>IFERROR(__xludf.DUMMYFUNCTION("""COMPUTED_VALUE"""),470275.0)</f>
        <v>470275</v>
      </c>
    </row>
    <row r="1705">
      <c r="A1705" s="2">
        <f>IFERROR(__xludf.DUMMYFUNCTION("""COMPUTED_VALUE"""),43076.64583333333)</f>
        <v>43076.64583</v>
      </c>
      <c r="B1705" s="1">
        <f>IFERROR(__xludf.DUMMYFUNCTION("""COMPUTED_VALUE"""),27600.0)</f>
        <v>27600</v>
      </c>
      <c r="C1705" s="1">
        <f>IFERROR(__xludf.DUMMYFUNCTION("""COMPUTED_VALUE"""),27800.0)</f>
        <v>27800</v>
      </c>
      <c r="D1705" s="1">
        <f>IFERROR(__xludf.DUMMYFUNCTION("""COMPUTED_VALUE"""),26600.0)</f>
        <v>26600</v>
      </c>
      <c r="E1705" s="1">
        <f>IFERROR(__xludf.DUMMYFUNCTION("""COMPUTED_VALUE"""),27100.0)</f>
        <v>27100</v>
      </c>
      <c r="F1705" s="1">
        <f>IFERROR(__xludf.DUMMYFUNCTION("""COMPUTED_VALUE"""),813930.0)</f>
        <v>813930</v>
      </c>
    </row>
    <row r="1706">
      <c r="A1706" s="2">
        <f>IFERROR(__xludf.DUMMYFUNCTION("""COMPUTED_VALUE"""),43077.64583333333)</f>
        <v>43077.64583</v>
      </c>
      <c r="B1706" s="1">
        <f>IFERROR(__xludf.DUMMYFUNCTION("""COMPUTED_VALUE"""),27400.0)</f>
        <v>27400</v>
      </c>
      <c r="C1706" s="1">
        <f>IFERROR(__xludf.DUMMYFUNCTION("""COMPUTED_VALUE"""),28100.0)</f>
        <v>28100</v>
      </c>
      <c r="D1706" s="1">
        <f>IFERROR(__xludf.DUMMYFUNCTION("""COMPUTED_VALUE"""),27400.0)</f>
        <v>27400</v>
      </c>
      <c r="E1706" s="1">
        <f>IFERROR(__xludf.DUMMYFUNCTION("""COMPUTED_VALUE"""),27700.0)</f>
        <v>27700</v>
      </c>
      <c r="F1706" s="1">
        <f>IFERROR(__xludf.DUMMYFUNCTION("""COMPUTED_VALUE"""),565316.0)</f>
        <v>565316</v>
      </c>
    </row>
    <row r="1707">
      <c r="A1707" s="2">
        <f>IFERROR(__xludf.DUMMYFUNCTION("""COMPUTED_VALUE"""),43080.64583333333)</f>
        <v>43080.64583</v>
      </c>
      <c r="B1707" s="1">
        <f>IFERROR(__xludf.DUMMYFUNCTION("""COMPUTED_VALUE"""),28100.0)</f>
        <v>28100</v>
      </c>
      <c r="C1707" s="1">
        <f>IFERROR(__xludf.DUMMYFUNCTION("""COMPUTED_VALUE"""),28100.0)</f>
        <v>28100</v>
      </c>
      <c r="D1707" s="1">
        <f>IFERROR(__xludf.DUMMYFUNCTION("""COMPUTED_VALUE"""),27600.0)</f>
        <v>27600</v>
      </c>
      <c r="E1707" s="1">
        <f>IFERROR(__xludf.DUMMYFUNCTION("""COMPUTED_VALUE"""),28000.0)</f>
        <v>28000</v>
      </c>
      <c r="F1707" s="1">
        <f>IFERROR(__xludf.DUMMYFUNCTION("""COMPUTED_VALUE"""),284302.0)</f>
        <v>284302</v>
      </c>
    </row>
    <row r="1708">
      <c r="A1708" s="2">
        <f>IFERROR(__xludf.DUMMYFUNCTION("""COMPUTED_VALUE"""),43081.64583333333)</f>
        <v>43081.64583</v>
      </c>
      <c r="B1708" s="1">
        <f>IFERROR(__xludf.DUMMYFUNCTION("""COMPUTED_VALUE"""),27900.0)</f>
        <v>27900</v>
      </c>
      <c r="C1708" s="1">
        <f>IFERROR(__xludf.DUMMYFUNCTION("""COMPUTED_VALUE"""),28700.0)</f>
        <v>28700</v>
      </c>
      <c r="D1708" s="1">
        <f>IFERROR(__xludf.DUMMYFUNCTION("""COMPUTED_VALUE"""),27600.0)</f>
        <v>27600</v>
      </c>
      <c r="E1708" s="1">
        <f>IFERROR(__xludf.DUMMYFUNCTION("""COMPUTED_VALUE"""),28200.0)</f>
        <v>28200</v>
      </c>
      <c r="F1708" s="1">
        <f>IFERROR(__xludf.DUMMYFUNCTION("""COMPUTED_VALUE"""),445846.0)</f>
        <v>445846</v>
      </c>
    </row>
    <row r="1709">
      <c r="A1709" s="2">
        <f>IFERROR(__xludf.DUMMYFUNCTION("""COMPUTED_VALUE"""),43082.64583333333)</f>
        <v>43082.64583</v>
      </c>
      <c r="B1709" s="1">
        <f>IFERROR(__xludf.DUMMYFUNCTION("""COMPUTED_VALUE"""),28200.0)</f>
        <v>28200</v>
      </c>
      <c r="C1709" s="1">
        <f>IFERROR(__xludf.DUMMYFUNCTION("""COMPUTED_VALUE"""),28400.0)</f>
        <v>28400</v>
      </c>
      <c r="D1709" s="1">
        <f>IFERROR(__xludf.DUMMYFUNCTION("""COMPUTED_VALUE"""),27700.0)</f>
        <v>27700</v>
      </c>
      <c r="E1709" s="1">
        <f>IFERROR(__xludf.DUMMYFUNCTION("""COMPUTED_VALUE"""),28200.0)</f>
        <v>28200</v>
      </c>
      <c r="F1709" s="1">
        <f>IFERROR(__xludf.DUMMYFUNCTION("""COMPUTED_VALUE"""),283499.0)</f>
        <v>283499</v>
      </c>
    </row>
    <row r="1710">
      <c r="A1710" s="2">
        <f>IFERROR(__xludf.DUMMYFUNCTION("""COMPUTED_VALUE"""),43083.64583333333)</f>
        <v>43083.64583</v>
      </c>
      <c r="B1710" s="1">
        <f>IFERROR(__xludf.DUMMYFUNCTION("""COMPUTED_VALUE"""),28400.0)</f>
        <v>28400</v>
      </c>
      <c r="C1710" s="1">
        <f>IFERROR(__xludf.DUMMYFUNCTION("""COMPUTED_VALUE"""),29000.0)</f>
        <v>29000</v>
      </c>
      <c r="D1710" s="1">
        <f>IFERROR(__xludf.DUMMYFUNCTION("""COMPUTED_VALUE"""),28400.0)</f>
        <v>28400</v>
      </c>
      <c r="E1710" s="1">
        <f>IFERROR(__xludf.DUMMYFUNCTION("""COMPUTED_VALUE"""),28800.0)</f>
        <v>28800</v>
      </c>
      <c r="F1710" s="1">
        <f>IFERROR(__xludf.DUMMYFUNCTION("""COMPUTED_VALUE"""),639895.0)</f>
        <v>639895</v>
      </c>
    </row>
    <row r="1711">
      <c r="A1711" s="2">
        <f>IFERROR(__xludf.DUMMYFUNCTION("""COMPUTED_VALUE"""),43084.64583333333)</f>
        <v>43084.64583</v>
      </c>
      <c r="B1711" s="1">
        <f>IFERROR(__xludf.DUMMYFUNCTION("""COMPUTED_VALUE"""),28900.0)</f>
        <v>28900</v>
      </c>
      <c r="C1711" s="1">
        <f>IFERROR(__xludf.DUMMYFUNCTION("""COMPUTED_VALUE"""),29000.0)</f>
        <v>29000</v>
      </c>
      <c r="D1711" s="1">
        <f>IFERROR(__xludf.DUMMYFUNCTION("""COMPUTED_VALUE"""),28400.0)</f>
        <v>28400</v>
      </c>
      <c r="E1711" s="1">
        <f>IFERROR(__xludf.DUMMYFUNCTION("""COMPUTED_VALUE"""),28500.0)</f>
        <v>28500</v>
      </c>
      <c r="F1711" s="1">
        <f>IFERROR(__xludf.DUMMYFUNCTION("""COMPUTED_VALUE"""),345053.0)</f>
        <v>345053</v>
      </c>
    </row>
    <row r="1712">
      <c r="A1712" s="2">
        <f>IFERROR(__xludf.DUMMYFUNCTION("""COMPUTED_VALUE"""),43087.64583333333)</f>
        <v>43087.64583</v>
      </c>
      <c r="B1712" s="1">
        <f>IFERROR(__xludf.DUMMYFUNCTION("""COMPUTED_VALUE"""),27600.0)</f>
        <v>27600</v>
      </c>
      <c r="C1712" s="1">
        <f>IFERROR(__xludf.DUMMYFUNCTION("""COMPUTED_VALUE"""),27900.0)</f>
        <v>27900</v>
      </c>
      <c r="D1712" s="1">
        <f>IFERROR(__xludf.DUMMYFUNCTION("""COMPUTED_VALUE"""),26700.0)</f>
        <v>26700</v>
      </c>
      <c r="E1712" s="1">
        <f>IFERROR(__xludf.DUMMYFUNCTION("""COMPUTED_VALUE"""),26900.0)</f>
        <v>26900</v>
      </c>
      <c r="F1712" s="1">
        <f>IFERROR(__xludf.DUMMYFUNCTION("""COMPUTED_VALUE"""),1462446.0)</f>
        <v>1462446</v>
      </c>
    </row>
    <row r="1713">
      <c r="A1713" s="2">
        <f>IFERROR(__xludf.DUMMYFUNCTION("""COMPUTED_VALUE"""),43088.64583333333)</f>
        <v>43088.64583</v>
      </c>
      <c r="B1713" s="1">
        <f>IFERROR(__xludf.DUMMYFUNCTION("""COMPUTED_VALUE"""),26700.0)</f>
        <v>26700</v>
      </c>
      <c r="C1713" s="1">
        <f>IFERROR(__xludf.DUMMYFUNCTION("""COMPUTED_VALUE"""),27300.0)</f>
        <v>27300</v>
      </c>
      <c r="D1713" s="1">
        <f>IFERROR(__xludf.DUMMYFUNCTION("""COMPUTED_VALUE"""),26300.0)</f>
        <v>26300</v>
      </c>
      <c r="E1713" s="1">
        <f>IFERROR(__xludf.DUMMYFUNCTION("""COMPUTED_VALUE"""),27100.0)</f>
        <v>27100</v>
      </c>
      <c r="F1713" s="1">
        <f>IFERROR(__xludf.DUMMYFUNCTION("""COMPUTED_VALUE"""),681961.0)</f>
        <v>681961</v>
      </c>
    </row>
    <row r="1714">
      <c r="A1714" s="2">
        <f>IFERROR(__xludf.DUMMYFUNCTION("""COMPUTED_VALUE"""),43089.64583333333)</f>
        <v>43089.64583</v>
      </c>
      <c r="B1714" s="1">
        <f>IFERROR(__xludf.DUMMYFUNCTION("""COMPUTED_VALUE"""),27000.0)</f>
        <v>27000</v>
      </c>
      <c r="C1714" s="1">
        <f>IFERROR(__xludf.DUMMYFUNCTION("""COMPUTED_VALUE"""),27500.0)</f>
        <v>27500</v>
      </c>
      <c r="D1714" s="1">
        <f>IFERROR(__xludf.DUMMYFUNCTION("""COMPUTED_VALUE"""),26700.0)</f>
        <v>26700</v>
      </c>
      <c r="E1714" s="1">
        <f>IFERROR(__xludf.DUMMYFUNCTION("""COMPUTED_VALUE"""),26700.0)</f>
        <v>26700</v>
      </c>
      <c r="F1714" s="1">
        <f>IFERROR(__xludf.DUMMYFUNCTION("""COMPUTED_VALUE"""),533044.0)</f>
        <v>533044</v>
      </c>
    </row>
    <row r="1715">
      <c r="A1715" s="2">
        <f>IFERROR(__xludf.DUMMYFUNCTION("""COMPUTED_VALUE"""),43090.64583333333)</f>
        <v>43090.64583</v>
      </c>
      <c r="B1715" s="1">
        <f>IFERROR(__xludf.DUMMYFUNCTION("""COMPUTED_VALUE"""),26800.0)</f>
        <v>26800</v>
      </c>
      <c r="C1715" s="1">
        <f>IFERROR(__xludf.DUMMYFUNCTION("""COMPUTED_VALUE"""),26800.0)</f>
        <v>26800</v>
      </c>
      <c r="D1715" s="1">
        <f>IFERROR(__xludf.DUMMYFUNCTION("""COMPUTED_VALUE"""),25800.0)</f>
        <v>25800</v>
      </c>
      <c r="E1715" s="1">
        <f>IFERROR(__xludf.DUMMYFUNCTION("""COMPUTED_VALUE"""),25800.0)</f>
        <v>25800</v>
      </c>
      <c r="F1715" s="1">
        <f>IFERROR(__xludf.DUMMYFUNCTION("""COMPUTED_VALUE"""),717635.0)</f>
        <v>717635</v>
      </c>
    </row>
    <row r="1716">
      <c r="A1716" s="2">
        <f>IFERROR(__xludf.DUMMYFUNCTION("""COMPUTED_VALUE"""),43091.64583333333)</f>
        <v>43091.64583</v>
      </c>
      <c r="B1716" s="1">
        <f>IFERROR(__xludf.DUMMYFUNCTION("""COMPUTED_VALUE"""),25600.0)</f>
        <v>25600</v>
      </c>
      <c r="C1716" s="1">
        <f>IFERROR(__xludf.DUMMYFUNCTION("""COMPUTED_VALUE"""),26100.0)</f>
        <v>26100</v>
      </c>
      <c r="D1716" s="1">
        <f>IFERROR(__xludf.DUMMYFUNCTION("""COMPUTED_VALUE"""),25300.0)</f>
        <v>25300</v>
      </c>
      <c r="E1716" s="1">
        <f>IFERROR(__xludf.DUMMYFUNCTION("""COMPUTED_VALUE"""),25900.0)</f>
        <v>25900</v>
      </c>
      <c r="F1716" s="1">
        <f>IFERROR(__xludf.DUMMYFUNCTION("""COMPUTED_VALUE"""),586870.0)</f>
        <v>586870</v>
      </c>
    </row>
    <row r="1717">
      <c r="A1717" s="2">
        <f>IFERROR(__xludf.DUMMYFUNCTION("""COMPUTED_VALUE"""),43095.64583333333)</f>
        <v>43095.64583</v>
      </c>
      <c r="B1717" s="1">
        <f>IFERROR(__xludf.DUMMYFUNCTION("""COMPUTED_VALUE"""),26100.0)</f>
        <v>26100</v>
      </c>
      <c r="C1717" s="1">
        <f>IFERROR(__xludf.DUMMYFUNCTION("""COMPUTED_VALUE"""),26100.0)</f>
        <v>26100</v>
      </c>
      <c r="D1717" s="1">
        <f>IFERROR(__xludf.DUMMYFUNCTION("""COMPUTED_VALUE"""),25000.0)</f>
        <v>25000</v>
      </c>
      <c r="E1717" s="1">
        <f>IFERROR(__xludf.DUMMYFUNCTION("""COMPUTED_VALUE"""),25200.0)</f>
        <v>25200</v>
      </c>
      <c r="F1717" s="1">
        <f>IFERROR(__xludf.DUMMYFUNCTION("""COMPUTED_VALUE"""),737536.0)</f>
        <v>737536</v>
      </c>
    </row>
    <row r="1718">
      <c r="A1718" s="2">
        <f>IFERROR(__xludf.DUMMYFUNCTION("""COMPUTED_VALUE"""),43096.64583333333)</f>
        <v>43096.64583</v>
      </c>
      <c r="B1718" s="1">
        <f>IFERROR(__xludf.DUMMYFUNCTION("""COMPUTED_VALUE"""),26000.0)</f>
        <v>26000</v>
      </c>
      <c r="C1718" s="1">
        <f>IFERROR(__xludf.DUMMYFUNCTION("""COMPUTED_VALUE"""),28000.0)</f>
        <v>28000</v>
      </c>
      <c r="D1718" s="1">
        <f>IFERROR(__xludf.DUMMYFUNCTION("""COMPUTED_VALUE"""),25900.0)</f>
        <v>25900</v>
      </c>
      <c r="E1718" s="1">
        <f>IFERROR(__xludf.DUMMYFUNCTION("""COMPUTED_VALUE"""),27900.0)</f>
        <v>27900</v>
      </c>
      <c r="F1718" s="1">
        <f>IFERROR(__xludf.DUMMYFUNCTION("""COMPUTED_VALUE"""),1561744.0)</f>
        <v>1561744</v>
      </c>
    </row>
    <row r="1719">
      <c r="A1719" s="2">
        <f>IFERROR(__xludf.DUMMYFUNCTION("""COMPUTED_VALUE"""),43097.64583333333)</f>
        <v>43097.64583</v>
      </c>
      <c r="B1719" s="1">
        <f>IFERROR(__xludf.DUMMYFUNCTION("""COMPUTED_VALUE"""),27900.0)</f>
        <v>27900</v>
      </c>
      <c r="C1719" s="1">
        <f>IFERROR(__xludf.DUMMYFUNCTION("""COMPUTED_VALUE"""),28300.0)</f>
        <v>28300</v>
      </c>
      <c r="D1719" s="1">
        <f>IFERROR(__xludf.DUMMYFUNCTION("""COMPUTED_VALUE"""),26900.0)</f>
        <v>26900</v>
      </c>
      <c r="E1719" s="1">
        <f>IFERROR(__xludf.DUMMYFUNCTION("""COMPUTED_VALUE"""),27400.0)</f>
        <v>27400</v>
      </c>
      <c r="F1719" s="1">
        <f>IFERROR(__xludf.DUMMYFUNCTION("""COMPUTED_VALUE"""),948214.0)</f>
        <v>948214</v>
      </c>
    </row>
    <row r="1720">
      <c r="A1720" s="2">
        <f>IFERROR(__xludf.DUMMYFUNCTION("""COMPUTED_VALUE"""),43102.64583333333)</f>
        <v>43102.64583</v>
      </c>
      <c r="B1720" s="1">
        <f>IFERROR(__xludf.DUMMYFUNCTION("""COMPUTED_VALUE"""),28000.0)</f>
        <v>28000</v>
      </c>
      <c r="C1720" s="1">
        <f>IFERROR(__xludf.DUMMYFUNCTION("""COMPUTED_VALUE"""),29400.0)</f>
        <v>29400</v>
      </c>
      <c r="D1720" s="1">
        <f>IFERROR(__xludf.DUMMYFUNCTION("""COMPUTED_VALUE"""),27900.0)</f>
        <v>27900</v>
      </c>
      <c r="E1720" s="1">
        <f>IFERROR(__xludf.DUMMYFUNCTION("""COMPUTED_VALUE"""),29300.0)</f>
        <v>29300</v>
      </c>
      <c r="F1720" s="1">
        <f>IFERROR(__xludf.DUMMYFUNCTION("""COMPUTED_VALUE"""),1345951.0)</f>
        <v>1345951</v>
      </c>
    </row>
    <row r="1721">
      <c r="A1721" s="2">
        <f>IFERROR(__xludf.DUMMYFUNCTION("""COMPUTED_VALUE"""),43103.64583333333)</f>
        <v>43103.64583</v>
      </c>
      <c r="B1721" s="1">
        <f>IFERROR(__xludf.DUMMYFUNCTION("""COMPUTED_VALUE"""),30100.0)</f>
        <v>30100</v>
      </c>
      <c r="C1721" s="1">
        <f>IFERROR(__xludf.DUMMYFUNCTION("""COMPUTED_VALUE"""),30200.0)</f>
        <v>30200</v>
      </c>
      <c r="D1721" s="1">
        <f>IFERROR(__xludf.DUMMYFUNCTION("""COMPUTED_VALUE"""),29100.0)</f>
        <v>29100</v>
      </c>
      <c r="E1721" s="1">
        <f>IFERROR(__xludf.DUMMYFUNCTION("""COMPUTED_VALUE"""),29800.0)</f>
        <v>29800</v>
      </c>
      <c r="F1721" s="1">
        <f>IFERROR(__xludf.DUMMYFUNCTION("""COMPUTED_VALUE"""),1154361.0)</f>
        <v>1154361</v>
      </c>
    </row>
    <row r="1722">
      <c r="A1722" s="2">
        <f>IFERROR(__xludf.DUMMYFUNCTION("""COMPUTED_VALUE"""),43104.64583333333)</f>
        <v>43104.64583</v>
      </c>
      <c r="B1722" s="1">
        <f>IFERROR(__xludf.DUMMYFUNCTION("""COMPUTED_VALUE"""),30500.0)</f>
        <v>30500</v>
      </c>
      <c r="C1722" s="1">
        <f>IFERROR(__xludf.DUMMYFUNCTION("""COMPUTED_VALUE"""),31800.0)</f>
        <v>31800</v>
      </c>
      <c r="D1722" s="1">
        <f>IFERROR(__xludf.DUMMYFUNCTION("""COMPUTED_VALUE"""),29900.0)</f>
        <v>29900</v>
      </c>
      <c r="E1722" s="1">
        <f>IFERROR(__xludf.DUMMYFUNCTION("""COMPUTED_VALUE"""),31200.0)</f>
        <v>31200</v>
      </c>
      <c r="F1722" s="1">
        <f>IFERROR(__xludf.DUMMYFUNCTION("""COMPUTED_VALUE"""),2265019.0)</f>
        <v>2265019</v>
      </c>
    </row>
    <row r="1723">
      <c r="A1723" s="2">
        <f>IFERROR(__xludf.DUMMYFUNCTION("""COMPUTED_VALUE"""),43105.64583333333)</f>
        <v>43105.64583</v>
      </c>
      <c r="B1723" s="1">
        <f>IFERROR(__xludf.DUMMYFUNCTION("""COMPUTED_VALUE"""),31400.0)</f>
        <v>31400</v>
      </c>
      <c r="C1723" s="1">
        <f>IFERROR(__xludf.DUMMYFUNCTION("""COMPUTED_VALUE"""),31600.0)</f>
        <v>31600</v>
      </c>
      <c r="D1723" s="1">
        <f>IFERROR(__xludf.DUMMYFUNCTION("""COMPUTED_VALUE"""),30400.0)</f>
        <v>30400</v>
      </c>
      <c r="E1723" s="1">
        <f>IFERROR(__xludf.DUMMYFUNCTION("""COMPUTED_VALUE"""),31200.0)</f>
        <v>31200</v>
      </c>
      <c r="F1723" s="1">
        <f>IFERROR(__xludf.DUMMYFUNCTION("""COMPUTED_VALUE"""),1067202.0)</f>
        <v>1067202</v>
      </c>
    </row>
    <row r="1724">
      <c r="A1724" s="2">
        <f>IFERROR(__xludf.DUMMYFUNCTION("""COMPUTED_VALUE"""),43108.64583333333)</f>
        <v>43108.64583</v>
      </c>
      <c r="B1724" s="1">
        <f>IFERROR(__xludf.DUMMYFUNCTION("""COMPUTED_VALUE"""),32100.0)</f>
        <v>32100</v>
      </c>
      <c r="C1724" s="1">
        <f>IFERROR(__xludf.DUMMYFUNCTION("""COMPUTED_VALUE"""),32500.0)</f>
        <v>32500</v>
      </c>
      <c r="D1724" s="1">
        <f>IFERROR(__xludf.DUMMYFUNCTION("""COMPUTED_VALUE"""),31600.0)</f>
        <v>31600</v>
      </c>
      <c r="E1724" s="1">
        <f>IFERROR(__xludf.DUMMYFUNCTION("""COMPUTED_VALUE"""),31900.0)</f>
        <v>31900</v>
      </c>
      <c r="F1724" s="1">
        <f>IFERROR(__xludf.DUMMYFUNCTION("""COMPUTED_VALUE"""),1577403.0)</f>
        <v>1577403</v>
      </c>
    </row>
    <row r="1725">
      <c r="A1725" s="2">
        <f>IFERROR(__xludf.DUMMYFUNCTION("""COMPUTED_VALUE"""),43109.64583333333)</f>
        <v>43109.64583</v>
      </c>
      <c r="B1725" s="1">
        <f>IFERROR(__xludf.DUMMYFUNCTION("""COMPUTED_VALUE"""),31600.0)</f>
        <v>31600</v>
      </c>
      <c r="C1725" s="1">
        <f>IFERROR(__xludf.DUMMYFUNCTION("""COMPUTED_VALUE"""),32000.0)</f>
        <v>32000</v>
      </c>
      <c r="D1725" s="1">
        <f>IFERROR(__xludf.DUMMYFUNCTION("""COMPUTED_VALUE"""),30900.0)</f>
        <v>30900</v>
      </c>
      <c r="E1725" s="1">
        <f>IFERROR(__xludf.DUMMYFUNCTION("""COMPUTED_VALUE"""),31400.0)</f>
        <v>31400</v>
      </c>
      <c r="F1725" s="1">
        <f>IFERROR(__xludf.DUMMYFUNCTION("""COMPUTED_VALUE"""),1010891.0)</f>
        <v>1010891</v>
      </c>
    </row>
    <row r="1726">
      <c r="A1726" s="2">
        <f>IFERROR(__xludf.DUMMYFUNCTION("""COMPUTED_VALUE"""),43110.64583333333)</f>
        <v>43110.64583</v>
      </c>
      <c r="B1726" s="1">
        <f>IFERROR(__xludf.DUMMYFUNCTION("""COMPUTED_VALUE"""),31200.0)</f>
        <v>31200</v>
      </c>
      <c r="C1726" s="1">
        <f>IFERROR(__xludf.DUMMYFUNCTION("""COMPUTED_VALUE"""),31700.0)</f>
        <v>31700</v>
      </c>
      <c r="D1726" s="1">
        <f>IFERROR(__xludf.DUMMYFUNCTION("""COMPUTED_VALUE"""),29600.0)</f>
        <v>29600</v>
      </c>
      <c r="E1726" s="1">
        <f>IFERROR(__xludf.DUMMYFUNCTION("""COMPUTED_VALUE"""),29900.0)</f>
        <v>29900</v>
      </c>
      <c r="F1726" s="1">
        <f>IFERROR(__xludf.DUMMYFUNCTION("""COMPUTED_VALUE"""),1656798.0)</f>
        <v>1656798</v>
      </c>
    </row>
    <row r="1727">
      <c r="A1727" s="2">
        <f>IFERROR(__xludf.DUMMYFUNCTION("""COMPUTED_VALUE"""),43111.64583333333)</f>
        <v>43111.64583</v>
      </c>
      <c r="B1727" s="1">
        <f>IFERROR(__xludf.DUMMYFUNCTION("""COMPUTED_VALUE"""),28400.0)</f>
        <v>28400</v>
      </c>
      <c r="C1727" s="1">
        <f>IFERROR(__xludf.DUMMYFUNCTION("""COMPUTED_VALUE"""),29300.0)</f>
        <v>29300</v>
      </c>
      <c r="D1727" s="1">
        <f>IFERROR(__xludf.DUMMYFUNCTION("""COMPUTED_VALUE"""),27600.0)</f>
        <v>27600</v>
      </c>
      <c r="E1727" s="1">
        <f>IFERROR(__xludf.DUMMYFUNCTION("""COMPUTED_VALUE"""),28100.0)</f>
        <v>28100</v>
      </c>
      <c r="F1727" s="1">
        <f>IFERROR(__xludf.DUMMYFUNCTION("""COMPUTED_VALUE"""),2474827.0)</f>
        <v>2474827</v>
      </c>
    </row>
    <row r="1728">
      <c r="A1728" s="2">
        <f>IFERROR(__xludf.DUMMYFUNCTION("""COMPUTED_VALUE"""),43112.64583333333)</f>
        <v>43112.64583</v>
      </c>
      <c r="B1728" s="1">
        <f>IFERROR(__xludf.DUMMYFUNCTION("""COMPUTED_VALUE"""),29100.0)</f>
        <v>29100</v>
      </c>
      <c r="C1728" s="1">
        <f>IFERROR(__xludf.DUMMYFUNCTION("""COMPUTED_VALUE"""),29100.0)</f>
        <v>29100</v>
      </c>
      <c r="D1728" s="1">
        <f>IFERROR(__xludf.DUMMYFUNCTION("""COMPUTED_VALUE"""),27800.0)</f>
        <v>27800</v>
      </c>
      <c r="E1728" s="1">
        <f>IFERROR(__xludf.DUMMYFUNCTION("""COMPUTED_VALUE"""),28100.0)</f>
        <v>28100</v>
      </c>
      <c r="F1728" s="1">
        <f>IFERROR(__xludf.DUMMYFUNCTION("""COMPUTED_VALUE"""),1377402.0)</f>
        <v>1377402</v>
      </c>
    </row>
    <row r="1729">
      <c r="A1729" s="2">
        <f>IFERROR(__xludf.DUMMYFUNCTION("""COMPUTED_VALUE"""),43115.64583333333)</f>
        <v>43115.64583</v>
      </c>
      <c r="B1729" s="1">
        <f>IFERROR(__xludf.DUMMYFUNCTION("""COMPUTED_VALUE"""),28300.0)</f>
        <v>28300</v>
      </c>
      <c r="C1729" s="1">
        <f>IFERROR(__xludf.DUMMYFUNCTION("""COMPUTED_VALUE"""),29500.0)</f>
        <v>29500</v>
      </c>
      <c r="D1729" s="1">
        <f>IFERROR(__xludf.DUMMYFUNCTION("""COMPUTED_VALUE"""),28300.0)</f>
        <v>28300</v>
      </c>
      <c r="E1729" s="1">
        <f>IFERROR(__xludf.DUMMYFUNCTION("""COMPUTED_VALUE"""),29000.0)</f>
        <v>29000</v>
      </c>
      <c r="F1729" s="1">
        <f>IFERROR(__xludf.DUMMYFUNCTION("""COMPUTED_VALUE"""),1265024.0)</f>
        <v>1265024</v>
      </c>
    </row>
    <row r="1730">
      <c r="A1730" s="2">
        <f>IFERROR(__xludf.DUMMYFUNCTION("""COMPUTED_VALUE"""),43116.64583333333)</f>
        <v>43116.64583</v>
      </c>
      <c r="B1730" s="1">
        <f>IFERROR(__xludf.DUMMYFUNCTION("""COMPUTED_VALUE"""),28900.0)</f>
        <v>28900</v>
      </c>
      <c r="C1730" s="1">
        <f>IFERROR(__xludf.DUMMYFUNCTION("""COMPUTED_VALUE"""),29000.0)</f>
        <v>29000</v>
      </c>
      <c r="D1730" s="1">
        <f>IFERROR(__xludf.DUMMYFUNCTION("""COMPUTED_VALUE"""),28000.0)</f>
        <v>28000</v>
      </c>
      <c r="E1730" s="1">
        <f>IFERROR(__xludf.DUMMYFUNCTION("""COMPUTED_VALUE"""),28100.0)</f>
        <v>28100</v>
      </c>
      <c r="F1730" s="1">
        <f>IFERROR(__xludf.DUMMYFUNCTION("""COMPUTED_VALUE"""),1117873.0)</f>
        <v>1117873</v>
      </c>
    </row>
    <row r="1731">
      <c r="A1731" s="2">
        <f>IFERROR(__xludf.DUMMYFUNCTION("""COMPUTED_VALUE"""),43117.64583333333)</f>
        <v>43117.64583</v>
      </c>
      <c r="B1731" s="1">
        <f>IFERROR(__xludf.DUMMYFUNCTION("""COMPUTED_VALUE"""),27800.0)</f>
        <v>27800</v>
      </c>
      <c r="C1731" s="1">
        <f>IFERROR(__xludf.DUMMYFUNCTION("""COMPUTED_VALUE"""),27800.0)</f>
        <v>27800</v>
      </c>
      <c r="D1731" s="1">
        <f>IFERROR(__xludf.DUMMYFUNCTION("""COMPUTED_VALUE"""),26600.0)</f>
        <v>26600</v>
      </c>
      <c r="E1731" s="1">
        <f>IFERROR(__xludf.DUMMYFUNCTION("""COMPUTED_VALUE"""),26800.0)</f>
        <v>26800</v>
      </c>
      <c r="F1731" s="1">
        <f>IFERROR(__xludf.DUMMYFUNCTION("""COMPUTED_VALUE"""),2415858.0)</f>
        <v>2415858</v>
      </c>
    </row>
    <row r="1732">
      <c r="A1732" s="2">
        <f>IFERROR(__xludf.DUMMYFUNCTION("""COMPUTED_VALUE"""),43118.64583333333)</f>
        <v>43118.64583</v>
      </c>
      <c r="B1732" s="1">
        <f>IFERROR(__xludf.DUMMYFUNCTION("""COMPUTED_VALUE"""),26900.0)</f>
        <v>26900</v>
      </c>
      <c r="C1732" s="1">
        <f>IFERROR(__xludf.DUMMYFUNCTION("""COMPUTED_VALUE"""),27700.0)</f>
        <v>27700</v>
      </c>
      <c r="D1732" s="1">
        <f>IFERROR(__xludf.DUMMYFUNCTION("""COMPUTED_VALUE"""),26800.0)</f>
        <v>26800</v>
      </c>
      <c r="E1732" s="1">
        <f>IFERROR(__xludf.DUMMYFUNCTION("""COMPUTED_VALUE"""),27100.0)</f>
        <v>27100</v>
      </c>
      <c r="F1732" s="1">
        <f>IFERROR(__xludf.DUMMYFUNCTION("""COMPUTED_VALUE"""),1965579.0)</f>
        <v>1965579</v>
      </c>
    </row>
    <row r="1733">
      <c r="A1733" s="2">
        <f>IFERROR(__xludf.DUMMYFUNCTION("""COMPUTED_VALUE"""),43119.64583333333)</f>
        <v>43119.64583</v>
      </c>
      <c r="B1733" s="1">
        <f>IFERROR(__xludf.DUMMYFUNCTION("""COMPUTED_VALUE"""),27200.0)</f>
        <v>27200</v>
      </c>
      <c r="C1733" s="1">
        <f>IFERROR(__xludf.DUMMYFUNCTION("""COMPUTED_VALUE"""),27800.0)</f>
        <v>27800</v>
      </c>
      <c r="D1733" s="1">
        <f>IFERROR(__xludf.DUMMYFUNCTION("""COMPUTED_VALUE"""),26800.0)</f>
        <v>26800</v>
      </c>
      <c r="E1733" s="1">
        <f>IFERROR(__xludf.DUMMYFUNCTION("""COMPUTED_VALUE"""),27600.0)</f>
        <v>27600</v>
      </c>
      <c r="F1733" s="1">
        <f>IFERROR(__xludf.DUMMYFUNCTION("""COMPUTED_VALUE"""),1132433.0)</f>
        <v>1132433</v>
      </c>
    </row>
    <row r="1734">
      <c r="A1734" s="2">
        <f>IFERROR(__xludf.DUMMYFUNCTION("""COMPUTED_VALUE"""),43122.64583333333)</f>
        <v>43122.64583</v>
      </c>
      <c r="B1734" s="1">
        <f>IFERROR(__xludf.DUMMYFUNCTION("""COMPUTED_VALUE"""),27600.0)</f>
        <v>27600</v>
      </c>
      <c r="C1734" s="1">
        <f>IFERROR(__xludf.DUMMYFUNCTION("""COMPUTED_VALUE"""),27800.0)</f>
        <v>27800</v>
      </c>
      <c r="D1734" s="1">
        <f>IFERROR(__xludf.DUMMYFUNCTION("""COMPUTED_VALUE"""),27000.0)</f>
        <v>27000</v>
      </c>
      <c r="E1734" s="1">
        <f>IFERROR(__xludf.DUMMYFUNCTION("""COMPUTED_VALUE"""),27100.0)</f>
        <v>27100</v>
      </c>
      <c r="F1734" s="1">
        <f>IFERROR(__xludf.DUMMYFUNCTION("""COMPUTED_VALUE"""),815041.0)</f>
        <v>815041</v>
      </c>
    </row>
    <row r="1735">
      <c r="A1735" s="2">
        <f>IFERROR(__xludf.DUMMYFUNCTION("""COMPUTED_VALUE"""),43123.64583333333)</f>
        <v>43123.64583</v>
      </c>
      <c r="B1735" s="1">
        <f>IFERROR(__xludf.DUMMYFUNCTION("""COMPUTED_VALUE"""),27100.0)</f>
        <v>27100</v>
      </c>
      <c r="C1735" s="1">
        <f>IFERROR(__xludf.DUMMYFUNCTION("""COMPUTED_VALUE"""),27600.0)</f>
        <v>27600</v>
      </c>
      <c r="D1735" s="1">
        <f>IFERROR(__xludf.DUMMYFUNCTION("""COMPUTED_VALUE"""),27000.0)</f>
        <v>27000</v>
      </c>
      <c r="E1735" s="1">
        <f>IFERROR(__xludf.DUMMYFUNCTION("""COMPUTED_VALUE"""),27300.0)</f>
        <v>27300</v>
      </c>
      <c r="F1735" s="1">
        <f>IFERROR(__xludf.DUMMYFUNCTION("""COMPUTED_VALUE"""),965243.0)</f>
        <v>965243</v>
      </c>
    </row>
    <row r="1736">
      <c r="A1736" s="2">
        <f>IFERROR(__xludf.DUMMYFUNCTION("""COMPUTED_VALUE"""),43124.64583333333)</f>
        <v>43124.64583</v>
      </c>
      <c r="B1736" s="1">
        <f>IFERROR(__xludf.DUMMYFUNCTION("""COMPUTED_VALUE"""),27300.0)</f>
        <v>27300</v>
      </c>
      <c r="C1736" s="1">
        <f>IFERROR(__xludf.DUMMYFUNCTION("""COMPUTED_VALUE"""),27600.0)</f>
        <v>27600</v>
      </c>
      <c r="D1736" s="1">
        <f>IFERROR(__xludf.DUMMYFUNCTION("""COMPUTED_VALUE"""),26900.0)</f>
        <v>26900</v>
      </c>
      <c r="E1736" s="1">
        <f>IFERROR(__xludf.DUMMYFUNCTION("""COMPUTED_VALUE"""),27000.0)</f>
        <v>27000</v>
      </c>
      <c r="F1736" s="1">
        <f>IFERROR(__xludf.DUMMYFUNCTION("""COMPUTED_VALUE"""),760888.0)</f>
        <v>760888</v>
      </c>
    </row>
    <row r="1737">
      <c r="A1737" s="2">
        <f>IFERROR(__xludf.DUMMYFUNCTION("""COMPUTED_VALUE"""),43125.64583333333)</f>
        <v>43125.64583</v>
      </c>
      <c r="B1737" s="1">
        <f>IFERROR(__xludf.DUMMYFUNCTION("""COMPUTED_VALUE"""),27000.0)</f>
        <v>27000</v>
      </c>
      <c r="C1737" s="1">
        <f>IFERROR(__xludf.DUMMYFUNCTION("""COMPUTED_VALUE"""),27500.0)</f>
        <v>27500</v>
      </c>
      <c r="D1737" s="1">
        <f>IFERROR(__xludf.DUMMYFUNCTION("""COMPUTED_VALUE"""),26900.0)</f>
        <v>26900</v>
      </c>
      <c r="E1737" s="1">
        <f>IFERROR(__xludf.DUMMYFUNCTION("""COMPUTED_VALUE"""),27000.0)</f>
        <v>27000</v>
      </c>
      <c r="F1737" s="1">
        <f>IFERROR(__xludf.DUMMYFUNCTION("""COMPUTED_VALUE"""),649676.0)</f>
        <v>649676</v>
      </c>
    </row>
    <row r="1738">
      <c r="A1738" s="2">
        <f>IFERROR(__xludf.DUMMYFUNCTION("""COMPUTED_VALUE"""),43126.64583333333)</f>
        <v>43126.64583</v>
      </c>
      <c r="B1738" s="1">
        <f>IFERROR(__xludf.DUMMYFUNCTION("""COMPUTED_VALUE"""),27200.0)</f>
        <v>27200</v>
      </c>
      <c r="C1738" s="1">
        <f>IFERROR(__xludf.DUMMYFUNCTION("""COMPUTED_VALUE"""),28200.0)</f>
        <v>28200</v>
      </c>
      <c r="D1738" s="1">
        <f>IFERROR(__xludf.DUMMYFUNCTION("""COMPUTED_VALUE"""),27000.0)</f>
        <v>27000</v>
      </c>
      <c r="E1738" s="1">
        <f>IFERROR(__xludf.DUMMYFUNCTION("""COMPUTED_VALUE"""),28000.0)</f>
        <v>28000</v>
      </c>
      <c r="F1738" s="1">
        <f>IFERROR(__xludf.DUMMYFUNCTION("""COMPUTED_VALUE"""),1271640.0)</f>
        <v>1271640</v>
      </c>
    </row>
    <row r="1739">
      <c r="A1739" s="2">
        <f>IFERROR(__xludf.DUMMYFUNCTION("""COMPUTED_VALUE"""),43129.64583333333)</f>
        <v>43129.64583</v>
      </c>
      <c r="B1739" s="1">
        <f>IFERROR(__xludf.DUMMYFUNCTION("""COMPUTED_VALUE"""),28200.0)</f>
        <v>28200</v>
      </c>
      <c r="C1739" s="1">
        <f>IFERROR(__xludf.DUMMYFUNCTION("""COMPUTED_VALUE"""),28300.0)</f>
        <v>28300</v>
      </c>
      <c r="D1739" s="1">
        <f>IFERROR(__xludf.DUMMYFUNCTION("""COMPUTED_VALUE"""),27700.0)</f>
        <v>27700</v>
      </c>
      <c r="E1739" s="1">
        <f>IFERROR(__xludf.DUMMYFUNCTION("""COMPUTED_VALUE"""),27800.0)</f>
        <v>27800</v>
      </c>
      <c r="F1739" s="1">
        <f>IFERROR(__xludf.DUMMYFUNCTION("""COMPUTED_VALUE"""),708612.0)</f>
        <v>708612</v>
      </c>
    </row>
    <row r="1740">
      <c r="A1740" s="2">
        <f>IFERROR(__xludf.DUMMYFUNCTION("""COMPUTED_VALUE"""),43130.64583333333)</f>
        <v>43130.64583</v>
      </c>
      <c r="B1740" s="1">
        <f>IFERROR(__xludf.DUMMYFUNCTION("""COMPUTED_VALUE"""),27800.0)</f>
        <v>27800</v>
      </c>
      <c r="C1740" s="1">
        <f>IFERROR(__xludf.DUMMYFUNCTION("""COMPUTED_VALUE"""),28100.0)</f>
        <v>28100</v>
      </c>
      <c r="D1740" s="1">
        <f>IFERROR(__xludf.DUMMYFUNCTION("""COMPUTED_VALUE"""),27500.0)</f>
        <v>27500</v>
      </c>
      <c r="E1740" s="1">
        <f>IFERROR(__xludf.DUMMYFUNCTION("""COMPUTED_VALUE"""),27700.0)</f>
        <v>27700</v>
      </c>
      <c r="F1740" s="1">
        <f>IFERROR(__xludf.DUMMYFUNCTION("""COMPUTED_VALUE"""),642199.0)</f>
        <v>642199</v>
      </c>
    </row>
    <row r="1741">
      <c r="A1741" s="2">
        <f>IFERROR(__xludf.DUMMYFUNCTION("""COMPUTED_VALUE"""),43131.64583333333)</f>
        <v>43131.64583</v>
      </c>
      <c r="B1741" s="1">
        <f>IFERROR(__xludf.DUMMYFUNCTION("""COMPUTED_VALUE"""),27500.0)</f>
        <v>27500</v>
      </c>
      <c r="C1741" s="1">
        <f>IFERROR(__xludf.DUMMYFUNCTION("""COMPUTED_VALUE"""),28000.0)</f>
        <v>28000</v>
      </c>
      <c r="D1741" s="1">
        <f>IFERROR(__xludf.DUMMYFUNCTION("""COMPUTED_VALUE"""),27000.0)</f>
        <v>27000</v>
      </c>
      <c r="E1741" s="1">
        <f>IFERROR(__xludf.DUMMYFUNCTION("""COMPUTED_VALUE"""),28000.0)</f>
        <v>28000</v>
      </c>
      <c r="F1741" s="1">
        <f>IFERROR(__xludf.DUMMYFUNCTION("""COMPUTED_VALUE"""),943362.0)</f>
        <v>943362</v>
      </c>
    </row>
    <row r="1742">
      <c r="A1742" s="2">
        <f>IFERROR(__xludf.DUMMYFUNCTION("""COMPUTED_VALUE"""),43132.64583333333)</f>
        <v>43132.64583</v>
      </c>
      <c r="B1742" s="1">
        <f>IFERROR(__xludf.DUMMYFUNCTION("""COMPUTED_VALUE"""),28000.0)</f>
        <v>28000</v>
      </c>
      <c r="C1742" s="1">
        <f>IFERROR(__xludf.DUMMYFUNCTION("""COMPUTED_VALUE"""),28400.0)</f>
        <v>28400</v>
      </c>
      <c r="D1742" s="1">
        <f>IFERROR(__xludf.DUMMYFUNCTION("""COMPUTED_VALUE"""),27500.0)</f>
        <v>27500</v>
      </c>
      <c r="E1742" s="1">
        <f>IFERROR(__xludf.DUMMYFUNCTION("""COMPUTED_VALUE"""),28300.0)</f>
        <v>28300</v>
      </c>
      <c r="F1742" s="1">
        <f>IFERROR(__xludf.DUMMYFUNCTION("""COMPUTED_VALUE"""),910082.0)</f>
        <v>910082</v>
      </c>
    </row>
    <row r="1743">
      <c r="A1743" s="2">
        <f>IFERROR(__xludf.DUMMYFUNCTION("""COMPUTED_VALUE"""),43133.64583333333)</f>
        <v>43133.64583</v>
      </c>
      <c r="B1743" s="1">
        <f>IFERROR(__xludf.DUMMYFUNCTION("""COMPUTED_VALUE"""),28400.0)</f>
        <v>28400</v>
      </c>
      <c r="C1743" s="1">
        <f>IFERROR(__xludf.DUMMYFUNCTION("""COMPUTED_VALUE"""),29000.0)</f>
        <v>29000</v>
      </c>
      <c r="D1743" s="1">
        <f>IFERROR(__xludf.DUMMYFUNCTION("""COMPUTED_VALUE"""),28300.0)</f>
        <v>28300</v>
      </c>
      <c r="E1743" s="1">
        <f>IFERROR(__xludf.DUMMYFUNCTION("""COMPUTED_VALUE"""),28700.0)</f>
        <v>28700</v>
      </c>
      <c r="F1743" s="1">
        <f>IFERROR(__xludf.DUMMYFUNCTION("""COMPUTED_VALUE"""),2099421.0)</f>
        <v>2099421</v>
      </c>
    </row>
    <row r="1744">
      <c r="A1744" s="2">
        <f>IFERROR(__xludf.DUMMYFUNCTION("""COMPUTED_VALUE"""),43136.64583333333)</f>
        <v>43136.64583</v>
      </c>
      <c r="B1744" s="1">
        <f>IFERROR(__xludf.DUMMYFUNCTION("""COMPUTED_VALUE"""),27900.0)</f>
        <v>27900</v>
      </c>
      <c r="C1744" s="1">
        <f>IFERROR(__xludf.DUMMYFUNCTION("""COMPUTED_VALUE"""),28000.0)</f>
        <v>28000</v>
      </c>
      <c r="D1744" s="1">
        <f>IFERROR(__xludf.DUMMYFUNCTION("""COMPUTED_VALUE"""),26900.0)</f>
        <v>26900</v>
      </c>
      <c r="E1744" s="1">
        <f>IFERROR(__xludf.DUMMYFUNCTION("""COMPUTED_VALUE"""),26900.0)</f>
        <v>26900</v>
      </c>
      <c r="F1744" s="1">
        <f>IFERROR(__xludf.DUMMYFUNCTION("""COMPUTED_VALUE"""),1624472.0)</f>
        <v>1624472</v>
      </c>
    </row>
    <row r="1745">
      <c r="A1745" s="2">
        <f>IFERROR(__xludf.DUMMYFUNCTION("""COMPUTED_VALUE"""),43137.64583333333)</f>
        <v>43137.64583</v>
      </c>
      <c r="B1745" s="1">
        <f>IFERROR(__xludf.DUMMYFUNCTION("""COMPUTED_VALUE"""),25300.0)</f>
        <v>25300</v>
      </c>
      <c r="C1745" s="1">
        <f>IFERROR(__xludf.DUMMYFUNCTION("""COMPUTED_VALUE"""),26200.0)</f>
        <v>26200</v>
      </c>
      <c r="D1745" s="1">
        <f>IFERROR(__xludf.DUMMYFUNCTION("""COMPUTED_VALUE"""),25000.0)</f>
        <v>25000</v>
      </c>
      <c r="E1745" s="1">
        <f>IFERROR(__xludf.DUMMYFUNCTION("""COMPUTED_VALUE"""),26200.0)</f>
        <v>26200</v>
      </c>
      <c r="F1745" s="1">
        <f>IFERROR(__xludf.DUMMYFUNCTION("""COMPUTED_VALUE"""),2291759.0)</f>
        <v>2291759</v>
      </c>
    </row>
    <row r="1746">
      <c r="A1746" s="2">
        <f>IFERROR(__xludf.DUMMYFUNCTION("""COMPUTED_VALUE"""),43138.64583333333)</f>
        <v>43138.64583</v>
      </c>
      <c r="B1746" s="1">
        <f>IFERROR(__xludf.DUMMYFUNCTION("""COMPUTED_VALUE"""),26800.0)</f>
        <v>26800</v>
      </c>
      <c r="C1746" s="1">
        <f>IFERROR(__xludf.DUMMYFUNCTION("""COMPUTED_VALUE"""),26900.0)</f>
        <v>26900</v>
      </c>
      <c r="D1746" s="1">
        <f>IFERROR(__xludf.DUMMYFUNCTION("""COMPUTED_VALUE"""),25300.0)</f>
        <v>25300</v>
      </c>
      <c r="E1746" s="1">
        <f>IFERROR(__xludf.DUMMYFUNCTION("""COMPUTED_VALUE"""),25300.0)</f>
        <v>25300</v>
      </c>
      <c r="F1746" s="1">
        <f>IFERROR(__xludf.DUMMYFUNCTION("""COMPUTED_VALUE"""),1043100.0)</f>
        <v>1043100</v>
      </c>
    </row>
    <row r="1747">
      <c r="A1747" s="2">
        <f>IFERROR(__xludf.DUMMYFUNCTION("""COMPUTED_VALUE"""),43139.64583333333)</f>
        <v>43139.64583</v>
      </c>
      <c r="B1747" s="1">
        <f>IFERROR(__xludf.DUMMYFUNCTION("""COMPUTED_VALUE"""),25400.0)</f>
        <v>25400</v>
      </c>
      <c r="C1747" s="1">
        <f>IFERROR(__xludf.DUMMYFUNCTION("""COMPUTED_VALUE"""),26000.0)</f>
        <v>26000</v>
      </c>
      <c r="D1747" s="1">
        <f>IFERROR(__xludf.DUMMYFUNCTION("""COMPUTED_VALUE"""),24900.0)</f>
        <v>24900</v>
      </c>
      <c r="E1747" s="1">
        <f>IFERROR(__xludf.DUMMYFUNCTION("""COMPUTED_VALUE"""),25300.0)</f>
        <v>25300</v>
      </c>
      <c r="F1747" s="1">
        <f>IFERROR(__xludf.DUMMYFUNCTION("""COMPUTED_VALUE"""),1044087.0)</f>
        <v>1044087</v>
      </c>
    </row>
    <row r="1748">
      <c r="A1748" s="2">
        <f>IFERROR(__xludf.DUMMYFUNCTION("""COMPUTED_VALUE"""),43140.64583333333)</f>
        <v>43140.64583</v>
      </c>
      <c r="B1748" s="1">
        <f>IFERROR(__xludf.DUMMYFUNCTION("""COMPUTED_VALUE"""),24300.0)</f>
        <v>24300</v>
      </c>
      <c r="C1748" s="1">
        <f>IFERROR(__xludf.DUMMYFUNCTION("""COMPUTED_VALUE"""),24900.0)</f>
        <v>24900</v>
      </c>
      <c r="D1748" s="1">
        <f>IFERROR(__xludf.DUMMYFUNCTION("""COMPUTED_VALUE"""),23400.0)</f>
        <v>23400</v>
      </c>
      <c r="E1748" s="1">
        <f>IFERROR(__xludf.DUMMYFUNCTION("""COMPUTED_VALUE"""),23600.0)</f>
        <v>23600</v>
      </c>
      <c r="F1748" s="1">
        <f>IFERROR(__xludf.DUMMYFUNCTION("""COMPUTED_VALUE"""),2074927.0)</f>
        <v>2074927</v>
      </c>
    </row>
    <row r="1749">
      <c r="A1749" s="2">
        <f>IFERROR(__xludf.DUMMYFUNCTION("""COMPUTED_VALUE"""),43143.64583333333)</f>
        <v>43143.64583</v>
      </c>
      <c r="B1749" s="1">
        <f>IFERROR(__xludf.DUMMYFUNCTION("""COMPUTED_VALUE"""),23800.0)</f>
        <v>23800</v>
      </c>
      <c r="C1749" s="1">
        <f>IFERROR(__xludf.DUMMYFUNCTION("""COMPUTED_VALUE"""),24000.0)</f>
        <v>24000</v>
      </c>
      <c r="D1749" s="1">
        <f>IFERROR(__xludf.DUMMYFUNCTION("""COMPUTED_VALUE"""),23300.0)</f>
        <v>23300</v>
      </c>
      <c r="E1749" s="1">
        <f>IFERROR(__xludf.DUMMYFUNCTION("""COMPUTED_VALUE"""),23600.0)</f>
        <v>23600</v>
      </c>
      <c r="F1749" s="1">
        <f>IFERROR(__xludf.DUMMYFUNCTION("""COMPUTED_VALUE"""),817489.0)</f>
        <v>817489</v>
      </c>
    </row>
    <row r="1750">
      <c r="A1750" s="2">
        <f>IFERROR(__xludf.DUMMYFUNCTION("""COMPUTED_VALUE"""),43144.64583333333)</f>
        <v>43144.64583</v>
      </c>
      <c r="B1750" s="1">
        <f>IFERROR(__xludf.DUMMYFUNCTION("""COMPUTED_VALUE"""),24000.0)</f>
        <v>24000</v>
      </c>
      <c r="C1750" s="1">
        <f>IFERROR(__xludf.DUMMYFUNCTION("""COMPUTED_VALUE"""),24200.0)</f>
        <v>24200</v>
      </c>
      <c r="D1750" s="1">
        <f>IFERROR(__xludf.DUMMYFUNCTION("""COMPUTED_VALUE"""),23700.0)</f>
        <v>23700</v>
      </c>
      <c r="E1750" s="1">
        <f>IFERROR(__xludf.DUMMYFUNCTION("""COMPUTED_VALUE"""),23800.0)</f>
        <v>23800</v>
      </c>
      <c r="F1750" s="1">
        <f>IFERROR(__xludf.DUMMYFUNCTION("""COMPUTED_VALUE"""),721603.0)</f>
        <v>721603</v>
      </c>
    </row>
    <row r="1751">
      <c r="A1751" s="2">
        <f>IFERROR(__xludf.DUMMYFUNCTION("""COMPUTED_VALUE"""),43145.64583333333)</f>
        <v>43145.64583</v>
      </c>
      <c r="B1751" s="1">
        <f>IFERROR(__xludf.DUMMYFUNCTION("""COMPUTED_VALUE"""),23900.0)</f>
        <v>23900</v>
      </c>
      <c r="C1751" s="1">
        <f>IFERROR(__xludf.DUMMYFUNCTION("""COMPUTED_VALUE"""),25000.0)</f>
        <v>25000</v>
      </c>
      <c r="D1751" s="1">
        <f>IFERROR(__xludf.DUMMYFUNCTION("""COMPUTED_VALUE"""),23800.0)</f>
        <v>23800</v>
      </c>
      <c r="E1751" s="1">
        <f>IFERROR(__xludf.DUMMYFUNCTION("""COMPUTED_VALUE"""),24500.0)</f>
        <v>24500</v>
      </c>
      <c r="F1751" s="1">
        <f>IFERROR(__xludf.DUMMYFUNCTION("""COMPUTED_VALUE"""),858572.0)</f>
        <v>858572</v>
      </c>
    </row>
    <row r="1752">
      <c r="A1752" s="2">
        <f>IFERROR(__xludf.DUMMYFUNCTION("""COMPUTED_VALUE"""),43150.64583333333)</f>
        <v>43150.64583</v>
      </c>
      <c r="B1752" s="1">
        <f>IFERROR(__xludf.DUMMYFUNCTION("""COMPUTED_VALUE"""),25200.0)</f>
        <v>25200</v>
      </c>
      <c r="C1752" s="1">
        <f>IFERROR(__xludf.DUMMYFUNCTION("""COMPUTED_VALUE"""),25200.0)</f>
        <v>25200</v>
      </c>
      <c r="D1752" s="1">
        <f>IFERROR(__xludf.DUMMYFUNCTION("""COMPUTED_VALUE"""),24600.0)</f>
        <v>24600</v>
      </c>
      <c r="E1752" s="1">
        <f>IFERROR(__xludf.DUMMYFUNCTION("""COMPUTED_VALUE"""),24800.0)</f>
        <v>24800</v>
      </c>
      <c r="F1752" s="1">
        <f>IFERROR(__xludf.DUMMYFUNCTION("""COMPUTED_VALUE"""),419351.0)</f>
        <v>419351</v>
      </c>
    </row>
    <row r="1753">
      <c r="A1753" s="2">
        <f>IFERROR(__xludf.DUMMYFUNCTION("""COMPUTED_VALUE"""),43151.64583333333)</f>
        <v>43151.64583</v>
      </c>
      <c r="B1753" s="1">
        <f>IFERROR(__xludf.DUMMYFUNCTION("""COMPUTED_VALUE"""),24800.0)</f>
        <v>24800</v>
      </c>
      <c r="C1753" s="1">
        <f>IFERROR(__xludf.DUMMYFUNCTION("""COMPUTED_VALUE"""),24900.0)</f>
        <v>24900</v>
      </c>
      <c r="D1753" s="1">
        <f>IFERROR(__xludf.DUMMYFUNCTION("""COMPUTED_VALUE"""),24300.0)</f>
        <v>24300</v>
      </c>
      <c r="E1753" s="1">
        <f>IFERROR(__xludf.DUMMYFUNCTION("""COMPUTED_VALUE"""),24600.0)</f>
        <v>24600</v>
      </c>
      <c r="F1753" s="1">
        <f>IFERROR(__xludf.DUMMYFUNCTION("""COMPUTED_VALUE"""),288935.0)</f>
        <v>288935</v>
      </c>
    </row>
    <row r="1754">
      <c r="A1754" s="2">
        <f>IFERROR(__xludf.DUMMYFUNCTION("""COMPUTED_VALUE"""),43152.64583333333)</f>
        <v>43152.64583</v>
      </c>
      <c r="B1754" s="1">
        <f>IFERROR(__xludf.DUMMYFUNCTION("""COMPUTED_VALUE"""),24700.0)</f>
        <v>24700</v>
      </c>
      <c r="C1754" s="1">
        <f>IFERROR(__xludf.DUMMYFUNCTION("""COMPUTED_VALUE"""),25100.0)</f>
        <v>25100</v>
      </c>
      <c r="D1754" s="1">
        <f>IFERROR(__xludf.DUMMYFUNCTION("""COMPUTED_VALUE"""),24400.0)</f>
        <v>24400</v>
      </c>
      <c r="E1754" s="1">
        <f>IFERROR(__xludf.DUMMYFUNCTION("""COMPUTED_VALUE"""),24900.0)</f>
        <v>24900</v>
      </c>
      <c r="F1754" s="1">
        <f>IFERROR(__xludf.DUMMYFUNCTION("""COMPUTED_VALUE"""),396493.0)</f>
        <v>396493</v>
      </c>
    </row>
    <row r="1755">
      <c r="A1755" s="2">
        <f>IFERROR(__xludf.DUMMYFUNCTION("""COMPUTED_VALUE"""),43153.64583333333)</f>
        <v>43153.64583</v>
      </c>
      <c r="B1755" s="1">
        <f>IFERROR(__xludf.DUMMYFUNCTION("""COMPUTED_VALUE"""),24900.0)</f>
        <v>24900</v>
      </c>
      <c r="C1755" s="1">
        <f>IFERROR(__xludf.DUMMYFUNCTION("""COMPUTED_VALUE"""),25000.0)</f>
        <v>25000</v>
      </c>
      <c r="D1755" s="1">
        <f>IFERROR(__xludf.DUMMYFUNCTION("""COMPUTED_VALUE"""),24400.0)</f>
        <v>24400</v>
      </c>
      <c r="E1755" s="1">
        <f>IFERROR(__xludf.DUMMYFUNCTION("""COMPUTED_VALUE"""),24700.0)</f>
        <v>24700</v>
      </c>
      <c r="F1755" s="1">
        <f>IFERROR(__xludf.DUMMYFUNCTION("""COMPUTED_VALUE"""),306321.0)</f>
        <v>306321</v>
      </c>
    </row>
    <row r="1756">
      <c r="A1756" s="2">
        <f>IFERROR(__xludf.DUMMYFUNCTION("""COMPUTED_VALUE"""),43154.64583333333)</f>
        <v>43154.64583</v>
      </c>
      <c r="B1756" s="1">
        <f>IFERROR(__xludf.DUMMYFUNCTION("""COMPUTED_VALUE"""),24700.0)</f>
        <v>24700</v>
      </c>
      <c r="C1756" s="1">
        <f>IFERROR(__xludf.DUMMYFUNCTION("""COMPUTED_VALUE"""),24800.0)</f>
        <v>24800</v>
      </c>
      <c r="D1756" s="1">
        <f>IFERROR(__xludf.DUMMYFUNCTION("""COMPUTED_VALUE"""),24400.0)</f>
        <v>24400</v>
      </c>
      <c r="E1756" s="1">
        <f>IFERROR(__xludf.DUMMYFUNCTION("""COMPUTED_VALUE"""),24700.0)</f>
        <v>24700</v>
      </c>
      <c r="F1756" s="1">
        <f>IFERROR(__xludf.DUMMYFUNCTION("""COMPUTED_VALUE"""),383787.0)</f>
        <v>383787</v>
      </c>
    </row>
    <row r="1757">
      <c r="A1757" s="2">
        <f>IFERROR(__xludf.DUMMYFUNCTION("""COMPUTED_VALUE"""),43157.64583333333)</f>
        <v>43157.64583</v>
      </c>
      <c r="B1757" s="1">
        <f>IFERROR(__xludf.DUMMYFUNCTION("""COMPUTED_VALUE"""),24900.0)</f>
        <v>24900</v>
      </c>
      <c r="C1757" s="1">
        <f>IFERROR(__xludf.DUMMYFUNCTION("""COMPUTED_VALUE"""),24900.0)</f>
        <v>24900</v>
      </c>
      <c r="D1757" s="1">
        <f>IFERROR(__xludf.DUMMYFUNCTION("""COMPUTED_VALUE"""),24500.0)</f>
        <v>24500</v>
      </c>
      <c r="E1757" s="1">
        <f>IFERROR(__xludf.DUMMYFUNCTION("""COMPUTED_VALUE"""),24600.0)</f>
        <v>24600</v>
      </c>
      <c r="F1757" s="1">
        <f>IFERROR(__xludf.DUMMYFUNCTION("""COMPUTED_VALUE"""),303789.0)</f>
        <v>303789</v>
      </c>
    </row>
    <row r="1758">
      <c r="A1758" s="2">
        <f>IFERROR(__xludf.DUMMYFUNCTION("""COMPUTED_VALUE"""),43158.64583333333)</f>
        <v>43158.64583</v>
      </c>
      <c r="B1758" s="1">
        <f>IFERROR(__xludf.DUMMYFUNCTION("""COMPUTED_VALUE"""),24800.0)</f>
        <v>24800</v>
      </c>
      <c r="C1758" s="1">
        <f>IFERROR(__xludf.DUMMYFUNCTION("""COMPUTED_VALUE"""),26200.0)</f>
        <v>26200</v>
      </c>
      <c r="D1758" s="1">
        <f>IFERROR(__xludf.DUMMYFUNCTION("""COMPUTED_VALUE"""),24800.0)</f>
        <v>24800</v>
      </c>
      <c r="E1758" s="1">
        <f>IFERROR(__xludf.DUMMYFUNCTION("""COMPUTED_VALUE"""),26200.0)</f>
        <v>26200</v>
      </c>
      <c r="F1758" s="1">
        <f>IFERROR(__xludf.DUMMYFUNCTION("""COMPUTED_VALUE"""),1272000.0)</f>
        <v>1272000</v>
      </c>
    </row>
    <row r="1759">
      <c r="A1759" s="2">
        <f>IFERROR(__xludf.DUMMYFUNCTION("""COMPUTED_VALUE"""),43159.64583333333)</f>
        <v>43159.64583</v>
      </c>
      <c r="B1759" s="1">
        <f>IFERROR(__xludf.DUMMYFUNCTION("""COMPUTED_VALUE"""),26000.0)</f>
        <v>26000</v>
      </c>
      <c r="C1759" s="1">
        <f>IFERROR(__xludf.DUMMYFUNCTION("""COMPUTED_VALUE"""),26500.0)</f>
        <v>26500</v>
      </c>
      <c r="D1759" s="1">
        <f>IFERROR(__xludf.DUMMYFUNCTION("""COMPUTED_VALUE"""),25400.0)</f>
        <v>25400</v>
      </c>
      <c r="E1759" s="1">
        <f>IFERROR(__xludf.DUMMYFUNCTION("""COMPUTED_VALUE"""),25600.0)</f>
        <v>25600</v>
      </c>
      <c r="F1759" s="1">
        <f>IFERROR(__xludf.DUMMYFUNCTION("""COMPUTED_VALUE"""),857397.0)</f>
        <v>857397</v>
      </c>
    </row>
    <row r="1760">
      <c r="A1760" s="2">
        <f>IFERROR(__xludf.DUMMYFUNCTION("""COMPUTED_VALUE"""),43161.64583333333)</f>
        <v>43161.64583</v>
      </c>
      <c r="B1760" s="1">
        <f>IFERROR(__xludf.DUMMYFUNCTION("""COMPUTED_VALUE"""),25300.0)</f>
        <v>25300</v>
      </c>
      <c r="C1760" s="1">
        <f>IFERROR(__xludf.DUMMYFUNCTION("""COMPUTED_VALUE"""),25700.0)</f>
        <v>25700</v>
      </c>
      <c r="D1760" s="1">
        <f>IFERROR(__xludf.DUMMYFUNCTION("""COMPUTED_VALUE"""),24900.0)</f>
        <v>24900</v>
      </c>
      <c r="E1760" s="1">
        <f>IFERROR(__xludf.DUMMYFUNCTION("""COMPUTED_VALUE"""),25500.0)</f>
        <v>25500</v>
      </c>
      <c r="F1760" s="1">
        <f>IFERROR(__xludf.DUMMYFUNCTION("""COMPUTED_VALUE"""),474394.0)</f>
        <v>474394</v>
      </c>
    </row>
    <row r="1761">
      <c r="A1761" s="2">
        <f>IFERROR(__xludf.DUMMYFUNCTION("""COMPUTED_VALUE"""),43164.64583333333)</f>
        <v>43164.64583</v>
      </c>
      <c r="B1761" s="1">
        <f>IFERROR(__xludf.DUMMYFUNCTION("""COMPUTED_VALUE"""),25500.0)</f>
        <v>25500</v>
      </c>
      <c r="C1761" s="1">
        <f>IFERROR(__xludf.DUMMYFUNCTION("""COMPUTED_VALUE"""),25600.0)</f>
        <v>25600</v>
      </c>
      <c r="D1761" s="1">
        <f>IFERROR(__xludf.DUMMYFUNCTION("""COMPUTED_VALUE"""),24600.0)</f>
        <v>24600</v>
      </c>
      <c r="E1761" s="1">
        <f>IFERROR(__xludf.DUMMYFUNCTION("""COMPUTED_VALUE"""),24600.0)</f>
        <v>24600</v>
      </c>
      <c r="F1761" s="1">
        <f>IFERROR(__xludf.DUMMYFUNCTION("""COMPUTED_VALUE"""),417227.0)</f>
        <v>417227</v>
      </c>
    </row>
    <row r="1762">
      <c r="A1762" s="2">
        <f>IFERROR(__xludf.DUMMYFUNCTION("""COMPUTED_VALUE"""),43165.64583333333)</f>
        <v>43165.64583</v>
      </c>
      <c r="B1762" s="1">
        <f>IFERROR(__xludf.DUMMYFUNCTION("""COMPUTED_VALUE"""),25200.0)</f>
        <v>25200</v>
      </c>
      <c r="C1762" s="1">
        <f>IFERROR(__xludf.DUMMYFUNCTION("""COMPUTED_VALUE"""),26800.0)</f>
        <v>26800</v>
      </c>
      <c r="D1762" s="1">
        <f>IFERROR(__xludf.DUMMYFUNCTION("""COMPUTED_VALUE"""),25200.0)</f>
        <v>25200</v>
      </c>
      <c r="E1762" s="1">
        <f>IFERROR(__xludf.DUMMYFUNCTION("""COMPUTED_VALUE"""),26500.0)</f>
        <v>26500</v>
      </c>
      <c r="F1762" s="1">
        <f>IFERROR(__xludf.DUMMYFUNCTION("""COMPUTED_VALUE"""),1167882.0)</f>
        <v>1167882</v>
      </c>
    </row>
    <row r="1763">
      <c r="A1763" s="2">
        <f>IFERROR(__xludf.DUMMYFUNCTION("""COMPUTED_VALUE"""),43166.64583333333)</f>
        <v>43166.64583</v>
      </c>
      <c r="B1763" s="1">
        <f>IFERROR(__xludf.DUMMYFUNCTION("""COMPUTED_VALUE"""),26600.0)</f>
        <v>26600</v>
      </c>
      <c r="C1763" s="1">
        <f>IFERROR(__xludf.DUMMYFUNCTION("""COMPUTED_VALUE"""),26700.0)</f>
        <v>26700</v>
      </c>
      <c r="D1763" s="1">
        <f>IFERROR(__xludf.DUMMYFUNCTION("""COMPUTED_VALUE"""),25800.0)</f>
        <v>25800</v>
      </c>
      <c r="E1763" s="1">
        <f>IFERROR(__xludf.DUMMYFUNCTION("""COMPUTED_VALUE"""),25900.0)</f>
        <v>25900</v>
      </c>
      <c r="F1763" s="1">
        <f>IFERROR(__xludf.DUMMYFUNCTION("""COMPUTED_VALUE"""),596902.0)</f>
        <v>596902</v>
      </c>
    </row>
    <row r="1764">
      <c r="A1764" s="2">
        <f>IFERROR(__xludf.DUMMYFUNCTION("""COMPUTED_VALUE"""),43167.64583333333)</f>
        <v>43167.64583</v>
      </c>
      <c r="B1764" s="1">
        <f>IFERROR(__xludf.DUMMYFUNCTION("""COMPUTED_VALUE"""),25900.0)</f>
        <v>25900</v>
      </c>
      <c r="C1764" s="1">
        <f>IFERROR(__xludf.DUMMYFUNCTION("""COMPUTED_VALUE"""),26400.0)</f>
        <v>26400</v>
      </c>
      <c r="D1764" s="1">
        <f>IFERROR(__xludf.DUMMYFUNCTION("""COMPUTED_VALUE"""),25700.0)</f>
        <v>25700</v>
      </c>
      <c r="E1764" s="1">
        <f>IFERROR(__xludf.DUMMYFUNCTION("""COMPUTED_VALUE"""),26400.0)</f>
        <v>26400</v>
      </c>
      <c r="F1764" s="1">
        <f>IFERROR(__xludf.DUMMYFUNCTION("""COMPUTED_VALUE"""),499256.0)</f>
        <v>499256</v>
      </c>
    </row>
    <row r="1765">
      <c r="A1765" s="2">
        <f>IFERROR(__xludf.DUMMYFUNCTION("""COMPUTED_VALUE"""),43168.64583333333)</f>
        <v>43168.64583</v>
      </c>
      <c r="B1765" s="1">
        <f>IFERROR(__xludf.DUMMYFUNCTION("""COMPUTED_VALUE"""),26600.0)</f>
        <v>26600</v>
      </c>
      <c r="C1765" s="1">
        <f>IFERROR(__xludf.DUMMYFUNCTION("""COMPUTED_VALUE"""),27100.0)</f>
        <v>27100</v>
      </c>
      <c r="D1765" s="1">
        <f>IFERROR(__xludf.DUMMYFUNCTION("""COMPUTED_VALUE"""),26200.0)</f>
        <v>26200</v>
      </c>
      <c r="E1765" s="1">
        <f>IFERROR(__xludf.DUMMYFUNCTION("""COMPUTED_VALUE"""),26800.0)</f>
        <v>26800</v>
      </c>
      <c r="F1765" s="1">
        <f>IFERROR(__xludf.DUMMYFUNCTION("""COMPUTED_VALUE"""),753680.0)</f>
        <v>753680</v>
      </c>
    </row>
    <row r="1766">
      <c r="A1766" s="2">
        <f>IFERROR(__xludf.DUMMYFUNCTION("""COMPUTED_VALUE"""),43171.64583333333)</f>
        <v>43171.64583</v>
      </c>
      <c r="B1766" s="1">
        <f>IFERROR(__xludf.DUMMYFUNCTION("""COMPUTED_VALUE"""),27200.0)</f>
        <v>27200</v>
      </c>
      <c r="C1766" s="1">
        <f>IFERROR(__xludf.DUMMYFUNCTION("""COMPUTED_VALUE"""),27300.0)</f>
        <v>27300</v>
      </c>
      <c r="D1766" s="1">
        <f>IFERROR(__xludf.DUMMYFUNCTION("""COMPUTED_VALUE"""),26900.0)</f>
        <v>26900</v>
      </c>
      <c r="E1766" s="1">
        <f>IFERROR(__xludf.DUMMYFUNCTION("""COMPUTED_VALUE"""),27000.0)</f>
        <v>27000</v>
      </c>
      <c r="F1766" s="1">
        <f>IFERROR(__xludf.DUMMYFUNCTION("""COMPUTED_VALUE"""),384411.0)</f>
        <v>384411</v>
      </c>
    </row>
    <row r="1767">
      <c r="A1767" s="2">
        <f>IFERROR(__xludf.DUMMYFUNCTION("""COMPUTED_VALUE"""),43172.64583333333)</f>
        <v>43172.64583</v>
      </c>
      <c r="B1767" s="1">
        <f>IFERROR(__xludf.DUMMYFUNCTION("""COMPUTED_VALUE"""),27100.0)</f>
        <v>27100</v>
      </c>
      <c r="C1767" s="1">
        <f>IFERROR(__xludf.DUMMYFUNCTION("""COMPUTED_VALUE"""),28200.0)</f>
        <v>28200</v>
      </c>
      <c r="D1767" s="1">
        <f>IFERROR(__xludf.DUMMYFUNCTION("""COMPUTED_VALUE"""),27000.0)</f>
        <v>27000</v>
      </c>
      <c r="E1767" s="1">
        <f>IFERROR(__xludf.DUMMYFUNCTION("""COMPUTED_VALUE"""),28100.0)</f>
        <v>28100</v>
      </c>
      <c r="F1767" s="1">
        <f>IFERROR(__xludf.DUMMYFUNCTION("""COMPUTED_VALUE"""),1320091.0)</f>
        <v>1320091</v>
      </c>
    </row>
    <row r="1768">
      <c r="A1768" s="2">
        <f>IFERROR(__xludf.DUMMYFUNCTION("""COMPUTED_VALUE"""),43173.64583333333)</f>
        <v>43173.64583</v>
      </c>
      <c r="B1768" s="1">
        <f>IFERROR(__xludf.DUMMYFUNCTION("""COMPUTED_VALUE"""),27900.0)</f>
        <v>27900</v>
      </c>
      <c r="C1768" s="1">
        <f>IFERROR(__xludf.DUMMYFUNCTION("""COMPUTED_VALUE"""),28000.0)</f>
        <v>28000</v>
      </c>
      <c r="D1768" s="1">
        <f>IFERROR(__xludf.DUMMYFUNCTION("""COMPUTED_VALUE"""),27200.0)</f>
        <v>27200</v>
      </c>
      <c r="E1768" s="1">
        <f>IFERROR(__xludf.DUMMYFUNCTION("""COMPUTED_VALUE"""),27400.0)</f>
        <v>27400</v>
      </c>
      <c r="F1768" s="1">
        <f>IFERROR(__xludf.DUMMYFUNCTION("""COMPUTED_VALUE"""),703764.0)</f>
        <v>703764</v>
      </c>
    </row>
    <row r="1769">
      <c r="A1769" s="2">
        <f>IFERROR(__xludf.DUMMYFUNCTION("""COMPUTED_VALUE"""),43174.64583333333)</f>
        <v>43174.64583</v>
      </c>
      <c r="B1769" s="1">
        <f>IFERROR(__xludf.DUMMYFUNCTION("""COMPUTED_VALUE"""),27500.0)</f>
        <v>27500</v>
      </c>
      <c r="C1769" s="1">
        <f>IFERROR(__xludf.DUMMYFUNCTION("""COMPUTED_VALUE"""),28300.0)</f>
        <v>28300</v>
      </c>
      <c r="D1769" s="1">
        <f>IFERROR(__xludf.DUMMYFUNCTION("""COMPUTED_VALUE"""),27400.0)</f>
        <v>27400</v>
      </c>
      <c r="E1769" s="1">
        <f>IFERROR(__xludf.DUMMYFUNCTION("""COMPUTED_VALUE"""),28300.0)</f>
        <v>28300</v>
      </c>
      <c r="F1769" s="1">
        <f>IFERROR(__xludf.DUMMYFUNCTION("""COMPUTED_VALUE"""),950867.0)</f>
        <v>950867</v>
      </c>
    </row>
    <row r="1770">
      <c r="A1770" s="2">
        <f>IFERROR(__xludf.DUMMYFUNCTION("""COMPUTED_VALUE"""),43175.64583333333)</f>
        <v>43175.64583</v>
      </c>
      <c r="B1770" s="1">
        <f>IFERROR(__xludf.DUMMYFUNCTION("""COMPUTED_VALUE"""),28300.0)</f>
        <v>28300</v>
      </c>
      <c r="C1770" s="1">
        <f>IFERROR(__xludf.DUMMYFUNCTION("""COMPUTED_VALUE"""),28600.0)</f>
        <v>28600</v>
      </c>
      <c r="D1770" s="1">
        <f>IFERROR(__xludf.DUMMYFUNCTION("""COMPUTED_VALUE"""),27800.0)</f>
        <v>27800</v>
      </c>
      <c r="E1770" s="1">
        <f>IFERROR(__xludf.DUMMYFUNCTION("""COMPUTED_VALUE"""),28200.0)</f>
        <v>28200</v>
      </c>
      <c r="F1770" s="1">
        <f>IFERROR(__xludf.DUMMYFUNCTION("""COMPUTED_VALUE"""),1024727.0)</f>
        <v>1024727</v>
      </c>
    </row>
    <row r="1771">
      <c r="A1771" s="2">
        <f>IFERROR(__xludf.DUMMYFUNCTION("""COMPUTED_VALUE"""),43178.64583333333)</f>
        <v>43178.64583</v>
      </c>
      <c r="B1771" s="1">
        <f>IFERROR(__xludf.DUMMYFUNCTION("""COMPUTED_VALUE"""),28000.0)</f>
        <v>28000</v>
      </c>
      <c r="C1771" s="1">
        <f>IFERROR(__xludf.DUMMYFUNCTION("""COMPUTED_VALUE"""),28100.0)</f>
        <v>28100</v>
      </c>
      <c r="D1771" s="1">
        <f>IFERROR(__xludf.DUMMYFUNCTION("""COMPUTED_VALUE"""),27200.0)</f>
        <v>27200</v>
      </c>
      <c r="E1771" s="1">
        <f>IFERROR(__xludf.DUMMYFUNCTION("""COMPUTED_VALUE"""),27500.0)</f>
        <v>27500</v>
      </c>
      <c r="F1771" s="1">
        <f>IFERROR(__xludf.DUMMYFUNCTION("""COMPUTED_VALUE"""),610095.0)</f>
        <v>610095</v>
      </c>
    </row>
    <row r="1772">
      <c r="A1772" s="2">
        <f>IFERROR(__xludf.DUMMYFUNCTION("""COMPUTED_VALUE"""),43179.64583333333)</f>
        <v>43179.64583</v>
      </c>
      <c r="B1772" s="1">
        <f>IFERROR(__xludf.DUMMYFUNCTION("""COMPUTED_VALUE"""),27100.0)</f>
        <v>27100</v>
      </c>
      <c r="C1772" s="1">
        <f>IFERROR(__xludf.DUMMYFUNCTION("""COMPUTED_VALUE"""),28000.0)</f>
        <v>28000</v>
      </c>
      <c r="D1772" s="1">
        <f>IFERROR(__xludf.DUMMYFUNCTION("""COMPUTED_VALUE"""),27000.0)</f>
        <v>27000</v>
      </c>
      <c r="E1772" s="1">
        <f>IFERROR(__xludf.DUMMYFUNCTION("""COMPUTED_VALUE"""),27800.0)</f>
        <v>27800</v>
      </c>
      <c r="F1772" s="1">
        <f>IFERROR(__xludf.DUMMYFUNCTION("""COMPUTED_VALUE"""),556447.0)</f>
        <v>556447</v>
      </c>
    </row>
    <row r="1773">
      <c r="A1773" s="2">
        <f>IFERROR(__xludf.DUMMYFUNCTION("""COMPUTED_VALUE"""),43180.64583333333)</f>
        <v>43180.64583</v>
      </c>
      <c r="B1773" s="1">
        <f>IFERROR(__xludf.DUMMYFUNCTION("""COMPUTED_VALUE"""),27800.0)</f>
        <v>27800</v>
      </c>
      <c r="C1773" s="1">
        <f>IFERROR(__xludf.DUMMYFUNCTION("""COMPUTED_VALUE"""),28000.0)</f>
        <v>28000</v>
      </c>
      <c r="D1773" s="1">
        <f>IFERROR(__xludf.DUMMYFUNCTION("""COMPUTED_VALUE"""),27500.0)</f>
        <v>27500</v>
      </c>
      <c r="E1773" s="1">
        <f>IFERROR(__xludf.DUMMYFUNCTION("""COMPUTED_VALUE"""),27600.0)</f>
        <v>27600</v>
      </c>
      <c r="F1773" s="1">
        <f>IFERROR(__xludf.DUMMYFUNCTION("""COMPUTED_VALUE"""),416757.0)</f>
        <v>416757</v>
      </c>
    </row>
    <row r="1774">
      <c r="A1774" s="2">
        <f>IFERROR(__xludf.DUMMYFUNCTION("""COMPUTED_VALUE"""),43181.64583333333)</f>
        <v>43181.64583</v>
      </c>
      <c r="B1774" s="1">
        <f>IFERROR(__xludf.DUMMYFUNCTION("""COMPUTED_VALUE"""),27400.0)</f>
        <v>27400</v>
      </c>
      <c r="C1774" s="1">
        <f>IFERROR(__xludf.DUMMYFUNCTION("""COMPUTED_VALUE"""),27800.0)</f>
        <v>27800</v>
      </c>
      <c r="D1774" s="1">
        <f>IFERROR(__xludf.DUMMYFUNCTION("""COMPUTED_VALUE"""),27100.0)</f>
        <v>27100</v>
      </c>
      <c r="E1774" s="1">
        <f>IFERROR(__xludf.DUMMYFUNCTION("""COMPUTED_VALUE"""),27600.0)</f>
        <v>27600</v>
      </c>
      <c r="F1774" s="1">
        <f>IFERROR(__xludf.DUMMYFUNCTION("""COMPUTED_VALUE"""),567619.0)</f>
        <v>567619</v>
      </c>
    </row>
    <row r="1775">
      <c r="A1775" s="2">
        <f>IFERROR(__xludf.DUMMYFUNCTION("""COMPUTED_VALUE"""),43182.64583333333)</f>
        <v>43182.64583</v>
      </c>
      <c r="B1775" s="1">
        <f>IFERROR(__xludf.DUMMYFUNCTION("""COMPUTED_VALUE"""),27000.0)</f>
        <v>27000</v>
      </c>
      <c r="C1775" s="1">
        <f>IFERROR(__xludf.DUMMYFUNCTION("""COMPUTED_VALUE"""),27200.0)</f>
        <v>27200</v>
      </c>
      <c r="D1775" s="1">
        <f>IFERROR(__xludf.DUMMYFUNCTION("""COMPUTED_VALUE"""),25900.0)</f>
        <v>25900</v>
      </c>
      <c r="E1775" s="1">
        <f>IFERROR(__xludf.DUMMYFUNCTION("""COMPUTED_VALUE"""),26100.0)</f>
        <v>26100</v>
      </c>
      <c r="F1775" s="1">
        <f>IFERROR(__xludf.DUMMYFUNCTION("""COMPUTED_VALUE"""),1233587.0)</f>
        <v>1233587</v>
      </c>
    </row>
    <row r="1776">
      <c r="A1776" s="2">
        <f>IFERROR(__xludf.DUMMYFUNCTION("""COMPUTED_VALUE"""),43185.64583333333)</f>
        <v>43185.64583</v>
      </c>
      <c r="B1776" s="1">
        <f>IFERROR(__xludf.DUMMYFUNCTION("""COMPUTED_VALUE"""),25900.0)</f>
        <v>25900</v>
      </c>
      <c r="C1776" s="1">
        <f>IFERROR(__xludf.DUMMYFUNCTION("""COMPUTED_VALUE"""),26500.0)</f>
        <v>26500</v>
      </c>
      <c r="D1776" s="1">
        <f>IFERROR(__xludf.DUMMYFUNCTION("""COMPUTED_VALUE"""),25300.0)</f>
        <v>25300</v>
      </c>
      <c r="E1776" s="1">
        <f>IFERROR(__xludf.DUMMYFUNCTION("""COMPUTED_VALUE"""),26200.0)</f>
        <v>26200</v>
      </c>
      <c r="F1776" s="1">
        <f>IFERROR(__xludf.DUMMYFUNCTION("""COMPUTED_VALUE"""),962796.0)</f>
        <v>962796</v>
      </c>
    </row>
    <row r="1777">
      <c r="A1777" s="2">
        <f>IFERROR(__xludf.DUMMYFUNCTION("""COMPUTED_VALUE"""),43186.64583333333)</f>
        <v>43186.64583</v>
      </c>
      <c r="B1777" s="1">
        <f>IFERROR(__xludf.DUMMYFUNCTION("""COMPUTED_VALUE"""),26900.0)</f>
        <v>26900</v>
      </c>
      <c r="C1777" s="1">
        <f>IFERROR(__xludf.DUMMYFUNCTION("""COMPUTED_VALUE"""),26900.0)</f>
        <v>26900</v>
      </c>
      <c r="D1777" s="1">
        <f>IFERROR(__xludf.DUMMYFUNCTION("""COMPUTED_VALUE"""),26200.0)</f>
        <v>26200</v>
      </c>
      <c r="E1777" s="1">
        <f>IFERROR(__xludf.DUMMYFUNCTION("""COMPUTED_VALUE"""),26300.0)</f>
        <v>26300</v>
      </c>
      <c r="F1777" s="1">
        <f>IFERROR(__xludf.DUMMYFUNCTION("""COMPUTED_VALUE"""),451505.0)</f>
        <v>451505</v>
      </c>
    </row>
    <row r="1778">
      <c r="A1778" s="2">
        <f>IFERROR(__xludf.DUMMYFUNCTION("""COMPUTED_VALUE"""),43187.64583333333)</f>
        <v>43187.64583</v>
      </c>
      <c r="B1778" s="1">
        <f>IFERROR(__xludf.DUMMYFUNCTION("""COMPUTED_VALUE"""),25800.0)</f>
        <v>25800</v>
      </c>
      <c r="C1778" s="1">
        <f>IFERROR(__xludf.DUMMYFUNCTION("""COMPUTED_VALUE"""),26100.0)</f>
        <v>26100</v>
      </c>
      <c r="D1778" s="1">
        <f>IFERROR(__xludf.DUMMYFUNCTION("""COMPUTED_VALUE"""),25600.0)</f>
        <v>25600</v>
      </c>
      <c r="E1778" s="1">
        <f>IFERROR(__xludf.DUMMYFUNCTION("""COMPUTED_VALUE"""),25800.0)</f>
        <v>25800</v>
      </c>
      <c r="F1778" s="1">
        <f>IFERROR(__xludf.DUMMYFUNCTION("""COMPUTED_VALUE"""),462777.0)</f>
        <v>462777</v>
      </c>
    </row>
    <row r="1779">
      <c r="A1779" s="2">
        <f>IFERROR(__xludf.DUMMYFUNCTION("""COMPUTED_VALUE"""),43188.64583333333)</f>
        <v>43188.64583</v>
      </c>
      <c r="B1779" s="1">
        <f>IFERROR(__xludf.DUMMYFUNCTION("""COMPUTED_VALUE"""),25900.0)</f>
        <v>25900</v>
      </c>
      <c r="C1779" s="1">
        <f>IFERROR(__xludf.DUMMYFUNCTION("""COMPUTED_VALUE"""),26200.0)</f>
        <v>26200</v>
      </c>
      <c r="D1779" s="1">
        <f>IFERROR(__xludf.DUMMYFUNCTION("""COMPUTED_VALUE"""),25300.0)</f>
        <v>25300</v>
      </c>
      <c r="E1779" s="1">
        <f>IFERROR(__xludf.DUMMYFUNCTION("""COMPUTED_VALUE"""),25900.0)</f>
        <v>25900</v>
      </c>
      <c r="F1779" s="1">
        <f>IFERROR(__xludf.DUMMYFUNCTION("""COMPUTED_VALUE"""),437532.0)</f>
        <v>437532</v>
      </c>
    </row>
    <row r="1780">
      <c r="A1780" s="2">
        <f>IFERROR(__xludf.DUMMYFUNCTION("""COMPUTED_VALUE"""),43189.64583333333)</f>
        <v>43189.64583</v>
      </c>
      <c r="B1780" s="1">
        <f>IFERROR(__xludf.DUMMYFUNCTION("""COMPUTED_VALUE"""),26300.0)</f>
        <v>26300</v>
      </c>
      <c r="C1780" s="1">
        <f>IFERROR(__xludf.DUMMYFUNCTION("""COMPUTED_VALUE"""),26700.0)</f>
        <v>26700</v>
      </c>
      <c r="D1780" s="1">
        <f>IFERROR(__xludf.DUMMYFUNCTION("""COMPUTED_VALUE"""),26000.0)</f>
        <v>26000</v>
      </c>
      <c r="E1780" s="1">
        <f>IFERROR(__xludf.DUMMYFUNCTION("""COMPUTED_VALUE"""),26400.0)</f>
        <v>26400</v>
      </c>
      <c r="F1780" s="1">
        <f>IFERROR(__xludf.DUMMYFUNCTION("""COMPUTED_VALUE"""),447866.0)</f>
        <v>447866</v>
      </c>
    </row>
    <row r="1781">
      <c r="A1781" s="2">
        <f>IFERROR(__xludf.DUMMYFUNCTION("""COMPUTED_VALUE"""),43192.64583333333)</f>
        <v>43192.64583</v>
      </c>
      <c r="B1781" s="1">
        <f>IFERROR(__xludf.DUMMYFUNCTION("""COMPUTED_VALUE"""),26500.0)</f>
        <v>26500</v>
      </c>
      <c r="C1781" s="1">
        <f>IFERROR(__xludf.DUMMYFUNCTION("""COMPUTED_VALUE"""),26700.0)</f>
        <v>26700</v>
      </c>
      <c r="D1781" s="1">
        <f>IFERROR(__xludf.DUMMYFUNCTION("""COMPUTED_VALUE"""),25700.0)</f>
        <v>25700</v>
      </c>
      <c r="E1781" s="1">
        <f>IFERROR(__xludf.DUMMYFUNCTION("""COMPUTED_VALUE"""),25800.0)</f>
        <v>25800</v>
      </c>
      <c r="F1781" s="1">
        <f>IFERROR(__xludf.DUMMYFUNCTION("""COMPUTED_VALUE"""),454496.0)</f>
        <v>454496</v>
      </c>
    </row>
    <row r="1782">
      <c r="A1782" s="2">
        <f>IFERROR(__xludf.DUMMYFUNCTION("""COMPUTED_VALUE"""),43193.64583333333)</f>
        <v>43193.64583</v>
      </c>
      <c r="B1782" s="1">
        <f>IFERROR(__xludf.DUMMYFUNCTION("""COMPUTED_VALUE"""),25400.0)</f>
        <v>25400</v>
      </c>
      <c r="C1782" s="1">
        <f>IFERROR(__xludf.DUMMYFUNCTION("""COMPUTED_VALUE"""),26100.0)</f>
        <v>26100</v>
      </c>
      <c r="D1782" s="1">
        <f>IFERROR(__xludf.DUMMYFUNCTION("""COMPUTED_VALUE"""),25300.0)</f>
        <v>25300</v>
      </c>
      <c r="E1782" s="1">
        <f>IFERROR(__xludf.DUMMYFUNCTION("""COMPUTED_VALUE"""),25700.0)</f>
        <v>25700</v>
      </c>
      <c r="F1782" s="1">
        <f>IFERROR(__xludf.DUMMYFUNCTION("""COMPUTED_VALUE"""),483608.0)</f>
        <v>483608</v>
      </c>
    </row>
    <row r="1783">
      <c r="A1783" s="2">
        <f>IFERROR(__xludf.DUMMYFUNCTION("""COMPUTED_VALUE"""),43194.64583333333)</f>
        <v>43194.64583</v>
      </c>
      <c r="B1783" s="1">
        <f>IFERROR(__xludf.DUMMYFUNCTION("""COMPUTED_VALUE"""),25800.0)</f>
        <v>25800</v>
      </c>
      <c r="C1783" s="1">
        <f>IFERROR(__xludf.DUMMYFUNCTION("""COMPUTED_VALUE"""),25800.0)</f>
        <v>25800</v>
      </c>
      <c r="D1783" s="1">
        <f>IFERROR(__xludf.DUMMYFUNCTION("""COMPUTED_VALUE"""),24700.0)</f>
        <v>24700</v>
      </c>
      <c r="E1783" s="1">
        <f>IFERROR(__xludf.DUMMYFUNCTION("""COMPUTED_VALUE"""),24700.0)</f>
        <v>24700</v>
      </c>
      <c r="F1783" s="1">
        <f>IFERROR(__xludf.DUMMYFUNCTION("""COMPUTED_VALUE"""),730140.0)</f>
        <v>730140</v>
      </c>
    </row>
    <row r="1784">
      <c r="A1784" s="2">
        <f>IFERROR(__xludf.DUMMYFUNCTION("""COMPUTED_VALUE"""),43195.64583333333)</f>
        <v>43195.64583</v>
      </c>
      <c r="B1784" s="1">
        <f>IFERROR(__xludf.DUMMYFUNCTION("""COMPUTED_VALUE"""),25000.0)</f>
        <v>25000</v>
      </c>
      <c r="C1784" s="1">
        <f>IFERROR(__xludf.DUMMYFUNCTION("""COMPUTED_VALUE"""),25200.0)</f>
        <v>25200</v>
      </c>
      <c r="D1784" s="1">
        <f>IFERROR(__xludf.DUMMYFUNCTION("""COMPUTED_VALUE"""),24800.0)</f>
        <v>24800</v>
      </c>
      <c r="E1784" s="1">
        <f>IFERROR(__xludf.DUMMYFUNCTION("""COMPUTED_VALUE"""),24900.0)</f>
        <v>24900</v>
      </c>
      <c r="F1784" s="1">
        <f>IFERROR(__xludf.DUMMYFUNCTION("""COMPUTED_VALUE"""),299168.0)</f>
        <v>299168</v>
      </c>
    </row>
    <row r="1785">
      <c r="A1785" s="2">
        <f>IFERROR(__xludf.DUMMYFUNCTION("""COMPUTED_VALUE"""),43196.64583333333)</f>
        <v>43196.64583</v>
      </c>
      <c r="B1785" s="1">
        <f>IFERROR(__xludf.DUMMYFUNCTION("""COMPUTED_VALUE"""),25000.0)</f>
        <v>25000</v>
      </c>
      <c r="C1785" s="1">
        <f>IFERROR(__xludf.DUMMYFUNCTION("""COMPUTED_VALUE"""),25100.0)</f>
        <v>25100</v>
      </c>
      <c r="D1785" s="1">
        <f>IFERROR(__xludf.DUMMYFUNCTION("""COMPUTED_VALUE"""),24400.0)</f>
        <v>24400</v>
      </c>
      <c r="E1785" s="1">
        <f>IFERROR(__xludf.DUMMYFUNCTION("""COMPUTED_VALUE"""),24500.0)</f>
        <v>24500</v>
      </c>
      <c r="F1785" s="1">
        <f>IFERROR(__xludf.DUMMYFUNCTION("""COMPUTED_VALUE"""),376868.0)</f>
        <v>376868</v>
      </c>
    </row>
    <row r="1786">
      <c r="A1786" s="2">
        <f>IFERROR(__xludf.DUMMYFUNCTION("""COMPUTED_VALUE"""),43199.64583333333)</f>
        <v>43199.64583</v>
      </c>
      <c r="B1786" s="1">
        <f>IFERROR(__xludf.DUMMYFUNCTION("""COMPUTED_VALUE"""),24300.0)</f>
        <v>24300</v>
      </c>
      <c r="C1786" s="1">
        <f>IFERROR(__xludf.DUMMYFUNCTION("""COMPUTED_VALUE"""),24500.0)</f>
        <v>24500</v>
      </c>
      <c r="D1786" s="1">
        <f>IFERROR(__xludf.DUMMYFUNCTION("""COMPUTED_VALUE"""),24000.0)</f>
        <v>24000</v>
      </c>
      <c r="E1786" s="1">
        <f>IFERROR(__xludf.DUMMYFUNCTION("""COMPUTED_VALUE"""),24300.0)</f>
        <v>24300</v>
      </c>
      <c r="F1786" s="1">
        <f>IFERROR(__xludf.DUMMYFUNCTION("""COMPUTED_VALUE"""),547412.0)</f>
        <v>547412</v>
      </c>
    </row>
    <row r="1787">
      <c r="A1787" s="2">
        <f>IFERROR(__xludf.DUMMYFUNCTION("""COMPUTED_VALUE"""),43200.64583333333)</f>
        <v>43200.64583</v>
      </c>
      <c r="B1787" s="1">
        <f>IFERROR(__xludf.DUMMYFUNCTION("""COMPUTED_VALUE"""),24300.0)</f>
        <v>24300</v>
      </c>
      <c r="C1787" s="1">
        <f>IFERROR(__xludf.DUMMYFUNCTION("""COMPUTED_VALUE"""),24700.0)</f>
        <v>24700</v>
      </c>
      <c r="D1787" s="1">
        <f>IFERROR(__xludf.DUMMYFUNCTION("""COMPUTED_VALUE"""),24300.0)</f>
        <v>24300</v>
      </c>
      <c r="E1787" s="1">
        <f>IFERROR(__xludf.DUMMYFUNCTION("""COMPUTED_VALUE"""),24500.0)</f>
        <v>24500</v>
      </c>
      <c r="F1787" s="1">
        <f>IFERROR(__xludf.DUMMYFUNCTION("""COMPUTED_VALUE"""),322551.0)</f>
        <v>322551</v>
      </c>
    </row>
    <row r="1788">
      <c r="A1788" s="2">
        <f>IFERROR(__xludf.DUMMYFUNCTION("""COMPUTED_VALUE"""),43201.64583333333)</f>
        <v>43201.64583</v>
      </c>
      <c r="B1788" s="1">
        <f>IFERROR(__xludf.DUMMYFUNCTION("""COMPUTED_VALUE"""),24800.0)</f>
        <v>24800</v>
      </c>
      <c r="C1788" s="1">
        <f>IFERROR(__xludf.DUMMYFUNCTION("""COMPUTED_VALUE"""),25000.0)</f>
        <v>25000</v>
      </c>
      <c r="D1788" s="1">
        <f>IFERROR(__xludf.DUMMYFUNCTION("""COMPUTED_VALUE"""),24200.0)</f>
        <v>24200</v>
      </c>
      <c r="E1788" s="1">
        <f>IFERROR(__xludf.DUMMYFUNCTION("""COMPUTED_VALUE"""),24300.0)</f>
        <v>24300</v>
      </c>
      <c r="F1788" s="1">
        <f>IFERROR(__xludf.DUMMYFUNCTION("""COMPUTED_VALUE"""),379388.0)</f>
        <v>379388</v>
      </c>
    </row>
    <row r="1789">
      <c r="A1789" s="2">
        <f>IFERROR(__xludf.DUMMYFUNCTION("""COMPUTED_VALUE"""),43202.64583333333)</f>
        <v>43202.64583</v>
      </c>
      <c r="B1789" s="1">
        <f>IFERROR(__xludf.DUMMYFUNCTION("""COMPUTED_VALUE"""),24400.0)</f>
        <v>24400</v>
      </c>
      <c r="C1789" s="1">
        <f>IFERROR(__xludf.DUMMYFUNCTION("""COMPUTED_VALUE"""),24500.0)</f>
        <v>24500</v>
      </c>
      <c r="D1789" s="1">
        <f>IFERROR(__xludf.DUMMYFUNCTION("""COMPUTED_VALUE"""),24000.0)</f>
        <v>24000</v>
      </c>
      <c r="E1789" s="1">
        <f>IFERROR(__xludf.DUMMYFUNCTION("""COMPUTED_VALUE"""),24000.0)</f>
        <v>24000</v>
      </c>
      <c r="F1789" s="1">
        <f>IFERROR(__xludf.DUMMYFUNCTION("""COMPUTED_VALUE"""),367434.0)</f>
        <v>367434</v>
      </c>
    </row>
    <row r="1790">
      <c r="A1790" s="2">
        <f>IFERROR(__xludf.DUMMYFUNCTION("""COMPUTED_VALUE"""),43203.64583333333)</f>
        <v>43203.64583</v>
      </c>
      <c r="B1790" s="1">
        <f>IFERROR(__xludf.DUMMYFUNCTION("""COMPUTED_VALUE"""),24100.0)</f>
        <v>24100</v>
      </c>
      <c r="C1790" s="1">
        <f>IFERROR(__xludf.DUMMYFUNCTION("""COMPUTED_VALUE"""),24400.0)</f>
        <v>24400</v>
      </c>
      <c r="D1790" s="1">
        <f>IFERROR(__xludf.DUMMYFUNCTION("""COMPUTED_VALUE"""),23900.0)</f>
        <v>23900</v>
      </c>
      <c r="E1790" s="1">
        <f>IFERROR(__xludf.DUMMYFUNCTION("""COMPUTED_VALUE"""),24100.0)</f>
        <v>24100</v>
      </c>
      <c r="F1790" s="1">
        <f>IFERROR(__xludf.DUMMYFUNCTION("""COMPUTED_VALUE"""),368169.0)</f>
        <v>368169</v>
      </c>
    </row>
    <row r="1791">
      <c r="A1791" s="2">
        <f>IFERROR(__xludf.DUMMYFUNCTION("""COMPUTED_VALUE"""),43206.64583333333)</f>
        <v>43206.64583</v>
      </c>
      <c r="B1791" s="1">
        <f>IFERROR(__xludf.DUMMYFUNCTION("""COMPUTED_VALUE"""),24100.0)</f>
        <v>24100</v>
      </c>
      <c r="C1791" s="1">
        <f>IFERROR(__xludf.DUMMYFUNCTION("""COMPUTED_VALUE"""),24100.0)</f>
        <v>24100</v>
      </c>
      <c r="D1791" s="1">
        <f>IFERROR(__xludf.DUMMYFUNCTION("""COMPUTED_VALUE"""),23300.0)</f>
        <v>23300</v>
      </c>
      <c r="E1791" s="1">
        <f>IFERROR(__xludf.DUMMYFUNCTION("""COMPUTED_VALUE"""),23400.0)</f>
        <v>23400</v>
      </c>
      <c r="F1791" s="1">
        <f>IFERROR(__xludf.DUMMYFUNCTION("""COMPUTED_VALUE"""),815062.0)</f>
        <v>815062</v>
      </c>
    </row>
    <row r="1792">
      <c r="A1792" s="2">
        <f>IFERROR(__xludf.DUMMYFUNCTION("""COMPUTED_VALUE"""),43207.64583333333)</f>
        <v>43207.64583</v>
      </c>
      <c r="B1792" s="1">
        <f>IFERROR(__xludf.DUMMYFUNCTION("""COMPUTED_VALUE"""),23500.0)</f>
        <v>23500</v>
      </c>
      <c r="C1792" s="1">
        <f>IFERROR(__xludf.DUMMYFUNCTION("""COMPUTED_VALUE"""),24000.0)</f>
        <v>24000</v>
      </c>
      <c r="D1792" s="1">
        <f>IFERROR(__xludf.DUMMYFUNCTION("""COMPUTED_VALUE"""),23500.0)</f>
        <v>23500</v>
      </c>
      <c r="E1792" s="1">
        <f>IFERROR(__xludf.DUMMYFUNCTION("""COMPUTED_VALUE"""),23600.0)</f>
        <v>23600</v>
      </c>
      <c r="F1792" s="1">
        <f>IFERROR(__xludf.DUMMYFUNCTION("""COMPUTED_VALUE"""),399502.0)</f>
        <v>399502</v>
      </c>
    </row>
    <row r="1793">
      <c r="A1793" s="2">
        <f>IFERROR(__xludf.DUMMYFUNCTION("""COMPUTED_VALUE"""),43208.64583333333)</f>
        <v>43208.64583</v>
      </c>
      <c r="B1793" s="1">
        <f>IFERROR(__xludf.DUMMYFUNCTION("""COMPUTED_VALUE"""),24000.0)</f>
        <v>24000</v>
      </c>
      <c r="C1793" s="1">
        <f>IFERROR(__xludf.DUMMYFUNCTION("""COMPUTED_VALUE"""),24300.0)</f>
        <v>24300</v>
      </c>
      <c r="D1793" s="1">
        <f>IFERROR(__xludf.DUMMYFUNCTION("""COMPUTED_VALUE"""),23700.0)</f>
        <v>23700</v>
      </c>
      <c r="E1793" s="1">
        <f>IFERROR(__xludf.DUMMYFUNCTION("""COMPUTED_VALUE"""),23900.0)</f>
        <v>23900</v>
      </c>
      <c r="F1793" s="1">
        <f>IFERROR(__xludf.DUMMYFUNCTION("""COMPUTED_VALUE"""),495833.0)</f>
        <v>495833</v>
      </c>
    </row>
    <row r="1794">
      <c r="A1794" s="2">
        <f>IFERROR(__xludf.DUMMYFUNCTION("""COMPUTED_VALUE"""),43209.64583333333)</f>
        <v>43209.64583</v>
      </c>
      <c r="B1794" s="1">
        <f>IFERROR(__xludf.DUMMYFUNCTION("""COMPUTED_VALUE"""),23800.0)</f>
        <v>23800</v>
      </c>
      <c r="C1794" s="1">
        <f>IFERROR(__xludf.DUMMYFUNCTION("""COMPUTED_VALUE"""),23800.0)</f>
        <v>23800</v>
      </c>
      <c r="D1794" s="1">
        <f>IFERROR(__xludf.DUMMYFUNCTION("""COMPUTED_VALUE"""),23200.0)</f>
        <v>23200</v>
      </c>
      <c r="E1794" s="1">
        <f>IFERROR(__xludf.DUMMYFUNCTION("""COMPUTED_VALUE"""),23300.0)</f>
        <v>23300</v>
      </c>
      <c r="F1794" s="1">
        <f>IFERROR(__xludf.DUMMYFUNCTION("""COMPUTED_VALUE"""),648909.0)</f>
        <v>648909</v>
      </c>
    </row>
    <row r="1795">
      <c r="A1795" s="2">
        <f>IFERROR(__xludf.DUMMYFUNCTION("""COMPUTED_VALUE"""),43210.64583333333)</f>
        <v>43210.64583</v>
      </c>
      <c r="B1795" s="1">
        <f>IFERROR(__xludf.DUMMYFUNCTION("""COMPUTED_VALUE"""),23300.0)</f>
        <v>23300</v>
      </c>
      <c r="C1795" s="1">
        <f>IFERROR(__xludf.DUMMYFUNCTION("""COMPUTED_VALUE"""),23500.0)</f>
        <v>23500</v>
      </c>
      <c r="D1795" s="1">
        <f>IFERROR(__xludf.DUMMYFUNCTION("""COMPUTED_VALUE"""),22700.0)</f>
        <v>22700</v>
      </c>
      <c r="E1795" s="1">
        <f>IFERROR(__xludf.DUMMYFUNCTION("""COMPUTED_VALUE"""),23000.0)</f>
        <v>23000</v>
      </c>
      <c r="F1795" s="1">
        <f>IFERROR(__xludf.DUMMYFUNCTION("""COMPUTED_VALUE"""),650463.0)</f>
        <v>650463</v>
      </c>
    </row>
    <row r="1796">
      <c r="A1796" s="2">
        <f>IFERROR(__xludf.DUMMYFUNCTION("""COMPUTED_VALUE"""),43213.64583333333)</f>
        <v>43213.64583</v>
      </c>
      <c r="B1796" s="1">
        <f>IFERROR(__xludf.DUMMYFUNCTION("""COMPUTED_VALUE"""),22900.0)</f>
        <v>22900</v>
      </c>
      <c r="C1796" s="1">
        <f>IFERROR(__xludf.DUMMYFUNCTION("""COMPUTED_VALUE"""),22900.0)</f>
        <v>22900</v>
      </c>
      <c r="D1796" s="1">
        <f>IFERROR(__xludf.DUMMYFUNCTION("""COMPUTED_VALUE"""),22200.0)</f>
        <v>22200</v>
      </c>
      <c r="E1796" s="1">
        <f>IFERROR(__xludf.DUMMYFUNCTION("""COMPUTED_VALUE"""),22200.0)</f>
        <v>22200</v>
      </c>
      <c r="F1796" s="1">
        <f>IFERROR(__xludf.DUMMYFUNCTION("""COMPUTED_VALUE"""),669590.0)</f>
        <v>669590</v>
      </c>
    </row>
    <row r="1797">
      <c r="A1797" s="2">
        <f>IFERROR(__xludf.DUMMYFUNCTION("""COMPUTED_VALUE"""),43214.64583333333)</f>
        <v>43214.64583</v>
      </c>
      <c r="B1797" s="1">
        <f>IFERROR(__xludf.DUMMYFUNCTION("""COMPUTED_VALUE"""),22400.0)</f>
        <v>22400</v>
      </c>
      <c r="C1797" s="1">
        <f>IFERROR(__xludf.DUMMYFUNCTION("""COMPUTED_VALUE"""),23100.0)</f>
        <v>23100</v>
      </c>
      <c r="D1797" s="1">
        <f>IFERROR(__xludf.DUMMYFUNCTION("""COMPUTED_VALUE"""),22200.0)</f>
        <v>22200</v>
      </c>
      <c r="E1797" s="1">
        <f>IFERROR(__xludf.DUMMYFUNCTION("""COMPUTED_VALUE"""),23000.0)</f>
        <v>23000</v>
      </c>
      <c r="F1797" s="1">
        <f>IFERROR(__xludf.DUMMYFUNCTION("""COMPUTED_VALUE"""),473979.0)</f>
        <v>473979</v>
      </c>
    </row>
    <row r="1798">
      <c r="A1798" s="2">
        <f>IFERROR(__xludf.DUMMYFUNCTION("""COMPUTED_VALUE"""),43215.64583333333)</f>
        <v>43215.64583</v>
      </c>
      <c r="B1798" s="1">
        <f>IFERROR(__xludf.DUMMYFUNCTION("""COMPUTED_VALUE"""),23100.0)</f>
        <v>23100</v>
      </c>
      <c r="C1798" s="1">
        <f>IFERROR(__xludf.DUMMYFUNCTION("""COMPUTED_VALUE"""),23800.0)</f>
        <v>23800</v>
      </c>
      <c r="D1798" s="1">
        <f>IFERROR(__xludf.DUMMYFUNCTION("""COMPUTED_VALUE"""),22700.0)</f>
        <v>22700</v>
      </c>
      <c r="E1798" s="1">
        <f>IFERROR(__xludf.DUMMYFUNCTION("""COMPUTED_VALUE"""),23100.0)</f>
        <v>23100</v>
      </c>
      <c r="F1798" s="1">
        <f>IFERROR(__xludf.DUMMYFUNCTION("""COMPUTED_VALUE"""),607008.0)</f>
        <v>607008</v>
      </c>
    </row>
    <row r="1799">
      <c r="A1799" s="2">
        <f>IFERROR(__xludf.DUMMYFUNCTION("""COMPUTED_VALUE"""),43216.64583333333)</f>
        <v>43216.64583</v>
      </c>
      <c r="B1799" s="1">
        <f>IFERROR(__xludf.DUMMYFUNCTION("""COMPUTED_VALUE"""),23300.0)</f>
        <v>23300</v>
      </c>
      <c r="C1799" s="1">
        <f>IFERROR(__xludf.DUMMYFUNCTION("""COMPUTED_VALUE"""),23500.0)</f>
        <v>23500</v>
      </c>
      <c r="D1799" s="1">
        <f>IFERROR(__xludf.DUMMYFUNCTION("""COMPUTED_VALUE"""),22700.0)</f>
        <v>22700</v>
      </c>
      <c r="E1799" s="1">
        <f>IFERROR(__xludf.DUMMYFUNCTION("""COMPUTED_VALUE"""),22800.0)</f>
        <v>22800</v>
      </c>
      <c r="F1799" s="1">
        <f>IFERROR(__xludf.DUMMYFUNCTION("""COMPUTED_VALUE"""),366727.0)</f>
        <v>366727</v>
      </c>
    </row>
    <row r="1800">
      <c r="A1800" s="2">
        <f>IFERROR(__xludf.DUMMYFUNCTION("""COMPUTED_VALUE"""),43217.64583333333)</f>
        <v>43217.64583</v>
      </c>
      <c r="B1800" s="1">
        <f>IFERROR(__xludf.DUMMYFUNCTION("""COMPUTED_VALUE"""),23000.0)</f>
        <v>23000</v>
      </c>
      <c r="C1800" s="1">
        <f>IFERROR(__xludf.DUMMYFUNCTION("""COMPUTED_VALUE"""),23100.0)</f>
        <v>23100</v>
      </c>
      <c r="D1800" s="1">
        <f>IFERROR(__xludf.DUMMYFUNCTION("""COMPUTED_VALUE"""),22400.0)</f>
        <v>22400</v>
      </c>
      <c r="E1800" s="1">
        <f>IFERROR(__xludf.DUMMYFUNCTION("""COMPUTED_VALUE"""),22700.0)</f>
        <v>22700</v>
      </c>
      <c r="F1800" s="1">
        <f>IFERROR(__xludf.DUMMYFUNCTION("""COMPUTED_VALUE"""),402728.0)</f>
        <v>402728</v>
      </c>
    </row>
    <row r="1801">
      <c r="A1801" s="2">
        <f>IFERROR(__xludf.DUMMYFUNCTION("""COMPUTED_VALUE"""),43220.64583333333)</f>
        <v>43220.64583</v>
      </c>
      <c r="B1801" s="1">
        <f>IFERROR(__xludf.DUMMYFUNCTION("""COMPUTED_VALUE"""),22700.0)</f>
        <v>22700</v>
      </c>
      <c r="C1801" s="1">
        <f>IFERROR(__xludf.DUMMYFUNCTION("""COMPUTED_VALUE"""),22800.0)</f>
        <v>22800</v>
      </c>
      <c r="D1801" s="1">
        <f>IFERROR(__xludf.DUMMYFUNCTION("""COMPUTED_VALUE"""),22000.0)</f>
        <v>22000</v>
      </c>
      <c r="E1801" s="1">
        <f>IFERROR(__xludf.DUMMYFUNCTION("""COMPUTED_VALUE"""),22200.0)</f>
        <v>22200</v>
      </c>
      <c r="F1801" s="1">
        <f>IFERROR(__xludf.DUMMYFUNCTION("""COMPUTED_VALUE"""),618640.0)</f>
        <v>618640</v>
      </c>
    </row>
    <row r="1802">
      <c r="A1802" s="2">
        <f>IFERROR(__xludf.DUMMYFUNCTION("""COMPUTED_VALUE"""),43222.64583333333)</f>
        <v>43222.64583</v>
      </c>
      <c r="B1802" s="1">
        <f>IFERROR(__xludf.DUMMYFUNCTION("""COMPUTED_VALUE"""),22100.0)</f>
        <v>22100</v>
      </c>
      <c r="C1802" s="1">
        <f>IFERROR(__xludf.DUMMYFUNCTION("""COMPUTED_VALUE"""),22900.0)</f>
        <v>22900</v>
      </c>
      <c r="D1802" s="1">
        <f>IFERROR(__xludf.DUMMYFUNCTION("""COMPUTED_VALUE"""),21900.0)</f>
        <v>21900</v>
      </c>
      <c r="E1802" s="1">
        <f>IFERROR(__xludf.DUMMYFUNCTION("""COMPUTED_VALUE"""),22900.0)</f>
        <v>22900</v>
      </c>
      <c r="F1802" s="1">
        <f>IFERROR(__xludf.DUMMYFUNCTION("""COMPUTED_VALUE"""),526839.0)</f>
        <v>526839</v>
      </c>
    </row>
    <row r="1803">
      <c r="A1803" s="2">
        <f>IFERROR(__xludf.DUMMYFUNCTION("""COMPUTED_VALUE"""),43223.64583333333)</f>
        <v>43223.64583</v>
      </c>
      <c r="B1803" s="1">
        <f>IFERROR(__xludf.DUMMYFUNCTION("""COMPUTED_VALUE"""),22900.0)</f>
        <v>22900</v>
      </c>
      <c r="C1803" s="1">
        <f>IFERROR(__xludf.DUMMYFUNCTION("""COMPUTED_VALUE"""),23300.0)</f>
        <v>23300</v>
      </c>
      <c r="D1803" s="1">
        <f>IFERROR(__xludf.DUMMYFUNCTION("""COMPUTED_VALUE"""),22600.0)</f>
        <v>22600</v>
      </c>
      <c r="E1803" s="1">
        <f>IFERROR(__xludf.DUMMYFUNCTION("""COMPUTED_VALUE"""),22700.0)</f>
        <v>22700</v>
      </c>
      <c r="F1803" s="1">
        <f>IFERROR(__xludf.DUMMYFUNCTION("""COMPUTED_VALUE"""),350536.0)</f>
        <v>350536</v>
      </c>
    </row>
    <row r="1804">
      <c r="A1804" s="2">
        <f>IFERROR(__xludf.DUMMYFUNCTION("""COMPUTED_VALUE"""),43224.64583333333)</f>
        <v>43224.64583</v>
      </c>
      <c r="B1804" s="1">
        <f>IFERROR(__xludf.DUMMYFUNCTION("""COMPUTED_VALUE"""),22600.0)</f>
        <v>22600</v>
      </c>
      <c r="C1804" s="1">
        <f>IFERROR(__xludf.DUMMYFUNCTION("""COMPUTED_VALUE"""),22700.0)</f>
        <v>22700</v>
      </c>
      <c r="D1804" s="1">
        <f>IFERROR(__xludf.DUMMYFUNCTION("""COMPUTED_VALUE"""),22300.0)</f>
        <v>22300</v>
      </c>
      <c r="E1804" s="1">
        <f>IFERROR(__xludf.DUMMYFUNCTION("""COMPUTED_VALUE"""),22400.0)</f>
        <v>22400</v>
      </c>
      <c r="F1804" s="1">
        <f>IFERROR(__xludf.DUMMYFUNCTION("""COMPUTED_VALUE"""),251346.0)</f>
        <v>251346</v>
      </c>
    </row>
    <row r="1805">
      <c r="A1805" s="2">
        <f>IFERROR(__xludf.DUMMYFUNCTION("""COMPUTED_VALUE"""),43228.64583333333)</f>
        <v>43228.64583</v>
      </c>
      <c r="B1805" s="1">
        <f>IFERROR(__xludf.DUMMYFUNCTION("""COMPUTED_VALUE"""),22400.0)</f>
        <v>22400</v>
      </c>
      <c r="C1805" s="1">
        <f>IFERROR(__xludf.DUMMYFUNCTION("""COMPUTED_VALUE"""),22600.0)</f>
        <v>22600</v>
      </c>
      <c r="D1805" s="1">
        <f>IFERROR(__xludf.DUMMYFUNCTION("""COMPUTED_VALUE"""),22000.0)</f>
        <v>22000</v>
      </c>
      <c r="E1805" s="1">
        <f>IFERROR(__xludf.DUMMYFUNCTION("""COMPUTED_VALUE"""),22400.0)</f>
        <v>22400</v>
      </c>
      <c r="F1805" s="1">
        <f>IFERROR(__xludf.DUMMYFUNCTION("""COMPUTED_VALUE"""),331690.0)</f>
        <v>331690</v>
      </c>
    </row>
    <row r="1806">
      <c r="A1806" s="2">
        <f>IFERROR(__xludf.DUMMYFUNCTION("""COMPUTED_VALUE"""),43229.64583333333)</f>
        <v>43229.64583</v>
      </c>
      <c r="B1806" s="1">
        <f>IFERROR(__xludf.DUMMYFUNCTION("""COMPUTED_VALUE"""),22200.0)</f>
        <v>22200</v>
      </c>
      <c r="C1806" s="1">
        <f>IFERROR(__xludf.DUMMYFUNCTION("""COMPUTED_VALUE"""),22600.0)</f>
        <v>22600</v>
      </c>
      <c r="D1806" s="1">
        <f>IFERROR(__xludf.DUMMYFUNCTION("""COMPUTED_VALUE"""),22100.0)</f>
        <v>22100</v>
      </c>
      <c r="E1806" s="1">
        <f>IFERROR(__xludf.DUMMYFUNCTION("""COMPUTED_VALUE"""),22600.0)</f>
        <v>22600</v>
      </c>
      <c r="F1806" s="1">
        <f>IFERROR(__xludf.DUMMYFUNCTION("""COMPUTED_VALUE"""),332320.0)</f>
        <v>332320</v>
      </c>
    </row>
    <row r="1807">
      <c r="A1807" s="2">
        <f>IFERROR(__xludf.DUMMYFUNCTION("""COMPUTED_VALUE"""),43230.64583333333)</f>
        <v>43230.64583</v>
      </c>
      <c r="B1807" s="1">
        <f>IFERROR(__xludf.DUMMYFUNCTION("""COMPUTED_VALUE"""),22600.0)</f>
        <v>22600</v>
      </c>
      <c r="C1807" s="1">
        <f>IFERROR(__xludf.DUMMYFUNCTION("""COMPUTED_VALUE"""),23600.0)</f>
        <v>23600</v>
      </c>
      <c r="D1807" s="1">
        <f>IFERROR(__xludf.DUMMYFUNCTION("""COMPUTED_VALUE"""),22200.0)</f>
        <v>22200</v>
      </c>
      <c r="E1807" s="1">
        <f>IFERROR(__xludf.DUMMYFUNCTION("""COMPUTED_VALUE"""),23400.0)</f>
        <v>23400</v>
      </c>
      <c r="F1807" s="1">
        <f>IFERROR(__xludf.DUMMYFUNCTION("""COMPUTED_VALUE"""),840339.0)</f>
        <v>840339</v>
      </c>
    </row>
    <row r="1808">
      <c r="A1808" s="2">
        <f>IFERROR(__xludf.DUMMYFUNCTION("""COMPUTED_VALUE"""),43231.64583333333)</f>
        <v>43231.64583</v>
      </c>
      <c r="B1808" s="1">
        <f>IFERROR(__xludf.DUMMYFUNCTION("""COMPUTED_VALUE"""),23500.0)</f>
        <v>23500</v>
      </c>
      <c r="C1808" s="1">
        <f>IFERROR(__xludf.DUMMYFUNCTION("""COMPUTED_VALUE"""),23600.0)</f>
        <v>23600</v>
      </c>
      <c r="D1808" s="1">
        <f>IFERROR(__xludf.DUMMYFUNCTION("""COMPUTED_VALUE"""),23200.0)</f>
        <v>23200</v>
      </c>
      <c r="E1808" s="1">
        <f>IFERROR(__xludf.DUMMYFUNCTION("""COMPUTED_VALUE"""),23400.0)</f>
        <v>23400</v>
      </c>
      <c r="F1808" s="1">
        <f>IFERROR(__xludf.DUMMYFUNCTION("""COMPUTED_VALUE"""),367532.0)</f>
        <v>367532</v>
      </c>
    </row>
    <row r="1809">
      <c r="A1809" s="2">
        <f>IFERROR(__xludf.DUMMYFUNCTION("""COMPUTED_VALUE"""),43234.64583333333)</f>
        <v>43234.64583</v>
      </c>
      <c r="B1809" s="1">
        <f>IFERROR(__xludf.DUMMYFUNCTION("""COMPUTED_VALUE"""),22900.0)</f>
        <v>22900</v>
      </c>
      <c r="C1809" s="1">
        <f>IFERROR(__xludf.DUMMYFUNCTION("""COMPUTED_VALUE"""),23200.0)</f>
        <v>23200</v>
      </c>
      <c r="D1809" s="1">
        <f>IFERROR(__xludf.DUMMYFUNCTION("""COMPUTED_VALUE"""),22200.0)</f>
        <v>22200</v>
      </c>
      <c r="E1809" s="1">
        <f>IFERROR(__xludf.DUMMYFUNCTION("""COMPUTED_VALUE"""),22600.0)</f>
        <v>22600</v>
      </c>
      <c r="F1809" s="1">
        <f>IFERROR(__xludf.DUMMYFUNCTION("""COMPUTED_VALUE"""),657566.0)</f>
        <v>657566</v>
      </c>
    </row>
    <row r="1810">
      <c r="A1810" s="2">
        <f>IFERROR(__xludf.DUMMYFUNCTION("""COMPUTED_VALUE"""),43235.64583333333)</f>
        <v>43235.64583</v>
      </c>
      <c r="B1810" s="1">
        <f>IFERROR(__xludf.DUMMYFUNCTION("""COMPUTED_VALUE"""),22400.0)</f>
        <v>22400</v>
      </c>
      <c r="C1810" s="1">
        <f>IFERROR(__xludf.DUMMYFUNCTION("""COMPUTED_VALUE"""),23000.0)</f>
        <v>23000</v>
      </c>
      <c r="D1810" s="1">
        <f>IFERROR(__xludf.DUMMYFUNCTION("""COMPUTED_VALUE"""),22400.0)</f>
        <v>22400</v>
      </c>
      <c r="E1810" s="1">
        <f>IFERROR(__xludf.DUMMYFUNCTION("""COMPUTED_VALUE"""),22900.0)</f>
        <v>22900</v>
      </c>
      <c r="F1810" s="1">
        <f>IFERROR(__xludf.DUMMYFUNCTION("""COMPUTED_VALUE"""),320939.0)</f>
        <v>320939</v>
      </c>
    </row>
    <row r="1811">
      <c r="A1811" s="2">
        <f>IFERROR(__xludf.DUMMYFUNCTION("""COMPUTED_VALUE"""),43236.64583333333)</f>
        <v>43236.64583</v>
      </c>
      <c r="B1811" s="1">
        <f>IFERROR(__xludf.DUMMYFUNCTION("""COMPUTED_VALUE"""),22900.0)</f>
        <v>22900</v>
      </c>
      <c r="C1811" s="1">
        <f>IFERROR(__xludf.DUMMYFUNCTION("""COMPUTED_VALUE"""),23400.0)</f>
        <v>23400</v>
      </c>
      <c r="D1811" s="1">
        <f>IFERROR(__xludf.DUMMYFUNCTION("""COMPUTED_VALUE"""),22700.0)</f>
        <v>22700</v>
      </c>
      <c r="E1811" s="1">
        <f>IFERROR(__xludf.DUMMYFUNCTION("""COMPUTED_VALUE"""),23400.0)</f>
        <v>23400</v>
      </c>
      <c r="F1811" s="1">
        <f>IFERROR(__xludf.DUMMYFUNCTION("""COMPUTED_VALUE"""),466027.0)</f>
        <v>466027</v>
      </c>
    </row>
    <row r="1812">
      <c r="A1812" s="2">
        <f>IFERROR(__xludf.DUMMYFUNCTION("""COMPUTED_VALUE"""),43237.64583333333)</f>
        <v>43237.64583</v>
      </c>
      <c r="B1812" s="1">
        <f>IFERROR(__xludf.DUMMYFUNCTION("""COMPUTED_VALUE"""),23500.0)</f>
        <v>23500</v>
      </c>
      <c r="C1812" s="1">
        <f>IFERROR(__xludf.DUMMYFUNCTION("""COMPUTED_VALUE"""),23700.0)</f>
        <v>23700</v>
      </c>
      <c r="D1812" s="1">
        <f>IFERROR(__xludf.DUMMYFUNCTION("""COMPUTED_VALUE"""),23200.0)</f>
        <v>23200</v>
      </c>
      <c r="E1812" s="1">
        <f>IFERROR(__xludf.DUMMYFUNCTION("""COMPUTED_VALUE"""),23300.0)</f>
        <v>23300</v>
      </c>
      <c r="F1812" s="1">
        <f>IFERROR(__xludf.DUMMYFUNCTION("""COMPUTED_VALUE"""),338096.0)</f>
        <v>338096</v>
      </c>
    </row>
    <row r="1813">
      <c r="A1813" s="2">
        <f>IFERROR(__xludf.DUMMYFUNCTION("""COMPUTED_VALUE"""),43238.64583333333)</f>
        <v>43238.64583</v>
      </c>
      <c r="B1813" s="1">
        <f>IFERROR(__xludf.DUMMYFUNCTION("""COMPUTED_VALUE"""),23700.0)</f>
        <v>23700</v>
      </c>
      <c r="C1813" s="1">
        <f>IFERROR(__xludf.DUMMYFUNCTION("""COMPUTED_VALUE"""),23800.0)</f>
        <v>23800</v>
      </c>
      <c r="D1813" s="1">
        <f>IFERROR(__xludf.DUMMYFUNCTION("""COMPUTED_VALUE"""),22500.0)</f>
        <v>22500</v>
      </c>
      <c r="E1813" s="1">
        <f>IFERROR(__xludf.DUMMYFUNCTION("""COMPUTED_VALUE"""),22700.0)</f>
        <v>22700</v>
      </c>
      <c r="F1813" s="1">
        <f>IFERROR(__xludf.DUMMYFUNCTION("""COMPUTED_VALUE"""),819348.0)</f>
        <v>819348</v>
      </c>
    </row>
    <row r="1814">
      <c r="A1814" s="2">
        <f>IFERROR(__xludf.DUMMYFUNCTION("""COMPUTED_VALUE"""),43241.64583333333)</f>
        <v>43241.64583</v>
      </c>
      <c r="B1814" s="1">
        <f>IFERROR(__xludf.DUMMYFUNCTION("""COMPUTED_VALUE"""),22700.0)</f>
        <v>22700</v>
      </c>
      <c r="C1814" s="1">
        <f>IFERROR(__xludf.DUMMYFUNCTION("""COMPUTED_VALUE"""),22900.0)</f>
        <v>22900</v>
      </c>
      <c r="D1814" s="1">
        <f>IFERROR(__xludf.DUMMYFUNCTION("""COMPUTED_VALUE"""),22500.0)</f>
        <v>22500</v>
      </c>
      <c r="E1814" s="1">
        <f>IFERROR(__xludf.DUMMYFUNCTION("""COMPUTED_VALUE"""),22700.0)</f>
        <v>22700</v>
      </c>
      <c r="F1814" s="1">
        <f>IFERROR(__xludf.DUMMYFUNCTION("""COMPUTED_VALUE"""),176761.0)</f>
        <v>176761</v>
      </c>
    </row>
    <row r="1815">
      <c r="A1815" s="2">
        <f>IFERROR(__xludf.DUMMYFUNCTION("""COMPUTED_VALUE"""),43243.64583333333)</f>
        <v>43243.64583</v>
      </c>
      <c r="B1815" s="1">
        <f>IFERROR(__xludf.DUMMYFUNCTION("""COMPUTED_VALUE"""),22600.0)</f>
        <v>22600</v>
      </c>
      <c r="C1815" s="1">
        <f>IFERROR(__xludf.DUMMYFUNCTION("""COMPUTED_VALUE"""),22900.0)</f>
        <v>22900</v>
      </c>
      <c r="D1815" s="1">
        <f>IFERROR(__xludf.DUMMYFUNCTION("""COMPUTED_VALUE"""),22500.0)</f>
        <v>22500</v>
      </c>
      <c r="E1815" s="1">
        <f>IFERROR(__xludf.DUMMYFUNCTION("""COMPUTED_VALUE"""),22500.0)</f>
        <v>22500</v>
      </c>
      <c r="F1815" s="1">
        <f>IFERROR(__xludf.DUMMYFUNCTION("""COMPUTED_VALUE"""),285620.0)</f>
        <v>285620</v>
      </c>
    </row>
    <row r="1816">
      <c r="A1816" s="2">
        <f>IFERROR(__xludf.DUMMYFUNCTION("""COMPUTED_VALUE"""),43244.64583333333)</f>
        <v>43244.64583</v>
      </c>
      <c r="B1816" s="1">
        <f>IFERROR(__xludf.DUMMYFUNCTION("""COMPUTED_VALUE"""),22400.0)</f>
        <v>22400</v>
      </c>
      <c r="C1816" s="1">
        <f>IFERROR(__xludf.DUMMYFUNCTION("""COMPUTED_VALUE"""),22800.0)</f>
        <v>22800</v>
      </c>
      <c r="D1816" s="1">
        <f>IFERROR(__xludf.DUMMYFUNCTION("""COMPUTED_VALUE"""),22400.0)</f>
        <v>22400</v>
      </c>
      <c r="E1816" s="1">
        <f>IFERROR(__xludf.DUMMYFUNCTION("""COMPUTED_VALUE"""),22600.0)</f>
        <v>22600</v>
      </c>
      <c r="F1816" s="1">
        <f>IFERROR(__xludf.DUMMYFUNCTION("""COMPUTED_VALUE"""),208135.0)</f>
        <v>208135</v>
      </c>
    </row>
    <row r="1817">
      <c r="A1817" s="2">
        <f>IFERROR(__xludf.DUMMYFUNCTION("""COMPUTED_VALUE"""),43245.64583333333)</f>
        <v>43245.64583</v>
      </c>
      <c r="B1817" s="1">
        <f>IFERROR(__xludf.DUMMYFUNCTION("""COMPUTED_VALUE"""),22400.0)</f>
        <v>22400</v>
      </c>
      <c r="C1817" s="1">
        <f>IFERROR(__xludf.DUMMYFUNCTION("""COMPUTED_VALUE"""),22800.0)</f>
        <v>22800</v>
      </c>
      <c r="D1817" s="1">
        <f>IFERROR(__xludf.DUMMYFUNCTION("""COMPUTED_VALUE"""),22300.0)</f>
        <v>22300</v>
      </c>
      <c r="E1817" s="1">
        <f>IFERROR(__xludf.DUMMYFUNCTION("""COMPUTED_VALUE"""),22400.0)</f>
        <v>22400</v>
      </c>
      <c r="F1817" s="1">
        <f>IFERROR(__xludf.DUMMYFUNCTION("""COMPUTED_VALUE"""),257170.0)</f>
        <v>257170</v>
      </c>
    </row>
    <row r="1818">
      <c r="A1818" s="2">
        <f>IFERROR(__xludf.DUMMYFUNCTION("""COMPUTED_VALUE"""),43248.64583333333)</f>
        <v>43248.64583</v>
      </c>
      <c r="B1818" s="1">
        <f>IFERROR(__xludf.DUMMYFUNCTION("""COMPUTED_VALUE"""),22200.0)</f>
        <v>22200</v>
      </c>
      <c r="C1818" s="1">
        <f>IFERROR(__xludf.DUMMYFUNCTION("""COMPUTED_VALUE"""),22300.0)</f>
        <v>22300</v>
      </c>
      <c r="D1818" s="1">
        <f>IFERROR(__xludf.DUMMYFUNCTION("""COMPUTED_VALUE"""),21600.0)</f>
        <v>21600</v>
      </c>
      <c r="E1818" s="1">
        <f>IFERROR(__xludf.DUMMYFUNCTION("""COMPUTED_VALUE"""),21600.0)</f>
        <v>21600</v>
      </c>
      <c r="F1818" s="1">
        <f>IFERROR(__xludf.DUMMYFUNCTION("""COMPUTED_VALUE"""),679442.0)</f>
        <v>679442</v>
      </c>
    </row>
    <row r="1819">
      <c r="A1819" s="2">
        <f>IFERROR(__xludf.DUMMYFUNCTION("""COMPUTED_VALUE"""),43249.64583333333)</f>
        <v>43249.64583</v>
      </c>
      <c r="B1819" s="1">
        <f>IFERROR(__xludf.DUMMYFUNCTION("""COMPUTED_VALUE"""),21600.0)</f>
        <v>21600</v>
      </c>
      <c r="C1819" s="1">
        <f>IFERROR(__xludf.DUMMYFUNCTION("""COMPUTED_VALUE"""),22000.0)</f>
        <v>22000</v>
      </c>
      <c r="D1819" s="1">
        <f>IFERROR(__xludf.DUMMYFUNCTION("""COMPUTED_VALUE"""),21500.0)</f>
        <v>21500</v>
      </c>
      <c r="E1819" s="1">
        <f>IFERROR(__xludf.DUMMYFUNCTION("""COMPUTED_VALUE"""),21600.0)</f>
        <v>21600</v>
      </c>
      <c r="F1819" s="1">
        <f>IFERROR(__xludf.DUMMYFUNCTION("""COMPUTED_VALUE"""),318837.0)</f>
        <v>318837</v>
      </c>
    </row>
    <row r="1820">
      <c r="A1820" s="2">
        <f>IFERROR(__xludf.DUMMYFUNCTION("""COMPUTED_VALUE"""),43250.64583333333)</f>
        <v>43250.64583</v>
      </c>
      <c r="B1820" s="1">
        <f>IFERROR(__xludf.DUMMYFUNCTION("""COMPUTED_VALUE"""),21400.0)</f>
        <v>21400</v>
      </c>
      <c r="C1820" s="1">
        <f>IFERROR(__xludf.DUMMYFUNCTION("""COMPUTED_VALUE"""),21500.0)</f>
        <v>21500</v>
      </c>
      <c r="D1820" s="1">
        <f>IFERROR(__xludf.DUMMYFUNCTION("""COMPUTED_VALUE"""),20700.0)</f>
        <v>20700</v>
      </c>
      <c r="E1820" s="1">
        <f>IFERROR(__xludf.DUMMYFUNCTION("""COMPUTED_VALUE"""),20800.0)</f>
        <v>20800</v>
      </c>
      <c r="F1820" s="1">
        <f>IFERROR(__xludf.DUMMYFUNCTION("""COMPUTED_VALUE"""),600575.0)</f>
        <v>600575</v>
      </c>
    </row>
    <row r="1821">
      <c r="A1821" s="2">
        <f>IFERROR(__xludf.DUMMYFUNCTION("""COMPUTED_VALUE"""),43251.64583333333)</f>
        <v>43251.64583</v>
      </c>
      <c r="B1821" s="1">
        <f>IFERROR(__xludf.DUMMYFUNCTION("""COMPUTED_VALUE"""),20900.0)</f>
        <v>20900</v>
      </c>
      <c r="C1821" s="1">
        <f>IFERROR(__xludf.DUMMYFUNCTION("""COMPUTED_VALUE"""),21200.0)</f>
        <v>21200</v>
      </c>
      <c r="D1821" s="1">
        <f>IFERROR(__xludf.DUMMYFUNCTION("""COMPUTED_VALUE"""),20600.0)</f>
        <v>20600</v>
      </c>
      <c r="E1821" s="1">
        <f>IFERROR(__xludf.DUMMYFUNCTION("""COMPUTED_VALUE"""),20700.0)</f>
        <v>20700</v>
      </c>
      <c r="F1821" s="1">
        <f>IFERROR(__xludf.DUMMYFUNCTION("""COMPUTED_VALUE"""),470392.0)</f>
        <v>470392</v>
      </c>
    </row>
    <row r="1822">
      <c r="A1822" s="2">
        <f>IFERROR(__xludf.DUMMYFUNCTION("""COMPUTED_VALUE"""),43252.64583333333)</f>
        <v>43252.64583</v>
      </c>
      <c r="B1822" s="1">
        <f>IFERROR(__xludf.DUMMYFUNCTION("""COMPUTED_VALUE"""),20700.0)</f>
        <v>20700</v>
      </c>
      <c r="C1822" s="1">
        <f>IFERROR(__xludf.DUMMYFUNCTION("""COMPUTED_VALUE"""),21400.0)</f>
        <v>21400</v>
      </c>
      <c r="D1822" s="1">
        <f>IFERROR(__xludf.DUMMYFUNCTION("""COMPUTED_VALUE"""),20700.0)</f>
        <v>20700</v>
      </c>
      <c r="E1822" s="1">
        <f>IFERROR(__xludf.DUMMYFUNCTION("""COMPUTED_VALUE"""),20900.0)</f>
        <v>20900</v>
      </c>
      <c r="F1822" s="1">
        <f>IFERROR(__xludf.DUMMYFUNCTION("""COMPUTED_VALUE"""),452021.0)</f>
        <v>452021</v>
      </c>
    </row>
    <row r="1823">
      <c r="A1823" s="2">
        <f>IFERROR(__xludf.DUMMYFUNCTION("""COMPUTED_VALUE"""),43255.64583333333)</f>
        <v>43255.64583</v>
      </c>
      <c r="B1823" s="1">
        <f>IFERROR(__xludf.DUMMYFUNCTION("""COMPUTED_VALUE"""),20800.0)</f>
        <v>20800</v>
      </c>
      <c r="C1823" s="1">
        <f>IFERROR(__xludf.DUMMYFUNCTION("""COMPUTED_VALUE"""),21700.0)</f>
        <v>21700</v>
      </c>
      <c r="D1823" s="1">
        <f>IFERROR(__xludf.DUMMYFUNCTION("""COMPUTED_VALUE"""),20800.0)</f>
        <v>20800</v>
      </c>
      <c r="E1823" s="1">
        <f>IFERROR(__xludf.DUMMYFUNCTION("""COMPUTED_VALUE"""),21600.0)</f>
        <v>21600</v>
      </c>
      <c r="F1823" s="1">
        <f>IFERROR(__xludf.DUMMYFUNCTION("""COMPUTED_VALUE"""),432581.0)</f>
        <v>432581</v>
      </c>
    </row>
    <row r="1824">
      <c r="A1824" s="2">
        <f>IFERROR(__xludf.DUMMYFUNCTION("""COMPUTED_VALUE"""),43256.64583333333)</f>
        <v>43256.64583</v>
      </c>
      <c r="B1824" s="1">
        <f>IFERROR(__xludf.DUMMYFUNCTION("""COMPUTED_VALUE"""),21600.0)</f>
        <v>21600</v>
      </c>
      <c r="C1824" s="1">
        <f>IFERROR(__xludf.DUMMYFUNCTION("""COMPUTED_VALUE"""),22400.0)</f>
        <v>22400</v>
      </c>
      <c r="D1824" s="1">
        <f>IFERROR(__xludf.DUMMYFUNCTION("""COMPUTED_VALUE"""),21400.0)</f>
        <v>21400</v>
      </c>
      <c r="E1824" s="1">
        <f>IFERROR(__xludf.DUMMYFUNCTION("""COMPUTED_VALUE"""),22300.0)</f>
        <v>22300</v>
      </c>
      <c r="F1824" s="1">
        <f>IFERROR(__xludf.DUMMYFUNCTION("""COMPUTED_VALUE"""),477854.0)</f>
        <v>477854</v>
      </c>
    </row>
    <row r="1825">
      <c r="A1825" s="2">
        <f>IFERROR(__xludf.DUMMYFUNCTION("""COMPUTED_VALUE"""),43258.64583333333)</f>
        <v>43258.64583</v>
      </c>
      <c r="B1825" s="1">
        <f>IFERROR(__xludf.DUMMYFUNCTION("""COMPUTED_VALUE"""),22400.0)</f>
        <v>22400</v>
      </c>
      <c r="C1825" s="1">
        <f>IFERROR(__xludf.DUMMYFUNCTION("""COMPUTED_VALUE"""),22700.0)</f>
        <v>22700</v>
      </c>
      <c r="D1825" s="1">
        <f>IFERROR(__xludf.DUMMYFUNCTION("""COMPUTED_VALUE"""),21800.0)</f>
        <v>21800</v>
      </c>
      <c r="E1825" s="1">
        <f>IFERROR(__xludf.DUMMYFUNCTION("""COMPUTED_VALUE"""),22300.0)</f>
        <v>22300</v>
      </c>
      <c r="F1825" s="1">
        <f>IFERROR(__xludf.DUMMYFUNCTION("""COMPUTED_VALUE"""),355080.0)</f>
        <v>355080</v>
      </c>
    </row>
    <row r="1826">
      <c r="A1826" s="2">
        <f>IFERROR(__xludf.DUMMYFUNCTION("""COMPUTED_VALUE"""),43259.64583333333)</f>
        <v>43259.64583</v>
      </c>
      <c r="B1826" s="1">
        <f>IFERROR(__xludf.DUMMYFUNCTION("""COMPUTED_VALUE"""),22400.0)</f>
        <v>22400</v>
      </c>
      <c r="C1826" s="1">
        <f>IFERROR(__xludf.DUMMYFUNCTION("""COMPUTED_VALUE"""),22700.0)</f>
        <v>22700</v>
      </c>
      <c r="D1826" s="1">
        <f>IFERROR(__xludf.DUMMYFUNCTION("""COMPUTED_VALUE"""),22100.0)</f>
        <v>22100</v>
      </c>
      <c r="E1826" s="1">
        <f>IFERROR(__xludf.DUMMYFUNCTION("""COMPUTED_VALUE"""),22600.0)</f>
        <v>22600</v>
      </c>
      <c r="F1826" s="1">
        <f>IFERROR(__xludf.DUMMYFUNCTION("""COMPUTED_VALUE"""),393243.0)</f>
        <v>393243</v>
      </c>
    </row>
    <row r="1827">
      <c r="A1827" s="2">
        <f>IFERROR(__xludf.DUMMYFUNCTION("""COMPUTED_VALUE"""),43262.64583333333)</f>
        <v>43262.64583</v>
      </c>
      <c r="B1827" s="1">
        <f>IFERROR(__xludf.DUMMYFUNCTION("""COMPUTED_VALUE"""),22600.0)</f>
        <v>22600</v>
      </c>
      <c r="C1827" s="1">
        <f>IFERROR(__xludf.DUMMYFUNCTION("""COMPUTED_VALUE"""),22900.0)</f>
        <v>22900</v>
      </c>
      <c r="D1827" s="1">
        <f>IFERROR(__xludf.DUMMYFUNCTION("""COMPUTED_VALUE"""),22400.0)</f>
        <v>22400</v>
      </c>
      <c r="E1827" s="1">
        <f>IFERROR(__xludf.DUMMYFUNCTION("""COMPUTED_VALUE"""),22800.0)</f>
        <v>22800</v>
      </c>
      <c r="F1827" s="1">
        <f>IFERROR(__xludf.DUMMYFUNCTION("""COMPUTED_VALUE"""),251178.0)</f>
        <v>251178</v>
      </c>
    </row>
    <row r="1828">
      <c r="A1828" s="2">
        <f>IFERROR(__xludf.DUMMYFUNCTION("""COMPUTED_VALUE"""),43263.64583333333)</f>
        <v>43263.64583</v>
      </c>
      <c r="B1828" s="1">
        <f>IFERROR(__xludf.DUMMYFUNCTION("""COMPUTED_VALUE"""),22800.0)</f>
        <v>22800</v>
      </c>
      <c r="C1828" s="1">
        <f>IFERROR(__xludf.DUMMYFUNCTION("""COMPUTED_VALUE"""),22900.0)</f>
        <v>22900</v>
      </c>
      <c r="D1828" s="1">
        <f>IFERROR(__xludf.DUMMYFUNCTION("""COMPUTED_VALUE"""),22600.0)</f>
        <v>22600</v>
      </c>
      <c r="E1828" s="1">
        <f>IFERROR(__xludf.DUMMYFUNCTION("""COMPUTED_VALUE"""),22800.0)</f>
        <v>22800</v>
      </c>
      <c r="F1828" s="1">
        <f>IFERROR(__xludf.DUMMYFUNCTION("""COMPUTED_VALUE"""),180468.0)</f>
        <v>180468</v>
      </c>
    </row>
    <row r="1829">
      <c r="A1829" s="2">
        <f>IFERROR(__xludf.DUMMYFUNCTION("""COMPUTED_VALUE"""),43265.64583333333)</f>
        <v>43265.64583</v>
      </c>
      <c r="B1829" s="1">
        <f>IFERROR(__xludf.DUMMYFUNCTION("""COMPUTED_VALUE"""),22800.0)</f>
        <v>22800</v>
      </c>
      <c r="C1829" s="1">
        <f>IFERROR(__xludf.DUMMYFUNCTION("""COMPUTED_VALUE"""),22800.0)</f>
        <v>22800</v>
      </c>
      <c r="D1829" s="1">
        <f>IFERROR(__xludf.DUMMYFUNCTION("""COMPUTED_VALUE"""),22400.0)</f>
        <v>22400</v>
      </c>
      <c r="E1829" s="1">
        <f>IFERROR(__xludf.DUMMYFUNCTION("""COMPUTED_VALUE"""),22400.0)</f>
        <v>22400</v>
      </c>
      <c r="F1829" s="1">
        <f>IFERROR(__xludf.DUMMYFUNCTION("""COMPUTED_VALUE"""),250011.0)</f>
        <v>250011</v>
      </c>
    </row>
    <row r="1830">
      <c r="A1830" s="2">
        <f>IFERROR(__xludf.DUMMYFUNCTION("""COMPUTED_VALUE"""),43266.64583333333)</f>
        <v>43266.64583</v>
      </c>
      <c r="B1830" s="1">
        <f>IFERROR(__xludf.DUMMYFUNCTION("""COMPUTED_VALUE"""),22400.0)</f>
        <v>22400</v>
      </c>
      <c r="C1830" s="1">
        <f>IFERROR(__xludf.DUMMYFUNCTION("""COMPUTED_VALUE"""),22400.0)</f>
        <v>22400</v>
      </c>
      <c r="D1830" s="1">
        <f>IFERROR(__xludf.DUMMYFUNCTION("""COMPUTED_VALUE"""),21800.0)</f>
        <v>21800</v>
      </c>
      <c r="E1830" s="1">
        <f>IFERROR(__xludf.DUMMYFUNCTION("""COMPUTED_VALUE"""),21900.0)</f>
        <v>21900</v>
      </c>
      <c r="F1830" s="1">
        <f>IFERROR(__xludf.DUMMYFUNCTION("""COMPUTED_VALUE"""),336430.0)</f>
        <v>336430</v>
      </c>
    </row>
    <row r="1831">
      <c r="A1831" s="2">
        <f>IFERROR(__xludf.DUMMYFUNCTION("""COMPUTED_VALUE"""),43269.64583333333)</f>
        <v>43269.64583</v>
      </c>
      <c r="B1831" s="1">
        <f>IFERROR(__xludf.DUMMYFUNCTION("""COMPUTED_VALUE"""),21800.0)</f>
        <v>21800</v>
      </c>
      <c r="C1831" s="1">
        <f>IFERROR(__xludf.DUMMYFUNCTION("""COMPUTED_VALUE"""),22000.0)</f>
        <v>22000</v>
      </c>
      <c r="D1831" s="1">
        <f>IFERROR(__xludf.DUMMYFUNCTION("""COMPUTED_VALUE"""),21200.0)</f>
        <v>21200</v>
      </c>
      <c r="E1831" s="1">
        <f>IFERROR(__xludf.DUMMYFUNCTION("""COMPUTED_VALUE"""),21500.0)</f>
        <v>21500</v>
      </c>
      <c r="F1831" s="1">
        <f>IFERROR(__xludf.DUMMYFUNCTION("""COMPUTED_VALUE"""),405910.0)</f>
        <v>405910</v>
      </c>
    </row>
    <row r="1832">
      <c r="A1832" s="2">
        <f>IFERROR(__xludf.DUMMYFUNCTION("""COMPUTED_VALUE"""),43270.64583333333)</f>
        <v>43270.64583</v>
      </c>
      <c r="B1832" s="1">
        <f>IFERROR(__xludf.DUMMYFUNCTION("""COMPUTED_VALUE"""),21400.0)</f>
        <v>21400</v>
      </c>
      <c r="C1832" s="1">
        <f>IFERROR(__xludf.DUMMYFUNCTION("""COMPUTED_VALUE"""),22100.0)</f>
        <v>22100</v>
      </c>
      <c r="D1832" s="1">
        <f>IFERROR(__xludf.DUMMYFUNCTION("""COMPUTED_VALUE"""),21100.0)</f>
        <v>21100</v>
      </c>
      <c r="E1832" s="1">
        <f>IFERROR(__xludf.DUMMYFUNCTION("""COMPUTED_VALUE"""),21300.0)</f>
        <v>21300</v>
      </c>
      <c r="F1832" s="1">
        <f>IFERROR(__xludf.DUMMYFUNCTION("""COMPUTED_VALUE"""),250870.0)</f>
        <v>250870</v>
      </c>
    </row>
    <row r="1833">
      <c r="A1833" s="2">
        <f>IFERROR(__xludf.DUMMYFUNCTION("""COMPUTED_VALUE"""),43271.64583333333)</f>
        <v>43271.64583</v>
      </c>
      <c r="B1833" s="1">
        <f>IFERROR(__xludf.DUMMYFUNCTION("""COMPUTED_VALUE"""),21200.0)</f>
        <v>21200</v>
      </c>
      <c r="C1833" s="1">
        <f>IFERROR(__xludf.DUMMYFUNCTION("""COMPUTED_VALUE"""),21800.0)</f>
        <v>21800</v>
      </c>
      <c r="D1833" s="1">
        <f>IFERROR(__xludf.DUMMYFUNCTION("""COMPUTED_VALUE"""),21200.0)</f>
        <v>21200</v>
      </c>
      <c r="E1833" s="1">
        <f>IFERROR(__xludf.DUMMYFUNCTION("""COMPUTED_VALUE"""),21600.0)</f>
        <v>21600</v>
      </c>
      <c r="F1833" s="1">
        <f>IFERROR(__xludf.DUMMYFUNCTION("""COMPUTED_VALUE"""),290289.0)</f>
        <v>290289</v>
      </c>
    </row>
    <row r="1834">
      <c r="A1834" s="2">
        <f>IFERROR(__xludf.DUMMYFUNCTION("""COMPUTED_VALUE"""),43272.64583333333)</f>
        <v>43272.64583</v>
      </c>
      <c r="B1834" s="1">
        <f>IFERROR(__xludf.DUMMYFUNCTION("""COMPUTED_VALUE"""),21500.0)</f>
        <v>21500</v>
      </c>
      <c r="C1834" s="1">
        <f>IFERROR(__xludf.DUMMYFUNCTION("""COMPUTED_VALUE"""),21800.0)</f>
        <v>21800</v>
      </c>
      <c r="D1834" s="1">
        <f>IFERROR(__xludf.DUMMYFUNCTION("""COMPUTED_VALUE"""),21200.0)</f>
        <v>21200</v>
      </c>
      <c r="E1834" s="1">
        <f>IFERROR(__xludf.DUMMYFUNCTION("""COMPUTED_VALUE"""),21400.0)</f>
        <v>21400</v>
      </c>
      <c r="F1834" s="1">
        <f>IFERROR(__xludf.DUMMYFUNCTION("""COMPUTED_VALUE"""),172840.0)</f>
        <v>172840</v>
      </c>
    </row>
    <row r="1835">
      <c r="A1835" s="2">
        <f>IFERROR(__xludf.DUMMYFUNCTION("""COMPUTED_VALUE"""),43273.64583333333)</f>
        <v>43273.64583</v>
      </c>
      <c r="B1835" s="1">
        <f>IFERROR(__xludf.DUMMYFUNCTION("""COMPUTED_VALUE"""),21300.0)</f>
        <v>21300</v>
      </c>
      <c r="C1835" s="1">
        <f>IFERROR(__xludf.DUMMYFUNCTION("""COMPUTED_VALUE"""),22900.0)</f>
        <v>22900</v>
      </c>
      <c r="D1835" s="1">
        <f>IFERROR(__xludf.DUMMYFUNCTION("""COMPUTED_VALUE"""),21300.0)</f>
        <v>21300</v>
      </c>
      <c r="E1835" s="1">
        <f>IFERROR(__xludf.DUMMYFUNCTION("""COMPUTED_VALUE"""),22800.0)</f>
        <v>22800</v>
      </c>
      <c r="F1835" s="1">
        <f>IFERROR(__xludf.DUMMYFUNCTION("""COMPUTED_VALUE"""),651617.0)</f>
        <v>651617</v>
      </c>
    </row>
    <row r="1836">
      <c r="A1836" s="2">
        <f>IFERROR(__xludf.DUMMYFUNCTION("""COMPUTED_VALUE"""),43276.64583333333)</f>
        <v>43276.64583</v>
      </c>
      <c r="B1836" s="1">
        <f>IFERROR(__xludf.DUMMYFUNCTION("""COMPUTED_VALUE"""),22800.0)</f>
        <v>22800</v>
      </c>
      <c r="C1836" s="1">
        <f>IFERROR(__xludf.DUMMYFUNCTION("""COMPUTED_VALUE"""),22900.0)</f>
        <v>22900</v>
      </c>
      <c r="D1836" s="1">
        <f>IFERROR(__xludf.DUMMYFUNCTION("""COMPUTED_VALUE"""),22400.0)</f>
        <v>22400</v>
      </c>
      <c r="E1836" s="1">
        <f>IFERROR(__xludf.DUMMYFUNCTION("""COMPUTED_VALUE"""),22800.0)</f>
        <v>22800</v>
      </c>
      <c r="F1836" s="1">
        <f>IFERROR(__xludf.DUMMYFUNCTION("""COMPUTED_VALUE"""),345973.0)</f>
        <v>345973</v>
      </c>
    </row>
    <row r="1837">
      <c r="A1837" s="2">
        <f>IFERROR(__xludf.DUMMYFUNCTION("""COMPUTED_VALUE"""),43277.64583333333)</f>
        <v>43277.64583</v>
      </c>
      <c r="B1837" s="1">
        <f>IFERROR(__xludf.DUMMYFUNCTION("""COMPUTED_VALUE"""),22500.0)</f>
        <v>22500</v>
      </c>
      <c r="C1837" s="1">
        <f>IFERROR(__xludf.DUMMYFUNCTION("""COMPUTED_VALUE"""),22600.0)</f>
        <v>22600</v>
      </c>
      <c r="D1837" s="1">
        <f>IFERROR(__xludf.DUMMYFUNCTION("""COMPUTED_VALUE"""),22200.0)</f>
        <v>22200</v>
      </c>
      <c r="E1837" s="1">
        <f>IFERROR(__xludf.DUMMYFUNCTION("""COMPUTED_VALUE"""),22400.0)</f>
        <v>22400</v>
      </c>
      <c r="F1837" s="1">
        <f>IFERROR(__xludf.DUMMYFUNCTION("""COMPUTED_VALUE"""),250298.0)</f>
        <v>250298</v>
      </c>
    </row>
    <row r="1838">
      <c r="A1838" s="2">
        <f>IFERROR(__xludf.DUMMYFUNCTION("""COMPUTED_VALUE"""),43278.64583333333)</f>
        <v>43278.64583</v>
      </c>
      <c r="B1838" s="1">
        <f>IFERROR(__xludf.DUMMYFUNCTION("""COMPUTED_VALUE"""),22500.0)</f>
        <v>22500</v>
      </c>
      <c r="C1838" s="1">
        <f>IFERROR(__xludf.DUMMYFUNCTION("""COMPUTED_VALUE"""),22700.0)</f>
        <v>22700</v>
      </c>
      <c r="D1838" s="1">
        <f>IFERROR(__xludf.DUMMYFUNCTION("""COMPUTED_VALUE"""),22000.0)</f>
        <v>22000</v>
      </c>
      <c r="E1838" s="1">
        <f>IFERROR(__xludf.DUMMYFUNCTION("""COMPUTED_VALUE"""),22200.0)</f>
        <v>22200</v>
      </c>
      <c r="F1838" s="1">
        <f>IFERROR(__xludf.DUMMYFUNCTION("""COMPUTED_VALUE"""),311174.0)</f>
        <v>311174</v>
      </c>
    </row>
    <row r="1839">
      <c r="A1839" s="2">
        <f>IFERROR(__xludf.DUMMYFUNCTION("""COMPUTED_VALUE"""),43279.64583333333)</f>
        <v>43279.64583</v>
      </c>
      <c r="B1839" s="1">
        <f>IFERROR(__xludf.DUMMYFUNCTION("""COMPUTED_VALUE"""),22000.0)</f>
        <v>22000</v>
      </c>
      <c r="C1839" s="1">
        <f>IFERROR(__xludf.DUMMYFUNCTION("""COMPUTED_VALUE"""),22500.0)</f>
        <v>22500</v>
      </c>
      <c r="D1839" s="1">
        <f>IFERROR(__xludf.DUMMYFUNCTION("""COMPUTED_VALUE"""),21800.0)</f>
        <v>21800</v>
      </c>
      <c r="E1839" s="1">
        <f>IFERROR(__xludf.DUMMYFUNCTION("""COMPUTED_VALUE"""),22300.0)</f>
        <v>22300</v>
      </c>
      <c r="F1839" s="1">
        <f>IFERROR(__xludf.DUMMYFUNCTION("""COMPUTED_VALUE"""),221308.0)</f>
        <v>221308</v>
      </c>
    </row>
    <row r="1840">
      <c r="A1840" s="2">
        <f>IFERROR(__xludf.DUMMYFUNCTION("""COMPUTED_VALUE"""),43280.64583333333)</f>
        <v>43280.64583</v>
      </c>
      <c r="B1840" s="1">
        <f>IFERROR(__xludf.DUMMYFUNCTION("""COMPUTED_VALUE"""),22600.0)</f>
        <v>22600</v>
      </c>
      <c r="C1840" s="1">
        <f>IFERROR(__xludf.DUMMYFUNCTION("""COMPUTED_VALUE"""),23100.0)</f>
        <v>23100</v>
      </c>
      <c r="D1840" s="1">
        <f>IFERROR(__xludf.DUMMYFUNCTION("""COMPUTED_VALUE"""),22400.0)</f>
        <v>22400</v>
      </c>
      <c r="E1840" s="1">
        <f>IFERROR(__xludf.DUMMYFUNCTION("""COMPUTED_VALUE"""),22900.0)</f>
        <v>22900</v>
      </c>
      <c r="F1840" s="1">
        <f>IFERROR(__xludf.DUMMYFUNCTION("""COMPUTED_VALUE"""),579530.0)</f>
        <v>579530</v>
      </c>
    </row>
    <row r="1841">
      <c r="A1841" s="2">
        <f>IFERROR(__xludf.DUMMYFUNCTION("""COMPUTED_VALUE"""),43283.64583333333)</f>
        <v>43283.64583</v>
      </c>
      <c r="B1841" s="1">
        <f>IFERROR(__xludf.DUMMYFUNCTION("""COMPUTED_VALUE"""),23100.0)</f>
        <v>23100</v>
      </c>
      <c r="C1841" s="1">
        <f>IFERROR(__xludf.DUMMYFUNCTION("""COMPUTED_VALUE"""),23300.0)</f>
        <v>23300</v>
      </c>
      <c r="D1841" s="1">
        <f>IFERROR(__xludf.DUMMYFUNCTION("""COMPUTED_VALUE"""),22300.0)</f>
        <v>22300</v>
      </c>
      <c r="E1841" s="1">
        <f>IFERROR(__xludf.DUMMYFUNCTION("""COMPUTED_VALUE"""),22300.0)</f>
        <v>22300</v>
      </c>
      <c r="F1841" s="1">
        <f>IFERROR(__xludf.DUMMYFUNCTION("""COMPUTED_VALUE"""),415693.0)</f>
        <v>415693</v>
      </c>
    </row>
    <row r="1842">
      <c r="A1842" s="2">
        <f>IFERROR(__xludf.DUMMYFUNCTION("""COMPUTED_VALUE"""),43284.64583333333)</f>
        <v>43284.64583</v>
      </c>
      <c r="B1842" s="1">
        <f>IFERROR(__xludf.DUMMYFUNCTION("""COMPUTED_VALUE"""),22700.0)</f>
        <v>22700</v>
      </c>
      <c r="C1842" s="1">
        <f>IFERROR(__xludf.DUMMYFUNCTION("""COMPUTED_VALUE"""),23000.0)</f>
        <v>23000</v>
      </c>
      <c r="D1842" s="1">
        <f>IFERROR(__xludf.DUMMYFUNCTION("""COMPUTED_VALUE"""),22500.0)</f>
        <v>22500</v>
      </c>
      <c r="E1842" s="1">
        <f>IFERROR(__xludf.DUMMYFUNCTION("""COMPUTED_VALUE"""),22800.0)</f>
        <v>22800</v>
      </c>
      <c r="F1842" s="1">
        <f>IFERROR(__xludf.DUMMYFUNCTION("""COMPUTED_VALUE"""),314988.0)</f>
        <v>314988</v>
      </c>
    </row>
    <row r="1843">
      <c r="A1843" s="2">
        <f>IFERROR(__xludf.DUMMYFUNCTION("""COMPUTED_VALUE"""),43285.64583333333)</f>
        <v>43285.64583</v>
      </c>
      <c r="B1843" s="1">
        <f>IFERROR(__xludf.DUMMYFUNCTION("""COMPUTED_VALUE"""),22900.0)</f>
        <v>22900</v>
      </c>
      <c r="C1843" s="1">
        <f>IFERROR(__xludf.DUMMYFUNCTION("""COMPUTED_VALUE"""),23600.0)</f>
        <v>23600</v>
      </c>
      <c r="D1843" s="1">
        <f>IFERROR(__xludf.DUMMYFUNCTION("""COMPUTED_VALUE"""),22800.0)</f>
        <v>22800</v>
      </c>
      <c r="E1843" s="1">
        <f>IFERROR(__xludf.DUMMYFUNCTION("""COMPUTED_VALUE"""),23400.0)</f>
        <v>23400</v>
      </c>
      <c r="F1843" s="1">
        <f>IFERROR(__xludf.DUMMYFUNCTION("""COMPUTED_VALUE"""),846154.0)</f>
        <v>846154</v>
      </c>
    </row>
    <row r="1844">
      <c r="A1844" s="2">
        <f>IFERROR(__xludf.DUMMYFUNCTION("""COMPUTED_VALUE"""),43286.64583333333)</f>
        <v>43286.64583</v>
      </c>
      <c r="B1844" s="1">
        <f>IFERROR(__xludf.DUMMYFUNCTION("""COMPUTED_VALUE"""),23400.0)</f>
        <v>23400</v>
      </c>
      <c r="C1844" s="1">
        <f>IFERROR(__xludf.DUMMYFUNCTION("""COMPUTED_VALUE"""),23700.0)</f>
        <v>23700</v>
      </c>
      <c r="D1844" s="1">
        <f>IFERROR(__xludf.DUMMYFUNCTION("""COMPUTED_VALUE"""),23100.0)</f>
        <v>23100</v>
      </c>
      <c r="E1844" s="1">
        <f>IFERROR(__xludf.DUMMYFUNCTION("""COMPUTED_VALUE"""),23300.0)</f>
        <v>23300</v>
      </c>
      <c r="F1844" s="1">
        <f>IFERROR(__xludf.DUMMYFUNCTION("""COMPUTED_VALUE"""),348243.0)</f>
        <v>348243</v>
      </c>
    </row>
    <row r="1845">
      <c r="A1845" s="2">
        <f>IFERROR(__xludf.DUMMYFUNCTION("""COMPUTED_VALUE"""),43287.64583333333)</f>
        <v>43287.64583</v>
      </c>
      <c r="B1845" s="1">
        <f>IFERROR(__xludf.DUMMYFUNCTION("""COMPUTED_VALUE"""),23300.0)</f>
        <v>23300</v>
      </c>
      <c r="C1845" s="1">
        <f>IFERROR(__xludf.DUMMYFUNCTION("""COMPUTED_VALUE"""),23400.0)</f>
        <v>23400</v>
      </c>
      <c r="D1845" s="1">
        <f>IFERROR(__xludf.DUMMYFUNCTION("""COMPUTED_VALUE"""),22600.0)</f>
        <v>22600</v>
      </c>
      <c r="E1845" s="1">
        <f>IFERROR(__xludf.DUMMYFUNCTION("""COMPUTED_VALUE"""),22900.0)</f>
        <v>22900</v>
      </c>
      <c r="F1845" s="1">
        <f>IFERROR(__xludf.DUMMYFUNCTION("""COMPUTED_VALUE"""),383082.0)</f>
        <v>383082</v>
      </c>
    </row>
    <row r="1846">
      <c r="A1846" s="2">
        <f>IFERROR(__xludf.DUMMYFUNCTION("""COMPUTED_VALUE"""),43290.64583333333)</f>
        <v>43290.64583</v>
      </c>
      <c r="B1846" s="1">
        <f>IFERROR(__xludf.DUMMYFUNCTION("""COMPUTED_VALUE"""),22900.0)</f>
        <v>22900</v>
      </c>
      <c r="C1846" s="1">
        <f>IFERROR(__xludf.DUMMYFUNCTION("""COMPUTED_VALUE"""),23500.0)</f>
        <v>23500</v>
      </c>
      <c r="D1846" s="1">
        <f>IFERROR(__xludf.DUMMYFUNCTION("""COMPUTED_VALUE"""),22900.0)</f>
        <v>22900</v>
      </c>
      <c r="E1846" s="1">
        <f>IFERROR(__xludf.DUMMYFUNCTION("""COMPUTED_VALUE"""),23500.0)</f>
        <v>23500</v>
      </c>
      <c r="F1846" s="1">
        <f>IFERROR(__xludf.DUMMYFUNCTION("""COMPUTED_VALUE"""),394098.0)</f>
        <v>394098</v>
      </c>
    </row>
    <row r="1847">
      <c r="A1847" s="2">
        <f>IFERROR(__xludf.DUMMYFUNCTION("""COMPUTED_VALUE"""),43291.64583333333)</f>
        <v>43291.64583</v>
      </c>
      <c r="B1847" s="1">
        <f>IFERROR(__xludf.DUMMYFUNCTION("""COMPUTED_VALUE"""),23500.0)</f>
        <v>23500</v>
      </c>
      <c r="C1847" s="1">
        <f>IFERROR(__xludf.DUMMYFUNCTION("""COMPUTED_VALUE"""),23600.0)</f>
        <v>23600</v>
      </c>
      <c r="D1847" s="1">
        <f>IFERROR(__xludf.DUMMYFUNCTION("""COMPUTED_VALUE"""),23200.0)</f>
        <v>23200</v>
      </c>
      <c r="E1847" s="1">
        <f>IFERROR(__xludf.DUMMYFUNCTION("""COMPUTED_VALUE"""),23400.0)</f>
        <v>23400</v>
      </c>
      <c r="F1847" s="1">
        <f>IFERROR(__xludf.DUMMYFUNCTION("""COMPUTED_VALUE"""),222321.0)</f>
        <v>222321</v>
      </c>
    </row>
    <row r="1848">
      <c r="A1848" s="2">
        <f>IFERROR(__xludf.DUMMYFUNCTION("""COMPUTED_VALUE"""),43292.64583333333)</f>
        <v>43292.64583</v>
      </c>
      <c r="B1848" s="1">
        <f>IFERROR(__xludf.DUMMYFUNCTION("""COMPUTED_VALUE"""),23200.0)</f>
        <v>23200</v>
      </c>
      <c r="C1848" s="1">
        <f>IFERROR(__xludf.DUMMYFUNCTION("""COMPUTED_VALUE"""),23400.0)</f>
        <v>23400</v>
      </c>
      <c r="D1848" s="1">
        <f>IFERROR(__xludf.DUMMYFUNCTION("""COMPUTED_VALUE"""),23000.0)</f>
        <v>23000</v>
      </c>
      <c r="E1848" s="1">
        <f>IFERROR(__xludf.DUMMYFUNCTION("""COMPUTED_VALUE"""),23300.0)</f>
        <v>23300</v>
      </c>
      <c r="F1848" s="1">
        <f>IFERROR(__xludf.DUMMYFUNCTION("""COMPUTED_VALUE"""),250313.0)</f>
        <v>250313</v>
      </c>
    </row>
    <row r="1849">
      <c r="A1849" s="2">
        <f>IFERROR(__xludf.DUMMYFUNCTION("""COMPUTED_VALUE"""),43293.64583333333)</f>
        <v>43293.64583</v>
      </c>
      <c r="B1849" s="1">
        <f>IFERROR(__xludf.DUMMYFUNCTION("""COMPUTED_VALUE"""),23400.0)</f>
        <v>23400</v>
      </c>
      <c r="C1849" s="1">
        <f>IFERROR(__xludf.DUMMYFUNCTION("""COMPUTED_VALUE"""),23600.0)</f>
        <v>23600</v>
      </c>
      <c r="D1849" s="1">
        <f>IFERROR(__xludf.DUMMYFUNCTION("""COMPUTED_VALUE"""),23100.0)</f>
        <v>23100</v>
      </c>
      <c r="E1849" s="1">
        <f>IFERROR(__xludf.DUMMYFUNCTION("""COMPUTED_VALUE"""),23500.0)</f>
        <v>23500</v>
      </c>
      <c r="F1849" s="1">
        <f>IFERROR(__xludf.DUMMYFUNCTION("""COMPUTED_VALUE"""),444272.0)</f>
        <v>444272</v>
      </c>
    </row>
    <row r="1850">
      <c r="A1850" s="2">
        <f>IFERROR(__xludf.DUMMYFUNCTION("""COMPUTED_VALUE"""),43294.64583333333)</f>
        <v>43294.64583</v>
      </c>
      <c r="B1850" s="1">
        <f>IFERROR(__xludf.DUMMYFUNCTION("""COMPUTED_VALUE"""),23600.0)</f>
        <v>23600</v>
      </c>
      <c r="C1850" s="1">
        <f>IFERROR(__xludf.DUMMYFUNCTION("""COMPUTED_VALUE"""),23800.0)</f>
        <v>23800</v>
      </c>
      <c r="D1850" s="1">
        <f>IFERROR(__xludf.DUMMYFUNCTION("""COMPUTED_VALUE"""),23300.0)</f>
        <v>23300</v>
      </c>
      <c r="E1850" s="1">
        <f>IFERROR(__xludf.DUMMYFUNCTION("""COMPUTED_VALUE"""),23600.0)</f>
        <v>23600</v>
      </c>
      <c r="F1850" s="1">
        <f>IFERROR(__xludf.DUMMYFUNCTION("""COMPUTED_VALUE"""),302155.0)</f>
        <v>302155</v>
      </c>
    </row>
    <row r="1851">
      <c r="A1851" s="2">
        <f>IFERROR(__xludf.DUMMYFUNCTION("""COMPUTED_VALUE"""),43297.64583333333)</f>
        <v>43297.64583</v>
      </c>
      <c r="B1851" s="1">
        <f>IFERROR(__xludf.DUMMYFUNCTION("""COMPUTED_VALUE"""),23600.0)</f>
        <v>23600</v>
      </c>
      <c r="C1851" s="1">
        <f>IFERROR(__xludf.DUMMYFUNCTION("""COMPUTED_VALUE"""),23700.0)</f>
        <v>23700</v>
      </c>
      <c r="D1851" s="1">
        <f>IFERROR(__xludf.DUMMYFUNCTION("""COMPUTED_VALUE"""),23100.0)</f>
        <v>23100</v>
      </c>
      <c r="E1851" s="1">
        <f>IFERROR(__xludf.DUMMYFUNCTION("""COMPUTED_VALUE"""),23300.0)</f>
        <v>23300</v>
      </c>
      <c r="F1851" s="1">
        <f>IFERROR(__xludf.DUMMYFUNCTION("""COMPUTED_VALUE"""),236711.0)</f>
        <v>236711</v>
      </c>
    </row>
    <row r="1852">
      <c r="A1852" s="2">
        <f>IFERROR(__xludf.DUMMYFUNCTION("""COMPUTED_VALUE"""),43298.64583333333)</f>
        <v>43298.64583</v>
      </c>
      <c r="B1852" s="1">
        <f>IFERROR(__xludf.DUMMYFUNCTION("""COMPUTED_VALUE"""),23200.0)</f>
        <v>23200</v>
      </c>
      <c r="C1852" s="1">
        <f>IFERROR(__xludf.DUMMYFUNCTION("""COMPUTED_VALUE"""),23300.0)</f>
        <v>23300</v>
      </c>
      <c r="D1852" s="1">
        <f>IFERROR(__xludf.DUMMYFUNCTION("""COMPUTED_VALUE"""),22700.0)</f>
        <v>22700</v>
      </c>
      <c r="E1852" s="1">
        <f>IFERROR(__xludf.DUMMYFUNCTION("""COMPUTED_VALUE"""),22800.0)</f>
        <v>22800</v>
      </c>
      <c r="F1852" s="1">
        <f>IFERROR(__xludf.DUMMYFUNCTION("""COMPUTED_VALUE"""),372754.0)</f>
        <v>372754</v>
      </c>
    </row>
    <row r="1853">
      <c r="A1853" s="2">
        <f>IFERROR(__xludf.DUMMYFUNCTION("""COMPUTED_VALUE"""),43299.64583333333)</f>
        <v>43299.64583</v>
      </c>
      <c r="B1853" s="1">
        <f>IFERROR(__xludf.DUMMYFUNCTION("""COMPUTED_VALUE"""),23000.0)</f>
        <v>23000</v>
      </c>
      <c r="C1853" s="1">
        <f>IFERROR(__xludf.DUMMYFUNCTION("""COMPUTED_VALUE"""),23300.0)</f>
        <v>23300</v>
      </c>
      <c r="D1853" s="1">
        <f>IFERROR(__xludf.DUMMYFUNCTION("""COMPUTED_VALUE"""),22400.0)</f>
        <v>22400</v>
      </c>
      <c r="E1853" s="1">
        <f>IFERROR(__xludf.DUMMYFUNCTION("""COMPUTED_VALUE"""),22600.0)</f>
        <v>22600</v>
      </c>
      <c r="F1853" s="1">
        <f>IFERROR(__xludf.DUMMYFUNCTION("""COMPUTED_VALUE"""),351263.0)</f>
        <v>351263</v>
      </c>
    </row>
    <row r="1854">
      <c r="A1854" s="2">
        <f>IFERROR(__xludf.DUMMYFUNCTION("""COMPUTED_VALUE"""),43300.64583333333)</f>
        <v>43300.64583</v>
      </c>
      <c r="B1854" s="1">
        <f>IFERROR(__xludf.DUMMYFUNCTION("""COMPUTED_VALUE"""),22600.0)</f>
        <v>22600</v>
      </c>
      <c r="C1854" s="1">
        <f>IFERROR(__xludf.DUMMYFUNCTION("""COMPUTED_VALUE"""),23100.0)</f>
        <v>23100</v>
      </c>
      <c r="D1854" s="1">
        <f>IFERROR(__xludf.DUMMYFUNCTION("""COMPUTED_VALUE"""),22500.0)</f>
        <v>22500</v>
      </c>
      <c r="E1854" s="1">
        <f>IFERROR(__xludf.DUMMYFUNCTION("""COMPUTED_VALUE"""),22800.0)</f>
        <v>22800</v>
      </c>
      <c r="F1854" s="1">
        <f>IFERROR(__xludf.DUMMYFUNCTION("""COMPUTED_VALUE"""),267375.0)</f>
        <v>267375</v>
      </c>
    </row>
    <row r="1855">
      <c r="A1855" s="2">
        <f>IFERROR(__xludf.DUMMYFUNCTION("""COMPUTED_VALUE"""),43301.64583333333)</f>
        <v>43301.64583</v>
      </c>
      <c r="B1855" s="1">
        <f>IFERROR(__xludf.DUMMYFUNCTION("""COMPUTED_VALUE"""),22800.0)</f>
        <v>22800</v>
      </c>
      <c r="C1855" s="1">
        <f>IFERROR(__xludf.DUMMYFUNCTION("""COMPUTED_VALUE"""),23100.0)</f>
        <v>23100</v>
      </c>
      <c r="D1855" s="1">
        <f>IFERROR(__xludf.DUMMYFUNCTION("""COMPUTED_VALUE"""),22600.0)</f>
        <v>22600</v>
      </c>
      <c r="E1855" s="1">
        <f>IFERROR(__xludf.DUMMYFUNCTION("""COMPUTED_VALUE"""),23000.0)</f>
        <v>23000</v>
      </c>
      <c r="F1855" s="1">
        <f>IFERROR(__xludf.DUMMYFUNCTION("""COMPUTED_VALUE"""),184967.0)</f>
        <v>184967</v>
      </c>
    </row>
    <row r="1856">
      <c r="A1856" s="2">
        <f>IFERROR(__xludf.DUMMYFUNCTION("""COMPUTED_VALUE"""),43304.64583333333)</f>
        <v>43304.64583</v>
      </c>
      <c r="B1856" s="1">
        <f>IFERROR(__xludf.DUMMYFUNCTION("""COMPUTED_VALUE"""),23000.0)</f>
        <v>23000</v>
      </c>
      <c r="C1856" s="1">
        <f>IFERROR(__xludf.DUMMYFUNCTION("""COMPUTED_VALUE"""),23400.0)</f>
        <v>23400</v>
      </c>
      <c r="D1856" s="1">
        <f>IFERROR(__xludf.DUMMYFUNCTION("""COMPUTED_VALUE"""),22700.0)</f>
        <v>22700</v>
      </c>
      <c r="E1856" s="1">
        <f>IFERROR(__xludf.DUMMYFUNCTION("""COMPUTED_VALUE"""),23100.0)</f>
        <v>23100</v>
      </c>
      <c r="F1856" s="1">
        <f>IFERROR(__xludf.DUMMYFUNCTION("""COMPUTED_VALUE"""),346894.0)</f>
        <v>346894</v>
      </c>
    </row>
    <row r="1857">
      <c r="A1857" s="2">
        <f>IFERROR(__xludf.DUMMYFUNCTION("""COMPUTED_VALUE"""),43305.64583333333)</f>
        <v>43305.64583</v>
      </c>
      <c r="B1857" s="1">
        <f>IFERROR(__xludf.DUMMYFUNCTION("""COMPUTED_VALUE"""),23100.0)</f>
        <v>23100</v>
      </c>
      <c r="C1857" s="1">
        <f>IFERROR(__xludf.DUMMYFUNCTION("""COMPUTED_VALUE"""),23600.0)</f>
        <v>23600</v>
      </c>
      <c r="D1857" s="1">
        <f>IFERROR(__xludf.DUMMYFUNCTION("""COMPUTED_VALUE"""),23000.0)</f>
        <v>23000</v>
      </c>
      <c r="E1857" s="1">
        <f>IFERROR(__xludf.DUMMYFUNCTION("""COMPUTED_VALUE"""),23400.0)</f>
        <v>23400</v>
      </c>
      <c r="F1857" s="1">
        <f>IFERROR(__xludf.DUMMYFUNCTION("""COMPUTED_VALUE"""),502533.0)</f>
        <v>502533</v>
      </c>
    </row>
    <row r="1858">
      <c r="A1858" s="2">
        <f>IFERROR(__xludf.DUMMYFUNCTION("""COMPUTED_VALUE"""),43306.64583333333)</f>
        <v>43306.64583</v>
      </c>
      <c r="B1858" s="1">
        <f>IFERROR(__xludf.DUMMYFUNCTION("""COMPUTED_VALUE"""),23500.0)</f>
        <v>23500</v>
      </c>
      <c r="C1858" s="1">
        <f>IFERROR(__xludf.DUMMYFUNCTION("""COMPUTED_VALUE"""),23600.0)</f>
        <v>23600</v>
      </c>
      <c r="D1858" s="1">
        <f>IFERROR(__xludf.DUMMYFUNCTION("""COMPUTED_VALUE"""),23200.0)</f>
        <v>23200</v>
      </c>
      <c r="E1858" s="1">
        <f>IFERROR(__xludf.DUMMYFUNCTION("""COMPUTED_VALUE"""),23600.0)</f>
        <v>23600</v>
      </c>
      <c r="F1858" s="1">
        <f>IFERROR(__xludf.DUMMYFUNCTION("""COMPUTED_VALUE"""),310394.0)</f>
        <v>310394</v>
      </c>
    </row>
    <row r="1859">
      <c r="A1859" s="2">
        <f>IFERROR(__xludf.DUMMYFUNCTION("""COMPUTED_VALUE"""),43307.64583333333)</f>
        <v>43307.64583</v>
      </c>
      <c r="B1859" s="1">
        <f>IFERROR(__xludf.DUMMYFUNCTION("""COMPUTED_VALUE"""),23600.0)</f>
        <v>23600</v>
      </c>
      <c r="C1859" s="1">
        <f>IFERROR(__xludf.DUMMYFUNCTION("""COMPUTED_VALUE"""),23700.0)</f>
        <v>23700</v>
      </c>
      <c r="D1859" s="1">
        <f>IFERROR(__xludf.DUMMYFUNCTION("""COMPUTED_VALUE"""),23200.0)</f>
        <v>23200</v>
      </c>
      <c r="E1859" s="1">
        <f>IFERROR(__xludf.DUMMYFUNCTION("""COMPUTED_VALUE"""),23500.0)</f>
        <v>23500</v>
      </c>
      <c r="F1859" s="1">
        <f>IFERROR(__xludf.DUMMYFUNCTION("""COMPUTED_VALUE"""),262125.0)</f>
        <v>262125</v>
      </c>
    </row>
    <row r="1860">
      <c r="A1860" s="2">
        <f>IFERROR(__xludf.DUMMYFUNCTION("""COMPUTED_VALUE"""),43308.64583333333)</f>
        <v>43308.64583</v>
      </c>
      <c r="B1860" s="1">
        <f>IFERROR(__xludf.DUMMYFUNCTION("""COMPUTED_VALUE"""),23500.0)</f>
        <v>23500</v>
      </c>
      <c r="C1860" s="1">
        <f>IFERROR(__xludf.DUMMYFUNCTION("""COMPUTED_VALUE"""),24000.0)</f>
        <v>24000</v>
      </c>
      <c r="D1860" s="1">
        <f>IFERROR(__xludf.DUMMYFUNCTION("""COMPUTED_VALUE"""),23300.0)</f>
        <v>23300</v>
      </c>
      <c r="E1860" s="1">
        <f>IFERROR(__xludf.DUMMYFUNCTION("""COMPUTED_VALUE"""),23900.0)</f>
        <v>23900</v>
      </c>
      <c r="F1860" s="1">
        <f>IFERROR(__xludf.DUMMYFUNCTION("""COMPUTED_VALUE"""),568921.0)</f>
        <v>568921</v>
      </c>
    </row>
    <row r="1861">
      <c r="A1861" s="2">
        <f>IFERROR(__xludf.DUMMYFUNCTION("""COMPUTED_VALUE"""),43311.64583333333)</f>
        <v>43311.64583</v>
      </c>
      <c r="B1861" s="1">
        <f>IFERROR(__xludf.DUMMYFUNCTION("""COMPUTED_VALUE"""),23700.0)</f>
        <v>23700</v>
      </c>
      <c r="C1861" s="1">
        <f>IFERROR(__xludf.DUMMYFUNCTION("""COMPUTED_VALUE"""),23800.0)</f>
        <v>23800</v>
      </c>
      <c r="D1861" s="1">
        <f>IFERROR(__xludf.DUMMYFUNCTION("""COMPUTED_VALUE"""),23200.0)</f>
        <v>23200</v>
      </c>
      <c r="E1861" s="1">
        <f>IFERROR(__xludf.DUMMYFUNCTION("""COMPUTED_VALUE"""),23300.0)</f>
        <v>23300</v>
      </c>
      <c r="F1861" s="1">
        <f>IFERROR(__xludf.DUMMYFUNCTION("""COMPUTED_VALUE"""),308410.0)</f>
        <v>308410</v>
      </c>
    </row>
    <row r="1862">
      <c r="A1862" s="2">
        <f>IFERROR(__xludf.DUMMYFUNCTION("""COMPUTED_VALUE"""),43312.64583333333)</f>
        <v>43312.64583</v>
      </c>
      <c r="B1862" s="1">
        <f>IFERROR(__xludf.DUMMYFUNCTION("""COMPUTED_VALUE"""),23000.0)</f>
        <v>23000</v>
      </c>
      <c r="C1862" s="1">
        <f>IFERROR(__xludf.DUMMYFUNCTION("""COMPUTED_VALUE"""),23200.0)</f>
        <v>23200</v>
      </c>
      <c r="D1862" s="1">
        <f>IFERROR(__xludf.DUMMYFUNCTION("""COMPUTED_VALUE"""),22300.0)</f>
        <v>22300</v>
      </c>
      <c r="E1862" s="1">
        <f>IFERROR(__xludf.DUMMYFUNCTION("""COMPUTED_VALUE"""),22500.0)</f>
        <v>22500</v>
      </c>
      <c r="F1862" s="1">
        <f>IFERROR(__xludf.DUMMYFUNCTION("""COMPUTED_VALUE"""),654749.0)</f>
        <v>654749</v>
      </c>
    </row>
    <row r="1863">
      <c r="A1863" s="2">
        <f>IFERROR(__xludf.DUMMYFUNCTION("""COMPUTED_VALUE"""),43313.64583333333)</f>
        <v>43313.64583</v>
      </c>
      <c r="B1863" s="1">
        <f>IFERROR(__xludf.DUMMYFUNCTION("""COMPUTED_VALUE"""),22500.0)</f>
        <v>22500</v>
      </c>
      <c r="C1863" s="1">
        <f>IFERROR(__xludf.DUMMYFUNCTION("""COMPUTED_VALUE"""),22700.0)</f>
        <v>22700</v>
      </c>
      <c r="D1863" s="1">
        <f>IFERROR(__xludf.DUMMYFUNCTION("""COMPUTED_VALUE"""),22300.0)</f>
        <v>22300</v>
      </c>
      <c r="E1863" s="1">
        <f>IFERROR(__xludf.DUMMYFUNCTION("""COMPUTED_VALUE"""),22500.0)</f>
        <v>22500</v>
      </c>
      <c r="F1863" s="1">
        <f>IFERROR(__xludf.DUMMYFUNCTION("""COMPUTED_VALUE"""),276459.0)</f>
        <v>276459</v>
      </c>
    </row>
    <row r="1864">
      <c r="A1864" s="2">
        <f>IFERROR(__xludf.DUMMYFUNCTION("""COMPUTED_VALUE"""),43314.64583333333)</f>
        <v>43314.64583</v>
      </c>
      <c r="B1864" s="1">
        <f>IFERROR(__xludf.DUMMYFUNCTION("""COMPUTED_VALUE"""),22500.0)</f>
        <v>22500</v>
      </c>
      <c r="C1864" s="1">
        <f>IFERROR(__xludf.DUMMYFUNCTION("""COMPUTED_VALUE"""),23000.0)</f>
        <v>23000</v>
      </c>
      <c r="D1864" s="1">
        <f>IFERROR(__xludf.DUMMYFUNCTION("""COMPUTED_VALUE"""),22200.0)</f>
        <v>22200</v>
      </c>
      <c r="E1864" s="1">
        <f>IFERROR(__xludf.DUMMYFUNCTION("""COMPUTED_VALUE"""),22200.0)</f>
        <v>22200</v>
      </c>
      <c r="F1864" s="1">
        <f>IFERROR(__xludf.DUMMYFUNCTION("""COMPUTED_VALUE"""),311779.0)</f>
        <v>311779</v>
      </c>
    </row>
    <row r="1865">
      <c r="A1865" s="2">
        <f>IFERROR(__xludf.DUMMYFUNCTION("""COMPUTED_VALUE"""),43315.64583333333)</f>
        <v>43315.64583</v>
      </c>
      <c r="B1865" s="1">
        <f>IFERROR(__xludf.DUMMYFUNCTION("""COMPUTED_VALUE"""),22300.0)</f>
        <v>22300</v>
      </c>
      <c r="C1865" s="1">
        <f>IFERROR(__xludf.DUMMYFUNCTION("""COMPUTED_VALUE"""),22600.0)</f>
        <v>22600</v>
      </c>
      <c r="D1865" s="1">
        <f>IFERROR(__xludf.DUMMYFUNCTION("""COMPUTED_VALUE"""),22300.0)</f>
        <v>22300</v>
      </c>
      <c r="E1865" s="1">
        <f>IFERROR(__xludf.DUMMYFUNCTION("""COMPUTED_VALUE"""),22600.0)</f>
        <v>22600</v>
      </c>
      <c r="F1865" s="1">
        <f>IFERROR(__xludf.DUMMYFUNCTION("""COMPUTED_VALUE"""),169521.0)</f>
        <v>169521</v>
      </c>
    </row>
    <row r="1866">
      <c r="A1866" s="2">
        <f>IFERROR(__xludf.DUMMYFUNCTION("""COMPUTED_VALUE"""),43318.64583333333)</f>
        <v>43318.64583</v>
      </c>
      <c r="B1866" s="1">
        <f>IFERROR(__xludf.DUMMYFUNCTION("""COMPUTED_VALUE"""),22700.0)</f>
        <v>22700</v>
      </c>
      <c r="C1866" s="1">
        <f>IFERROR(__xludf.DUMMYFUNCTION("""COMPUTED_VALUE"""),22900.0)</f>
        <v>22900</v>
      </c>
      <c r="D1866" s="1">
        <f>IFERROR(__xludf.DUMMYFUNCTION("""COMPUTED_VALUE"""),22500.0)</f>
        <v>22500</v>
      </c>
      <c r="E1866" s="1">
        <f>IFERROR(__xludf.DUMMYFUNCTION("""COMPUTED_VALUE"""),22700.0)</f>
        <v>22700</v>
      </c>
      <c r="F1866" s="1">
        <f>IFERROR(__xludf.DUMMYFUNCTION("""COMPUTED_VALUE"""),189971.0)</f>
        <v>189971</v>
      </c>
    </row>
    <row r="1867">
      <c r="A1867" s="2">
        <f>IFERROR(__xludf.DUMMYFUNCTION("""COMPUTED_VALUE"""),43319.64583333333)</f>
        <v>43319.64583</v>
      </c>
      <c r="B1867" s="1">
        <f>IFERROR(__xludf.DUMMYFUNCTION("""COMPUTED_VALUE"""),22800.0)</f>
        <v>22800</v>
      </c>
      <c r="C1867" s="1">
        <f>IFERROR(__xludf.DUMMYFUNCTION("""COMPUTED_VALUE"""),24000.0)</f>
        <v>24000</v>
      </c>
      <c r="D1867" s="1">
        <f>IFERROR(__xludf.DUMMYFUNCTION("""COMPUTED_VALUE"""),22600.0)</f>
        <v>22600</v>
      </c>
      <c r="E1867" s="1">
        <f>IFERROR(__xludf.DUMMYFUNCTION("""COMPUTED_VALUE"""),24000.0)</f>
        <v>24000</v>
      </c>
      <c r="F1867" s="1">
        <f>IFERROR(__xludf.DUMMYFUNCTION("""COMPUTED_VALUE"""),742353.0)</f>
        <v>742353</v>
      </c>
    </row>
    <row r="1868">
      <c r="A1868" s="2">
        <f>IFERROR(__xludf.DUMMYFUNCTION("""COMPUTED_VALUE"""),43320.64583333333)</f>
        <v>43320.64583</v>
      </c>
      <c r="B1868" s="1">
        <f>IFERROR(__xludf.DUMMYFUNCTION("""COMPUTED_VALUE"""),24400.0)</f>
        <v>24400</v>
      </c>
      <c r="C1868" s="1">
        <f>IFERROR(__xludf.DUMMYFUNCTION("""COMPUTED_VALUE"""),24900.0)</f>
        <v>24900</v>
      </c>
      <c r="D1868" s="1">
        <f>IFERROR(__xludf.DUMMYFUNCTION("""COMPUTED_VALUE"""),23600.0)</f>
        <v>23600</v>
      </c>
      <c r="E1868" s="1">
        <f>IFERROR(__xludf.DUMMYFUNCTION("""COMPUTED_VALUE"""),23800.0)</f>
        <v>23800</v>
      </c>
      <c r="F1868" s="1">
        <f>IFERROR(__xludf.DUMMYFUNCTION("""COMPUTED_VALUE"""),1216684.0)</f>
        <v>1216684</v>
      </c>
    </row>
    <row r="1869">
      <c r="A1869" s="2">
        <f>IFERROR(__xludf.DUMMYFUNCTION("""COMPUTED_VALUE"""),43321.64583333333)</f>
        <v>43321.64583</v>
      </c>
      <c r="B1869" s="1">
        <f>IFERROR(__xludf.DUMMYFUNCTION("""COMPUTED_VALUE"""),24200.0)</f>
        <v>24200</v>
      </c>
      <c r="C1869" s="1">
        <f>IFERROR(__xludf.DUMMYFUNCTION("""COMPUTED_VALUE"""),25200.0)</f>
        <v>25200</v>
      </c>
      <c r="D1869" s="1">
        <f>IFERROR(__xludf.DUMMYFUNCTION("""COMPUTED_VALUE"""),23900.0)</f>
        <v>23900</v>
      </c>
      <c r="E1869" s="1">
        <f>IFERROR(__xludf.DUMMYFUNCTION("""COMPUTED_VALUE"""),25100.0)</f>
        <v>25100</v>
      </c>
      <c r="F1869" s="1">
        <f>IFERROR(__xludf.DUMMYFUNCTION("""COMPUTED_VALUE"""),1622449.0)</f>
        <v>1622449</v>
      </c>
    </row>
    <row r="1870">
      <c r="A1870" s="2">
        <f>IFERROR(__xludf.DUMMYFUNCTION("""COMPUTED_VALUE"""),43322.64583333333)</f>
        <v>43322.64583</v>
      </c>
      <c r="B1870" s="1">
        <f>IFERROR(__xludf.DUMMYFUNCTION("""COMPUTED_VALUE"""),25100.0)</f>
        <v>25100</v>
      </c>
      <c r="C1870" s="1">
        <f>IFERROR(__xludf.DUMMYFUNCTION("""COMPUTED_VALUE"""),25900.0)</f>
        <v>25900</v>
      </c>
      <c r="D1870" s="1">
        <f>IFERROR(__xludf.DUMMYFUNCTION("""COMPUTED_VALUE"""),24800.0)</f>
        <v>24800</v>
      </c>
      <c r="E1870" s="1">
        <f>IFERROR(__xludf.DUMMYFUNCTION("""COMPUTED_VALUE"""),25600.0)</f>
        <v>25600</v>
      </c>
      <c r="F1870" s="1">
        <f>IFERROR(__xludf.DUMMYFUNCTION("""COMPUTED_VALUE"""),1269641.0)</f>
        <v>1269641</v>
      </c>
    </row>
    <row r="1871">
      <c r="A1871" s="2">
        <f>IFERROR(__xludf.DUMMYFUNCTION("""COMPUTED_VALUE"""),43325.64583333333)</f>
        <v>43325.64583</v>
      </c>
      <c r="B1871" s="1">
        <f>IFERROR(__xludf.DUMMYFUNCTION("""COMPUTED_VALUE"""),25300.0)</f>
        <v>25300</v>
      </c>
      <c r="C1871" s="1">
        <f>IFERROR(__xludf.DUMMYFUNCTION("""COMPUTED_VALUE"""),25500.0)</f>
        <v>25500</v>
      </c>
      <c r="D1871" s="1">
        <f>IFERROR(__xludf.DUMMYFUNCTION("""COMPUTED_VALUE"""),24500.0)</f>
        <v>24500</v>
      </c>
      <c r="E1871" s="1">
        <f>IFERROR(__xludf.DUMMYFUNCTION("""COMPUTED_VALUE"""),24800.0)</f>
        <v>24800</v>
      </c>
      <c r="F1871" s="1">
        <f>IFERROR(__xludf.DUMMYFUNCTION("""COMPUTED_VALUE"""),636617.0)</f>
        <v>636617</v>
      </c>
    </row>
    <row r="1872">
      <c r="A1872" s="2">
        <f>IFERROR(__xludf.DUMMYFUNCTION("""COMPUTED_VALUE"""),43326.64583333333)</f>
        <v>43326.64583</v>
      </c>
      <c r="B1872" s="1">
        <f>IFERROR(__xludf.DUMMYFUNCTION("""COMPUTED_VALUE"""),25000.0)</f>
        <v>25000</v>
      </c>
      <c r="C1872" s="1">
        <f>IFERROR(__xludf.DUMMYFUNCTION("""COMPUTED_VALUE"""),25700.0)</f>
        <v>25700</v>
      </c>
      <c r="D1872" s="1">
        <f>IFERROR(__xludf.DUMMYFUNCTION("""COMPUTED_VALUE"""),24600.0)</f>
        <v>24600</v>
      </c>
      <c r="E1872" s="1">
        <f>IFERROR(__xludf.DUMMYFUNCTION("""COMPUTED_VALUE"""),25500.0)</f>
        <v>25500</v>
      </c>
      <c r="F1872" s="1">
        <f>IFERROR(__xludf.DUMMYFUNCTION("""COMPUTED_VALUE"""),518080.0)</f>
        <v>518080</v>
      </c>
    </row>
    <row r="1873">
      <c r="A1873" s="2">
        <f>IFERROR(__xludf.DUMMYFUNCTION("""COMPUTED_VALUE"""),43328.64583333333)</f>
        <v>43328.64583</v>
      </c>
      <c r="B1873" s="1">
        <f>IFERROR(__xludf.DUMMYFUNCTION("""COMPUTED_VALUE"""),24900.0)</f>
        <v>24900</v>
      </c>
      <c r="C1873" s="1">
        <f>IFERROR(__xludf.DUMMYFUNCTION("""COMPUTED_VALUE"""),25600.0)</f>
        <v>25600</v>
      </c>
      <c r="D1873" s="1">
        <f>IFERROR(__xludf.DUMMYFUNCTION("""COMPUTED_VALUE"""),24800.0)</f>
        <v>24800</v>
      </c>
      <c r="E1873" s="1">
        <f>IFERROR(__xludf.DUMMYFUNCTION("""COMPUTED_VALUE"""),25500.0)</f>
        <v>25500</v>
      </c>
      <c r="F1873" s="1">
        <f>IFERROR(__xludf.DUMMYFUNCTION("""COMPUTED_VALUE"""),478674.0)</f>
        <v>478674</v>
      </c>
    </row>
    <row r="1874">
      <c r="A1874" s="2">
        <f>IFERROR(__xludf.DUMMYFUNCTION("""COMPUTED_VALUE"""),43329.64583333333)</f>
        <v>43329.64583</v>
      </c>
      <c r="B1874" s="1">
        <f>IFERROR(__xludf.DUMMYFUNCTION("""COMPUTED_VALUE"""),25700.0)</f>
        <v>25700</v>
      </c>
      <c r="C1874" s="1">
        <f>IFERROR(__xludf.DUMMYFUNCTION("""COMPUTED_VALUE"""),25800.0)</f>
        <v>25800</v>
      </c>
      <c r="D1874" s="1">
        <f>IFERROR(__xludf.DUMMYFUNCTION("""COMPUTED_VALUE"""),25300.0)</f>
        <v>25300</v>
      </c>
      <c r="E1874" s="1">
        <f>IFERROR(__xludf.DUMMYFUNCTION("""COMPUTED_VALUE"""),25400.0)</f>
        <v>25400</v>
      </c>
      <c r="F1874" s="1">
        <f>IFERROR(__xludf.DUMMYFUNCTION("""COMPUTED_VALUE"""),327327.0)</f>
        <v>327327</v>
      </c>
    </row>
    <row r="1875">
      <c r="A1875" s="2">
        <f>IFERROR(__xludf.DUMMYFUNCTION("""COMPUTED_VALUE"""),43332.64583333333)</f>
        <v>43332.64583</v>
      </c>
      <c r="B1875" s="1">
        <f>IFERROR(__xludf.DUMMYFUNCTION("""COMPUTED_VALUE"""),25400.0)</f>
        <v>25400</v>
      </c>
      <c r="C1875" s="1">
        <f>IFERROR(__xludf.DUMMYFUNCTION("""COMPUTED_VALUE"""),25600.0)</f>
        <v>25600</v>
      </c>
      <c r="D1875" s="1">
        <f>IFERROR(__xludf.DUMMYFUNCTION("""COMPUTED_VALUE"""),24800.0)</f>
        <v>24800</v>
      </c>
      <c r="E1875" s="1">
        <f>IFERROR(__xludf.DUMMYFUNCTION("""COMPUTED_VALUE"""),24900.0)</f>
        <v>24900</v>
      </c>
      <c r="F1875" s="1">
        <f>IFERROR(__xludf.DUMMYFUNCTION("""COMPUTED_VALUE"""),328660.0)</f>
        <v>328660</v>
      </c>
    </row>
    <row r="1876">
      <c r="A1876" s="2">
        <f>IFERROR(__xludf.DUMMYFUNCTION("""COMPUTED_VALUE"""),43333.64583333333)</f>
        <v>43333.64583</v>
      </c>
      <c r="B1876" s="1">
        <f>IFERROR(__xludf.DUMMYFUNCTION("""COMPUTED_VALUE"""),25000.0)</f>
        <v>25000</v>
      </c>
      <c r="C1876" s="1">
        <f>IFERROR(__xludf.DUMMYFUNCTION("""COMPUTED_VALUE"""),25300.0)</f>
        <v>25300</v>
      </c>
      <c r="D1876" s="1">
        <f>IFERROR(__xludf.DUMMYFUNCTION("""COMPUTED_VALUE"""),24800.0)</f>
        <v>24800</v>
      </c>
      <c r="E1876" s="1">
        <f>IFERROR(__xludf.DUMMYFUNCTION("""COMPUTED_VALUE"""),24800.0)</f>
        <v>24800</v>
      </c>
      <c r="F1876" s="1">
        <f>IFERROR(__xludf.DUMMYFUNCTION("""COMPUTED_VALUE"""),353528.0)</f>
        <v>353528</v>
      </c>
    </row>
    <row r="1877">
      <c r="A1877" s="2">
        <f>IFERROR(__xludf.DUMMYFUNCTION("""COMPUTED_VALUE"""),43334.64583333333)</f>
        <v>43334.64583</v>
      </c>
      <c r="B1877" s="1">
        <f>IFERROR(__xludf.DUMMYFUNCTION("""COMPUTED_VALUE"""),25100.0)</f>
        <v>25100</v>
      </c>
      <c r="C1877" s="1">
        <f>IFERROR(__xludf.DUMMYFUNCTION("""COMPUTED_VALUE"""),25100.0)</f>
        <v>25100</v>
      </c>
      <c r="D1877" s="1">
        <f>IFERROR(__xludf.DUMMYFUNCTION("""COMPUTED_VALUE"""),24500.0)</f>
        <v>24500</v>
      </c>
      <c r="E1877" s="1">
        <f>IFERROR(__xludf.DUMMYFUNCTION("""COMPUTED_VALUE"""),24900.0)</f>
        <v>24900</v>
      </c>
      <c r="F1877" s="1">
        <f>IFERROR(__xludf.DUMMYFUNCTION("""COMPUTED_VALUE"""),333939.0)</f>
        <v>333939</v>
      </c>
    </row>
    <row r="1878">
      <c r="A1878" s="2">
        <f>IFERROR(__xludf.DUMMYFUNCTION("""COMPUTED_VALUE"""),43335.64583333333)</f>
        <v>43335.64583</v>
      </c>
      <c r="B1878" s="1">
        <f>IFERROR(__xludf.DUMMYFUNCTION("""COMPUTED_VALUE"""),25000.0)</f>
        <v>25000</v>
      </c>
      <c r="C1878" s="1">
        <f>IFERROR(__xludf.DUMMYFUNCTION("""COMPUTED_VALUE"""),25200.0)</f>
        <v>25200</v>
      </c>
      <c r="D1878" s="1">
        <f>IFERROR(__xludf.DUMMYFUNCTION("""COMPUTED_VALUE"""),24700.0)</f>
        <v>24700</v>
      </c>
      <c r="E1878" s="1">
        <f>IFERROR(__xludf.DUMMYFUNCTION("""COMPUTED_VALUE"""),25100.0)</f>
        <v>25100</v>
      </c>
      <c r="F1878" s="1">
        <f>IFERROR(__xludf.DUMMYFUNCTION("""COMPUTED_VALUE"""),292057.0)</f>
        <v>292057</v>
      </c>
    </row>
    <row r="1879">
      <c r="A1879" s="2">
        <f>IFERROR(__xludf.DUMMYFUNCTION("""COMPUTED_VALUE"""),43336.64583333333)</f>
        <v>43336.64583</v>
      </c>
      <c r="B1879" s="1">
        <f>IFERROR(__xludf.DUMMYFUNCTION("""COMPUTED_VALUE"""),25000.0)</f>
        <v>25000</v>
      </c>
      <c r="C1879" s="1">
        <f>IFERROR(__xludf.DUMMYFUNCTION("""COMPUTED_VALUE"""),25000.0)</f>
        <v>25000</v>
      </c>
      <c r="D1879" s="1">
        <f>IFERROR(__xludf.DUMMYFUNCTION("""COMPUTED_VALUE"""),24600.0)</f>
        <v>24600</v>
      </c>
      <c r="E1879" s="1">
        <f>IFERROR(__xludf.DUMMYFUNCTION("""COMPUTED_VALUE"""),24800.0)</f>
        <v>24800</v>
      </c>
      <c r="F1879" s="1">
        <f>IFERROR(__xludf.DUMMYFUNCTION("""COMPUTED_VALUE"""),283256.0)</f>
        <v>283256</v>
      </c>
    </row>
    <row r="1880">
      <c r="A1880" s="2">
        <f>IFERROR(__xludf.DUMMYFUNCTION("""COMPUTED_VALUE"""),43339.64583333333)</f>
        <v>43339.64583</v>
      </c>
      <c r="B1880" s="1">
        <f>IFERROR(__xludf.DUMMYFUNCTION("""COMPUTED_VALUE"""),24800.0)</f>
        <v>24800</v>
      </c>
      <c r="C1880" s="1">
        <f>IFERROR(__xludf.DUMMYFUNCTION("""COMPUTED_VALUE"""),25600.0)</f>
        <v>25600</v>
      </c>
      <c r="D1880" s="1">
        <f>IFERROR(__xludf.DUMMYFUNCTION("""COMPUTED_VALUE"""),24800.0)</f>
        <v>24800</v>
      </c>
      <c r="E1880" s="1">
        <f>IFERROR(__xludf.DUMMYFUNCTION("""COMPUTED_VALUE"""),25600.0)</f>
        <v>25600</v>
      </c>
      <c r="F1880" s="1">
        <f>IFERROR(__xludf.DUMMYFUNCTION("""COMPUTED_VALUE"""),588666.0)</f>
        <v>588666</v>
      </c>
    </row>
    <row r="1881">
      <c r="A1881" s="2">
        <f>IFERROR(__xludf.DUMMYFUNCTION("""COMPUTED_VALUE"""),43340.64583333333)</f>
        <v>43340.64583</v>
      </c>
      <c r="B1881" s="1">
        <f>IFERROR(__xludf.DUMMYFUNCTION("""COMPUTED_VALUE"""),25400.0)</f>
        <v>25400</v>
      </c>
      <c r="C1881" s="1">
        <f>IFERROR(__xludf.DUMMYFUNCTION("""COMPUTED_VALUE"""),25500.0)</f>
        <v>25500</v>
      </c>
      <c r="D1881" s="1">
        <f>IFERROR(__xludf.DUMMYFUNCTION("""COMPUTED_VALUE"""),24700.0)</f>
        <v>24700</v>
      </c>
      <c r="E1881" s="1">
        <f>IFERROR(__xludf.DUMMYFUNCTION("""COMPUTED_VALUE"""),25100.0)</f>
        <v>25100</v>
      </c>
      <c r="F1881" s="1">
        <f>IFERROR(__xludf.DUMMYFUNCTION("""COMPUTED_VALUE"""),480764.0)</f>
        <v>480764</v>
      </c>
    </row>
    <row r="1882">
      <c r="A1882" s="2">
        <f>IFERROR(__xludf.DUMMYFUNCTION("""COMPUTED_VALUE"""),43341.64583333333)</f>
        <v>43341.64583</v>
      </c>
      <c r="B1882" s="1">
        <f>IFERROR(__xludf.DUMMYFUNCTION("""COMPUTED_VALUE"""),25000.0)</f>
        <v>25000</v>
      </c>
      <c r="C1882" s="1">
        <f>IFERROR(__xludf.DUMMYFUNCTION("""COMPUTED_VALUE"""),25500.0)</f>
        <v>25500</v>
      </c>
      <c r="D1882" s="1">
        <f>IFERROR(__xludf.DUMMYFUNCTION("""COMPUTED_VALUE"""),24800.0)</f>
        <v>24800</v>
      </c>
      <c r="E1882" s="1">
        <f>IFERROR(__xludf.DUMMYFUNCTION("""COMPUTED_VALUE"""),25300.0)</f>
        <v>25300</v>
      </c>
      <c r="F1882" s="1">
        <f>IFERROR(__xludf.DUMMYFUNCTION("""COMPUTED_VALUE"""),750163.0)</f>
        <v>750163</v>
      </c>
    </row>
    <row r="1883">
      <c r="A1883" s="2">
        <f>IFERROR(__xludf.DUMMYFUNCTION("""COMPUTED_VALUE"""),43342.64583333333)</f>
        <v>43342.64583</v>
      </c>
      <c r="B1883" s="1">
        <f>IFERROR(__xludf.DUMMYFUNCTION("""COMPUTED_VALUE"""),25300.0)</f>
        <v>25300</v>
      </c>
      <c r="C1883" s="1">
        <f>IFERROR(__xludf.DUMMYFUNCTION("""COMPUTED_VALUE"""),25600.0)</f>
        <v>25600</v>
      </c>
      <c r="D1883" s="1">
        <f>IFERROR(__xludf.DUMMYFUNCTION("""COMPUTED_VALUE"""),25100.0)</f>
        <v>25100</v>
      </c>
      <c r="E1883" s="1">
        <f>IFERROR(__xludf.DUMMYFUNCTION("""COMPUTED_VALUE"""),25300.0)</f>
        <v>25300</v>
      </c>
      <c r="F1883" s="1">
        <f>IFERROR(__xludf.DUMMYFUNCTION("""COMPUTED_VALUE"""),313774.0)</f>
        <v>313774</v>
      </c>
    </row>
    <row r="1884">
      <c r="A1884" s="2">
        <f>IFERROR(__xludf.DUMMYFUNCTION("""COMPUTED_VALUE"""),43343.64583333333)</f>
        <v>43343.64583</v>
      </c>
      <c r="B1884" s="1">
        <f>IFERROR(__xludf.DUMMYFUNCTION("""COMPUTED_VALUE"""),24800.0)</f>
        <v>24800</v>
      </c>
      <c r="C1884" s="1">
        <f>IFERROR(__xludf.DUMMYFUNCTION("""COMPUTED_VALUE"""),25100.0)</f>
        <v>25100</v>
      </c>
      <c r="D1884" s="1">
        <f>IFERROR(__xludf.DUMMYFUNCTION("""COMPUTED_VALUE"""),24600.0)</f>
        <v>24600</v>
      </c>
      <c r="E1884" s="1">
        <f>IFERROR(__xludf.DUMMYFUNCTION("""COMPUTED_VALUE"""),25000.0)</f>
        <v>25000</v>
      </c>
      <c r="F1884" s="1">
        <f>IFERROR(__xludf.DUMMYFUNCTION("""COMPUTED_VALUE"""),431909.0)</f>
        <v>431909</v>
      </c>
    </row>
    <row r="1885">
      <c r="A1885" s="2">
        <f>IFERROR(__xludf.DUMMYFUNCTION("""COMPUTED_VALUE"""),43346.64583333333)</f>
        <v>43346.64583</v>
      </c>
      <c r="B1885" s="1">
        <f>IFERROR(__xludf.DUMMYFUNCTION("""COMPUTED_VALUE"""),25000.0)</f>
        <v>25000</v>
      </c>
      <c r="C1885" s="1">
        <f>IFERROR(__xludf.DUMMYFUNCTION("""COMPUTED_VALUE"""),25100.0)</f>
        <v>25100</v>
      </c>
      <c r="D1885" s="1">
        <f>IFERROR(__xludf.DUMMYFUNCTION("""COMPUTED_VALUE"""),24200.0)</f>
        <v>24200</v>
      </c>
      <c r="E1885" s="1">
        <f>IFERROR(__xludf.DUMMYFUNCTION("""COMPUTED_VALUE"""),24300.0)</f>
        <v>24300</v>
      </c>
      <c r="F1885" s="1">
        <f>IFERROR(__xludf.DUMMYFUNCTION("""COMPUTED_VALUE"""),460200.0)</f>
        <v>460200</v>
      </c>
    </row>
    <row r="1886">
      <c r="A1886" s="2">
        <f>IFERROR(__xludf.DUMMYFUNCTION("""COMPUTED_VALUE"""),43347.64583333333)</f>
        <v>43347.64583</v>
      </c>
      <c r="B1886" s="1">
        <f>IFERROR(__xludf.DUMMYFUNCTION("""COMPUTED_VALUE"""),24300.0)</f>
        <v>24300</v>
      </c>
      <c r="C1886" s="1">
        <f>IFERROR(__xludf.DUMMYFUNCTION("""COMPUTED_VALUE"""),24600.0)</f>
        <v>24600</v>
      </c>
      <c r="D1886" s="1">
        <f>IFERROR(__xludf.DUMMYFUNCTION("""COMPUTED_VALUE"""),24100.0)</f>
        <v>24100</v>
      </c>
      <c r="E1886" s="1">
        <f>IFERROR(__xludf.DUMMYFUNCTION("""COMPUTED_VALUE"""),24400.0)</f>
        <v>24400</v>
      </c>
      <c r="F1886" s="1">
        <f>IFERROR(__xludf.DUMMYFUNCTION("""COMPUTED_VALUE"""),268355.0)</f>
        <v>268355</v>
      </c>
    </row>
    <row r="1887">
      <c r="A1887" s="2">
        <f>IFERROR(__xludf.DUMMYFUNCTION("""COMPUTED_VALUE"""),43348.64583333333)</f>
        <v>43348.64583</v>
      </c>
      <c r="B1887" s="1">
        <f>IFERROR(__xludf.DUMMYFUNCTION("""COMPUTED_VALUE"""),24400.0)</f>
        <v>24400</v>
      </c>
      <c r="C1887" s="1">
        <f>IFERROR(__xludf.DUMMYFUNCTION("""COMPUTED_VALUE"""),24700.0)</f>
        <v>24700</v>
      </c>
      <c r="D1887" s="1">
        <f>IFERROR(__xludf.DUMMYFUNCTION("""COMPUTED_VALUE"""),24200.0)</f>
        <v>24200</v>
      </c>
      <c r="E1887" s="1">
        <f>IFERROR(__xludf.DUMMYFUNCTION("""COMPUTED_VALUE"""),24200.0)</f>
        <v>24200</v>
      </c>
      <c r="F1887" s="1">
        <f>IFERROR(__xludf.DUMMYFUNCTION("""COMPUTED_VALUE"""),215419.0)</f>
        <v>215419</v>
      </c>
    </row>
    <row r="1888">
      <c r="A1888" s="2">
        <f>IFERROR(__xludf.DUMMYFUNCTION("""COMPUTED_VALUE"""),43349.64583333333)</f>
        <v>43349.64583</v>
      </c>
      <c r="B1888" s="1">
        <f>IFERROR(__xludf.DUMMYFUNCTION("""COMPUTED_VALUE"""),24300.0)</f>
        <v>24300</v>
      </c>
      <c r="C1888" s="1">
        <f>IFERROR(__xludf.DUMMYFUNCTION("""COMPUTED_VALUE"""),24400.0)</f>
        <v>24400</v>
      </c>
      <c r="D1888" s="1">
        <f>IFERROR(__xludf.DUMMYFUNCTION("""COMPUTED_VALUE"""),23800.0)</f>
        <v>23800</v>
      </c>
      <c r="E1888" s="1">
        <f>IFERROR(__xludf.DUMMYFUNCTION("""COMPUTED_VALUE"""),24000.0)</f>
        <v>24000</v>
      </c>
      <c r="F1888" s="1">
        <f>IFERROR(__xludf.DUMMYFUNCTION("""COMPUTED_VALUE"""),299195.0)</f>
        <v>299195</v>
      </c>
    </row>
    <row r="1889">
      <c r="A1889" s="2">
        <f>IFERROR(__xludf.DUMMYFUNCTION("""COMPUTED_VALUE"""),43350.64583333333)</f>
        <v>43350.64583</v>
      </c>
      <c r="B1889" s="1">
        <f>IFERROR(__xludf.DUMMYFUNCTION("""COMPUTED_VALUE"""),24000.0)</f>
        <v>24000</v>
      </c>
      <c r="C1889" s="1">
        <f>IFERROR(__xludf.DUMMYFUNCTION("""COMPUTED_VALUE"""),24100.0)</f>
        <v>24100</v>
      </c>
      <c r="D1889" s="1">
        <f>IFERROR(__xludf.DUMMYFUNCTION("""COMPUTED_VALUE"""),23700.0)</f>
        <v>23700</v>
      </c>
      <c r="E1889" s="1">
        <f>IFERROR(__xludf.DUMMYFUNCTION("""COMPUTED_VALUE"""),24000.0)</f>
        <v>24000</v>
      </c>
      <c r="F1889" s="1">
        <f>IFERROR(__xludf.DUMMYFUNCTION("""COMPUTED_VALUE"""),206174.0)</f>
        <v>206174</v>
      </c>
    </row>
    <row r="1890">
      <c r="A1890" s="2">
        <f>IFERROR(__xludf.DUMMYFUNCTION("""COMPUTED_VALUE"""),43353.64583333333)</f>
        <v>43353.64583</v>
      </c>
      <c r="B1890" s="1">
        <f>IFERROR(__xludf.DUMMYFUNCTION("""COMPUTED_VALUE"""),23800.0)</f>
        <v>23800</v>
      </c>
      <c r="C1890" s="1">
        <f>IFERROR(__xludf.DUMMYFUNCTION("""COMPUTED_VALUE"""),24100.0)</f>
        <v>24100</v>
      </c>
      <c r="D1890" s="1">
        <f>IFERROR(__xludf.DUMMYFUNCTION("""COMPUTED_VALUE"""),23700.0)</f>
        <v>23700</v>
      </c>
      <c r="E1890" s="1">
        <f>IFERROR(__xludf.DUMMYFUNCTION("""COMPUTED_VALUE"""),23800.0)</f>
        <v>23800</v>
      </c>
      <c r="F1890" s="1">
        <f>IFERROR(__xludf.DUMMYFUNCTION("""COMPUTED_VALUE"""),216152.0)</f>
        <v>216152</v>
      </c>
    </row>
    <row r="1891">
      <c r="A1891" s="2">
        <f>IFERROR(__xludf.DUMMYFUNCTION("""COMPUTED_VALUE"""),43354.64583333333)</f>
        <v>43354.64583</v>
      </c>
      <c r="B1891" s="1">
        <f>IFERROR(__xludf.DUMMYFUNCTION("""COMPUTED_VALUE"""),23700.0)</f>
        <v>23700</v>
      </c>
      <c r="C1891" s="1">
        <f>IFERROR(__xludf.DUMMYFUNCTION("""COMPUTED_VALUE"""),23700.0)</f>
        <v>23700</v>
      </c>
      <c r="D1891" s="1">
        <f>IFERROR(__xludf.DUMMYFUNCTION("""COMPUTED_VALUE"""),23200.0)</f>
        <v>23200</v>
      </c>
      <c r="E1891" s="1">
        <f>IFERROR(__xludf.DUMMYFUNCTION("""COMPUTED_VALUE"""),23300.0)</f>
        <v>23300</v>
      </c>
      <c r="F1891" s="1">
        <f>IFERROR(__xludf.DUMMYFUNCTION("""COMPUTED_VALUE"""),424870.0)</f>
        <v>424870</v>
      </c>
    </row>
    <row r="1892">
      <c r="A1892" s="2">
        <f>IFERROR(__xludf.DUMMYFUNCTION("""COMPUTED_VALUE"""),43355.64583333333)</f>
        <v>43355.64583</v>
      </c>
      <c r="B1892" s="1">
        <f>IFERROR(__xludf.DUMMYFUNCTION("""COMPUTED_VALUE"""),23300.0)</f>
        <v>23300</v>
      </c>
      <c r="C1892" s="1">
        <f>IFERROR(__xludf.DUMMYFUNCTION("""COMPUTED_VALUE"""),24100.0)</f>
        <v>24100</v>
      </c>
      <c r="D1892" s="1">
        <f>IFERROR(__xludf.DUMMYFUNCTION("""COMPUTED_VALUE"""),23300.0)</f>
        <v>23300</v>
      </c>
      <c r="E1892" s="1">
        <f>IFERROR(__xludf.DUMMYFUNCTION("""COMPUTED_VALUE"""),24000.0)</f>
        <v>24000</v>
      </c>
      <c r="F1892" s="1">
        <f>IFERROR(__xludf.DUMMYFUNCTION("""COMPUTED_VALUE"""),344739.0)</f>
        <v>344739</v>
      </c>
    </row>
    <row r="1893">
      <c r="A1893" s="2">
        <f>IFERROR(__xludf.DUMMYFUNCTION("""COMPUTED_VALUE"""),43356.64583333333)</f>
        <v>43356.64583</v>
      </c>
      <c r="B1893" s="1">
        <f>IFERROR(__xludf.DUMMYFUNCTION("""COMPUTED_VALUE"""),24200.0)</f>
        <v>24200</v>
      </c>
      <c r="C1893" s="1">
        <f>IFERROR(__xludf.DUMMYFUNCTION("""COMPUTED_VALUE"""),24400.0)</f>
        <v>24400</v>
      </c>
      <c r="D1893" s="1">
        <f>IFERROR(__xludf.DUMMYFUNCTION("""COMPUTED_VALUE"""),23900.0)</f>
        <v>23900</v>
      </c>
      <c r="E1893" s="1">
        <f>IFERROR(__xludf.DUMMYFUNCTION("""COMPUTED_VALUE"""),24200.0)</f>
        <v>24200</v>
      </c>
      <c r="F1893" s="1">
        <f>IFERROR(__xludf.DUMMYFUNCTION("""COMPUTED_VALUE"""),407528.0)</f>
        <v>407528</v>
      </c>
    </row>
    <row r="1894">
      <c r="A1894" s="2">
        <f>IFERROR(__xludf.DUMMYFUNCTION("""COMPUTED_VALUE"""),43357.64583333333)</f>
        <v>43357.64583</v>
      </c>
      <c r="B1894" s="1">
        <f>IFERROR(__xludf.DUMMYFUNCTION("""COMPUTED_VALUE"""),24100.0)</f>
        <v>24100</v>
      </c>
      <c r="C1894" s="1">
        <f>IFERROR(__xludf.DUMMYFUNCTION("""COMPUTED_VALUE"""),24200.0)</f>
        <v>24200</v>
      </c>
      <c r="D1894" s="1">
        <f>IFERROR(__xludf.DUMMYFUNCTION("""COMPUTED_VALUE"""),23700.0)</f>
        <v>23700</v>
      </c>
      <c r="E1894" s="1">
        <f>IFERROR(__xludf.DUMMYFUNCTION("""COMPUTED_VALUE"""),24000.0)</f>
        <v>24000</v>
      </c>
      <c r="F1894" s="1">
        <f>IFERROR(__xludf.DUMMYFUNCTION("""COMPUTED_VALUE"""),287642.0)</f>
        <v>287642</v>
      </c>
    </row>
    <row r="1895">
      <c r="A1895" s="2">
        <f>IFERROR(__xludf.DUMMYFUNCTION("""COMPUTED_VALUE"""),43360.64583333333)</f>
        <v>43360.64583</v>
      </c>
      <c r="B1895" s="1">
        <f>IFERROR(__xludf.DUMMYFUNCTION("""COMPUTED_VALUE"""),24100.0)</f>
        <v>24100</v>
      </c>
      <c r="C1895" s="1">
        <f>IFERROR(__xludf.DUMMYFUNCTION("""COMPUTED_VALUE"""),24300.0)</f>
        <v>24300</v>
      </c>
      <c r="D1895" s="1">
        <f>IFERROR(__xludf.DUMMYFUNCTION("""COMPUTED_VALUE"""),23600.0)</f>
        <v>23600</v>
      </c>
      <c r="E1895" s="1">
        <f>IFERROR(__xludf.DUMMYFUNCTION("""COMPUTED_VALUE"""),24300.0)</f>
        <v>24300</v>
      </c>
      <c r="F1895" s="1">
        <f>IFERROR(__xludf.DUMMYFUNCTION("""COMPUTED_VALUE"""),359811.0)</f>
        <v>359811</v>
      </c>
    </row>
    <row r="1896">
      <c r="A1896" s="2">
        <f>IFERROR(__xludf.DUMMYFUNCTION("""COMPUTED_VALUE"""),43361.64583333333)</f>
        <v>43361.64583</v>
      </c>
      <c r="B1896" s="1">
        <f>IFERROR(__xludf.DUMMYFUNCTION("""COMPUTED_VALUE"""),24400.0)</f>
        <v>24400</v>
      </c>
      <c r="C1896" s="1">
        <f>IFERROR(__xludf.DUMMYFUNCTION("""COMPUTED_VALUE"""),24500.0)</f>
        <v>24500</v>
      </c>
      <c r="D1896" s="1">
        <f>IFERROR(__xludf.DUMMYFUNCTION("""COMPUTED_VALUE"""),24000.0)</f>
        <v>24000</v>
      </c>
      <c r="E1896" s="1">
        <f>IFERROR(__xludf.DUMMYFUNCTION("""COMPUTED_VALUE"""),24100.0)</f>
        <v>24100</v>
      </c>
      <c r="F1896" s="1">
        <f>IFERROR(__xludf.DUMMYFUNCTION("""COMPUTED_VALUE"""),384132.0)</f>
        <v>384132</v>
      </c>
    </row>
    <row r="1897">
      <c r="A1897" s="2">
        <f>IFERROR(__xludf.DUMMYFUNCTION("""COMPUTED_VALUE"""),43362.64583333333)</f>
        <v>43362.64583</v>
      </c>
      <c r="B1897" s="1">
        <f>IFERROR(__xludf.DUMMYFUNCTION("""COMPUTED_VALUE"""),24200.0)</f>
        <v>24200</v>
      </c>
      <c r="C1897" s="1">
        <f>IFERROR(__xludf.DUMMYFUNCTION("""COMPUTED_VALUE"""),24200.0)</f>
        <v>24200</v>
      </c>
      <c r="D1897" s="1">
        <f>IFERROR(__xludf.DUMMYFUNCTION("""COMPUTED_VALUE"""),23300.0)</f>
        <v>23300</v>
      </c>
      <c r="E1897" s="1">
        <f>IFERROR(__xludf.DUMMYFUNCTION("""COMPUTED_VALUE"""),23400.0)</f>
        <v>23400</v>
      </c>
      <c r="F1897" s="1">
        <f>IFERROR(__xludf.DUMMYFUNCTION("""COMPUTED_VALUE"""),664304.0)</f>
        <v>664304</v>
      </c>
    </row>
    <row r="1898">
      <c r="A1898" s="2">
        <f>IFERROR(__xludf.DUMMYFUNCTION("""COMPUTED_VALUE"""),43363.64583333333)</f>
        <v>43363.64583</v>
      </c>
      <c r="B1898" s="1">
        <f>IFERROR(__xludf.DUMMYFUNCTION("""COMPUTED_VALUE"""),23600.0)</f>
        <v>23600</v>
      </c>
      <c r="C1898" s="1">
        <f>IFERROR(__xludf.DUMMYFUNCTION("""COMPUTED_VALUE"""),23900.0)</f>
        <v>23900</v>
      </c>
      <c r="D1898" s="1">
        <f>IFERROR(__xludf.DUMMYFUNCTION("""COMPUTED_VALUE"""),23400.0)</f>
        <v>23400</v>
      </c>
      <c r="E1898" s="1">
        <f>IFERROR(__xludf.DUMMYFUNCTION("""COMPUTED_VALUE"""),23500.0)</f>
        <v>23500</v>
      </c>
      <c r="F1898" s="1">
        <f>IFERROR(__xludf.DUMMYFUNCTION("""COMPUTED_VALUE"""),308838.0)</f>
        <v>308838</v>
      </c>
    </row>
    <row r="1899">
      <c r="A1899" s="2">
        <f>IFERROR(__xludf.DUMMYFUNCTION("""COMPUTED_VALUE"""),43364.64583333333)</f>
        <v>43364.64583</v>
      </c>
      <c r="B1899" s="1">
        <f>IFERROR(__xludf.DUMMYFUNCTION("""COMPUTED_VALUE"""),24300.0)</f>
        <v>24300</v>
      </c>
      <c r="C1899" s="1">
        <f>IFERROR(__xludf.DUMMYFUNCTION("""COMPUTED_VALUE"""),24700.0)</f>
        <v>24700</v>
      </c>
      <c r="D1899" s="1">
        <f>IFERROR(__xludf.DUMMYFUNCTION("""COMPUTED_VALUE"""),23700.0)</f>
        <v>23700</v>
      </c>
      <c r="E1899" s="1">
        <f>IFERROR(__xludf.DUMMYFUNCTION("""COMPUTED_VALUE"""),23700.0)</f>
        <v>23700</v>
      </c>
      <c r="F1899" s="1">
        <f>IFERROR(__xludf.DUMMYFUNCTION("""COMPUTED_VALUE"""),667099.0)</f>
        <v>667099</v>
      </c>
    </row>
    <row r="1900">
      <c r="A1900" s="2">
        <f>IFERROR(__xludf.DUMMYFUNCTION("""COMPUTED_VALUE"""),43370.64583333333)</f>
        <v>43370.64583</v>
      </c>
      <c r="B1900" s="1">
        <f>IFERROR(__xludf.DUMMYFUNCTION("""COMPUTED_VALUE"""),23800.0)</f>
        <v>23800</v>
      </c>
      <c r="C1900" s="1">
        <f>IFERROR(__xludf.DUMMYFUNCTION("""COMPUTED_VALUE"""),24200.0)</f>
        <v>24200</v>
      </c>
      <c r="D1900" s="1">
        <f>IFERROR(__xludf.DUMMYFUNCTION("""COMPUTED_VALUE"""),23800.0)</f>
        <v>23800</v>
      </c>
      <c r="E1900" s="1">
        <f>IFERROR(__xludf.DUMMYFUNCTION("""COMPUTED_VALUE"""),24100.0)</f>
        <v>24100</v>
      </c>
      <c r="F1900" s="1">
        <f>IFERROR(__xludf.DUMMYFUNCTION("""COMPUTED_VALUE"""),275536.0)</f>
        <v>275536</v>
      </c>
    </row>
    <row r="1901">
      <c r="A1901" s="2">
        <f>IFERROR(__xludf.DUMMYFUNCTION("""COMPUTED_VALUE"""),43371.64583333333)</f>
        <v>43371.64583</v>
      </c>
      <c r="B1901" s="1">
        <f>IFERROR(__xludf.DUMMYFUNCTION("""COMPUTED_VALUE"""),24000.0)</f>
        <v>24000</v>
      </c>
      <c r="C1901" s="1">
        <f>IFERROR(__xludf.DUMMYFUNCTION("""COMPUTED_VALUE"""),24100.0)</f>
        <v>24100</v>
      </c>
      <c r="D1901" s="1">
        <f>IFERROR(__xludf.DUMMYFUNCTION("""COMPUTED_VALUE"""),23800.0)</f>
        <v>23800</v>
      </c>
      <c r="E1901" s="1">
        <f>IFERROR(__xludf.DUMMYFUNCTION("""COMPUTED_VALUE"""),23800.0)</f>
        <v>23800</v>
      </c>
      <c r="F1901" s="1">
        <f>IFERROR(__xludf.DUMMYFUNCTION("""COMPUTED_VALUE"""),229927.0)</f>
        <v>229927</v>
      </c>
    </row>
    <row r="1902">
      <c r="A1902" s="2">
        <f>IFERROR(__xludf.DUMMYFUNCTION("""COMPUTED_VALUE"""),43374.64583333333)</f>
        <v>43374.64583</v>
      </c>
      <c r="B1902" s="1">
        <f>IFERROR(__xludf.DUMMYFUNCTION("""COMPUTED_VALUE"""),24000.0)</f>
        <v>24000</v>
      </c>
      <c r="C1902" s="1">
        <f>IFERROR(__xludf.DUMMYFUNCTION("""COMPUTED_VALUE"""),24700.0)</f>
        <v>24700</v>
      </c>
      <c r="D1902" s="1">
        <f>IFERROR(__xludf.DUMMYFUNCTION("""COMPUTED_VALUE"""),23900.0)</f>
        <v>23900</v>
      </c>
      <c r="E1902" s="1">
        <f>IFERROR(__xludf.DUMMYFUNCTION("""COMPUTED_VALUE"""),23900.0)</f>
        <v>23900</v>
      </c>
      <c r="F1902" s="1">
        <f>IFERROR(__xludf.DUMMYFUNCTION("""COMPUTED_VALUE"""),368677.0)</f>
        <v>368677</v>
      </c>
    </row>
    <row r="1903">
      <c r="A1903" s="2">
        <f>IFERROR(__xludf.DUMMYFUNCTION("""COMPUTED_VALUE"""),43375.64583333333)</f>
        <v>43375.64583</v>
      </c>
      <c r="B1903" s="1">
        <f>IFERROR(__xludf.DUMMYFUNCTION("""COMPUTED_VALUE"""),24100.0)</f>
        <v>24100</v>
      </c>
      <c r="C1903" s="1">
        <f>IFERROR(__xludf.DUMMYFUNCTION("""COMPUTED_VALUE"""),24200.0)</f>
        <v>24200</v>
      </c>
      <c r="D1903" s="1">
        <f>IFERROR(__xludf.DUMMYFUNCTION("""COMPUTED_VALUE"""),22900.0)</f>
        <v>22900</v>
      </c>
      <c r="E1903" s="1">
        <f>IFERROR(__xludf.DUMMYFUNCTION("""COMPUTED_VALUE"""),23100.0)</f>
        <v>23100</v>
      </c>
      <c r="F1903" s="1">
        <f>IFERROR(__xludf.DUMMYFUNCTION("""COMPUTED_VALUE"""),615909.0)</f>
        <v>615909</v>
      </c>
    </row>
    <row r="1904">
      <c r="A1904" s="2">
        <f>IFERROR(__xludf.DUMMYFUNCTION("""COMPUTED_VALUE"""),43377.64583333333)</f>
        <v>43377.64583</v>
      </c>
      <c r="B1904" s="1">
        <f>IFERROR(__xludf.DUMMYFUNCTION("""COMPUTED_VALUE"""),22900.0)</f>
        <v>22900</v>
      </c>
      <c r="C1904" s="1">
        <f>IFERROR(__xludf.DUMMYFUNCTION("""COMPUTED_VALUE"""),23100.0)</f>
        <v>23100</v>
      </c>
      <c r="D1904" s="1">
        <f>IFERROR(__xludf.DUMMYFUNCTION("""COMPUTED_VALUE"""),22200.0)</f>
        <v>22200</v>
      </c>
      <c r="E1904" s="1">
        <f>IFERROR(__xludf.DUMMYFUNCTION("""COMPUTED_VALUE"""),22400.0)</f>
        <v>22400</v>
      </c>
      <c r="F1904" s="1">
        <f>IFERROR(__xludf.DUMMYFUNCTION("""COMPUTED_VALUE"""),603136.0)</f>
        <v>603136</v>
      </c>
    </row>
    <row r="1905">
      <c r="A1905" s="2">
        <f>IFERROR(__xludf.DUMMYFUNCTION("""COMPUTED_VALUE"""),43378.64583333333)</f>
        <v>43378.64583</v>
      </c>
      <c r="B1905" s="1">
        <f>IFERROR(__xludf.DUMMYFUNCTION("""COMPUTED_VALUE"""),22100.0)</f>
        <v>22100</v>
      </c>
      <c r="C1905" s="1">
        <f>IFERROR(__xludf.DUMMYFUNCTION("""COMPUTED_VALUE"""),22300.0)</f>
        <v>22300</v>
      </c>
      <c r="D1905" s="1">
        <f>IFERROR(__xludf.DUMMYFUNCTION("""COMPUTED_VALUE"""),21700.0)</f>
        <v>21700</v>
      </c>
      <c r="E1905" s="1">
        <f>IFERROR(__xludf.DUMMYFUNCTION("""COMPUTED_VALUE"""),21800.0)</f>
        <v>21800</v>
      </c>
      <c r="F1905" s="1">
        <f>IFERROR(__xludf.DUMMYFUNCTION("""COMPUTED_VALUE"""),479642.0)</f>
        <v>479642</v>
      </c>
    </row>
    <row r="1906">
      <c r="A1906" s="2">
        <f>IFERROR(__xludf.DUMMYFUNCTION("""COMPUTED_VALUE"""),43381.64583333333)</f>
        <v>43381.64583</v>
      </c>
      <c r="B1906" s="1">
        <f>IFERROR(__xludf.DUMMYFUNCTION("""COMPUTED_VALUE"""),21500.0)</f>
        <v>21500</v>
      </c>
      <c r="C1906" s="1">
        <f>IFERROR(__xludf.DUMMYFUNCTION("""COMPUTED_VALUE"""),22100.0)</f>
        <v>22100</v>
      </c>
      <c r="D1906" s="1">
        <f>IFERROR(__xludf.DUMMYFUNCTION("""COMPUTED_VALUE"""),21500.0)</f>
        <v>21500</v>
      </c>
      <c r="E1906" s="1">
        <f>IFERROR(__xludf.DUMMYFUNCTION("""COMPUTED_VALUE"""),21500.0)</f>
        <v>21500</v>
      </c>
      <c r="F1906" s="1">
        <f>IFERROR(__xludf.DUMMYFUNCTION("""COMPUTED_VALUE"""),187871.0)</f>
        <v>187871</v>
      </c>
    </row>
    <row r="1907">
      <c r="A1907" s="2">
        <f>IFERROR(__xludf.DUMMYFUNCTION("""COMPUTED_VALUE"""),43383.64583333333)</f>
        <v>43383.64583</v>
      </c>
      <c r="B1907" s="1">
        <f>IFERROR(__xludf.DUMMYFUNCTION("""COMPUTED_VALUE"""),21300.0)</f>
        <v>21300</v>
      </c>
      <c r="C1907" s="1">
        <f>IFERROR(__xludf.DUMMYFUNCTION("""COMPUTED_VALUE"""),21700.0)</f>
        <v>21700</v>
      </c>
      <c r="D1907" s="1">
        <f>IFERROR(__xludf.DUMMYFUNCTION("""COMPUTED_VALUE"""),20800.0)</f>
        <v>20800</v>
      </c>
      <c r="E1907" s="1">
        <f>IFERROR(__xludf.DUMMYFUNCTION("""COMPUTED_VALUE"""),20800.0)</f>
        <v>20800</v>
      </c>
      <c r="F1907" s="1">
        <f>IFERROR(__xludf.DUMMYFUNCTION("""COMPUTED_VALUE"""),516278.0)</f>
        <v>516278</v>
      </c>
    </row>
    <row r="1908">
      <c r="A1908" s="2">
        <f>IFERROR(__xludf.DUMMYFUNCTION("""COMPUTED_VALUE"""),43384.64583333333)</f>
        <v>43384.64583</v>
      </c>
      <c r="B1908" s="1">
        <f>IFERROR(__xludf.DUMMYFUNCTION("""COMPUTED_VALUE"""),20000.0)</f>
        <v>20000</v>
      </c>
      <c r="C1908" s="1">
        <f>IFERROR(__xludf.DUMMYFUNCTION("""COMPUTED_VALUE"""),20400.0)</f>
        <v>20400</v>
      </c>
      <c r="D1908" s="1">
        <f>IFERROR(__xludf.DUMMYFUNCTION("""COMPUTED_VALUE"""),19700.0)</f>
        <v>19700</v>
      </c>
      <c r="E1908" s="1">
        <f>IFERROR(__xludf.DUMMYFUNCTION("""COMPUTED_VALUE"""),19700.0)</f>
        <v>19700</v>
      </c>
      <c r="F1908" s="1">
        <f>IFERROR(__xludf.DUMMYFUNCTION("""COMPUTED_VALUE"""),957608.0)</f>
        <v>957608</v>
      </c>
    </row>
    <row r="1909">
      <c r="A1909" s="2">
        <f>IFERROR(__xludf.DUMMYFUNCTION("""COMPUTED_VALUE"""),43385.64583333333)</f>
        <v>43385.64583</v>
      </c>
      <c r="B1909" s="1">
        <f>IFERROR(__xludf.DUMMYFUNCTION("""COMPUTED_VALUE"""),19700.0)</f>
        <v>19700</v>
      </c>
      <c r="C1909" s="1">
        <f>IFERROR(__xludf.DUMMYFUNCTION("""COMPUTED_VALUE"""),20400.0)</f>
        <v>20400</v>
      </c>
      <c r="D1909" s="1">
        <f>IFERROR(__xludf.DUMMYFUNCTION("""COMPUTED_VALUE"""),19520.0)</f>
        <v>19520</v>
      </c>
      <c r="E1909" s="1">
        <f>IFERROR(__xludf.DUMMYFUNCTION("""COMPUTED_VALUE"""),20200.0)</f>
        <v>20200</v>
      </c>
      <c r="F1909" s="1">
        <f>IFERROR(__xludf.DUMMYFUNCTION("""COMPUTED_VALUE"""),537122.0)</f>
        <v>537122</v>
      </c>
    </row>
    <row r="1910">
      <c r="A1910" s="2">
        <f>IFERROR(__xludf.DUMMYFUNCTION("""COMPUTED_VALUE"""),43388.64583333333)</f>
        <v>43388.64583</v>
      </c>
      <c r="B1910" s="1">
        <f>IFERROR(__xludf.DUMMYFUNCTION("""COMPUTED_VALUE"""),20200.0)</f>
        <v>20200</v>
      </c>
      <c r="C1910" s="1">
        <f>IFERROR(__xludf.DUMMYFUNCTION("""COMPUTED_VALUE"""),20400.0)</f>
        <v>20400</v>
      </c>
      <c r="D1910" s="1">
        <f>IFERROR(__xludf.DUMMYFUNCTION("""COMPUTED_VALUE"""),19840.0)</f>
        <v>19840</v>
      </c>
      <c r="E1910" s="1">
        <f>IFERROR(__xludf.DUMMYFUNCTION("""COMPUTED_VALUE"""),19860.0)</f>
        <v>19860</v>
      </c>
      <c r="F1910" s="1">
        <f>IFERROR(__xludf.DUMMYFUNCTION("""COMPUTED_VALUE"""),219792.0)</f>
        <v>219792</v>
      </c>
    </row>
    <row r="1911">
      <c r="A1911" s="2">
        <f>IFERROR(__xludf.DUMMYFUNCTION("""COMPUTED_VALUE"""),43389.64583333333)</f>
        <v>43389.64583</v>
      </c>
      <c r="B1911" s="1">
        <f>IFERROR(__xludf.DUMMYFUNCTION("""COMPUTED_VALUE"""),19860.0)</f>
        <v>19860</v>
      </c>
      <c r="C1911" s="1">
        <f>IFERROR(__xludf.DUMMYFUNCTION("""COMPUTED_VALUE"""),20200.0)</f>
        <v>20200</v>
      </c>
      <c r="D1911" s="1">
        <f>IFERROR(__xludf.DUMMYFUNCTION("""COMPUTED_VALUE"""),19860.0)</f>
        <v>19860</v>
      </c>
      <c r="E1911" s="1">
        <f>IFERROR(__xludf.DUMMYFUNCTION("""COMPUTED_VALUE"""),20100.0)</f>
        <v>20100</v>
      </c>
      <c r="F1911" s="1">
        <f>IFERROR(__xludf.DUMMYFUNCTION("""COMPUTED_VALUE"""),183949.0)</f>
        <v>183949</v>
      </c>
    </row>
    <row r="1912">
      <c r="A1912" s="2">
        <f>IFERROR(__xludf.DUMMYFUNCTION("""COMPUTED_VALUE"""),43390.64583333333)</f>
        <v>43390.64583</v>
      </c>
      <c r="B1912" s="1">
        <f>IFERROR(__xludf.DUMMYFUNCTION("""COMPUTED_VALUE"""),20600.0)</f>
        <v>20600</v>
      </c>
      <c r="C1912" s="1">
        <f>IFERROR(__xludf.DUMMYFUNCTION("""COMPUTED_VALUE"""),20600.0)</f>
        <v>20600</v>
      </c>
      <c r="D1912" s="1">
        <f>IFERROR(__xludf.DUMMYFUNCTION("""COMPUTED_VALUE"""),20000.0)</f>
        <v>20000</v>
      </c>
      <c r="E1912" s="1">
        <f>IFERROR(__xludf.DUMMYFUNCTION("""COMPUTED_VALUE"""),20100.0)</f>
        <v>20100</v>
      </c>
      <c r="F1912" s="1">
        <f>IFERROR(__xludf.DUMMYFUNCTION("""COMPUTED_VALUE"""),302780.0)</f>
        <v>302780</v>
      </c>
    </row>
    <row r="1913">
      <c r="A1913" s="2">
        <f>IFERROR(__xludf.DUMMYFUNCTION("""COMPUTED_VALUE"""),43391.64583333333)</f>
        <v>43391.64583</v>
      </c>
      <c r="B1913" s="1">
        <f>IFERROR(__xludf.DUMMYFUNCTION("""COMPUTED_VALUE"""),20000.0)</f>
        <v>20000</v>
      </c>
      <c r="C1913" s="1">
        <f>IFERROR(__xludf.DUMMYFUNCTION("""COMPUTED_VALUE"""),20300.0)</f>
        <v>20300</v>
      </c>
      <c r="D1913" s="1">
        <f>IFERROR(__xludf.DUMMYFUNCTION("""COMPUTED_VALUE"""),19940.0)</f>
        <v>19940</v>
      </c>
      <c r="E1913" s="1">
        <f>IFERROR(__xludf.DUMMYFUNCTION("""COMPUTED_VALUE"""),20100.0)</f>
        <v>20100</v>
      </c>
      <c r="F1913" s="1">
        <f>IFERROR(__xludf.DUMMYFUNCTION("""COMPUTED_VALUE"""),173176.0)</f>
        <v>173176</v>
      </c>
    </row>
    <row r="1914">
      <c r="A1914" s="2">
        <f>IFERROR(__xludf.DUMMYFUNCTION("""COMPUTED_VALUE"""),43392.64583333333)</f>
        <v>43392.64583</v>
      </c>
      <c r="B1914" s="1">
        <f>IFERROR(__xludf.DUMMYFUNCTION("""COMPUTED_VALUE"""),20000.0)</f>
        <v>20000</v>
      </c>
      <c r="C1914" s="1">
        <f>IFERROR(__xludf.DUMMYFUNCTION("""COMPUTED_VALUE"""),20400.0)</f>
        <v>20400</v>
      </c>
      <c r="D1914" s="1">
        <f>IFERROR(__xludf.DUMMYFUNCTION("""COMPUTED_VALUE"""),19820.0)</f>
        <v>19820</v>
      </c>
      <c r="E1914" s="1">
        <f>IFERROR(__xludf.DUMMYFUNCTION("""COMPUTED_VALUE"""),20200.0)</f>
        <v>20200</v>
      </c>
      <c r="F1914" s="1">
        <f>IFERROR(__xludf.DUMMYFUNCTION("""COMPUTED_VALUE"""),268396.0)</f>
        <v>268396</v>
      </c>
    </row>
    <row r="1915">
      <c r="A1915" s="2">
        <f>IFERROR(__xludf.DUMMYFUNCTION("""COMPUTED_VALUE"""),43395.64583333333)</f>
        <v>43395.64583</v>
      </c>
      <c r="B1915" s="1">
        <f>IFERROR(__xludf.DUMMYFUNCTION("""COMPUTED_VALUE"""),20300.0)</f>
        <v>20300</v>
      </c>
      <c r="C1915" s="1">
        <f>IFERROR(__xludf.DUMMYFUNCTION("""COMPUTED_VALUE"""),20800.0)</f>
        <v>20800</v>
      </c>
      <c r="D1915" s="1">
        <f>IFERROR(__xludf.DUMMYFUNCTION("""COMPUTED_VALUE"""),20100.0)</f>
        <v>20100</v>
      </c>
      <c r="E1915" s="1">
        <f>IFERROR(__xludf.DUMMYFUNCTION("""COMPUTED_VALUE"""),20500.0)</f>
        <v>20500</v>
      </c>
      <c r="F1915" s="1">
        <f>IFERROR(__xludf.DUMMYFUNCTION("""COMPUTED_VALUE"""),208316.0)</f>
        <v>208316</v>
      </c>
    </row>
    <row r="1916">
      <c r="A1916" s="2">
        <f>IFERROR(__xludf.DUMMYFUNCTION("""COMPUTED_VALUE"""),43396.64583333333)</f>
        <v>43396.64583</v>
      </c>
      <c r="B1916" s="1">
        <f>IFERROR(__xludf.DUMMYFUNCTION("""COMPUTED_VALUE"""),20500.0)</f>
        <v>20500</v>
      </c>
      <c r="C1916" s="1">
        <f>IFERROR(__xludf.DUMMYFUNCTION("""COMPUTED_VALUE"""),20700.0)</f>
        <v>20700</v>
      </c>
      <c r="D1916" s="1">
        <f>IFERROR(__xludf.DUMMYFUNCTION("""COMPUTED_VALUE"""),20000.0)</f>
        <v>20000</v>
      </c>
      <c r="E1916" s="1">
        <f>IFERROR(__xludf.DUMMYFUNCTION("""COMPUTED_VALUE"""),20100.0)</f>
        <v>20100</v>
      </c>
      <c r="F1916" s="1">
        <f>IFERROR(__xludf.DUMMYFUNCTION("""COMPUTED_VALUE"""),194001.0)</f>
        <v>194001</v>
      </c>
    </row>
    <row r="1917">
      <c r="A1917" s="2">
        <f>IFERROR(__xludf.DUMMYFUNCTION("""COMPUTED_VALUE"""),43397.64583333333)</f>
        <v>43397.64583</v>
      </c>
      <c r="B1917" s="1">
        <f>IFERROR(__xludf.DUMMYFUNCTION("""COMPUTED_VALUE"""),20200.0)</f>
        <v>20200</v>
      </c>
      <c r="C1917" s="1">
        <f>IFERROR(__xludf.DUMMYFUNCTION("""COMPUTED_VALUE"""),20300.0)</f>
        <v>20300</v>
      </c>
      <c r="D1917" s="1">
        <f>IFERROR(__xludf.DUMMYFUNCTION("""COMPUTED_VALUE"""),19780.0)</f>
        <v>19780</v>
      </c>
      <c r="E1917" s="1">
        <f>IFERROR(__xludf.DUMMYFUNCTION("""COMPUTED_VALUE"""),19840.0)</f>
        <v>19840</v>
      </c>
      <c r="F1917" s="1">
        <f>IFERROR(__xludf.DUMMYFUNCTION("""COMPUTED_VALUE"""),312593.0)</f>
        <v>312593</v>
      </c>
    </row>
    <row r="1918">
      <c r="A1918" s="2">
        <f>IFERROR(__xludf.DUMMYFUNCTION("""COMPUTED_VALUE"""),43398.64583333333)</f>
        <v>43398.64583</v>
      </c>
      <c r="B1918" s="1">
        <f>IFERROR(__xludf.DUMMYFUNCTION("""COMPUTED_VALUE"""),19460.0)</f>
        <v>19460</v>
      </c>
      <c r="C1918" s="1">
        <f>IFERROR(__xludf.DUMMYFUNCTION("""COMPUTED_VALUE"""),19460.0)</f>
        <v>19460</v>
      </c>
      <c r="D1918" s="1">
        <f>IFERROR(__xludf.DUMMYFUNCTION("""COMPUTED_VALUE"""),18400.0)</f>
        <v>18400</v>
      </c>
      <c r="E1918" s="1">
        <f>IFERROR(__xludf.DUMMYFUNCTION("""COMPUTED_VALUE"""),18840.0)</f>
        <v>18840</v>
      </c>
      <c r="F1918" s="1">
        <f>IFERROR(__xludf.DUMMYFUNCTION("""COMPUTED_VALUE"""),1024715.0)</f>
        <v>1024715</v>
      </c>
    </row>
    <row r="1919">
      <c r="A1919" s="2">
        <f>IFERROR(__xludf.DUMMYFUNCTION("""COMPUTED_VALUE"""),43399.64583333333)</f>
        <v>43399.64583</v>
      </c>
      <c r="B1919" s="1">
        <f>IFERROR(__xludf.DUMMYFUNCTION("""COMPUTED_VALUE"""),19000.0)</f>
        <v>19000</v>
      </c>
      <c r="C1919" s="1">
        <f>IFERROR(__xludf.DUMMYFUNCTION("""COMPUTED_VALUE"""),19100.0)</f>
        <v>19100</v>
      </c>
      <c r="D1919" s="1">
        <f>IFERROR(__xludf.DUMMYFUNCTION("""COMPUTED_VALUE"""),17980.0)</f>
        <v>17980</v>
      </c>
      <c r="E1919" s="1">
        <f>IFERROR(__xludf.DUMMYFUNCTION("""COMPUTED_VALUE"""),18180.0)</f>
        <v>18180</v>
      </c>
      <c r="F1919" s="1">
        <f>IFERROR(__xludf.DUMMYFUNCTION("""COMPUTED_VALUE"""),653419.0)</f>
        <v>653419</v>
      </c>
    </row>
    <row r="1920">
      <c r="A1920" s="2">
        <f>IFERROR(__xludf.DUMMYFUNCTION("""COMPUTED_VALUE"""),43402.64583333333)</f>
        <v>43402.64583</v>
      </c>
      <c r="B1920" s="1">
        <f>IFERROR(__xludf.DUMMYFUNCTION("""COMPUTED_VALUE"""),17980.0)</f>
        <v>17980</v>
      </c>
      <c r="C1920" s="1">
        <f>IFERROR(__xludf.DUMMYFUNCTION("""COMPUTED_VALUE"""),18480.0)</f>
        <v>18480</v>
      </c>
      <c r="D1920" s="1">
        <f>IFERROR(__xludf.DUMMYFUNCTION("""COMPUTED_VALUE"""),17440.0)</f>
        <v>17440</v>
      </c>
      <c r="E1920" s="1">
        <f>IFERROR(__xludf.DUMMYFUNCTION("""COMPUTED_VALUE"""),17520.0)</f>
        <v>17520</v>
      </c>
      <c r="F1920" s="1">
        <f>IFERROR(__xludf.DUMMYFUNCTION("""COMPUTED_VALUE"""),599252.0)</f>
        <v>599252</v>
      </c>
    </row>
    <row r="1921">
      <c r="A1921" s="2">
        <f>IFERROR(__xludf.DUMMYFUNCTION("""COMPUTED_VALUE"""),43403.64583333333)</f>
        <v>43403.64583</v>
      </c>
      <c r="B1921" s="1">
        <f>IFERROR(__xludf.DUMMYFUNCTION("""COMPUTED_VALUE"""),17200.0)</f>
        <v>17200</v>
      </c>
      <c r="C1921" s="1">
        <f>IFERROR(__xludf.DUMMYFUNCTION("""COMPUTED_VALUE"""),18220.0)</f>
        <v>18220</v>
      </c>
      <c r="D1921" s="1">
        <f>IFERROR(__xludf.DUMMYFUNCTION("""COMPUTED_VALUE"""),17200.0)</f>
        <v>17200</v>
      </c>
      <c r="E1921" s="1">
        <f>IFERROR(__xludf.DUMMYFUNCTION("""COMPUTED_VALUE"""),18100.0)</f>
        <v>18100</v>
      </c>
      <c r="F1921" s="1">
        <f>IFERROR(__xludf.DUMMYFUNCTION("""COMPUTED_VALUE"""),521229.0)</f>
        <v>521229</v>
      </c>
    </row>
    <row r="1922">
      <c r="A1922" s="2">
        <f>IFERROR(__xludf.DUMMYFUNCTION("""COMPUTED_VALUE"""),43404.64583333333)</f>
        <v>43404.64583</v>
      </c>
      <c r="B1922" s="1">
        <f>IFERROR(__xludf.DUMMYFUNCTION("""COMPUTED_VALUE"""),18180.0)</f>
        <v>18180</v>
      </c>
      <c r="C1922" s="1">
        <f>IFERROR(__xludf.DUMMYFUNCTION("""COMPUTED_VALUE"""),18560.0)</f>
        <v>18560</v>
      </c>
      <c r="D1922" s="1">
        <f>IFERROR(__xludf.DUMMYFUNCTION("""COMPUTED_VALUE"""),17940.0)</f>
        <v>17940</v>
      </c>
      <c r="E1922" s="1">
        <f>IFERROR(__xludf.DUMMYFUNCTION("""COMPUTED_VALUE"""),18320.0)</f>
        <v>18320</v>
      </c>
      <c r="F1922" s="1">
        <f>IFERROR(__xludf.DUMMYFUNCTION("""COMPUTED_VALUE"""),336787.0)</f>
        <v>336787</v>
      </c>
    </row>
    <row r="1923">
      <c r="A1923" s="2">
        <f>IFERROR(__xludf.DUMMYFUNCTION("""COMPUTED_VALUE"""),43405.64583333333)</f>
        <v>43405.64583</v>
      </c>
      <c r="B1923" s="1">
        <f>IFERROR(__xludf.DUMMYFUNCTION("""COMPUTED_VALUE"""),18400.0)</f>
        <v>18400</v>
      </c>
      <c r="C1923" s="1">
        <f>IFERROR(__xludf.DUMMYFUNCTION("""COMPUTED_VALUE"""),19120.0)</f>
        <v>19120</v>
      </c>
      <c r="D1923" s="1">
        <f>IFERROR(__xludf.DUMMYFUNCTION("""COMPUTED_VALUE"""),18380.0)</f>
        <v>18380</v>
      </c>
      <c r="E1923" s="1">
        <f>IFERROR(__xludf.DUMMYFUNCTION("""COMPUTED_VALUE"""),18620.0)</f>
        <v>18620</v>
      </c>
      <c r="F1923" s="1">
        <f>IFERROR(__xludf.DUMMYFUNCTION("""COMPUTED_VALUE"""),372853.0)</f>
        <v>372853</v>
      </c>
    </row>
    <row r="1924">
      <c r="A1924" s="2">
        <f>IFERROR(__xludf.DUMMYFUNCTION("""COMPUTED_VALUE"""),43406.64583333333)</f>
        <v>43406.64583</v>
      </c>
      <c r="B1924" s="1">
        <f>IFERROR(__xludf.DUMMYFUNCTION("""COMPUTED_VALUE"""),19040.0)</f>
        <v>19040</v>
      </c>
      <c r="C1924" s="1">
        <f>IFERROR(__xludf.DUMMYFUNCTION("""COMPUTED_VALUE"""),19700.0)</f>
        <v>19700</v>
      </c>
      <c r="D1924" s="1">
        <f>IFERROR(__xludf.DUMMYFUNCTION("""COMPUTED_VALUE"""),18820.0)</f>
        <v>18820</v>
      </c>
      <c r="E1924" s="1">
        <f>IFERROR(__xludf.DUMMYFUNCTION("""COMPUTED_VALUE"""),19640.0)</f>
        <v>19640</v>
      </c>
      <c r="F1924" s="1">
        <f>IFERROR(__xludf.DUMMYFUNCTION("""COMPUTED_VALUE"""),409600.0)</f>
        <v>409600</v>
      </c>
    </row>
    <row r="1925">
      <c r="A1925" s="2">
        <f>IFERROR(__xludf.DUMMYFUNCTION("""COMPUTED_VALUE"""),43409.64583333333)</f>
        <v>43409.64583</v>
      </c>
      <c r="B1925" s="1">
        <f>IFERROR(__xludf.DUMMYFUNCTION("""COMPUTED_VALUE"""),19400.0)</f>
        <v>19400</v>
      </c>
      <c r="C1925" s="1">
        <f>IFERROR(__xludf.DUMMYFUNCTION("""COMPUTED_VALUE"""),19480.0)</f>
        <v>19480</v>
      </c>
      <c r="D1925" s="1">
        <f>IFERROR(__xludf.DUMMYFUNCTION("""COMPUTED_VALUE"""),18940.0)</f>
        <v>18940</v>
      </c>
      <c r="E1925" s="1">
        <f>IFERROR(__xludf.DUMMYFUNCTION("""COMPUTED_VALUE"""),19100.0)</f>
        <v>19100</v>
      </c>
      <c r="F1925" s="1">
        <f>IFERROR(__xludf.DUMMYFUNCTION("""COMPUTED_VALUE"""),339846.0)</f>
        <v>339846</v>
      </c>
    </row>
    <row r="1926">
      <c r="A1926" s="2">
        <f>IFERROR(__xludf.DUMMYFUNCTION("""COMPUTED_VALUE"""),43410.64583333333)</f>
        <v>43410.64583</v>
      </c>
      <c r="B1926" s="1">
        <f>IFERROR(__xludf.DUMMYFUNCTION("""COMPUTED_VALUE"""),19140.0)</f>
        <v>19140</v>
      </c>
      <c r="C1926" s="1">
        <f>IFERROR(__xludf.DUMMYFUNCTION("""COMPUTED_VALUE"""),19500.0)</f>
        <v>19500</v>
      </c>
      <c r="D1926" s="1">
        <f>IFERROR(__xludf.DUMMYFUNCTION("""COMPUTED_VALUE"""),19000.0)</f>
        <v>19000</v>
      </c>
      <c r="E1926" s="1">
        <f>IFERROR(__xludf.DUMMYFUNCTION("""COMPUTED_VALUE"""),19320.0)</f>
        <v>19320</v>
      </c>
      <c r="F1926" s="1">
        <f>IFERROR(__xludf.DUMMYFUNCTION("""COMPUTED_VALUE"""),195992.0)</f>
        <v>195992</v>
      </c>
    </row>
    <row r="1927">
      <c r="A1927" s="2">
        <f>IFERROR(__xludf.DUMMYFUNCTION("""COMPUTED_VALUE"""),43411.64583333333)</f>
        <v>43411.64583</v>
      </c>
      <c r="B1927" s="1">
        <f>IFERROR(__xludf.DUMMYFUNCTION("""COMPUTED_VALUE"""),19420.0)</f>
        <v>19420</v>
      </c>
      <c r="C1927" s="1">
        <f>IFERROR(__xludf.DUMMYFUNCTION("""COMPUTED_VALUE"""),19540.0)</f>
        <v>19540</v>
      </c>
      <c r="D1927" s="1">
        <f>IFERROR(__xludf.DUMMYFUNCTION("""COMPUTED_VALUE"""),19040.0)</f>
        <v>19040</v>
      </c>
      <c r="E1927" s="1">
        <f>IFERROR(__xludf.DUMMYFUNCTION("""COMPUTED_VALUE"""),19120.0)</f>
        <v>19120</v>
      </c>
      <c r="F1927" s="1">
        <f>IFERROR(__xludf.DUMMYFUNCTION("""COMPUTED_VALUE"""),269320.0)</f>
        <v>269320</v>
      </c>
    </row>
    <row r="1928">
      <c r="A1928" s="2">
        <f>IFERROR(__xludf.DUMMYFUNCTION("""COMPUTED_VALUE"""),43412.64583333333)</f>
        <v>43412.64583</v>
      </c>
      <c r="B1928" s="1">
        <f>IFERROR(__xludf.DUMMYFUNCTION("""COMPUTED_VALUE"""),19580.0)</f>
        <v>19580</v>
      </c>
      <c r="C1928" s="1">
        <f>IFERROR(__xludf.DUMMYFUNCTION("""COMPUTED_VALUE"""),20400.0)</f>
        <v>20400</v>
      </c>
      <c r="D1928" s="1">
        <f>IFERROR(__xludf.DUMMYFUNCTION("""COMPUTED_VALUE"""),19560.0)</f>
        <v>19560</v>
      </c>
      <c r="E1928" s="1">
        <f>IFERROR(__xludf.DUMMYFUNCTION("""COMPUTED_VALUE"""),20000.0)</f>
        <v>20000</v>
      </c>
      <c r="F1928" s="1">
        <f>IFERROR(__xludf.DUMMYFUNCTION("""COMPUTED_VALUE"""),644793.0)</f>
        <v>644793</v>
      </c>
    </row>
    <row r="1929">
      <c r="A1929" s="2">
        <f>IFERROR(__xludf.DUMMYFUNCTION("""COMPUTED_VALUE"""),43413.64583333333)</f>
        <v>43413.64583</v>
      </c>
      <c r="B1929" s="1">
        <f>IFERROR(__xludf.DUMMYFUNCTION("""COMPUTED_VALUE"""),20000.0)</f>
        <v>20000</v>
      </c>
      <c r="C1929" s="1">
        <f>IFERROR(__xludf.DUMMYFUNCTION("""COMPUTED_VALUE"""),20400.0)</f>
        <v>20400</v>
      </c>
      <c r="D1929" s="1">
        <f>IFERROR(__xludf.DUMMYFUNCTION("""COMPUTED_VALUE"""),19740.0)</f>
        <v>19740</v>
      </c>
      <c r="E1929" s="1">
        <f>IFERROR(__xludf.DUMMYFUNCTION("""COMPUTED_VALUE"""),20100.0)</f>
        <v>20100</v>
      </c>
      <c r="F1929" s="1">
        <f>IFERROR(__xludf.DUMMYFUNCTION("""COMPUTED_VALUE"""),292309.0)</f>
        <v>292309</v>
      </c>
    </row>
    <row r="1930">
      <c r="A1930" s="2">
        <f>IFERROR(__xludf.DUMMYFUNCTION("""COMPUTED_VALUE"""),43416.64583333333)</f>
        <v>43416.64583</v>
      </c>
      <c r="B1930" s="1">
        <f>IFERROR(__xludf.DUMMYFUNCTION("""COMPUTED_VALUE"""),20200.0)</f>
        <v>20200</v>
      </c>
      <c r="C1930" s="1">
        <f>IFERROR(__xludf.DUMMYFUNCTION("""COMPUTED_VALUE"""),20300.0)</f>
        <v>20300</v>
      </c>
      <c r="D1930" s="1">
        <f>IFERROR(__xludf.DUMMYFUNCTION("""COMPUTED_VALUE"""),20000.0)</f>
        <v>20000</v>
      </c>
      <c r="E1930" s="1">
        <f>IFERROR(__xludf.DUMMYFUNCTION("""COMPUTED_VALUE"""),20200.0)</f>
        <v>20200</v>
      </c>
      <c r="F1930" s="1">
        <f>IFERROR(__xludf.DUMMYFUNCTION("""COMPUTED_VALUE"""),201208.0)</f>
        <v>201208</v>
      </c>
    </row>
    <row r="1931">
      <c r="A1931" s="2">
        <f>IFERROR(__xludf.DUMMYFUNCTION("""COMPUTED_VALUE"""),43417.64583333333)</f>
        <v>43417.64583</v>
      </c>
      <c r="B1931" s="1">
        <f>IFERROR(__xludf.DUMMYFUNCTION("""COMPUTED_VALUE"""),19760.0)</f>
        <v>19760</v>
      </c>
      <c r="C1931" s="1">
        <f>IFERROR(__xludf.DUMMYFUNCTION("""COMPUTED_VALUE"""),20300.0)</f>
        <v>20300</v>
      </c>
      <c r="D1931" s="1">
        <f>IFERROR(__xludf.DUMMYFUNCTION("""COMPUTED_VALUE"""),19740.0)</f>
        <v>19740</v>
      </c>
      <c r="E1931" s="1">
        <f>IFERROR(__xludf.DUMMYFUNCTION("""COMPUTED_VALUE"""),20300.0)</f>
        <v>20300</v>
      </c>
      <c r="F1931" s="1">
        <f>IFERROR(__xludf.DUMMYFUNCTION("""COMPUTED_VALUE"""),278476.0)</f>
        <v>278476</v>
      </c>
    </row>
    <row r="1932">
      <c r="A1932" s="2">
        <f>IFERROR(__xludf.DUMMYFUNCTION("""COMPUTED_VALUE"""),43418.64583333333)</f>
        <v>43418.64583</v>
      </c>
      <c r="B1932" s="1">
        <f>IFERROR(__xludf.DUMMYFUNCTION("""COMPUTED_VALUE"""),20500.0)</f>
        <v>20500</v>
      </c>
      <c r="C1932" s="1">
        <f>IFERROR(__xludf.DUMMYFUNCTION("""COMPUTED_VALUE"""),20800.0)</f>
        <v>20800</v>
      </c>
      <c r="D1932" s="1">
        <f>IFERROR(__xludf.DUMMYFUNCTION("""COMPUTED_VALUE"""),20300.0)</f>
        <v>20300</v>
      </c>
      <c r="E1932" s="1">
        <f>IFERROR(__xludf.DUMMYFUNCTION("""COMPUTED_VALUE"""),20600.0)</f>
        <v>20600</v>
      </c>
      <c r="F1932" s="1">
        <f>IFERROR(__xludf.DUMMYFUNCTION("""COMPUTED_VALUE"""),281601.0)</f>
        <v>281601</v>
      </c>
    </row>
    <row r="1933">
      <c r="A1933" s="2">
        <f>IFERROR(__xludf.DUMMYFUNCTION("""COMPUTED_VALUE"""),43419.6875)</f>
        <v>43419.6875</v>
      </c>
      <c r="B1933" s="1">
        <f>IFERROR(__xludf.DUMMYFUNCTION("""COMPUTED_VALUE"""),20500.0)</f>
        <v>20500</v>
      </c>
      <c r="C1933" s="1">
        <f>IFERROR(__xludf.DUMMYFUNCTION("""COMPUTED_VALUE"""),20800.0)</f>
        <v>20800</v>
      </c>
      <c r="D1933" s="1">
        <f>IFERROR(__xludf.DUMMYFUNCTION("""COMPUTED_VALUE"""),20300.0)</f>
        <v>20300</v>
      </c>
      <c r="E1933" s="1">
        <f>IFERROR(__xludf.DUMMYFUNCTION("""COMPUTED_VALUE"""),20800.0)</f>
        <v>20800</v>
      </c>
      <c r="F1933" s="1">
        <f>IFERROR(__xludf.DUMMYFUNCTION("""COMPUTED_VALUE"""),170612.0)</f>
        <v>170612</v>
      </c>
    </row>
    <row r="1934">
      <c r="A1934" s="2">
        <f>IFERROR(__xludf.DUMMYFUNCTION("""COMPUTED_VALUE"""),43420.64583333333)</f>
        <v>43420.64583</v>
      </c>
      <c r="B1934" s="1">
        <f>IFERROR(__xludf.DUMMYFUNCTION("""COMPUTED_VALUE"""),21000.0)</f>
        <v>21000</v>
      </c>
      <c r="C1934" s="1">
        <f>IFERROR(__xludf.DUMMYFUNCTION("""COMPUTED_VALUE"""),21200.0)</f>
        <v>21200</v>
      </c>
      <c r="D1934" s="1">
        <f>IFERROR(__xludf.DUMMYFUNCTION("""COMPUTED_VALUE"""),20400.0)</f>
        <v>20400</v>
      </c>
      <c r="E1934" s="1">
        <f>IFERROR(__xludf.DUMMYFUNCTION("""COMPUTED_VALUE"""),20500.0)</f>
        <v>20500</v>
      </c>
      <c r="F1934" s="1">
        <f>IFERROR(__xludf.DUMMYFUNCTION("""COMPUTED_VALUE"""),206149.0)</f>
        <v>206149</v>
      </c>
    </row>
    <row r="1935">
      <c r="A1935" s="2">
        <f>IFERROR(__xludf.DUMMYFUNCTION("""COMPUTED_VALUE"""),43423.64583333333)</f>
        <v>43423.64583</v>
      </c>
      <c r="B1935" s="1">
        <f>IFERROR(__xludf.DUMMYFUNCTION("""COMPUTED_VALUE"""),20500.0)</f>
        <v>20500</v>
      </c>
      <c r="C1935" s="1">
        <f>IFERROR(__xludf.DUMMYFUNCTION("""COMPUTED_VALUE"""),21500.0)</f>
        <v>21500</v>
      </c>
      <c r="D1935" s="1">
        <f>IFERROR(__xludf.DUMMYFUNCTION("""COMPUTED_VALUE"""),20500.0)</f>
        <v>20500</v>
      </c>
      <c r="E1935" s="1">
        <f>IFERROR(__xludf.DUMMYFUNCTION("""COMPUTED_VALUE"""),21400.0)</f>
        <v>21400</v>
      </c>
      <c r="F1935" s="1">
        <f>IFERROR(__xludf.DUMMYFUNCTION("""COMPUTED_VALUE"""),346393.0)</f>
        <v>346393</v>
      </c>
    </row>
    <row r="1936">
      <c r="A1936" s="2">
        <f>IFERROR(__xludf.DUMMYFUNCTION("""COMPUTED_VALUE"""),43424.64583333333)</f>
        <v>43424.64583</v>
      </c>
      <c r="B1936" s="1">
        <f>IFERROR(__xludf.DUMMYFUNCTION("""COMPUTED_VALUE"""),21300.0)</f>
        <v>21300</v>
      </c>
      <c r="C1936" s="1">
        <f>IFERROR(__xludf.DUMMYFUNCTION("""COMPUTED_VALUE"""),21500.0)</f>
        <v>21500</v>
      </c>
      <c r="D1936" s="1">
        <f>IFERROR(__xludf.DUMMYFUNCTION("""COMPUTED_VALUE"""),21000.0)</f>
        <v>21000</v>
      </c>
      <c r="E1936" s="1">
        <f>IFERROR(__xludf.DUMMYFUNCTION("""COMPUTED_VALUE"""),21400.0)</f>
        <v>21400</v>
      </c>
      <c r="F1936" s="1">
        <f>IFERROR(__xludf.DUMMYFUNCTION("""COMPUTED_VALUE"""),234825.0)</f>
        <v>234825</v>
      </c>
    </row>
    <row r="1937">
      <c r="A1937" s="2">
        <f>IFERROR(__xludf.DUMMYFUNCTION("""COMPUTED_VALUE"""),43425.64583333333)</f>
        <v>43425.64583</v>
      </c>
      <c r="B1937" s="1">
        <f>IFERROR(__xludf.DUMMYFUNCTION("""COMPUTED_VALUE"""),21000.0)</f>
        <v>21000</v>
      </c>
      <c r="C1937" s="1">
        <f>IFERROR(__xludf.DUMMYFUNCTION("""COMPUTED_VALUE"""),21500.0)</f>
        <v>21500</v>
      </c>
      <c r="D1937" s="1">
        <f>IFERROR(__xludf.DUMMYFUNCTION("""COMPUTED_VALUE"""),20900.0)</f>
        <v>20900</v>
      </c>
      <c r="E1937" s="1">
        <f>IFERROR(__xludf.DUMMYFUNCTION("""COMPUTED_VALUE"""),21500.0)</f>
        <v>21500</v>
      </c>
      <c r="F1937" s="1">
        <f>IFERROR(__xludf.DUMMYFUNCTION("""COMPUTED_VALUE"""),206018.0)</f>
        <v>206018</v>
      </c>
    </row>
    <row r="1938">
      <c r="A1938" s="2">
        <f>IFERROR(__xludf.DUMMYFUNCTION("""COMPUTED_VALUE"""),43426.64583333333)</f>
        <v>43426.64583</v>
      </c>
      <c r="B1938" s="1">
        <f>IFERROR(__xludf.DUMMYFUNCTION("""COMPUTED_VALUE"""),21400.0)</f>
        <v>21400</v>
      </c>
      <c r="C1938" s="1">
        <f>IFERROR(__xludf.DUMMYFUNCTION("""COMPUTED_VALUE"""),21500.0)</f>
        <v>21500</v>
      </c>
      <c r="D1938" s="1">
        <f>IFERROR(__xludf.DUMMYFUNCTION("""COMPUTED_VALUE"""),21200.0)</f>
        <v>21200</v>
      </c>
      <c r="E1938" s="1">
        <f>IFERROR(__xludf.DUMMYFUNCTION("""COMPUTED_VALUE"""),21300.0)</f>
        <v>21300</v>
      </c>
      <c r="F1938" s="1">
        <f>IFERROR(__xludf.DUMMYFUNCTION("""COMPUTED_VALUE"""),143409.0)</f>
        <v>143409</v>
      </c>
    </row>
    <row r="1939">
      <c r="A1939" s="2">
        <f>IFERROR(__xludf.DUMMYFUNCTION("""COMPUTED_VALUE"""),43427.64583333333)</f>
        <v>43427.64583</v>
      </c>
      <c r="B1939" s="1">
        <f>IFERROR(__xludf.DUMMYFUNCTION("""COMPUTED_VALUE"""),21400.0)</f>
        <v>21400</v>
      </c>
      <c r="C1939" s="1">
        <f>IFERROR(__xludf.DUMMYFUNCTION("""COMPUTED_VALUE"""),21900.0)</f>
        <v>21900</v>
      </c>
      <c r="D1939" s="1">
        <f>IFERROR(__xludf.DUMMYFUNCTION("""COMPUTED_VALUE"""),21200.0)</f>
        <v>21200</v>
      </c>
      <c r="E1939" s="1">
        <f>IFERROR(__xludf.DUMMYFUNCTION("""COMPUTED_VALUE"""),21600.0)</f>
        <v>21600</v>
      </c>
      <c r="F1939" s="1">
        <f>IFERROR(__xludf.DUMMYFUNCTION("""COMPUTED_VALUE"""),242633.0)</f>
        <v>242633</v>
      </c>
    </row>
    <row r="1940">
      <c r="A1940" s="2">
        <f>IFERROR(__xludf.DUMMYFUNCTION("""COMPUTED_VALUE"""),43430.64583333333)</f>
        <v>43430.64583</v>
      </c>
      <c r="B1940" s="1">
        <f>IFERROR(__xludf.DUMMYFUNCTION("""COMPUTED_VALUE"""),21500.0)</f>
        <v>21500</v>
      </c>
      <c r="C1940" s="1">
        <f>IFERROR(__xludf.DUMMYFUNCTION("""COMPUTED_VALUE"""),22600.0)</f>
        <v>22600</v>
      </c>
      <c r="D1940" s="1">
        <f>IFERROR(__xludf.DUMMYFUNCTION("""COMPUTED_VALUE"""),21500.0)</f>
        <v>21500</v>
      </c>
      <c r="E1940" s="1">
        <f>IFERROR(__xludf.DUMMYFUNCTION("""COMPUTED_VALUE"""),22500.0)</f>
        <v>22500</v>
      </c>
      <c r="F1940" s="1">
        <f>IFERROR(__xludf.DUMMYFUNCTION("""COMPUTED_VALUE"""),460406.0)</f>
        <v>460406</v>
      </c>
    </row>
    <row r="1941">
      <c r="A1941" s="2">
        <f>IFERROR(__xludf.DUMMYFUNCTION("""COMPUTED_VALUE"""),43431.64583333333)</f>
        <v>43431.64583</v>
      </c>
      <c r="B1941" s="1">
        <f>IFERROR(__xludf.DUMMYFUNCTION("""COMPUTED_VALUE"""),22600.0)</f>
        <v>22600</v>
      </c>
      <c r="C1941" s="1">
        <f>IFERROR(__xludf.DUMMYFUNCTION("""COMPUTED_VALUE"""),22800.0)</f>
        <v>22800</v>
      </c>
      <c r="D1941" s="1">
        <f>IFERROR(__xludf.DUMMYFUNCTION("""COMPUTED_VALUE"""),22000.0)</f>
        <v>22000</v>
      </c>
      <c r="E1941" s="1">
        <f>IFERROR(__xludf.DUMMYFUNCTION("""COMPUTED_VALUE"""),22100.0)</f>
        <v>22100</v>
      </c>
      <c r="F1941" s="1">
        <f>IFERROR(__xludf.DUMMYFUNCTION("""COMPUTED_VALUE"""),270808.0)</f>
        <v>270808</v>
      </c>
    </row>
    <row r="1942">
      <c r="A1942" s="2">
        <f>IFERROR(__xludf.DUMMYFUNCTION("""COMPUTED_VALUE"""),43432.64583333333)</f>
        <v>43432.64583</v>
      </c>
      <c r="B1942" s="1">
        <f>IFERROR(__xludf.DUMMYFUNCTION("""COMPUTED_VALUE"""),22300.0)</f>
        <v>22300</v>
      </c>
      <c r="C1942" s="1">
        <f>IFERROR(__xludf.DUMMYFUNCTION("""COMPUTED_VALUE"""),22600.0)</f>
        <v>22600</v>
      </c>
      <c r="D1942" s="1">
        <f>IFERROR(__xludf.DUMMYFUNCTION("""COMPUTED_VALUE"""),22200.0)</f>
        <v>22200</v>
      </c>
      <c r="E1942" s="1">
        <f>IFERROR(__xludf.DUMMYFUNCTION("""COMPUTED_VALUE"""),22400.0)</f>
        <v>22400</v>
      </c>
      <c r="F1942" s="1">
        <f>IFERROR(__xludf.DUMMYFUNCTION("""COMPUTED_VALUE"""),185906.0)</f>
        <v>185906</v>
      </c>
    </row>
    <row r="1943">
      <c r="A1943" s="2">
        <f>IFERROR(__xludf.DUMMYFUNCTION("""COMPUTED_VALUE"""),43433.64583333333)</f>
        <v>43433.64583</v>
      </c>
      <c r="B1943" s="1">
        <f>IFERROR(__xludf.DUMMYFUNCTION("""COMPUTED_VALUE"""),22600.0)</f>
        <v>22600</v>
      </c>
      <c r="C1943" s="1">
        <f>IFERROR(__xludf.DUMMYFUNCTION("""COMPUTED_VALUE"""),22800.0)</f>
        <v>22800</v>
      </c>
      <c r="D1943" s="1">
        <f>IFERROR(__xludf.DUMMYFUNCTION("""COMPUTED_VALUE"""),22200.0)</f>
        <v>22200</v>
      </c>
      <c r="E1943" s="1">
        <f>IFERROR(__xludf.DUMMYFUNCTION("""COMPUTED_VALUE"""),22400.0)</f>
        <v>22400</v>
      </c>
      <c r="F1943" s="1">
        <f>IFERROR(__xludf.DUMMYFUNCTION("""COMPUTED_VALUE"""),263008.0)</f>
        <v>263008</v>
      </c>
    </row>
    <row r="1944">
      <c r="A1944" s="2">
        <f>IFERROR(__xludf.DUMMYFUNCTION("""COMPUTED_VALUE"""),43434.64583333333)</f>
        <v>43434.64583</v>
      </c>
      <c r="B1944" s="1">
        <f>IFERROR(__xludf.DUMMYFUNCTION("""COMPUTED_VALUE"""),22400.0)</f>
        <v>22400</v>
      </c>
      <c r="C1944" s="1">
        <f>IFERROR(__xludf.DUMMYFUNCTION("""COMPUTED_VALUE"""),22600.0)</f>
        <v>22600</v>
      </c>
      <c r="D1944" s="1">
        <f>IFERROR(__xludf.DUMMYFUNCTION("""COMPUTED_VALUE"""),22300.0)</f>
        <v>22300</v>
      </c>
      <c r="E1944" s="1">
        <f>IFERROR(__xludf.DUMMYFUNCTION("""COMPUTED_VALUE"""),22500.0)</f>
        <v>22500</v>
      </c>
      <c r="F1944" s="1">
        <f>IFERROR(__xludf.DUMMYFUNCTION("""COMPUTED_VALUE"""),346553.0)</f>
        <v>346553</v>
      </c>
    </row>
    <row r="1945">
      <c r="A1945" s="2">
        <f>IFERROR(__xludf.DUMMYFUNCTION("""COMPUTED_VALUE"""),43437.64583333333)</f>
        <v>43437.64583</v>
      </c>
      <c r="B1945" s="1">
        <f>IFERROR(__xludf.DUMMYFUNCTION("""COMPUTED_VALUE"""),22900.0)</f>
        <v>22900</v>
      </c>
      <c r="C1945" s="1">
        <f>IFERROR(__xludf.DUMMYFUNCTION("""COMPUTED_VALUE"""),23000.0)</f>
        <v>23000</v>
      </c>
      <c r="D1945" s="1">
        <f>IFERROR(__xludf.DUMMYFUNCTION("""COMPUTED_VALUE"""),22500.0)</f>
        <v>22500</v>
      </c>
      <c r="E1945" s="1">
        <f>IFERROR(__xludf.DUMMYFUNCTION("""COMPUTED_VALUE"""),22700.0)</f>
        <v>22700</v>
      </c>
      <c r="F1945" s="1">
        <f>IFERROR(__xludf.DUMMYFUNCTION("""COMPUTED_VALUE"""),262030.0)</f>
        <v>262030</v>
      </c>
    </row>
    <row r="1946">
      <c r="A1946" s="2">
        <f>IFERROR(__xludf.DUMMYFUNCTION("""COMPUTED_VALUE"""),43438.64583333333)</f>
        <v>43438.64583</v>
      </c>
      <c r="B1946" s="1">
        <f>IFERROR(__xludf.DUMMYFUNCTION("""COMPUTED_VALUE"""),22800.0)</f>
        <v>22800</v>
      </c>
      <c r="C1946" s="1">
        <f>IFERROR(__xludf.DUMMYFUNCTION("""COMPUTED_VALUE"""),23000.0)</f>
        <v>23000</v>
      </c>
      <c r="D1946" s="1">
        <f>IFERROR(__xludf.DUMMYFUNCTION("""COMPUTED_VALUE"""),22600.0)</f>
        <v>22600</v>
      </c>
      <c r="E1946" s="1">
        <f>IFERROR(__xludf.DUMMYFUNCTION("""COMPUTED_VALUE"""),22700.0)</f>
        <v>22700</v>
      </c>
      <c r="F1946" s="1">
        <f>IFERROR(__xludf.DUMMYFUNCTION("""COMPUTED_VALUE"""),264857.0)</f>
        <v>264857</v>
      </c>
    </row>
    <row r="1947">
      <c r="A1947" s="2">
        <f>IFERROR(__xludf.DUMMYFUNCTION("""COMPUTED_VALUE"""),43439.64583333333)</f>
        <v>43439.64583</v>
      </c>
      <c r="B1947" s="1">
        <f>IFERROR(__xludf.DUMMYFUNCTION("""COMPUTED_VALUE"""),22400.0)</f>
        <v>22400</v>
      </c>
      <c r="C1947" s="1">
        <f>IFERROR(__xludf.DUMMYFUNCTION("""COMPUTED_VALUE"""),23000.0)</f>
        <v>23000</v>
      </c>
      <c r="D1947" s="1">
        <f>IFERROR(__xludf.DUMMYFUNCTION("""COMPUTED_VALUE"""),22300.0)</f>
        <v>22300</v>
      </c>
      <c r="E1947" s="1">
        <f>IFERROR(__xludf.DUMMYFUNCTION("""COMPUTED_VALUE"""),22900.0)</f>
        <v>22900</v>
      </c>
      <c r="F1947" s="1">
        <f>IFERROR(__xludf.DUMMYFUNCTION("""COMPUTED_VALUE"""),222316.0)</f>
        <v>222316</v>
      </c>
    </row>
    <row r="1948">
      <c r="A1948" s="2">
        <f>IFERROR(__xludf.DUMMYFUNCTION("""COMPUTED_VALUE"""),43440.64583333333)</f>
        <v>43440.64583</v>
      </c>
      <c r="B1948" s="1">
        <f>IFERROR(__xludf.DUMMYFUNCTION("""COMPUTED_VALUE"""),23000.0)</f>
        <v>23000</v>
      </c>
      <c r="C1948" s="1">
        <f>IFERROR(__xludf.DUMMYFUNCTION("""COMPUTED_VALUE"""),23500.0)</f>
        <v>23500</v>
      </c>
      <c r="D1948" s="1">
        <f>IFERROR(__xludf.DUMMYFUNCTION("""COMPUTED_VALUE"""),22900.0)</f>
        <v>22900</v>
      </c>
      <c r="E1948" s="1">
        <f>IFERROR(__xludf.DUMMYFUNCTION("""COMPUTED_VALUE"""),23200.0)</f>
        <v>23200</v>
      </c>
      <c r="F1948" s="1">
        <f>IFERROR(__xludf.DUMMYFUNCTION("""COMPUTED_VALUE"""),396531.0)</f>
        <v>396531</v>
      </c>
    </row>
    <row r="1949">
      <c r="A1949" s="2">
        <f>IFERROR(__xludf.DUMMYFUNCTION("""COMPUTED_VALUE"""),43441.64583333333)</f>
        <v>43441.64583</v>
      </c>
      <c r="B1949" s="1">
        <f>IFERROR(__xludf.DUMMYFUNCTION("""COMPUTED_VALUE"""),23300.0)</f>
        <v>23300</v>
      </c>
      <c r="C1949" s="1">
        <f>IFERROR(__xludf.DUMMYFUNCTION("""COMPUTED_VALUE"""),23400.0)</f>
        <v>23400</v>
      </c>
      <c r="D1949" s="1">
        <f>IFERROR(__xludf.DUMMYFUNCTION("""COMPUTED_VALUE"""),22400.0)</f>
        <v>22400</v>
      </c>
      <c r="E1949" s="1">
        <f>IFERROR(__xludf.DUMMYFUNCTION("""COMPUTED_VALUE"""),22900.0)</f>
        <v>22900</v>
      </c>
      <c r="F1949" s="1">
        <f>IFERROR(__xludf.DUMMYFUNCTION("""COMPUTED_VALUE"""),354995.0)</f>
        <v>354995</v>
      </c>
    </row>
    <row r="1950">
      <c r="A1950" s="2">
        <f>IFERROR(__xludf.DUMMYFUNCTION("""COMPUTED_VALUE"""),43444.64583333333)</f>
        <v>43444.64583</v>
      </c>
      <c r="B1950" s="1">
        <f>IFERROR(__xludf.DUMMYFUNCTION("""COMPUTED_VALUE"""),22600.0)</f>
        <v>22600</v>
      </c>
      <c r="C1950" s="1">
        <f>IFERROR(__xludf.DUMMYFUNCTION("""COMPUTED_VALUE"""),22700.0)</f>
        <v>22700</v>
      </c>
      <c r="D1950" s="1">
        <f>IFERROR(__xludf.DUMMYFUNCTION("""COMPUTED_VALUE"""),22000.0)</f>
        <v>22000</v>
      </c>
      <c r="E1950" s="1">
        <f>IFERROR(__xludf.DUMMYFUNCTION("""COMPUTED_VALUE"""),22200.0)</f>
        <v>22200</v>
      </c>
      <c r="F1950" s="1">
        <f>IFERROR(__xludf.DUMMYFUNCTION("""COMPUTED_VALUE"""),331087.0)</f>
        <v>331087</v>
      </c>
    </row>
    <row r="1951">
      <c r="A1951" s="2">
        <f>IFERROR(__xludf.DUMMYFUNCTION("""COMPUTED_VALUE"""),43445.64583333333)</f>
        <v>43445.64583</v>
      </c>
      <c r="B1951" s="1">
        <f>IFERROR(__xludf.DUMMYFUNCTION("""COMPUTED_VALUE"""),22000.0)</f>
        <v>22000</v>
      </c>
      <c r="C1951" s="1">
        <f>IFERROR(__xludf.DUMMYFUNCTION("""COMPUTED_VALUE"""),22100.0)</f>
        <v>22100</v>
      </c>
      <c r="D1951" s="1">
        <f>IFERROR(__xludf.DUMMYFUNCTION("""COMPUTED_VALUE"""),21300.0)</f>
        <v>21300</v>
      </c>
      <c r="E1951" s="1">
        <f>IFERROR(__xludf.DUMMYFUNCTION("""COMPUTED_VALUE"""),21400.0)</f>
        <v>21400</v>
      </c>
      <c r="F1951" s="1">
        <f>IFERROR(__xludf.DUMMYFUNCTION("""COMPUTED_VALUE"""),461496.0)</f>
        <v>461496</v>
      </c>
    </row>
    <row r="1952">
      <c r="A1952" s="2">
        <f>IFERROR(__xludf.DUMMYFUNCTION("""COMPUTED_VALUE"""),43446.64583333333)</f>
        <v>43446.64583</v>
      </c>
      <c r="B1952" s="1">
        <f>IFERROR(__xludf.DUMMYFUNCTION("""COMPUTED_VALUE"""),21400.0)</f>
        <v>21400</v>
      </c>
      <c r="C1952" s="1">
        <f>IFERROR(__xludf.DUMMYFUNCTION("""COMPUTED_VALUE"""),22200.0)</f>
        <v>22200</v>
      </c>
      <c r="D1952" s="1">
        <f>IFERROR(__xludf.DUMMYFUNCTION("""COMPUTED_VALUE"""),21100.0)</f>
        <v>21100</v>
      </c>
      <c r="E1952" s="1">
        <f>IFERROR(__xludf.DUMMYFUNCTION("""COMPUTED_VALUE"""),22000.0)</f>
        <v>22000</v>
      </c>
      <c r="F1952" s="1">
        <f>IFERROR(__xludf.DUMMYFUNCTION("""COMPUTED_VALUE"""),393740.0)</f>
        <v>393740</v>
      </c>
    </row>
    <row r="1953">
      <c r="A1953" s="2">
        <f>IFERROR(__xludf.DUMMYFUNCTION("""COMPUTED_VALUE"""),43447.64583333333)</f>
        <v>43447.64583</v>
      </c>
      <c r="B1953" s="1">
        <f>IFERROR(__xludf.DUMMYFUNCTION("""COMPUTED_VALUE"""),22300.0)</f>
        <v>22300</v>
      </c>
      <c r="C1953" s="1">
        <f>IFERROR(__xludf.DUMMYFUNCTION("""COMPUTED_VALUE"""),22900.0)</f>
        <v>22900</v>
      </c>
      <c r="D1953" s="1">
        <f>IFERROR(__xludf.DUMMYFUNCTION("""COMPUTED_VALUE"""),22100.0)</f>
        <v>22100</v>
      </c>
      <c r="E1953" s="1">
        <f>IFERROR(__xludf.DUMMYFUNCTION("""COMPUTED_VALUE"""),22300.0)</f>
        <v>22300</v>
      </c>
      <c r="F1953" s="1">
        <f>IFERROR(__xludf.DUMMYFUNCTION("""COMPUTED_VALUE"""),494887.0)</f>
        <v>494887</v>
      </c>
    </row>
    <row r="1954">
      <c r="A1954" s="2">
        <f>IFERROR(__xludf.DUMMYFUNCTION("""COMPUTED_VALUE"""),43448.64583333333)</f>
        <v>43448.64583</v>
      </c>
      <c r="B1954" s="1">
        <f>IFERROR(__xludf.DUMMYFUNCTION("""COMPUTED_VALUE"""),22100.0)</f>
        <v>22100</v>
      </c>
      <c r="C1954" s="1">
        <f>IFERROR(__xludf.DUMMYFUNCTION("""COMPUTED_VALUE"""),22300.0)</f>
        <v>22300</v>
      </c>
      <c r="D1954" s="1">
        <f>IFERROR(__xludf.DUMMYFUNCTION("""COMPUTED_VALUE"""),21800.0)</f>
        <v>21800</v>
      </c>
      <c r="E1954" s="1">
        <f>IFERROR(__xludf.DUMMYFUNCTION("""COMPUTED_VALUE"""),22000.0)</f>
        <v>22000</v>
      </c>
      <c r="F1954" s="1">
        <f>IFERROR(__xludf.DUMMYFUNCTION("""COMPUTED_VALUE"""),196803.0)</f>
        <v>196803</v>
      </c>
    </row>
    <row r="1955">
      <c r="A1955" s="2">
        <f>IFERROR(__xludf.DUMMYFUNCTION("""COMPUTED_VALUE"""),43451.64583333333)</f>
        <v>43451.64583</v>
      </c>
      <c r="B1955" s="1">
        <f>IFERROR(__xludf.DUMMYFUNCTION("""COMPUTED_VALUE"""),22000.0)</f>
        <v>22000</v>
      </c>
      <c r="C1955" s="1">
        <f>IFERROR(__xludf.DUMMYFUNCTION("""COMPUTED_VALUE"""),22400.0)</f>
        <v>22400</v>
      </c>
      <c r="D1955" s="1">
        <f>IFERROR(__xludf.DUMMYFUNCTION("""COMPUTED_VALUE"""),21700.0)</f>
        <v>21700</v>
      </c>
      <c r="E1955" s="1">
        <f>IFERROR(__xludf.DUMMYFUNCTION("""COMPUTED_VALUE"""),22100.0)</f>
        <v>22100</v>
      </c>
      <c r="F1955" s="1">
        <f>IFERROR(__xludf.DUMMYFUNCTION("""COMPUTED_VALUE"""),173155.0)</f>
        <v>173155</v>
      </c>
    </row>
    <row r="1956">
      <c r="A1956" s="2">
        <f>IFERROR(__xludf.DUMMYFUNCTION("""COMPUTED_VALUE"""),43452.64583333333)</f>
        <v>43452.64583</v>
      </c>
      <c r="B1956" s="1">
        <f>IFERROR(__xludf.DUMMYFUNCTION("""COMPUTED_VALUE"""),21700.0)</f>
        <v>21700</v>
      </c>
      <c r="C1956" s="1">
        <f>IFERROR(__xludf.DUMMYFUNCTION("""COMPUTED_VALUE"""),22200.0)</f>
        <v>22200</v>
      </c>
      <c r="D1956" s="1">
        <f>IFERROR(__xludf.DUMMYFUNCTION("""COMPUTED_VALUE"""),21400.0)</f>
        <v>21400</v>
      </c>
      <c r="E1956" s="1">
        <f>IFERROR(__xludf.DUMMYFUNCTION("""COMPUTED_VALUE"""),21700.0)</f>
        <v>21700</v>
      </c>
      <c r="F1956" s="1">
        <f>IFERROR(__xludf.DUMMYFUNCTION("""COMPUTED_VALUE"""),188963.0)</f>
        <v>188963</v>
      </c>
    </row>
    <row r="1957">
      <c r="A1957" s="2">
        <f>IFERROR(__xludf.DUMMYFUNCTION("""COMPUTED_VALUE"""),43453.64583333333)</f>
        <v>43453.64583</v>
      </c>
      <c r="B1957" s="1">
        <f>IFERROR(__xludf.DUMMYFUNCTION("""COMPUTED_VALUE"""),21700.0)</f>
        <v>21700</v>
      </c>
      <c r="C1957" s="1">
        <f>IFERROR(__xludf.DUMMYFUNCTION("""COMPUTED_VALUE"""),21800.0)</f>
        <v>21800</v>
      </c>
      <c r="D1957" s="1">
        <f>IFERROR(__xludf.DUMMYFUNCTION("""COMPUTED_VALUE"""),21200.0)</f>
        <v>21200</v>
      </c>
      <c r="E1957" s="1">
        <f>IFERROR(__xludf.DUMMYFUNCTION("""COMPUTED_VALUE"""),21600.0)</f>
        <v>21600</v>
      </c>
      <c r="F1957" s="1">
        <f>IFERROR(__xludf.DUMMYFUNCTION("""COMPUTED_VALUE"""),218497.0)</f>
        <v>218497</v>
      </c>
    </row>
    <row r="1958">
      <c r="A1958" s="2">
        <f>IFERROR(__xludf.DUMMYFUNCTION("""COMPUTED_VALUE"""),43454.64583333333)</f>
        <v>43454.64583</v>
      </c>
      <c r="B1958" s="1">
        <f>IFERROR(__xludf.DUMMYFUNCTION("""COMPUTED_VALUE"""),21400.0)</f>
        <v>21400</v>
      </c>
      <c r="C1958" s="1">
        <f>IFERROR(__xludf.DUMMYFUNCTION("""COMPUTED_VALUE"""),21400.0)</f>
        <v>21400</v>
      </c>
      <c r="D1958" s="1">
        <f>IFERROR(__xludf.DUMMYFUNCTION("""COMPUTED_VALUE"""),20200.0)</f>
        <v>20200</v>
      </c>
      <c r="E1958" s="1">
        <f>IFERROR(__xludf.DUMMYFUNCTION("""COMPUTED_VALUE"""),20600.0)</f>
        <v>20600</v>
      </c>
      <c r="F1958" s="1">
        <f>IFERROR(__xludf.DUMMYFUNCTION("""COMPUTED_VALUE"""),579446.0)</f>
        <v>579446</v>
      </c>
    </row>
    <row r="1959">
      <c r="A1959" s="2">
        <f>IFERROR(__xludf.DUMMYFUNCTION("""COMPUTED_VALUE"""),43455.64583333333)</f>
        <v>43455.64583</v>
      </c>
      <c r="B1959" s="1">
        <f>IFERROR(__xludf.DUMMYFUNCTION("""COMPUTED_VALUE"""),20500.0)</f>
        <v>20500</v>
      </c>
      <c r="C1959" s="1">
        <f>IFERROR(__xludf.DUMMYFUNCTION("""COMPUTED_VALUE"""),20900.0)</f>
        <v>20900</v>
      </c>
      <c r="D1959" s="1">
        <f>IFERROR(__xludf.DUMMYFUNCTION("""COMPUTED_VALUE"""),20200.0)</f>
        <v>20200</v>
      </c>
      <c r="E1959" s="1">
        <f>IFERROR(__xludf.DUMMYFUNCTION("""COMPUTED_VALUE"""),20900.0)</f>
        <v>20900</v>
      </c>
      <c r="F1959" s="1">
        <f>IFERROR(__xludf.DUMMYFUNCTION("""COMPUTED_VALUE"""),429650.0)</f>
        <v>429650</v>
      </c>
    </row>
    <row r="1960">
      <c r="A1960" s="2">
        <f>IFERROR(__xludf.DUMMYFUNCTION("""COMPUTED_VALUE"""),43458.64583333333)</f>
        <v>43458.64583</v>
      </c>
      <c r="B1960" s="1">
        <f>IFERROR(__xludf.DUMMYFUNCTION("""COMPUTED_VALUE"""),20900.0)</f>
        <v>20900</v>
      </c>
      <c r="C1960" s="1">
        <f>IFERROR(__xludf.DUMMYFUNCTION("""COMPUTED_VALUE"""),20900.0)</f>
        <v>20900</v>
      </c>
      <c r="D1960" s="1">
        <f>IFERROR(__xludf.DUMMYFUNCTION("""COMPUTED_VALUE"""),20000.0)</f>
        <v>20000</v>
      </c>
      <c r="E1960" s="1">
        <f>IFERROR(__xludf.DUMMYFUNCTION("""COMPUTED_VALUE"""),20200.0)</f>
        <v>20200</v>
      </c>
      <c r="F1960" s="1">
        <f>IFERROR(__xludf.DUMMYFUNCTION("""COMPUTED_VALUE"""),320266.0)</f>
        <v>320266</v>
      </c>
    </row>
    <row r="1961">
      <c r="A1961" s="2">
        <f>IFERROR(__xludf.DUMMYFUNCTION("""COMPUTED_VALUE"""),43460.64583333333)</f>
        <v>43460.64583</v>
      </c>
      <c r="B1961" s="1">
        <f>IFERROR(__xludf.DUMMYFUNCTION("""COMPUTED_VALUE"""),19800.0)</f>
        <v>19800</v>
      </c>
      <c r="C1961" s="1">
        <f>IFERROR(__xludf.DUMMYFUNCTION("""COMPUTED_VALUE"""),20100.0)</f>
        <v>20100</v>
      </c>
      <c r="D1961" s="1">
        <f>IFERROR(__xludf.DUMMYFUNCTION("""COMPUTED_VALUE"""),19600.0)</f>
        <v>19600</v>
      </c>
      <c r="E1961" s="1">
        <f>IFERROR(__xludf.DUMMYFUNCTION("""COMPUTED_VALUE"""),19700.0)</f>
        <v>19700</v>
      </c>
      <c r="F1961" s="1">
        <f>IFERROR(__xludf.DUMMYFUNCTION("""COMPUTED_VALUE"""),492532.0)</f>
        <v>492532</v>
      </c>
    </row>
    <row r="1962">
      <c r="A1962" s="2">
        <f>IFERROR(__xludf.DUMMYFUNCTION("""COMPUTED_VALUE"""),43461.64583333333)</f>
        <v>43461.64583</v>
      </c>
      <c r="B1962" s="1">
        <f>IFERROR(__xludf.DUMMYFUNCTION("""COMPUTED_VALUE"""),20100.0)</f>
        <v>20100</v>
      </c>
      <c r="C1962" s="1">
        <f>IFERROR(__xludf.DUMMYFUNCTION("""COMPUTED_VALUE"""),20400.0)</f>
        <v>20400</v>
      </c>
      <c r="D1962" s="1">
        <f>IFERROR(__xludf.DUMMYFUNCTION("""COMPUTED_VALUE"""),20000.0)</f>
        <v>20000</v>
      </c>
      <c r="E1962" s="1">
        <f>IFERROR(__xludf.DUMMYFUNCTION("""COMPUTED_VALUE"""),20300.0)</f>
        <v>20300</v>
      </c>
      <c r="F1962" s="1">
        <f>IFERROR(__xludf.DUMMYFUNCTION("""COMPUTED_VALUE"""),217247.0)</f>
        <v>217247</v>
      </c>
    </row>
    <row r="1963">
      <c r="A1963" s="2">
        <f>IFERROR(__xludf.DUMMYFUNCTION("""COMPUTED_VALUE"""),43462.64583333333)</f>
        <v>43462.64583</v>
      </c>
      <c r="B1963" s="1">
        <f>IFERROR(__xludf.DUMMYFUNCTION("""COMPUTED_VALUE"""),20200.0)</f>
        <v>20200</v>
      </c>
      <c r="C1963" s="1">
        <f>IFERROR(__xludf.DUMMYFUNCTION("""COMPUTED_VALUE"""),20900.0)</f>
        <v>20900</v>
      </c>
      <c r="D1963" s="1">
        <f>IFERROR(__xludf.DUMMYFUNCTION("""COMPUTED_VALUE"""),20200.0)</f>
        <v>20200</v>
      </c>
      <c r="E1963" s="1">
        <f>IFERROR(__xludf.DUMMYFUNCTION("""COMPUTED_VALUE"""),20600.0)</f>
        <v>20600</v>
      </c>
      <c r="F1963" s="1">
        <f>IFERROR(__xludf.DUMMYFUNCTION("""COMPUTED_VALUE"""),190847.0)</f>
        <v>190847</v>
      </c>
    </row>
    <row r="1964">
      <c r="A1964" s="2">
        <f>IFERROR(__xludf.DUMMYFUNCTION("""COMPUTED_VALUE"""),43467.64583333333)</f>
        <v>43467.64583</v>
      </c>
      <c r="B1964" s="1">
        <f>IFERROR(__xludf.DUMMYFUNCTION("""COMPUTED_VALUE"""),20700.0)</f>
        <v>20700</v>
      </c>
      <c r="C1964" s="1">
        <f>IFERROR(__xludf.DUMMYFUNCTION("""COMPUTED_VALUE"""),21000.0)</f>
        <v>21000</v>
      </c>
      <c r="D1964" s="1">
        <f>IFERROR(__xludf.DUMMYFUNCTION("""COMPUTED_VALUE"""),20300.0)</f>
        <v>20300</v>
      </c>
      <c r="E1964" s="1">
        <f>IFERROR(__xludf.DUMMYFUNCTION("""COMPUTED_VALUE"""),20400.0)</f>
        <v>20400</v>
      </c>
      <c r="F1964" s="1">
        <f>IFERROR(__xludf.DUMMYFUNCTION("""COMPUTED_VALUE"""),173462.0)</f>
        <v>173462</v>
      </c>
    </row>
    <row r="1965">
      <c r="A1965" s="2">
        <f>IFERROR(__xludf.DUMMYFUNCTION("""COMPUTED_VALUE"""),43468.64583333333)</f>
        <v>43468.64583</v>
      </c>
      <c r="B1965" s="1">
        <f>IFERROR(__xludf.DUMMYFUNCTION("""COMPUTED_VALUE"""),20500.0)</f>
        <v>20500</v>
      </c>
      <c r="C1965" s="1">
        <f>IFERROR(__xludf.DUMMYFUNCTION("""COMPUTED_VALUE"""),21100.0)</f>
        <v>21100</v>
      </c>
      <c r="D1965" s="1">
        <f>IFERROR(__xludf.DUMMYFUNCTION("""COMPUTED_VALUE"""),20100.0)</f>
        <v>20100</v>
      </c>
      <c r="E1965" s="1">
        <f>IFERROR(__xludf.DUMMYFUNCTION("""COMPUTED_VALUE"""),20500.0)</f>
        <v>20500</v>
      </c>
      <c r="F1965" s="1">
        <f>IFERROR(__xludf.DUMMYFUNCTION("""COMPUTED_VALUE"""),293989.0)</f>
        <v>293989</v>
      </c>
    </row>
    <row r="1966">
      <c r="A1966" s="2">
        <f>IFERROR(__xludf.DUMMYFUNCTION("""COMPUTED_VALUE"""),43469.64583333333)</f>
        <v>43469.64583</v>
      </c>
      <c r="B1966" s="1">
        <f>IFERROR(__xludf.DUMMYFUNCTION("""COMPUTED_VALUE"""),20400.0)</f>
        <v>20400</v>
      </c>
      <c r="C1966" s="1">
        <f>IFERROR(__xludf.DUMMYFUNCTION("""COMPUTED_VALUE"""),20800.0)</f>
        <v>20800</v>
      </c>
      <c r="D1966" s="1">
        <f>IFERROR(__xludf.DUMMYFUNCTION("""COMPUTED_VALUE"""),20300.0)</f>
        <v>20300</v>
      </c>
      <c r="E1966" s="1">
        <f>IFERROR(__xludf.DUMMYFUNCTION("""COMPUTED_VALUE"""),20700.0)</f>
        <v>20700</v>
      </c>
      <c r="F1966" s="1">
        <f>IFERROR(__xludf.DUMMYFUNCTION("""COMPUTED_VALUE"""),251728.0)</f>
        <v>251728</v>
      </c>
    </row>
    <row r="1967">
      <c r="A1967" s="2">
        <f>IFERROR(__xludf.DUMMYFUNCTION("""COMPUTED_VALUE"""),43472.64583333333)</f>
        <v>43472.64583</v>
      </c>
      <c r="B1967" s="1">
        <f>IFERROR(__xludf.DUMMYFUNCTION("""COMPUTED_VALUE"""),21000.0)</f>
        <v>21000</v>
      </c>
      <c r="C1967" s="1">
        <f>IFERROR(__xludf.DUMMYFUNCTION("""COMPUTED_VALUE"""),21400.0)</f>
        <v>21400</v>
      </c>
      <c r="D1967" s="1">
        <f>IFERROR(__xludf.DUMMYFUNCTION("""COMPUTED_VALUE"""),20400.0)</f>
        <v>20400</v>
      </c>
      <c r="E1967" s="1">
        <f>IFERROR(__xludf.DUMMYFUNCTION("""COMPUTED_VALUE"""),20600.0)</f>
        <v>20600</v>
      </c>
      <c r="F1967" s="1">
        <f>IFERROR(__xludf.DUMMYFUNCTION("""COMPUTED_VALUE"""),378153.0)</f>
        <v>378153</v>
      </c>
    </row>
    <row r="1968">
      <c r="A1968" s="2">
        <f>IFERROR(__xludf.DUMMYFUNCTION("""COMPUTED_VALUE"""),43473.64583333333)</f>
        <v>43473.64583</v>
      </c>
      <c r="B1968" s="1">
        <f>IFERROR(__xludf.DUMMYFUNCTION("""COMPUTED_VALUE"""),20500.0)</f>
        <v>20500</v>
      </c>
      <c r="C1968" s="1">
        <f>IFERROR(__xludf.DUMMYFUNCTION("""COMPUTED_VALUE"""),20600.0)</f>
        <v>20600</v>
      </c>
      <c r="D1968" s="1">
        <f>IFERROR(__xludf.DUMMYFUNCTION("""COMPUTED_VALUE"""),19900.0)</f>
        <v>19900</v>
      </c>
      <c r="E1968" s="1">
        <f>IFERROR(__xludf.DUMMYFUNCTION("""COMPUTED_VALUE"""),19980.0)</f>
        <v>19980</v>
      </c>
      <c r="F1968" s="1">
        <f>IFERROR(__xludf.DUMMYFUNCTION("""COMPUTED_VALUE"""),450462.0)</f>
        <v>450462</v>
      </c>
    </row>
    <row r="1969">
      <c r="A1969" s="2">
        <f>IFERROR(__xludf.DUMMYFUNCTION("""COMPUTED_VALUE"""),43474.64583333333)</f>
        <v>43474.64583</v>
      </c>
      <c r="B1969" s="1">
        <f>IFERROR(__xludf.DUMMYFUNCTION("""COMPUTED_VALUE"""),20100.0)</f>
        <v>20100</v>
      </c>
      <c r="C1969" s="1">
        <f>IFERROR(__xludf.DUMMYFUNCTION("""COMPUTED_VALUE"""),20500.0)</f>
        <v>20500</v>
      </c>
      <c r="D1969" s="1">
        <f>IFERROR(__xludf.DUMMYFUNCTION("""COMPUTED_VALUE"""),20000.0)</f>
        <v>20000</v>
      </c>
      <c r="E1969" s="1">
        <f>IFERROR(__xludf.DUMMYFUNCTION("""COMPUTED_VALUE"""),20400.0)</f>
        <v>20400</v>
      </c>
      <c r="F1969" s="1">
        <f>IFERROR(__xludf.DUMMYFUNCTION("""COMPUTED_VALUE"""),357096.0)</f>
        <v>357096</v>
      </c>
    </row>
    <row r="1970">
      <c r="A1970" s="2">
        <f>IFERROR(__xludf.DUMMYFUNCTION("""COMPUTED_VALUE"""),43475.64583333333)</f>
        <v>43475.64583</v>
      </c>
      <c r="B1970" s="1">
        <f>IFERROR(__xludf.DUMMYFUNCTION("""COMPUTED_VALUE"""),20200.0)</f>
        <v>20200</v>
      </c>
      <c r="C1970" s="1">
        <f>IFERROR(__xludf.DUMMYFUNCTION("""COMPUTED_VALUE"""),20600.0)</f>
        <v>20600</v>
      </c>
      <c r="D1970" s="1">
        <f>IFERROR(__xludf.DUMMYFUNCTION("""COMPUTED_VALUE"""),20100.0)</f>
        <v>20100</v>
      </c>
      <c r="E1970" s="1">
        <f>IFERROR(__xludf.DUMMYFUNCTION("""COMPUTED_VALUE"""),20200.0)</f>
        <v>20200</v>
      </c>
      <c r="F1970" s="1">
        <f>IFERROR(__xludf.DUMMYFUNCTION("""COMPUTED_VALUE"""),291573.0)</f>
        <v>291573</v>
      </c>
    </row>
    <row r="1971">
      <c r="A1971" s="2">
        <f>IFERROR(__xludf.DUMMYFUNCTION("""COMPUTED_VALUE"""),43476.64583333333)</f>
        <v>43476.64583</v>
      </c>
      <c r="B1971" s="1">
        <f>IFERROR(__xludf.DUMMYFUNCTION("""COMPUTED_VALUE"""),20200.0)</f>
        <v>20200</v>
      </c>
      <c r="C1971" s="1">
        <f>IFERROR(__xludf.DUMMYFUNCTION("""COMPUTED_VALUE"""),20700.0)</f>
        <v>20700</v>
      </c>
      <c r="D1971" s="1">
        <f>IFERROR(__xludf.DUMMYFUNCTION("""COMPUTED_VALUE"""),20200.0)</f>
        <v>20200</v>
      </c>
      <c r="E1971" s="1">
        <f>IFERROR(__xludf.DUMMYFUNCTION("""COMPUTED_VALUE"""),20400.0)</f>
        <v>20400</v>
      </c>
      <c r="F1971" s="1">
        <f>IFERROR(__xludf.DUMMYFUNCTION("""COMPUTED_VALUE"""),180561.0)</f>
        <v>180561</v>
      </c>
    </row>
    <row r="1972">
      <c r="A1972" s="2">
        <f>IFERROR(__xludf.DUMMYFUNCTION("""COMPUTED_VALUE"""),43479.64583333333)</f>
        <v>43479.64583</v>
      </c>
      <c r="B1972" s="1">
        <f>IFERROR(__xludf.DUMMYFUNCTION("""COMPUTED_VALUE"""),20400.0)</f>
        <v>20400</v>
      </c>
      <c r="C1972" s="1">
        <f>IFERROR(__xludf.DUMMYFUNCTION("""COMPUTED_VALUE"""),20400.0)</f>
        <v>20400</v>
      </c>
      <c r="D1972" s="1">
        <f>IFERROR(__xludf.DUMMYFUNCTION("""COMPUTED_VALUE"""),19960.0)</f>
        <v>19960</v>
      </c>
      <c r="E1972" s="1">
        <f>IFERROR(__xludf.DUMMYFUNCTION("""COMPUTED_VALUE"""),20000.0)</f>
        <v>20000</v>
      </c>
      <c r="F1972" s="1">
        <f>IFERROR(__xludf.DUMMYFUNCTION("""COMPUTED_VALUE"""),243305.0)</f>
        <v>243305</v>
      </c>
    </row>
    <row r="1973">
      <c r="A1973" s="2">
        <f>IFERROR(__xludf.DUMMYFUNCTION("""COMPUTED_VALUE"""),43480.64583333333)</f>
        <v>43480.64583</v>
      </c>
      <c r="B1973" s="1">
        <f>IFERROR(__xludf.DUMMYFUNCTION("""COMPUTED_VALUE"""),20000.0)</f>
        <v>20000</v>
      </c>
      <c r="C1973" s="1">
        <f>IFERROR(__xludf.DUMMYFUNCTION("""COMPUTED_VALUE"""),20500.0)</f>
        <v>20500</v>
      </c>
      <c r="D1973" s="1">
        <f>IFERROR(__xludf.DUMMYFUNCTION("""COMPUTED_VALUE"""),19900.0)</f>
        <v>19900</v>
      </c>
      <c r="E1973" s="1">
        <f>IFERROR(__xludf.DUMMYFUNCTION("""COMPUTED_VALUE"""),19980.0)</f>
        <v>19980</v>
      </c>
      <c r="F1973" s="1">
        <f>IFERROR(__xludf.DUMMYFUNCTION("""COMPUTED_VALUE"""),381581.0)</f>
        <v>381581</v>
      </c>
    </row>
    <row r="1974">
      <c r="A1974" s="2">
        <f>IFERROR(__xludf.DUMMYFUNCTION("""COMPUTED_VALUE"""),43481.64583333333)</f>
        <v>43481.64583</v>
      </c>
      <c r="B1974" s="1">
        <f>IFERROR(__xludf.DUMMYFUNCTION("""COMPUTED_VALUE"""),20100.0)</f>
        <v>20100</v>
      </c>
      <c r="C1974" s="1">
        <f>IFERROR(__xludf.DUMMYFUNCTION("""COMPUTED_VALUE"""),20200.0)</f>
        <v>20200</v>
      </c>
      <c r="D1974" s="1">
        <f>IFERROR(__xludf.DUMMYFUNCTION("""COMPUTED_VALUE"""),19960.0)</f>
        <v>19960</v>
      </c>
      <c r="E1974" s="1">
        <f>IFERROR(__xludf.DUMMYFUNCTION("""COMPUTED_VALUE"""),20000.0)</f>
        <v>20000</v>
      </c>
      <c r="F1974" s="1">
        <f>IFERROR(__xludf.DUMMYFUNCTION("""COMPUTED_VALUE"""),217209.0)</f>
        <v>217209</v>
      </c>
    </row>
    <row r="1975">
      <c r="A1975" s="2">
        <f>IFERROR(__xludf.DUMMYFUNCTION("""COMPUTED_VALUE"""),43482.64583333333)</f>
        <v>43482.64583</v>
      </c>
      <c r="B1975" s="1">
        <f>IFERROR(__xludf.DUMMYFUNCTION("""COMPUTED_VALUE"""),20000.0)</f>
        <v>20000</v>
      </c>
      <c r="C1975" s="1">
        <f>IFERROR(__xludf.DUMMYFUNCTION("""COMPUTED_VALUE"""),20400.0)</f>
        <v>20400</v>
      </c>
      <c r="D1975" s="1">
        <f>IFERROR(__xludf.DUMMYFUNCTION("""COMPUTED_VALUE"""),19700.0)</f>
        <v>19700</v>
      </c>
      <c r="E1975" s="1">
        <f>IFERROR(__xludf.DUMMYFUNCTION("""COMPUTED_VALUE"""),19700.0)</f>
        <v>19700</v>
      </c>
      <c r="F1975" s="1">
        <f>IFERROR(__xludf.DUMMYFUNCTION("""COMPUTED_VALUE"""),434803.0)</f>
        <v>434803</v>
      </c>
    </row>
    <row r="1976">
      <c r="A1976" s="2">
        <f>IFERROR(__xludf.DUMMYFUNCTION("""COMPUTED_VALUE"""),43483.64583333333)</f>
        <v>43483.64583</v>
      </c>
      <c r="B1976" s="1">
        <f>IFERROR(__xludf.DUMMYFUNCTION("""COMPUTED_VALUE"""),19800.0)</f>
        <v>19800</v>
      </c>
      <c r="C1976" s="1">
        <f>IFERROR(__xludf.DUMMYFUNCTION("""COMPUTED_VALUE"""),19980.0)</f>
        <v>19980</v>
      </c>
      <c r="D1976" s="1">
        <f>IFERROR(__xludf.DUMMYFUNCTION("""COMPUTED_VALUE"""),19780.0)</f>
        <v>19780</v>
      </c>
      <c r="E1976" s="1">
        <f>IFERROR(__xludf.DUMMYFUNCTION("""COMPUTED_VALUE"""),19920.0)</f>
        <v>19920</v>
      </c>
      <c r="F1976" s="1">
        <f>IFERROR(__xludf.DUMMYFUNCTION("""COMPUTED_VALUE"""),291588.0)</f>
        <v>291588</v>
      </c>
    </row>
    <row r="1977">
      <c r="A1977" s="2">
        <f>IFERROR(__xludf.DUMMYFUNCTION("""COMPUTED_VALUE"""),43486.64583333333)</f>
        <v>43486.64583</v>
      </c>
      <c r="B1977" s="1">
        <f>IFERROR(__xludf.DUMMYFUNCTION("""COMPUTED_VALUE"""),19980.0)</f>
        <v>19980</v>
      </c>
      <c r="C1977" s="1">
        <f>IFERROR(__xludf.DUMMYFUNCTION("""COMPUTED_VALUE"""),20000.0)</f>
        <v>20000</v>
      </c>
      <c r="D1977" s="1">
        <f>IFERROR(__xludf.DUMMYFUNCTION("""COMPUTED_VALUE"""),19740.0)</f>
        <v>19740</v>
      </c>
      <c r="E1977" s="1">
        <f>IFERROR(__xludf.DUMMYFUNCTION("""COMPUTED_VALUE"""),19760.0)</f>
        <v>19760</v>
      </c>
      <c r="F1977" s="1">
        <f>IFERROR(__xludf.DUMMYFUNCTION("""COMPUTED_VALUE"""),252620.0)</f>
        <v>252620</v>
      </c>
    </row>
    <row r="1978">
      <c r="A1978" s="2">
        <f>IFERROR(__xludf.DUMMYFUNCTION("""COMPUTED_VALUE"""),43487.64583333333)</f>
        <v>43487.64583</v>
      </c>
      <c r="B1978" s="1">
        <f>IFERROR(__xludf.DUMMYFUNCTION("""COMPUTED_VALUE"""),19880.0)</f>
        <v>19880</v>
      </c>
      <c r="C1978" s="1">
        <f>IFERROR(__xludf.DUMMYFUNCTION("""COMPUTED_VALUE"""),20500.0)</f>
        <v>20500</v>
      </c>
      <c r="D1978" s="1">
        <f>IFERROR(__xludf.DUMMYFUNCTION("""COMPUTED_VALUE"""),19860.0)</f>
        <v>19860</v>
      </c>
      <c r="E1978" s="1">
        <f>IFERROR(__xludf.DUMMYFUNCTION("""COMPUTED_VALUE"""),20400.0)</f>
        <v>20400</v>
      </c>
      <c r="F1978" s="1">
        <f>IFERROR(__xludf.DUMMYFUNCTION("""COMPUTED_VALUE"""),448490.0)</f>
        <v>448490</v>
      </c>
    </row>
    <row r="1979">
      <c r="A1979" s="2">
        <f>IFERROR(__xludf.DUMMYFUNCTION("""COMPUTED_VALUE"""),43488.64583333333)</f>
        <v>43488.64583</v>
      </c>
      <c r="B1979" s="1">
        <f>IFERROR(__xludf.DUMMYFUNCTION("""COMPUTED_VALUE"""),20300.0)</f>
        <v>20300</v>
      </c>
      <c r="C1979" s="1">
        <f>IFERROR(__xludf.DUMMYFUNCTION("""COMPUTED_VALUE"""),20600.0)</f>
        <v>20600</v>
      </c>
      <c r="D1979" s="1">
        <f>IFERROR(__xludf.DUMMYFUNCTION("""COMPUTED_VALUE"""),20100.0)</f>
        <v>20100</v>
      </c>
      <c r="E1979" s="1">
        <f>IFERROR(__xludf.DUMMYFUNCTION("""COMPUTED_VALUE"""),20500.0)</f>
        <v>20500</v>
      </c>
      <c r="F1979" s="1">
        <f>IFERROR(__xludf.DUMMYFUNCTION("""COMPUTED_VALUE"""),360462.0)</f>
        <v>360462</v>
      </c>
    </row>
    <row r="1980">
      <c r="A1980" s="2">
        <f>IFERROR(__xludf.DUMMYFUNCTION("""COMPUTED_VALUE"""),43489.64583333333)</f>
        <v>43489.64583</v>
      </c>
      <c r="B1980" s="1">
        <f>IFERROR(__xludf.DUMMYFUNCTION("""COMPUTED_VALUE"""),20500.0)</f>
        <v>20500</v>
      </c>
      <c r="C1980" s="1">
        <f>IFERROR(__xludf.DUMMYFUNCTION("""COMPUTED_VALUE"""),20700.0)</f>
        <v>20700</v>
      </c>
      <c r="D1980" s="1">
        <f>IFERROR(__xludf.DUMMYFUNCTION("""COMPUTED_VALUE"""),20200.0)</f>
        <v>20200</v>
      </c>
      <c r="E1980" s="1">
        <f>IFERROR(__xludf.DUMMYFUNCTION("""COMPUTED_VALUE"""),20400.0)</f>
        <v>20400</v>
      </c>
      <c r="F1980" s="1">
        <f>IFERROR(__xludf.DUMMYFUNCTION("""COMPUTED_VALUE"""),282408.0)</f>
        <v>282408</v>
      </c>
    </row>
    <row r="1981">
      <c r="A1981" s="2">
        <f>IFERROR(__xludf.DUMMYFUNCTION("""COMPUTED_VALUE"""),43490.64583333333)</f>
        <v>43490.64583</v>
      </c>
      <c r="B1981" s="1">
        <f>IFERROR(__xludf.DUMMYFUNCTION("""COMPUTED_VALUE"""),20300.0)</f>
        <v>20300</v>
      </c>
      <c r="C1981" s="1">
        <f>IFERROR(__xludf.DUMMYFUNCTION("""COMPUTED_VALUE"""),20600.0)</f>
        <v>20600</v>
      </c>
      <c r="D1981" s="1">
        <f>IFERROR(__xludf.DUMMYFUNCTION("""COMPUTED_VALUE"""),20200.0)</f>
        <v>20200</v>
      </c>
      <c r="E1981" s="1">
        <f>IFERROR(__xludf.DUMMYFUNCTION("""COMPUTED_VALUE"""),20500.0)</f>
        <v>20500</v>
      </c>
      <c r="F1981" s="1">
        <f>IFERROR(__xludf.DUMMYFUNCTION("""COMPUTED_VALUE"""),355017.0)</f>
        <v>355017</v>
      </c>
    </row>
    <row r="1982">
      <c r="A1982" s="2">
        <f>IFERROR(__xludf.DUMMYFUNCTION("""COMPUTED_VALUE"""),43493.64583333333)</f>
        <v>43493.64583</v>
      </c>
      <c r="B1982" s="1">
        <f>IFERROR(__xludf.DUMMYFUNCTION("""COMPUTED_VALUE"""),20600.0)</f>
        <v>20600</v>
      </c>
      <c r="C1982" s="1">
        <f>IFERROR(__xludf.DUMMYFUNCTION("""COMPUTED_VALUE"""),20800.0)</f>
        <v>20800</v>
      </c>
      <c r="D1982" s="1">
        <f>IFERROR(__xludf.DUMMYFUNCTION("""COMPUTED_VALUE"""),20300.0)</f>
        <v>20300</v>
      </c>
      <c r="E1982" s="1">
        <f>IFERROR(__xludf.DUMMYFUNCTION("""COMPUTED_VALUE"""),20400.0)</f>
        <v>20400</v>
      </c>
      <c r="F1982" s="1">
        <f>IFERROR(__xludf.DUMMYFUNCTION("""COMPUTED_VALUE"""),275296.0)</f>
        <v>275296</v>
      </c>
    </row>
    <row r="1983">
      <c r="A1983" s="2">
        <f>IFERROR(__xludf.DUMMYFUNCTION("""COMPUTED_VALUE"""),43494.64583333333)</f>
        <v>43494.64583</v>
      </c>
      <c r="B1983" s="1">
        <f>IFERROR(__xludf.DUMMYFUNCTION("""COMPUTED_VALUE"""),20300.0)</f>
        <v>20300</v>
      </c>
      <c r="C1983" s="1">
        <f>IFERROR(__xludf.DUMMYFUNCTION("""COMPUTED_VALUE"""),20400.0)</f>
        <v>20400</v>
      </c>
      <c r="D1983" s="1">
        <f>IFERROR(__xludf.DUMMYFUNCTION("""COMPUTED_VALUE"""),20200.0)</f>
        <v>20200</v>
      </c>
      <c r="E1983" s="1">
        <f>IFERROR(__xludf.DUMMYFUNCTION("""COMPUTED_VALUE"""),20400.0)</f>
        <v>20400</v>
      </c>
      <c r="F1983" s="1">
        <f>IFERROR(__xludf.DUMMYFUNCTION("""COMPUTED_VALUE"""),225138.0)</f>
        <v>225138</v>
      </c>
    </row>
    <row r="1984">
      <c r="A1984" s="2">
        <f>IFERROR(__xludf.DUMMYFUNCTION("""COMPUTED_VALUE"""),43495.64583333333)</f>
        <v>43495.64583</v>
      </c>
      <c r="B1984" s="1">
        <f>IFERROR(__xludf.DUMMYFUNCTION("""COMPUTED_VALUE"""),20400.0)</f>
        <v>20400</v>
      </c>
      <c r="C1984" s="1">
        <f>IFERROR(__xludf.DUMMYFUNCTION("""COMPUTED_VALUE"""),20500.0)</f>
        <v>20500</v>
      </c>
      <c r="D1984" s="1">
        <f>IFERROR(__xludf.DUMMYFUNCTION("""COMPUTED_VALUE"""),19900.0)</f>
        <v>19900</v>
      </c>
      <c r="E1984" s="1">
        <f>IFERROR(__xludf.DUMMYFUNCTION("""COMPUTED_VALUE"""),19980.0)</f>
        <v>19980</v>
      </c>
      <c r="F1984" s="1">
        <f>IFERROR(__xludf.DUMMYFUNCTION("""COMPUTED_VALUE"""),565397.0)</f>
        <v>565397</v>
      </c>
    </row>
    <row r="1985">
      <c r="A1985" s="2">
        <f>IFERROR(__xludf.DUMMYFUNCTION("""COMPUTED_VALUE"""),43496.64583333333)</f>
        <v>43496.64583</v>
      </c>
      <c r="B1985" s="1">
        <f>IFERROR(__xludf.DUMMYFUNCTION("""COMPUTED_VALUE"""),20100.0)</f>
        <v>20100</v>
      </c>
      <c r="C1985" s="1">
        <f>IFERROR(__xludf.DUMMYFUNCTION("""COMPUTED_VALUE"""),20100.0)</f>
        <v>20100</v>
      </c>
      <c r="D1985" s="1">
        <f>IFERROR(__xludf.DUMMYFUNCTION("""COMPUTED_VALUE"""),19760.0)</f>
        <v>19760</v>
      </c>
      <c r="E1985" s="1">
        <f>IFERROR(__xludf.DUMMYFUNCTION("""COMPUTED_VALUE"""),19860.0)</f>
        <v>19860</v>
      </c>
      <c r="F1985" s="1">
        <f>IFERROR(__xludf.DUMMYFUNCTION("""COMPUTED_VALUE"""),546040.0)</f>
        <v>546040</v>
      </c>
    </row>
    <row r="1986">
      <c r="A1986" s="2">
        <f>IFERROR(__xludf.DUMMYFUNCTION("""COMPUTED_VALUE"""),43497.64583333333)</f>
        <v>43497.64583</v>
      </c>
      <c r="B1986" s="1">
        <f>IFERROR(__xludf.DUMMYFUNCTION("""COMPUTED_VALUE"""),19880.0)</f>
        <v>19880</v>
      </c>
      <c r="C1986" s="1">
        <f>IFERROR(__xludf.DUMMYFUNCTION("""COMPUTED_VALUE"""),20100.0)</f>
        <v>20100</v>
      </c>
      <c r="D1986" s="1">
        <f>IFERROR(__xludf.DUMMYFUNCTION("""COMPUTED_VALUE"""),19840.0)</f>
        <v>19840</v>
      </c>
      <c r="E1986" s="1">
        <f>IFERROR(__xludf.DUMMYFUNCTION("""COMPUTED_VALUE"""),19920.0)</f>
        <v>19920</v>
      </c>
      <c r="F1986" s="1">
        <f>IFERROR(__xludf.DUMMYFUNCTION("""COMPUTED_VALUE"""),388183.0)</f>
        <v>388183</v>
      </c>
    </row>
    <row r="1987">
      <c r="A1987" s="2">
        <f>IFERROR(__xludf.DUMMYFUNCTION("""COMPUTED_VALUE"""),43503.64583333333)</f>
        <v>43503.64583</v>
      </c>
      <c r="B1987" s="1">
        <f>IFERROR(__xludf.DUMMYFUNCTION("""COMPUTED_VALUE"""),20000.0)</f>
        <v>20000</v>
      </c>
      <c r="C1987" s="1">
        <f>IFERROR(__xludf.DUMMYFUNCTION("""COMPUTED_VALUE"""),20000.0)</f>
        <v>20000</v>
      </c>
      <c r="D1987" s="1">
        <f>IFERROR(__xludf.DUMMYFUNCTION("""COMPUTED_VALUE"""),19740.0)</f>
        <v>19740</v>
      </c>
      <c r="E1987" s="1">
        <f>IFERROR(__xludf.DUMMYFUNCTION("""COMPUTED_VALUE"""),19800.0)</f>
        <v>19800</v>
      </c>
      <c r="F1987" s="1">
        <f>IFERROR(__xludf.DUMMYFUNCTION("""COMPUTED_VALUE"""),307297.0)</f>
        <v>307297</v>
      </c>
    </row>
    <row r="1988">
      <c r="A1988" s="2">
        <f>IFERROR(__xludf.DUMMYFUNCTION("""COMPUTED_VALUE"""),43504.64583333333)</f>
        <v>43504.64583</v>
      </c>
      <c r="B1988" s="1">
        <f>IFERROR(__xludf.DUMMYFUNCTION("""COMPUTED_VALUE"""),19740.0)</f>
        <v>19740</v>
      </c>
      <c r="C1988" s="1">
        <f>IFERROR(__xludf.DUMMYFUNCTION("""COMPUTED_VALUE"""),19820.0)</f>
        <v>19820</v>
      </c>
      <c r="D1988" s="1">
        <f>IFERROR(__xludf.DUMMYFUNCTION("""COMPUTED_VALUE"""),19620.0)</f>
        <v>19620</v>
      </c>
      <c r="E1988" s="1">
        <f>IFERROR(__xludf.DUMMYFUNCTION("""COMPUTED_VALUE"""),19640.0)</f>
        <v>19640</v>
      </c>
      <c r="F1988" s="1">
        <f>IFERROR(__xludf.DUMMYFUNCTION("""COMPUTED_VALUE"""),314884.0)</f>
        <v>314884</v>
      </c>
    </row>
    <row r="1989">
      <c r="A1989" s="2">
        <f>IFERROR(__xludf.DUMMYFUNCTION("""COMPUTED_VALUE"""),43507.64583333333)</f>
        <v>43507.64583</v>
      </c>
      <c r="B1989" s="1">
        <f>IFERROR(__xludf.DUMMYFUNCTION("""COMPUTED_VALUE"""),19700.0)</f>
        <v>19700</v>
      </c>
      <c r="C1989" s="1">
        <f>IFERROR(__xludf.DUMMYFUNCTION("""COMPUTED_VALUE"""),19740.0)</f>
        <v>19740</v>
      </c>
      <c r="D1989" s="1">
        <f>IFERROR(__xludf.DUMMYFUNCTION("""COMPUTED_VALUE"""),19060.0)</f>
        <v>19060</v>
      </c>
      <c r="E1989" s="1">
        <f>IFERROR(__xludf.DUMMYFUNCTION("""COMPUTED_VALUE"""),19120.0)</f>
        <v>19120</v>
      </c>
      <c r="F1989" s="1">
        <f>IFERROR(__xludf.DUMMYFUNCTION("""COMPUTED_VALUE"""),906796.0)</f>
        <v>906796</v>
      </c>
    </row>
    <row r="1990">
      <c r="A1990" s="2">
        <f>IFERROR(__xludf.DUMMYFUNCTION("""COMPUTED_VALUE"""),43508.64583333333)</f>
        <v>43508.64583</v>
      </c>
      <c r="B1990" s="1">
        <f>IFERROR(__xludf.DUMMYFUNCTION("""COMPUTED_VALUE"""),19120.0)</f>
        <v>19120</v>
      </c>
      <c r="C1990" s="1">
        <f>IFERROR(__xludf.DUMMYFUNCTION("""COMPUTED_VALUE"""),19300.0)</f>
        <v>19300</v>
      </c>
      <c r="D1990" s="1">
        <f>IFERROR(__xludf.DUMMYFUNCTION("""COMPUTED_VALUE"""),18660.0)</f>
        <v>18660</v>
      </c>
      <c r="E1990" s="1">
        <f>IFERROR(__xludf.DUMMYFUNCTION("""COMPUTED_VALUE"""),19200.0)</f>
        <v>19200</v>
      </c>
      <c r="F1990" s="1">
        <f>IFERROR(__xludf.DUMMYFUNCTION("""COMPUTED_VALUE"""),599314.0)</f>
        <v>599314</v>
      </c>
    </row>
    <row r="1991">
      <c r="A1991" s="2">
        <f>IFERROR(__xludf.DUMMYFUNCTION("""COMPUTED_VALUE"""),43509.64583333333)</f>
        <v>43509.64583</v>
      </c>
      <c r="B1991" s="1">
        <f>IFERROR(__xludf.DUMMYFUNCTION("""COMPUTED_VALUE"""),19300.0)</f>
        <v>19300</v>
      </c>
      <c r="C1991" s="1">
        <f>IFERROR(__xludf.DUMMYFUNCTION("""COMPUTED_VALUE"""),19780.0)</f>
        <v>19780</v>
      </c>
      <c r="D1991" s="1">
        <f>IFERROR(__xludf.DUMMYFUNCTION("""COMPUTED_VALUE"""),19100.0)</f>
        <v>19100</v>
      </c>
      <c r="E1991" s="1">
        <f>IFERROR(__xludf.DUMMYFUNCTION("""COMPUTED_VALUE"""),19620.0)</f>
        <v>19620</v>
      </c>
      <c r="F1991" s="1">
        <f>IFERROR(__xludf.DUMMYFUNCTION("""COMPUTED_VALUE"""),519566.0)</f>
        <v>519566</v>
      </c>
    </row>
    <row r="1992">
      <c r="A1992" s="2">
        <f>IFERROR(__xludf.DUMMYFUNCTION("""COMPUTED_VALUE"""),43510.64583333333)</f>
        <v>43510.64583</v>
      </c>
      <c r="B1992" s="1">
        <f>IFERROR(__xludf.DUMMYFUNCTION("""COMPUTED_VALUE"""),19560.0)</f>
        <v>19560</v>
      </c>
      <c r="C1992" s="1">
        <f>IFERROR(__xludf.DUMMYFUNCTION("""COMPUTED_VALUE"""),20200.0)</f>
        <v>20200</v>
      </c>
      <c r="D1992" s="1">
        <f>IFERROR(__xludf.DUMMYFUNCTION("""COMPUTED_VALUE"""),19220.0)</f>
        <v>19220</v>
      </c>
      <c r="E1992" s="1">
        <f>IFERROR(__xludf.DUMMYFUNCTION("""COMPUTED_VALUE"""),20100.0)</f>
        <v>20100</v>
      </c>
      <c r="F1992" s="1">
        <f>IFERROR(__xludf.DUMMYFUNCTION("""COMPUTED_VALUE"""),849160.0)</f>
        <v>849160</v>
      </c>
    </row>
    <row r="1993">
      <c r="A1993" s="2">
        <f>IFERROR(__xludf.DUMMYFUNCTION("""COMPUTED_VALUE"""),43511.64583333333)</f>
        <v>43511.64583</v>
      </c>
      <c r="B1993" s="1">
        <f>IFERROR(__xludf.DUMMYFUNCTION("""COMPUTED_VALUE"""),20300.0)</f>
        <v>20300</v>
      </c>
      <c r="C1993" s="1">
        <f>IFERROR(__xludf.DUMMYFUNCTION("""COMPUTED_VALUE"""),20700.0)</f>
        <v>20700</v>
      </c>
      <c r="D1993" s="1">
        <f>IFERROR(__xludf.DUMMYFUNCTION("""COMPUTED_VALUE"""),20100.0)</f>
        <v>20100</v>
      </c>
      <c r="E1993" s="1">
        <f>IFERROR(__xludf.DUMMYFUNCTION("""COMPUTED_VALUE"""),20300.0)</f>
        <v>20300</v>
      </c>
      <c r="F1993" s="1">
        <f>IFERROR(__xludf.DUMMYFUNCTION("""COMPUTED_VALUE"""),653634.0)</f>
        <v>653634</v>
      </c>
    </row>
    <row r="1994">
      <c r="A1994" s="2">
        <f>IFERROR(__xludf.DUMMYFUNCTION("""COMPUTED_VALUE"""),43514.64583333333)</f>
        <v>43514.64583</v>
      </c>
      <c r="B1994" s="1">
        <f>IFERROR(__xludf.DUMMYFUNCTION("""COMPUTED_VALUE"""),20500.0)</f>
        <v>20500</v>
      </c>
      <c r="C1994" s="1">
        <f>IFERROR(__xludf.DUMMYFUNCTION("""COMPUTED_VALUE"""),20600.0)</f>
        <v>20600</v>
      </c>
      <c r="D1994" s="1">
        <f>IFERROR(__xludf.DUMMYFUNCTION("""COMPUTED_VALUE"""),20200.0)</f>
        <v>20200</v>
      </c>
      <c r="E1994" s="1">
        <f>IFERROR(__xludf.DUMMYFUNCTION("""COMPUTED_VALUE"""),20400.0)</f>
        <v>20400</v>
      </c>
      <c r="F1994" s="1">
        <f>IFERROR(__xludf.DUMMYFUNCTION("""COMPUTED_VALUE"""),355745.0)</f>
        <v>355745</v>
      </c>
    </row>
    <row r="1995">
      <c r="A1995" s="2">
        <f>IFERROR(__xludf.DUMMYFUNCTION("""COMPUTED_VALUE"""),43515.64583333333)</f>
        <v>43515.64583</v>
      </c>
      <c r="B1995" s="1">
        <f>IFERROR(__xludf.DUMMYFUNCTION("""COMPUTED_VALUE"""),20300.0)</f>
        <v>20300</v>
      </c>
      <c r="C1995" s="1">
        <f>IFERROR(__xludf.DUMMYFUNCTION("""COMPUTED_VALUE"""),20400.0)</f>
        <v>20400</v>
      </c>
      <c r="D1995" s="1">
        <f>IFERROR(__xludf.DUMMYFUNCTION("""COMPUTED_VALUE"""),20000.0)</f>
        <v>20000</v>
      </c>
      <c r="E1995" s="1">
        <f>IFERROR(__xludf.DUMMYFUNCTION("""COMPUTED_VALUE"""),20000.0)</f>
        <v>20000</v>
      </c>
      <c r="F1995" s="1">
        <f>IFERROR(__xludf.DUMMYFUNCTION("""COMPUTED_VALUE"""),231131.0)</f>
        <v>231131</v>
      </c>
    </row>
    <row r="1996">
      <c r="A1996" s="2">
        <f>IFERROR(__xludf.DUMMYFUNCTION("""COMPUTED_VALUE"""),43516.64583333333)</f>
        <v>43516.64583</v>
      </c>
      <c r="B1996" s="1">
        <f>IFERROR(__xludf.DUMMYFUNCTION("""COMPUTED_VALUE"""),20100.0)</f>
        <v>20100</v>
      </c>
      <c r="C1996" s="1">
        <f>IFERROR(__xludf.DUMMYFUNCTION("""COMPUTED_VALUE"""),20200.0)</f>
        <v>20200</v>
      </c>
      <c r="D1996" s="1">
        <f>IFERROR(__xludf.DUMMYFUNCTION("""COMPUTED_VALUE"""),19700.0)</f>
        <v>19700</v>
      </c>
      <c r="E1996" s="1">
        <f>IFERROR(__xludf.DUMMYFUNCTION("""COMPUTED_VALUE"""),19940.0)</f>
        <v>19940</v>
      </c>
      <c r="F1996" s="1">
        <f>IFERROR(__xludf.DUMMYFUNCTION("""COMPUTED_VALUE"""),387109.0)</f>
        <v>387109</v>
      </c>
    </row>
    <row r="1997">
      <c r="A1997" s="2">
        <f>IFERROR(__xludf.DUMMYFUNCTION("""COMPUTED_VALUE"""),43517.64583333333)</f>
        <v>43517.64583</v>
      </c>
      <c r="B1997" s="1">
        <f>IFERROR(__xludf.DUMMYFUNCTION("""COMPUTED_VALUE"""),19960.0)</f>
        <v>19960</v>
      </c>
      <c r="C1997" s="1">
        <f>IFERROR(__xludf.DUMMYFUNCTION("""COMPUTED_VALUE"""),20200.0)</f>
        <v>20200</v>
      </c>
      <c r="D1997" s="1">
        <f>IFERROR(__xludf.DUMMYFUNCTION("""COMPUTED_VALUE"""),19760.0)</f>
        <v>19760</v>
      </c>
      <c r="E1997" s="1">
        <f>IFERROR(__xludf.DUMMYFUNCTION("""COMPUTED_VALUE"""),19780.0)</f>
        <v>19780</v>
      </c>
      <c r="F1997" s="1">
        <f>IFERROR(__xludf.DUMMYFUNCTION("""COMPUTED_VALUE"""),328444.0)</f>
        <v>328444</v>
      </c>
    </row>
    <row r="1998">
      <c r="A1998" s="2">
        <f>IFERROR(__xludf.DUMMYFUNCTION("""COMPUTED_VALUE"""),43518.64583333333)</f>
        <v>43518.64583</v>
      </c>
      <c r="B1998" s="1">
        <f>IFERROR(__xludf.DUMMYFUNCTION("""COMPUTED_VALUE"""),19900.0)</f>
        <v>19900</v>
      </c>
      <c r="C1998" s="1">
        <f>IFERROR(__xludf.DUMMYFUNCTION("""COMPUTED_VALUE"""),20100.0)</f>
        <v>20100</v>
      </c>
      <c r="D1998" s="1">
        <f>IFERROR(__xludf.DUMMYFUNCTION("""COMPUTED_VALUE"""),19760.0)</f>
        <v>19760</v>
      </c>
      <c r="E1998" s="1">
        <f>IFERROR(__xludf.DUMMYFUNCTION("""COMPUTED_VALUE"""),19860.0)</f>
        <v>19860</v>
      </c>
      <c r="F1998" s="1">
        <f>IFERROR(__xludf.DUMMYFUNCTION("""COMPUTED_VALUE"""),294247.0)</f>
        <v>294247</v>
      </c>
    </row>
    <row r="1999">
      <c r="A1999" s="2">
        <f>IFERROR(__xludf.DUMMYFUNCTION("""COMPUTED_VALUE"""),43521.64583333333)</f>
        <v>43521.64583</v>
      </c>
      <c r="B1999" s="1">
        <f>IFERROR(__xludf.DUMMYFUNCTION("""COMPUTED_VALUE"""),19880.0)</f>
        <v>19880</v>
      </c>
      <c r="C1999" s="1">
        <f>IFERROR(__xludf.DUMMYFUNCTION("""COMPUTED_VALUE"""),19960.0)</f>
        <v>19960</v>
      </c>
      <c r="D1999" s="1">
        <f>IFERROR(__xludf.DUMMYFUNCTION("""COMPUTED_VALUE"""),19620.0)</f>
        <v>19620</v>
      </c>
      <c r="E1999" s="1">
        <f>IFERROR(__xludf.DUMMYFUNCTION("""COMPUTED_VALUE"""),19660.0)</f>
        <v>19660</v>
      </c>
      <c r="F1999" s="1">
        <f>IFERROR(__xludf.DUMMYFUNCTION("""COMPUTED_VALUE"""),370483.0)</f>
        <v>370483</v>
      </c>
    </row>
    <row r="2000">
      <c r="A2000" s="2">
        <f>IFERROR(__xludf.DUMMYFUNCTION("""COMPUTED_VALUE"""),43522.64583333333)</f>
        <v>43522.64583</v>
      </c>
      <c r="B2000" s="1">
        <f>IFERROR(__xludf.DUMMYFUNCTION("""COMPUTED_VALUE"""),19680.0)</f>
        <v>19680</v>
      </c>
      <c r="C2000" s="1">
        <f>IFERROR(__xludf.DUMMYFUNCTION("""COMPUTED_VALUE"""),20700.0)</f>
        <v>20700</v>
      </c>
      <c r="D2000" s="1">
        <f>IFERROR(__xludf.DUMMYFUNCTION("""COMPUTED_VALUE"""),19680.0)</f>
        <v>19680</v>
      </c>
      <c r="E2000" s="1">
        <f>IFERROR(__xludf.DUMMYFUNCTION("""COMPUTED_VALUE"""),20700.0)</f>
        <v>20700</v>
      </c>
      <c r="F2000" s="1">
        <f>IFERROR(__xludf.DUMMYFUNCTION("""COMPUTED_VALUE"""),1238902.0)</f>
        <v>1238902</v>
      </c>
    </row>
    <row r="2001">
      <c r="A2001" s="2">
        <f>IFERROR(__xludf.DUMMYFUNCTION("""COMPUTED_VALUE"""),43523.64583333333)</f>
        <v>43523.64583</v>
      </c>
      <c r="B2001" s="1">
        <f>IFERROR(__xludf.DUMMYFUNCTION("""COMPUTED_VALUE"""),20900.0)</f>
        <v>20900</v>
      </c>
      <c r="C2001" s="1">
        <f>IFERROR(__xludf.DUMMYFUNCTION("""COMPUTED_VALUE"""),21100.0)</f>
        <v>21100</v>
      </c>
      <c r="D2001" s="1">
        <f>IFERROR(__xludf.DUMMYFUNCTION("""COMPUTED_VALUE"""),20600.0)</f>
        <v>20600</v>
      </c>
      <c r="E2001" s="1">
        <f>IFERROR(__xludf.DUMMYFUNCTION("""COMPUTED_VALUE"""),21000.0)</f>
        <v>21000</v>
      </c>
      <c r="F2001" s="1">
        <f>IFERROR(__xludf.DUMMYFUNCTION("""COMPUTED_VALUE"""),551979.0)</f>
        <v>551979</v>
      </c>
    </row>
    <row r="2002">
      <c r="A2002" s="2">
        <f>IFERROR(__xludf.DUMMYFUNCTION("""COMPUTED_VALUE"""),43524.64583333333)</f>
        <v>43524.64583</v>
      </c>
      <c r="B2002" s="1">
        <f>IFERROR(__xludf.DUMMYFUNCTION("""COMPUTED_VALUE"""),21000.0)</f>
        <v>21000</v>
      </c>
      <c r="C2002" s="1">
        <f>IFERROR(__xludf.DUMMYFUNCTION("""COMPUTED_VALUE"""),21300.0)</f>
        <v>21300</v>
      </c>
      <c r="D2002" s="1">
        <f>IFERROR(__xludf.DUMMYFUNCTION("""COMPUTED_VALUE"""),20700.0)</f>
        <v>20700</v>
      </c>
      <c r="E2002" s="1">
        <f>IFERROR(__xludf.DUMMYFUNCTION("""COMPUTED_VALUE"""),20700.0)</f>
        <v>20700</v>
      </c>
      <c r="F2002" s="1">
        <f>IFERROR(__xludf.DUMMYFUNCTION("""COMPUTED_VALUE"""),733261.0)</f>
        <v>733261</v>
      </c>
    </row>
    <row r="2003">
      <c r="A2003" s="2">
        <f>IFERROR(__xludf.DUMMYFUNCTION("""COMPUTED_VALUE"""),43528.64583333333)</f>
        <v>43528.64583</v>
      </c>
      <c r="B2003" s="1">
        <f>IFERROR(__xludf.DUMMYFUNCTION("""COMPUTED_VALUE"""),21100.0)</f>
        <v>21100</v>
      </c>
      <c r="C2003" s="1">
        <f>IFERROR(__xludf.DUMMYFUNCTION("""COMPUTED_VALUE"""),21800.0)</f>
        <v>21800</v>
      </c>
      <c r="D2003" s="1">
        <f>IFERROR(__xludf.DUMMYFUNCTION("""COMPUTED_VALUE"""),21000.0)</f>
        <v>21000</v>
      </c>
      <c r="E2003" s="1">
        <f>IFERROR(__xludf.DUMMYFUNCTION("""COMPUTED_VALUE"""),21700.0)</f>
        <v>21700</v>
      </c>
      <c r="F2003" s="1">
        <f>IFERROR(__xludf.DUMMYFUNCTION("""COMPUTED_VALUE"""),853038.0)</f>
        <v>853038</v>
      </c>
    </row>
    <row r="2004">
      <c r="A2004" s="2">
        <f>IFERROR(__xludf.DUMMYFUNCTION("""COMPUTED_VALUE"""),43529.64583333333)</f>
        <v>43529.64583</v>
      </c>
      <c r="B2004" s="1">
        <f>IFERROR(__xludf.DUMMYFUNCTION("""COMPUTED_VALUE"""),21600.0)</f>
        <v>21600</v>
      </c>
      <c r="C2004" s="1">
        <f>IFERROR(__xludf.DUMMYFUNCTION("""COMPUTED_VALUE"""),21600.0)</f>
        <v>21600</v>
      </c>
      <c r="D2004" s="1">
        <f>IFERROR(__xludf.DUMMYFUNCTION("""COMPUTED_VALUE"""),21100.0)</f>
        <v>21100</v>
      </c>
      <c r="E2004" s="1">
        <f>IFERROR(__xludf.DUMMYFUNCTION("""COMPUTED_VALUE"""),21300.0)</f>
        <v>21300</v>
      </c>
      <c r="F2004" s="1">
        <f>IFERROR(__xludf.DUMMYFUNCTION("""COMPUTED_VALUE"""),472504.0)</f>
        <v>472504</v>
      </c>
    </row>
    <row r="2005">
      <c r="A2005" s="2">
        <f>IFERROR(__xludf.DUMMYFUNCTION("""COMPUTED_VALUE"""),43530.64583333333)</f>
        <v>43530.64583</v>
      </c>
      <c r="B2005" s="1">
        <f>IFERROR(__xludf.DUMMYFUNCTION("""COMPUTED_VALUE"""),21400.0)</f>
        <v>21400</v>
      </c>
      <c r="C2005" s="1">
        <f>IFERROR(__xludf.DUMMYFUNCTION("""COMPUTED_VALUE"""),21600.0)</f>
        <v>21600</v>
      </c>
      <c r="D2005" s="1">
        <f>IFERROR(__xludf.DUMMYFUNCTION("""COMPUTED_VALUE"""),20800.0)</f>
        <v>20800</v>
      </c>
      <c r="E2005" s="1">
        <f>IFERROR(__xludf.DUMMYFUNCTION("""COMPUTED_VALUE"""),21100.0)</f>
        <v>21100</v>
      </c>
      <c r="F2005" s="1">
        <f>IFERROR(__xludf.DUMMYFUNCTION("""COMPUTED_VALUE"""),298220.0)</f>
        <v>298220</v>
      </c>
    </row>
    <row r="2006">
      <c r="A2006" s="2">
        <f>IFERROR(__xludf.DUMMYFUNCTION("""COMPUTED_VALUE"""),43531.64583333333)</f>
        <v>43531.64583</v>
      </c>
      <c r="B2006" s="1">
        <f>IFERROR(__xludf.DUMMYFUNCTION("""COMPUTED_VALUE"""),21100.0)</f>
        <v>21100</v>
      </c>
      <c r="C2006" s="1">
        <f>IFERROR(__xludf.DUMMYFUNCTION("""COMPUTED_VALUE"""),21400.0)</f>
        <v>21400</v>
      </c>
      <c r="D2006" s="1">
        <f>IFERROR(__xludf.DUMMYFUNCTION("""COMPUTED_VALUE"""),20700.0)</f>
        <v>20700</v>
      </c>
      <c r="E2006" s="1">
        <f>IFERROR(__xludf.DUMMYFUNCTION("""COMPUTED_VALUE"""),20900.0)</f>
        <v>20900</v>
      </c>
      <c r="F2006" s="1">
        <f>IFERROR(__xludf.DUMMYFUNCTION("""COMPUTED_VALUE"""),330354.0)</f>
        <v>330354</v>
      </c>
    </row>
    <row r="2007">
      <c r="A2007" s="2">
        <f>IFERROR(__xludf.DUMMYFUNCTION("""COMPUTED_VALUE"""),43532.64583333333)</f>
        <v>43532.64583</v>
      </c>
      <c r="B2007" s="1">
        <f>IFERROR(__xludf.DUMMYFUNCTION("""COMPUTED_VALUE"""),21800.0)</f>
        <v>21800</v>
      </c>
      <c r="C2007" s="1">
        <f>IFERROR(__xludf.DUMMYFUNCTION("""COMPUTED_VALUE"""),21900.0)</f>
        <v>21900</v>
      </c>
      <c r="D2007" s="1">
        <f>IFERROR(__xludf.DUMMYFUNCTION("""COMPUTED_VALUE"""),21300.0)</f>
        <v>21300</v>
      </c>
      <c r="E2007" s="1">
        <f>IFERROR(__xludf.DUMMYFUNCTION("""COMPUTED_VALUE"""),21500.0)</f>
        <v>21500</v>
      </c>
      <c r="F2007" s="1">
        <f>IFERROR(__xludf.DUMMYFUNCTION("""COMPUTED_VALUE"""),792787.0)</f>
        <v>792787</v>
      </c>
    </row>
    <row r="2008">
      <c r="A2008" s="2">
        <f>IFERROR(__xludf.DUMMYFUNCTION("""COMPUTED_VALUE"""),43535.64583333333)</f>
        <v>43535.64583</v>
      </c>
      <c r="B2008" s="1">
        <f>IFERROR(__xludf.DUMMYFUNCTION("""COMPUTED_VALUE"""),21600.0)</f>
        <v>21600</v>
      </c>
      <c r="C2008" s="1">
        <f>IFERROR(__xludf.DUMMYFUNCTION("""COMPUTED_VALUE"""),21600.0)</f>
        <v>21600</v>
      </c>
      <c r="D2008" s="1">
        <f>IFERROR(__xludf.DUMMYFUNCTION("""COMPUTED_VALUE"""),20900.0)</f>
        <v>20900</v>
      </c>
      <c r="E2008" s="1">
        <f>IFERROR(__xludf.DUMMYFUNCTION("""COMPUTED_VALUE"""),21200.0)</f>
        <v>21200</v>
      </c>
      <c r="F2008" s="1">
        <f>IFERROR(__xludf.DUMMYFUNCTION("""COMPUTED_VALUE"""),276026.0)</f>
        <v>276026</v>
      </c>
    </row>
    <row r="2009">
      <c r="A2009" s="2">
        <f>IFERROR(__xludf.DUMMYFUNCTION("""COMPUTED_VALUE"""),43536.64583333333)</f>
        <v>43536.64583</v>
      </c>
      <c r="B2009" s="1">
        <f>IFERROR(__xludf.DUMMYFUNCTION("""COMPUTED_VALUE"""),21300.0)</f>
        <v>21300</v>
      </c>
      <c r="C2009" s="1">
        <f>IFERROR(__xludf.DUMMYFUNCTION("""COMPUTED_VALUE"""),21400.0)</f>
        <v>21400</v>
      </c>
      <c r="D2009" s="1">
        <f>IFERROR(__xludf.DUMMYFUNCTION("""COMPUTED_VALUE"""),20700.0)</f>
        <v>20700</v>
      </c>
      <c r="E2009" s="1">
        <f>IFERROR(__xludf.DUMMYFUNCTION("""COMPUTED_VALUE"""),20700.0)</f>
        <v>20700</v>
      </c>
      <c r="F2009" s="1">
        <f>IFERROR(__xludf.DUMMYFUNCTION("""COMPUTED_VALUE"""),380777.0)</f>
        <v>380777</v>
      </c>
    </row>
    <row r="2010">
      <c r="A2010" s="2">
        <f>IFERROR(__xludf.DUMMYFUNCTION("""COMPUTED_VALUE"""),43537.64583333333)</f>
        <v>43537.64583</v>
      </c>
      <c r="B2010" s="1">
        <f>IFERROR(__xludf.DUMMYFUNCTION("""COMPUTED_VALUE"""),20800.0)</f>
        <v>20800</v>
      </c>
      <c r="C2010" s="1">
        <f>IFERROR(__xludf.DUMMYFUNCTION("""COMPUTED_VALUE"""),21300.0)</f>
        <v>21300</v>
      </c>
      <c r="D2010" s="1">
        <f>IFERROR(__xludf.DUMMYFUNCTION("""COMPUTED_VALUE"""),20700.0)</f>
        <v>20700</v>
      </c>
      <c r="E2010" s="1">
        <f>IFERROR(__xludf.DUMMYFUNCTION("""COMPUTED_VALUE"""),20800.0)</f>
        <v>20800</v>
      </c>
      <c r="F2010" s="1">
        <f>IFERROR(__xludf.DUMMYFUNCTION("""COMPUTED_VALUE"""),240466.0)</f>
        <v>240466</v>
      </c>
    </row>
    <row r="2011">
      <c r="A2011" s="2">
        <f>IFERROR(__xludf.DUMMYFUNCTION("""COMPUTED_VALUE"""),43538.64583333333)</f>
        <v>43538.64583</v>
      </c>
      <c r="B2011" s="1">
        <f>IFERROR(__xludf.DUMMYFUNCTION("""COMPUTED_VALUE"""),21000.0)</f>
        <v>21000</v>
      </c>
      <c r="C2011" s="1">
        <f>IFERROR(__xludf.DUMMYFUNCTION("""COMPUTED_VALUE"""),21500.0)</f>
        <v>21500</v>
      </c>
      <c r="D2011" s="1">
        <f>IFERROR(__xludf.DUMMYFUNCTION("""COMPUTED_VALUE"""),20900.0)</f>
        <v>20900</v>
      </c>
      <c r="E2011" s="1">
        <f>IFERROR(__xludf.DUMMYFUNCTION("""COMPUTED_VALUE"""),21300.0)</f>
        <v>21300</v>
      </c>
      <c r="F2011" s="1">
        <f>IFERROR(__xludf.DUMMYFUNCTION("""COMPUTED_VALUE"""),444051.0)</f>
        <v>444051</v>
      </c>
    </row>
    <row r="2012">
      <c r="A2012" s="2">
        <f>IFERROR(__xludf.DUMMYFUNCTION("""COMPUTED_VALUE"""),43539.64583333333)</f>
        <v>43539.64583</v>
      </c>
      <c r="B2012" s="1">
        <f>IFERROR(__xludf.DUMMYFUNCTION("""COMPUTED_VALUE"""),21300.0)</f>
        <v>21300</v>
      </c>
      <c r="C2012" s="1">
        <f>IFERROR(__xludf.DUMMYFUNCTION("""COMPUTED_VALUE"""),21700.0)</f>
        <v>21700</v>
      </c>
      <c r="D2012" s="1">
        <f>IFERROR(__xludf.DUMMYFUNCTION("""COMPUTED_VALUE"""),21300.0)</f>
        <v>21300</v>
      </c>
      <c r="E2012" s="1">
        <f>IFERROR(__xludf.DUMMYFUNCTION("""COMPUTED_VALUE"""),21500.0)</f>
        <v>21500</v>
      </c>
      <c r="F2012" s="1">
        <f>IFERROR(__xludf.DUMMYFUNCTION("""COMPUTED_VALUE"""),463768.0)</f>
        <v>463768</v>
      </c>
    </row>
    <row r="2013">
      <c r="A2013" s="2">
        <f>IFERROR(__xludf.DUMMYFUNCTION("""COMPUTED_VALUE"""),43542.64583333333)</f>
        <v>43542.64583</v>
      </c>
      <c r="B2013" s="1">
        <f>IFERROR(__xludf.DUMMYFUNCTION("""COMPUTED_VALUE"""),21600.0)</f>
        <v>21600</v>
      </c>
      <c r="C2013" s="1">
        <f>IFERROR(__xludf.DUMMYFUNCTION("""COMPUTED_VALUE"""),21700.0)</f>
        <v>21700</v>
      </c>
      <c r="D2013" s="1">
        <f>IFERROR(__xludf.DUMMYFUNCTION("""COMPUTED_VALUE"""),21400.0)</f>
        <v>21400</v>
      </c>
      <c r="E2013" s="1">
        <f>IFERROR(__xludf.DUMMYFUNCTION("""COMPUTED_VALUE"""),21500.0)</f>
        <v>21500</v>
      </c>
      <c r="F2013" s="1">
        <f>IFERROR(__xludf.DUMMYFUNCTION("""COMPUTED_VALUE"""),197291.0)</f>
        <v>197291</v>
      </c>
    </row>
    <row r="2014">
      <c r="A2014" s="2">
        <f>IFERROR(__xludf.DUMMYFUNCTION("""COMPUTED_VALUE"""),43543.64583333333)</f>
        <v>43543.64583</v>
      </c>
      <c r="B2014" s="1">
        <f>IFERROR(__xludf.DUMMYFUNCTION("""COMPUTED_VALUE"""),21500.0)</f>
        <v>21500</v>
      </c>
      <c r="C2014" s="1">
        <f>IFERROR(__xludf.DUMMYFUNCTION("""COMPUTED_VALUE"""),21700.0)</f>
        <v>21700</v>
      </c>
      <c r="D2014" s="1">
        <f>IFERROR(__xludf.DUMMYFUNCTION("""COMPUTED_VALUE"""),20500.0)</f>
        <v>20500</v>
      </c>
      <c r="E2014" s="1">
        <f>IFERROR(__xludf.DUMMYFUNCTION("""COMPUTED_VALUE"""),20500.0)</f>
        <v>20500</v>
      </c>
      <c r="F2014" s="1">
        <f>IFERROR(__xludf.DUMMYFUNCTION("""COMPUTED_VALUE"""),605054.0)</f>
        <v>605054</v>
      </c>
    </row>
    <row r="2015">
      <c r="A2015" s="2">
        <f>IFERROR(__xludf.DUMMYFUNCTION("""COMPUTED_VALUE"""),43544.64583333333)</f>
        <v>43544.64583</v>
      </c>
      <c r="B2015" s="1">
        <f>IFERROR(__xludf.DUMMYFUNCTION("""COMPUTED_VALUE"""),20600.0)</f>
        <v>20600</v>
      </c>
      <c r="C2015" s="1">
        <f>IFERROR(__xludf.DUMMYFUNCTION("""COMPUTED_VALUE"""),20700.0)</f>
        <v>20700</v>
      </c>
      <c r="D2015" s="1">
        <f>IFERROR(__xludf.DUMMYFUNCTION("""COMPUTED_VALUE"""),20000.0)</f>
        <v>20000</v>
      </c>
      <c r="E2015" s="1">
        <f>IFERROR(__xludf.DUMMYFUNCTION("""COMPUTED_VALUE"""),20400.0)</f>
        <v>20400</v>
      </c>
      <c r="F2015" s="1">
        <f>IFERROR(__xludf.DUMMYFUNCTION("""COMPUTED_VALUE"""),492001.0)</f>
        <v>492001</v>
      </c>
    </row>
    <row r="2016">
      <c r="A2016" s="2">
        <f>IFERROR(__xludf.DUMMYFUNCTION("""COMPUTED_VALUE"""),43545.64583333333)</f>
        <v>43545.64583</v>
      </c>
      <c r="B2016" s="1">
        <f>IFERROR(__xludf.DUMMYFUNCTION("""COMPUTED_VALUE"""),20400.0)</f>
        <v>20400</v>
      </c>
      <c r="C2016" s="1">
        <f>IFERROR(__xludf.DUMMYFUNCTION("""COMPUTED_VALUE"""),20800.0)</f>
        <v>20800</v>
      </c>
      <c r="D2016" s="1">
        <f>IFERROR(__xludf.DUMMYFUNCTION("""COMPUTED_VALUE"""),20300.0)</f>
        <v>20300</v>
      </c>
      <c r="E2016" s="1">
        <f>IFERROR(__xludf.DUMMYFUNCTION("""COMPUTED_VALUE"""),20500.0)</f>
        <v>20500</v>
      </c>
      <c r="F2016" s="1">
        <f>IFERROR(__xludf.DUMMYFUNCTION("""COMPUTED_VALUE"""),230173.0)</f>
        <v>230173</v>
      </c>
    </row>
    <row r="2017">
      <c r="A2017" s="2">
        <f>IFERROR(__xludf.DUMMYFUNCTION("""COMPUTED_VALUE"""),43546.64583333333)</f>
        <v>43546.64583</v>
      </c>
      <c r="B2017" s="1">
        <f>IFERROR(__xludf.DUMMYFUNCTION("""COMPUTED_VALUE"""),20600.0)</f>
        <v>20600</v>
      </c>
      <c r="C2017" s="1">
        <f>IFERROR(__xludf.DUMMYFUNCTION("""COMPUTED_VALUE"""),20900.0)</f>
        <v>20900</v>
      </c>
      <c r="D2017" s="1">
        <f>IFERROR(__xludf.DUMMYFUNCTION("""COMPUTED_VALUE"""),20600.0)</f>
        <v>20600</v>
      </c>
      <c r="E2017" s="1">
        <f>IFERROR(__xludf.DUMMYFUNCTION("""COMPUTED_VALUE"""),20800.0)</f>
        <v>20800</v>
      </c>
      <c r="F2017" s="1">
        <f>IFERROR(__xludf.DUMMYFUNCTION("""COMPUTED_VALUE"""),239614.0)</f>
        <v>239614</v>
      </c>
    </row>
    <row r="2018">
      <c r="A2018" s="2">
        <f>IFERROR(__xludf.DUMMYFUNCTION("""COMPUTED_VALUE"""),43549.64583333333)</f>
        <v>43549.64583</v>
      </c>
      <c r="B2018" s="1">
        <f>IFERROR(__xludf.DUMMYFUNCTION("""COMPUTED_VALUE"""),20400.0)</f>
        <v>20400</v>
      </c>
      <c r="C2018" s="1">
        <f>IFERROR(__xludf.DUMMYFUNCTION("""COMPUTED_VALUE"""),20800.0)</f>
        <v>20800</v>
      </c>
      <c r="D2018" s="1">
        <f>IFERROR(__xludf.DUMMYFUNCTION("""COMPUTED_VALUE"""),20300.0)</f>
        <v>20300</v>
      </c>
      <c r="E2018" s="1">
        <f>IFERROR(__xludf.DUMMYFUNCTION("""COMPUTED_VALUE"""),20400.0)</f>
        <v>20400</v>
      </c>
      <c r="F2018" s="1">
        <f>IFERROR(__xludf.DUMMYFUNCTION("""COMPUTED_VALUE"""),171747.0)</f>
        <v>171747</v>
      </c>
    </row>
    <row r="2019">
      <c r="A2019" s="2">
        <f>IFERROR(__xludf.DUMMYFUNCTION("""COMPUTED_VALUE"""),43550.64583333333)</f>
        <v>43550.64583</v>
      </c>
      <c r="B2019" s="1">
        <f>IFERROR(__xludf.DUMMYFUNCTION("""COMPUTED_VALUE"""),20500.0)</f>
        <v>20500</v>
      </c>
      <c r="C2019" s="1">
        <f>IFERROR(__xludf.DUMMYFUNCTION("""COMPUTED_VALUE"""),21100.0)</f>
        <v>21100</v>
      </c>
      <c r="D2019" s="1">
        <f>IFERROR(__xludf.DUMMYFUNCTION("""COMPUTED_VALUE"""),20400.0)</f>
        <v>20400</v>
      </c>
      <c r="E2019" s="1">
        <f>IFERROR(__xludf.DUMMYFUNCTION("""COMPUTED_VALUE"""),20800.0)</f>
        <v>20800</v>
      </c>
      <c r="F2019" s="1">
        <f>IFERROR(__xludf.DUMMYFUNCTION("""COMPUTED_VALUE"""),257452.0)</f>
        <v>257452</v>
      </c>
    </row>
    <row r="2020">
      <c r="A2020" s="2">
        <f>IFERROR(__xludf.DUMMYFUNCTION("""COMPUTED_VALUE"""),43551.64583333333)</f>
        <v>43551.64583</v>
      </c>
      <c r="B2020" s="1">
        <f>IFERROR(__xludf.DUMMYFUNCTION("""COMPUTED_VALUE"""),20900.0)</f>
        <v>20900</v>
      </c>
      <c r="C2020" s="1">
        <f>IFERROR(__xludf.DUMMYFUNCTION("""COMPUTED_VALUE"""),20900.0)</f>
        <v>20900</v>
      </c>
      <c r="D2020" s="1">
        <f>IFERROR(__xludf.DUMMYFUNCTION("""COMPUTED_VALUE"""),20400.0)</f>
        <v>20400</v>
      </c>
      <c r="E2020" s="1">
        <f>IFERROR(__xludf.DUMMYFUNCTION("""COMPUTED_VALUE"""),20500.0)</f>
        <v>20500</v>
      </c>
      <c r="F2020" s="1">
        <f>IFERROR(__xludf.DUMMYFUNCTION("""COMPUTED_VALUE"""),208707.0)</f>
        <v>208707</v>
      </c>
    </row>
    <row r="2021">
      <c r="A2021" s="2">
        <f>IFERROR(__xludf.DUMMYFUNCTION("""COMPUTED_VALUE"""),43552.64583333333)</f>
        <v>43552.64583</v>
      </c>
      <c r="B2021" s="1">
        <f>IFERROR(__xludf.DUMMYFUNCTION("""COMPUTED_VALUE"""),20400.0)</f>
        <v>20400</v>
      </c>
      <c r="C2021" s="1">
        <f>IFERROR(__xludf.DUMMYFUNCTION("""COMPUTED_VALUE"""),20800.0)</f>
        <v>20800</v>
      </c>
      <c r="D2021" s="1">
        <f>IFERROR(__xludf.DUMMYFUNCTION("""COMPUTED_VALUE"""),20400.0)</f>
        <v>20400</v>
      </c>
      <c r="E2021" s="1">
        <f>IFERROR(__xludf.DUMMYFUNCTION("""COMPUTED_VALUE"""),20500.0)</f>
        <v>20500</v>
      </c>
      <c r="F2021" s="1">
        <f>IFERROR(__xludf.DUMMYFUNCTION("""COMPUTED_VALUE"""),162966.0)</f>
        <v>162966</v>
      </c>
    </row>
    <row r="2022">
      <c r="A2022" s="2">
        <f>IFERROR(__xludf.DUMMYFUNCTION("""COMPUTED_VALUE"""),43553.64583333333)</f>
        <v>43553.64583</v>
      </c>
      <c r="B2022" s="1">
        <f>IFERROR(__xludf.DUMMYFUNCTION("""COMPUTED_VALUE"""),20600.0)</f>
        <v>20600</v>
      </c>
      <c r="C2022" s="1">
        <f>IFERROR(__xludf.DUMMYFUNCTION("""COMPUTED_VALUE"""),20800.0)</f>
        <v>20800</v>
      </c>
      <c r="D2022" s="1">
        <f>IFERROR(__xludf.DUMMYFUNCTION("""COMPUTED_VALUE"""),20500.0)</f>
        <v>20500</v>
      </c>
      <c r="E2022" s="1">
        <f>IFERROR(__xludf.DUMMYFUNCTION("""COMPUTED_VALUE"""),20700.0)</f>
        <v>20700</v>
      </c>
      <c r="F2022" s="1">
        <f>IFERROR(__xludf.DUMMYFUNCTION("""COMPUTED_VALUE"""),153823.0)</f>
        <v>153823</v>
      </c>
    </row>
    <row r="2023">
      <c r="A2023" s="2">
        <f>IFERROR(__xludf.DUMMYFUNCTION("""COMPUTED_VALUE"""),43556.64583333333)</f>
        <v>43556.64583</v>
      </c>
      <c r="B2023" s="1">
        <f>IFERROR(__xludf.DUMMYFUNCTION("""COMPUTED_VALUE"""),20700.0)</f>
        <v>20700</v>
      </c>
      <c r="C2023" s="1">
        <f>IFERROR(__xludf.DUMMYFUNCTION("""COMPUTED_VALUE"""),20800.0)</f>
        <v>20800</v>
      </c>
      <c r="D2023" s="1">
        <f>IFERROR(__xludf.DUMMYFUNCTION("""COMPUTED_VALUE"""),20400.0)</f>
        <v>20400</v>
      </c>
      <c r="E2023" s="1">
        <f>IFERROR(__xludf.DUMMYFUNCTION("""COMPUTED_VALUE"""),20600.0)</f>
        <v>20600</v>
      </c>
      <c r="F2023" s="1">
        <f>IFERROR(__xludf.DUMMYFUNCTION("""COMPUTED_VALUE"""),216132.0)</f>
        <v>216132</v>
      </c>
    </row>
    <row r="2024">
      <c r="A2024" s="2">
        <f>IFERROR(__xludf.DUMMYFUNCTION("""COMPUTED_VALUE"""),43557.64583333333)</f>
        <v>43557.64583</v>
      </c>
      <c r="B2024" s="1">
        <f>IFERROR(__xludf.DUMMYFUNCTION("""COMPUTED_VALUE"""),20700.0)</f>
        <v>20700</v>
      </c>
      <c r="C2024" s="1">
        <f>IFERROR(__xludf.DUMMYFUNCTION("""COMPUTED_VALUE"""),20800.0)</f>
        <v>20800</v>
      </c>
      <c r="D2024" s="1">
        <f>IFERROR(__xludf.DUMMYFUNCTION("""COMPUTED_VALUE"""),20400.0)</f>
        <v>20400</v>
      </c>
      <c r="E2024" s="1">
        <f>IFERROR(__xludf.DUMMYFUNCTION("""COMPUTED_VALUE"""),20700.0)</f>
        <v>20700</v>
      </c>
      <c r="F2024" s="1">
        <f>IFERROR(__xludf.DUMMYFUNCTION("""COMPUTED_VALUE"""),227338.0)</f>
        <v>227338</v>
      </c>
    </row>
    <row r="2025">
      <c r="A2025" s="2">
        <f>IFERROR(__xludf.DUMMYFUNCTION("""COMPUTED_VALUE"""),43558.64583333333)</f>
        <v>43558.64583</v>
      </c>
      <c r="B2025" s="1">
        <f>IFERROR(__xludf.DUMMYFUNCTION("""COMPUTED_VALUE"""),20600.0)</f>
        <v>20600</v>
      </c>
      <c r="C2025" s="1">
        <f>IFERROR(__xludf.DUMMYFUNCTION("""COMPUTED_VALUE"""),20800.0)</f>
        <v>20800</v>
      </c>
      <c r="D2025" s="1">
        <f>IFERROR(__xludf.DUMMYFUNCTION("""COMPUTED_VALUE"""),20400.0)</f>
        <v>20400</v>
      </c>
      <c r="E2025" s="1">
        <f>IFERROR(__xludf.DUMMYFUNCTION("""COMPUTED_VALUE"""),20500.0)</f>
        <v>20500</v>
      </c>
      <c r="F2025" s="1">
        <f>IFERROR(__xludf.DUMMYFUNCTION("""COMPUTED_VALUE"""),294101.0)</f>
        <v>294101</v>
      </c>
    </row>
    <row r="2026">
      <c r="A2026" s="2">
        <f>IFERROR(__xludf.DUMMYFUNCTION("""COMPUTED_VALUE"""),43559.64583333333)</f>
        <v>43559.64583</v>
      </c>
      <c r="B2026" s="1">
        <f>IFERROR(__xludf.DUMMYFUNCTION("""COMPUTED_VALUE"""),20500.0)</f>
        <v>20500</v>
      </c>
      <c r="C2026" s="1">
        <f>IFERROR(__xludf.DUMMYFUNCTION("""COMPUTED_VALUE"""),20600.0)</f>
        <v>20600</v>
      </c>
      <c r="D2026" s="1">
        <f>IFERROR(__xludf.DUMMYFUNCTION("""COMPUTED_VALUE"""),20300.0)</f>
        <v>20300</v>
      </c>
      <c r="E2026" s="1">
        <f>IFERROR(__xludf.DUMMYFUNCTION("""COMPUTED_VALUE"""),20500.0)</f>
        <v>20500</v>
      </c>
      <c r="F2026" s="1">
        <f>IFERROR(__xludf.DUMMYFUNCTION("""COMPUTED_VALUE"""),261063.0)</f>
        <v>261063</v>
      </c>
    </row>
    <row r="2027">
      <c r="A2027" s="2">
        <f>IFERROR(__xludf.DUMMYFUNCTION("""COMPUTED_VALUE"""),43560.64583333333)</f>
        <v>43560.64583</v>
      </c>
      <c r="B2027" s="1">
        <f>IFERROR(__xludf.DUMMYFUNCTION("""COMPUTED_VALUE"""),20500.0)</f>
        <v>20500</v>
      </c>
      <c r="C2027" s="1">
        <f>IFERROR(__xludf.DUMMYFUNCTION("""COMPUTED_VALUE"""),20600.0)</f>
        <v>20600</v>
      </c>
      <c r="D2027" s="1">
        <f>IFERROR(__xludf.DUMMYFUNCTION("""COMPUTED_VALUE"""),20400.0)</f>
        <v>20400</v>
      </c>
      <c r="E2027" s="1">
        <f>IFERROR(__xludf.DUMMYFUNCTION("""COMPUTED_VALUE"""),20500.0)</f>
        <v>20500</v>
      </c>
      <c r="F2027" s="1">
        <f>IFERROR(__xludf.DUMMYFUNCTION("""COMPUTED_VALUE"""),132105.0)</f>
        <v>132105</v>
      </c>
    </row>
    <row r="2028">
      <c r="A2028" s="2">
        <f>IFERROR(__xludf.DUMMYFUNCTION("""COMPUTED_VALUE"""),43563.64583333333)</f>
        <v>43563.64583</v>
      </c>
      <c r="B2028" s="1">
        <f>IFERROR(__xludf.DUMMYFUNCTION("""COMPUTED_VALUE"""),20600.0)</f>
        <v>20600</v>
      </c>
      <c r="C2028" s="1">
        <f>IFERROR(__xludf.DUMMYFUNCTION("""COMPUTED_VALUE"""),20700.0)</f>
        <v>20700</v>
      </c>
      <c r="D2028" s="1">
        <f>IFERROR(__xludf.DUMMYFUNCTION("""COMPUTED_VALUE"""),20300.0)</f>
        <v>20300</v>
      </c>
      <c r="E2028" s="1">
        <f>IFERROR(__xludf.DUMMYFUNCTION("""COMPUTED_VALUE"""),20400.0)</f>
        <v>20400</v>
      </c>
      <c r="F2028" s="1">
        <f>IFERROR(__xludf.DUMMYFUNCTION("""COMPUTED_VALUE"""),203479.0)</f>
        <v>203479</v>
      </c>
    </row>
    <row r="2029">
      <c r="A2029" s="2">
        <f>IFERROR(__xludf.DUMMYFUNCTION("""COMPUTED_VALUE"""),43564.64583333333)</f>
        <v>43564.64583</v>
      </c>
      <c r="B2029" s="1">
        <f>IFERROR(__xludf.DUMMYFUNCTION("""COMPUTED_VALUE"""),20400.0)</f>
        <v>20400</v>
      </c>
      <c r="C2029" s="1">
        <f>IFERROR(__xludf.DUMMYFUNCTION("""COMPUTED_VALUE"""),20400.0)</f>
        <v>20400</v>
      </c>
      <c r="D2029" s="1">
        <f>IFERROR(__xludf.DUMMYFUNCTION("""COMPUTED_VALUE"""),20000.0)</f>
        <v>20000</v>
      </c>
      <c r="E2029" s="1">
        <f>IFERROR(__xludf.DUMMYFUNCTION("""COMPUTED_VALUE"""),20100.0)</f>
        <v>20100</v>
      </c>
      <c r="F2029" s="1">
        <f>IFERROR(__xludf.DUMMYFUNCTION("""COMPUTED_VALUE"""),383038.0)</f>
        <v>383038</v>
      </c>
    </row>
    <row r="2030">
      <c r="A2030" s="2">
        <f>IFERROR(__xludf.DUMMYFUNCTION("""COMPUTED_VALUE"""),43565.64583333333)</f>
        <v>43565.64583</v>
      </c>
      <c r="B2030" s="1">
        <f>IFERROR(__xludf.DUMMYFUNCTION("""COMPUTED_VALUE"""),20200.0)</f>
        <v>20200</v>
      </c>
      <c r="C2030" s="1">
        <f>IFERROR(__xludf.DUMMYFUNCTION("""COMPUTED_VALUE"""),20600.0)</f>
        <v>20600</v>
      </c>
      <c r="D2030" s="1">
        <f>IFERROR(__xludf.DUMMYFUNCTION("""COMPUTED_VALUE"""),20100.0)</f>
        <v>20100</v>
      </c>
      <c r="E2030" s="1">
        <f>IFERROR(__xludf.DUMMYFUNCTION("""COMPUTED_VALUE"""),20500.0)</f>
        <v>20500</v>
      </c>
      <c r="F2030" s="1">
        <f>IFERROR(__xludf.DUMMYFUNCTION("""COMPUTED_VALUE"""),263334.0)</f>
        <v>263334</v>
      </c>
    </row>
    <row r="2031">
      <c r="A2031" s="2">
        <f>IFERROR(__xludf.DUMMYFUNCTION("""COMPUTED_VALUE"""),43566.64583333333)</f>
        <v>43566.64583</v>
      </c>
      <c r="B2031" s="1">
        <f>IFERROR(__xludf.DUMMYFUNCTION("""COMPUTED_VALUE"""),20600.0)</f>
        <v>20600</v>
      </c>
      <c r="C2031" s="1">
        <f>IFERROR(__xludf.DUMMYFUNCTION("""COMPUTED_VALUE"""),20600.0)</f>
        <v>20600</v>
      </c>
      <c r="D2031" s="1">
        <f>IFERROR(__xludf.DUMMYFUNCTION("""COMPUTED_VALUE"""),20300.0)</f>
        <v>20300</v>
      </c>
      <c r="E2031" s="1">
        <f>IFERROR(__xludf.DUMMYFUNCTION("""COMPUTED_VALUE"""),20500.0)</f>
        <v>20500</v>
      </c>
      <c r="F2031" s="1">
        <f>IFERROR(__xludf.DUMMYFUNCTION("""COMPUTED_VALUE"""),253796.0)</f>
        <v>253796</v>
      </c>
    </row>
    <row r="2032">
      <c r="A2032" s="2">
        <f>IFERROR(__xludf.DUMMYFUNCTION("""COMPUTED_VALUE"""),43567.64583333333)</f>
        <v>43567.64583</v>
      </c>
      <c r="B2032" s="1">
        <f>IFERROR(__xludf.DUMMYFUNCTION("""COMPUTED_VALUE"""),20500.0)</f>
        <v>20500</v>
      </c>
      <c r="C2032" s="1">
        <f>IFERROR(__xludf.DUMMYFUNCTION("""COMPUTED_VALUE"""),20500.0)</f>
        <v>20500</v>
      </c>
      <c r="D2032" s="1">
        <f>IFERROR(__xludf.DUMMYFUNCTION("""COMPUTED_VALUE"""),20300.0)</f>
        <v>20300</v>
      </c>
      <c r="E2032" s="1">
        <f>IFERROR(__xludf.DUMMYFUNCTION("""COMPUTED_VALUE"""),20500.0)</f>
        <v>20500</v>
      </c>
      <c r="F2032" s="1">
        <f>IFERROR(__xludf.DUMMYFUNCTION("""COMPUTED_VALUE"""),162349.0)</f>
        <v>162349</v>
      </c>
    </row>
    <row r="2033">
      <c r="A2033" s="2">
        <f>IFERROR(__xludf.DUMMYFUNCTION("""COMPUTED_VALUE"""),43570.64583333333)</f>
        <v>43570.64583</v>
      </c>
      <c r="B2033" s="1">
        <f>IFERROR(__xludf.DUMMYFUNCTION("""COMPUTED_VALUE"""),20800.0)</f>
        <v>20800</v>
      </c>
      <c r="C2033" s="1">
        <f>IFERROR(__xludf.DUMMYFUNCTION("""COMPUTED_VALUE"""),22100.0)</f>
        <v>22100</v>
      </c>
      <c r="D2033" s="1">
        <f>IFERROR(__xludf.DUMMYFUNCTION("""COMPUTED_VALUE"""),20600.0)</f>
        <v>20600</v>
      </c>
      <c r="E2033" s="1">
        <f>IFERROR(__xludf.DUMMYFUNCTION("""COMPUTED_VALUE"""),22100.0)</f>
        <v>22100</v>
      </c>
      <c r="F2033" s="1">
        <f>IFERROR(__xludf.DUMMYFUNCTION("""COMPUTED_VALUE"""),1228969.0)</f>
        <v>1228969</v>
      </c>
    </row>
    <row r="2034">
      <c r="A2034" s="2">
        <f>IFERROR(__xludf.DUMMYFUNCTION("""COMPUTED_VALUE"""),43571.64583333333)</f>
        <v>43571.64583</v>
      </c>
      <c r="B2034" s="1">
        <f>IFERROR(__xludf.DUMMYFUNCTION("""COMPUTED_VALUE"""),22700.0)</f>
        <v>22700</v>
      </c>
      <c r="C2034" s="1">
        <f>IFERROR(__xludf.DUMMYFUNCTION("""COMPUTED_VALUE"""),23600.0)</f>
        <v>23600</v>
      </c>
      <c r="D2034" s="1">
        <f>IFERROR(__xludf.DUMMYFUNCTION("""COMPUTED_VALUE"""),22500.0)</f>
        <v>22500</v>
      </c>
      <c r="E2034" s="1">
        <f>IFERROR(__xludf.DUMMYFUNCTION("""COMPUTED_VALUE"""),23500.0)</f>
        <v>23500</v>
      </c>
      <c r="F2034" s="1">
        <f>IFERROR(__xludf.DUMMYFUNCTION("""COMPUTED_VALUE"""),1744272.0)</f>
        <v>1744272</v>
      </c>
    </row>
    <row r="2035">
      <c r="A2035" s="2">
        <f>IFERROR(__xludf.DUMMYFUNCTION("""COMPUTED_VALUE"""),43572.64583333333)</f>
        <v>43572.64583</v>
      </c>
      <c r="B2035" s="1">
        <f>IFERROR(__xludf.DUMMYFUNCTION("""COMPUTED_VALUE"""),23400.0)</f>
        <v>23400</v>
      </c>
      <c r="C2035" s="1">
        <f>IFERROR(__xludf.DUMMYFUNCTION("""COMPUTED_VALUE"""),23800.0)</f>
        <v>23800</v>
      </c>
      <c r="D2035" s="1">
        <f>IFERROR(__xludf.DUMMYFUNCTION("""COMPUTED_VALUE"""),23100.0)</f>
        <v>23100</v>
      </c>
      <c r="E2035" s="1">
        <f>IFERROR(__xludf.DUMMYFUNCTION("""COMPUTED_VALUE"""),23500.0)</f>
        <v>23500</v>
      </c>
      <c r="F2035" s="1">
        <f>IFERROR(__xludf.DUMMYFUNCTION("""COMPUTED_VALUE"""),653103.0)</f>
        <v>653103</v>
      </c>
    </row>
    <row r="2036">
      <c r="A2036" s="2">
        <f>IFERROR(__xludf.DUMMYFUNCTION("""COMPUTED_VALUE"""),43573.64583333333)</f>
        <v>43573.64583</v>
      </c>
      <c r="B2036" s="1">
        <f>IFERROR(__xludf.DUMMYFUNCTION("""COMPUTED_VALUE"""),23800.0)</f>
        <v>23800</v>
      </c>
      <c r="C2036" s="1">
        <f>IFERROR(__xludf.DUMMYFUNCTION("""COMPUTED_VALUE"""),23900.0)</f>
        <v>23900</v>
      </c>
      <c r="D2036" s="1">
        <f>IFERROR(__xludf.DUMMYFUNCTION("""COMPUTED_VALUE"""),23200.0)</f>
        <v>23200</v>
      </c>
      <c r="E2036" s="1">
        <f>IFERROR(__xludf.DUMMYFUNCTION("""COMPUTED_VALUE"""),23300.0)</f>
        <v>23300</v>
      </c>
      <c r="F2036" s="1">
        <f>IFERROR(__xludf.DUMMYFUNCTION("""COMPUTED_VALUE"""),443925.0)</f>
        <v>443925</v>
      </c>
    </row>
    <row r="2037">
      <c r="A2037" s="2">
        <f>IFERROR(__xludf.DUMMYFUNCTION("""COMPUTED_VALUE"""),43574.64583333333)</f>
        <v>43574.64583</v>
      </c>
      <c r="B2037" s="1">
        <f>IFERROR(__xludf.DUMMYFUNCTION("""COMPUTED_VALUE"""),23400.0)</f>
        <v>23400</v>
      </c>
      <c r="C2037" s="1">
        <f>IFERROR(__xludf.DUMMYFUNCTION("""COMPUTED_VALUE"""),23800.0)</f>
        <v>23800</v>
      </c>
      <c r="D2037" s="1">
        <f>IFERROR(__xludf.DUMMYFUNCTION("""COMPUTED_VALUE"""),23000.0)</f>
        <v>23000</v>
      </c>
      <c r="E2037" s="1">
        <f>IFERROR(__xludf.DUMMYFUNCTION("""COMPUTED_VALUE"""),23400.0)</f>
        <v>23400</v>
      </c>
      <c r="F2037" s="1">
        <f>IFERROR(__xludf.DUMMYFUNCTION("""COMPUTED_VALUE"""),329620.0)</f>
        <v>329620</v>
      </c>
    </row>
    <row r="2038">
      <c r="A2038" s="2">
        <f>IFERROR(__xludf.DUMMYFUNCTION("""COMPUTED_VALUE"""),43577.64583333333)</f>
        <v>43577.64583</v>
      </c>
      <c r="B2038" s="1">
        <f>IFERROR(__xludf.DUMMYFUNCTION("""COMPUTED_VALUE"""),23600.0)</f>
        <v>23600</v>
      </c>
      <c r="C2038" s="1">
        <f>IFERROR(__xludf.DUMMYFUNCTION("""COMPUTED_VALUE"""),24100.0)</f>
        <v>24100</v>
      </c>
      <c r="D2038" s="1">
        <f>IFERROR(__xludf.DUMMYFUNCTION("""COMPUTED_VALUE"""),23400.0)</f>
        <v>23400</v>
      </c>
      <c r="E2038" s="1">
        <f>IFERROR(__xludf.DUMMYFUNCTION("""COMPUTED_VALUE"""),23600.0)</f>
        <v>23600</v>
      </c>
      <c r="F2038" s="1">
        <f>IFERROR(__xludf.DUMMYFUNCTION("""COMPUTED_VALUE"""),457505.0)</f>
        <v>457505</v>
      </c>
    </row>
    <row r="2039">
      <c r="A2039" s="2">
        <f>IFERROR(__xludf.DUMMYFUNCTION("""COMPUTED_VALUE"""),43578.64583333333)</f>
        <v>43578.64583</v>
      </c>
      <c r="B2039" s="1">
        <f>IFERROR(__xludf.DUMMYFUNCTION("""COMPUTED_VALUE"""),23700.0)</f>
        <v>23700</v>
      </c>
      <c r="C2039" s="1">
        <f>IFERROR(__xludf.DUMMYFUNCTION("""COMPUTED_VALUE"""),23900.0)</f>
        <v>23900</v>
      </c>
      <c r="D2039" s="1">
        <f>IFERROR(__xludf.DUMMYFUNCTION("""COMPUTED_VALUE"""),23200.0)</f>
        <v>23200</v>
      </c>
      <c r="E2039" s="1">
        <f>IFERROR(__xludf.DUMMYFUNCTION("""COMPUTED_VALUE"""),23300.0)</f>
        <v>23300</v>
      </c>
      <c r="F2039" s="1">
        <f>IFERROR(__xludf.DUMMYFUNCTION("""COMPUTED_VALUE"""),259471.0)</f>
        <v>259471</v>
      </c>
    </row>
    <row r="2040">
      <c r="A2040" s="2">
        <f>IFERROR(__xludf.DUMMYFUNCTION("""COMPUTED_VALUE"""),43579.64583333333)</f>
        <v>43579.64583</v>
      </c>
      <c r="B2040" s="1">
        <f>IFERROR(__xludf.DUMMYFUNCTION("""COMPUTED_VALUE"""),23500.0)</f>
        <v>23500</v>
      </c>
      <c r="C2040" s="1">
        <f>IFERROR(__xludf.DUMMYFUNCTION("""COMPUTED_VALUE"""),23700.0)</f>
        <v>23700</v>
      </c>
      <c r="D2040" s="1">
        <f>IFERROR(__xludf.DUMMYFUNCTION("""COMPUTED_VALUE"""),23100.0)</f>
        <v>23100</v>
      </c>
      <c r="E2040" s="1">
        <f>IFERROR(__xludf.DUMMYFUNCTION("""COMPUTED_VALUE"""),23600.0)</f>
        <v>23600</v>
      </c>
      <c r="F2040" s="1">
        <f>IFERROR(__xludf.DUMMYFUNCTION("""COMPUTED_VALUE"""),443136.0)</f>
        <v>443136</v>
      </c>
    </row>
    <row r="2041">
      <c r="A2041" s="2">
        <f>IFERROR(__xludf.DUMMYFUNCTION("""COMPUTED_VALUE"""),43580.64583333333)</f>
        <v>43580.64583</v>
      </c>
      <c r="B2041" s="1">
        <f>IFERROR(__xludf.DUMMYFUNCTION("""COMPUTED_VALUE"""),23500.0)</f>
        <v>23500</v>
      </c>
      <c r="C2041" s="1">
        <f>IFERROR(__xludf.DUMMYFUNCTION("""COMPUTED_VALUE"""),23600.0)</f>
        <v>23600</v>
      </c>
      <c r="D2041" s="1">
        <f>IFERROR(__xludf.DUMMYFUNCTION("""COMPUTED_VALUE"""),23000.0)</f>
        <v>23000</v>
      </c>
      <c r="E2041" s="1">
        <f>IFERROR(__xludf.DUMMYFUNCTION("""COMPUTED_VALUE"""),23200.0)</f>
        <v>23200</v>
      </c>
      <c r="F2041" s="1">
        <f>IFERROR(__xludf.DUMMYFUNCTION("""COMPUTED_VALUE"""),292233.0)</f>
        <v>292233</v>
      </c>
    </row>
    <row r="2042">
      <c r="A2042" s="2">
        <f>IFERROR(__xludf.DUMMYFUNCTION("""COMPUTED_VALUE"""),43581.64583333333)</f>
        <v>43581.64583</v>
      </c>
      <c r="B2042" s="1">
        <f>IFERROR(__xludf.DUMMYFUNCTION("""COMPUTED_VALUE"""),23100.0)</f>
        <v>23100</v>
      </c>
      <c r="C2042" s="1">
        <f>IFERROR(__xludf.DUMMYFUNCTION("""COMPUTED_VALUE"""),23500.0)</f>
        <v>23500</v>
      </c>
      <c r="D2042" s="1">
        <f>IFERROR(__xludf.DUMMYFUNCTION("""COMPUTED_VALUE"""),22600.0)</f>
        <v>22600</v>
      </c>
      <c r="E2042" s="1">
        <f>IFERROR(__xludf.DUMMYFUNCTION("""COMPUTED_VALUE"""),23000.0)</f>
        <v>23000</v>
      </c>
      <c r="F2042" s="1">
        <f>IFERROR(__xludf.DUMMYFUNCTION("""COMPUTED_VALUE"""),366725.0)</f>
        <v>366725</v>
      </c>
    </row>
    <row r="2043">
      <c r="A2043" s="2">
        <f>IFERROR(__xludf.DUMMYFUNCTION("""COMPUTED_VALUE"""),43584.64583333333)</f>
        <v>43584.64583</v>
      </c>
      <c r="B2043" s="1">
        <f>IFERROR(__xludf.DUMMYFUNCTION("""COMPUTED_VALUE"""),23100.0)</f>
        <v>23100</v>
      </c>
      <c r="C2043" s="1">
        <f>IFERROR(__xludf.DUMMYFUNCTION("""COMPUTED_VALUE"""),23900.0)</f>
        <v>23900</v>
      </c>
      <c r="D2043" s="1">
        <f>IFERROR(__xludf.DUMMYFUNCTION("""COMPUTED_VALUE"""),22800.0)</f>
        <v>22800</v>
      </c>
      <c r="E2043" s="1">
        <f>IFERROR(__xludf.DUMMYFUNCTION("""COMPUTED_VALUE"""),23900.0)</f>
        <v>23900</v>
      </c>
      <c r="F2043" s="1">
        <f>IFERROR(__xludf.DUMMYFUNCTION("""COMPUTED_VALUE"""),512703.0)</f>
        <v>512703</v>
      </c>
    </row>
    <row r="2044">
      <c r="A2044" s="2">
        <f>IFERROR(__xludf.DUMMYFUNCTION("""COMPUTED_VALUE"""),43585.64583333333)</f>
        <v>43585.64583</v>
      </c>
      <c r="B2044" s="1">
        <f>IFERROR(__xludf.DUMMYFUNCTION("""COMPUTED_VALUE"""),23800.0)</f>
        <v>23800</v>
      </c>
      <c r="C2044" s="1">
        <f>IFERROR(__xludf.DUMMYFUNCTION("""COMPUTED_VALUE"""),24200.0)</f>
        <v>24200</v>
      </c>
      <c r="D2044" s="1">
        <f>IFERROR(__xludf.DUMMYFUNCTION("""COMPUTED_VALUE"""),23700.0)</f>
        <v>23700</v>
      </c>
      <c r="E2044" s="1">
        <f>IFERROR(__xludf.DUMMYFUNCTION("""COMPUTED_VALUE"""),24000.0)</f>
        <v>24000</v>
      </c>
      <c r="F2044" s="1">
        <f>IFERROR(__xludf.DUMMYFUNCTION("""COMPUTED_VALUE"""),494890.0)</f>
        <v>494890</v>
      </c>
    </row>
    <row r="2045">
      <c r="A2045" s="2">
        <f>IFERROR(__xludf.DUMMYFUNCTION("""COMPUTED_VALUE"""),43587.64583333333)</f>
        <v>43587.64583</v>
      </c>
      <c r="B2045" s="1">
        <f>IFERROR(__xludf.DUMMYFUNCTION("""COMPUTED_VALUE"""),24000.0)</f>
        <v>24000</v>
      </c>
      <c r="C2045" s="1">
        <f>IFERROR(__xludf.DUMMYFUNCTION("""COMPUTED_VALUE"""),24900.0)</f>
        <v>24900</v>
      </c>
      <c r="D2045" s="1">
        <f>IFERROR(__xludf.DUMMYFUNCTION("""COMPUTED_VALUE"""),23900.0)</f>
        <v>23900</v>
      </c>
      <c r="E2045" s="1">
        <f>IFERROR(__xludf.DUMMYFUNCTION("""COMPUTED_VALUE"""),24600.0)</f>
        <v>24600</v>
      </c>
      <c r="F2045" s="1">
        <f>IFERROR(__xludf.DUMMYFUNCTION("""COMPUTED_VALUE"""),742545.0)</f>
        <v>742545</v>
      </c>
    </row>
    <row r="2046">
      <c r="A2046" s="2">
        <f>IFERROR(__xludf.DUMMYFUNCTION("""COMPUTED_VALUE"""),43588.64583333333)</f>
        <v>43588.64583</v>
      </c>
      <c r="B2046" s="1">
        <f>IFERROR(__xludf.DUMMYFUNCTION("""COMPUTED_VALUE"""),25200.0)</f>
        <v>25200</v>
      </c>
      <c r="C2046" s="1">
        <f>IFERROR(__xludf.DUMMYFUNCTION("""COMPUTED_VALUE"""),25800.0)</f>
        <v>25800</v>
      </c>
      <c r="D2046" s="1">
        <f>IFERROR(__xludf.DUMMYFUNCTION("""COMPUTED_VALUE"""),25100.0)</f>
        <v>25100</v>
      </c>
      <c r="E2046" s="1">
        <f>IFERROR(__xludf.DUMMYFUNCTION("""COMPUTED_VALUE"""),25600.0)</f>
        <v>25600</v>
      </c>
      <c r="F2046" s="1">
        <f>IFERROR(__xludf.DUMMYFUNCTION("""COMPUTED_VALUE"""),1098989.0)</f>
        <v>1098989</v>
      </c>
    </row>
    <row r="2047">
      <c r="A2047" s="2">
        <f>IFERROR(__xludf.DUMMYFUNCTION("""COMPUTED_VALUE"""),43592.64583333333)</f>
        <v>43592.64583</v>
      </c>
      <c r="B2047" s="1">
        <f>IFERROR(__xludf.DUMMYFUNCTION("""COMPUTED_VALUE"""),25200.0)</f>
        <v>25200</v>
      </c>
      <c r="C2047" s="1">
        <f>IFERROR(__xludf.DUMMYFUNCTION("""COMPUTED_VALUE"""),26000.0)</f>
        <v>26000</v>
      </c>
      <c r="D2047" s="1">
        <f>IFERROR(__xludf.DUMMYFUNCTION("""COMPUTED_VALUE"""),25200.0)</f>
        <v>25200</v>
      </c>
      <c r="E2047" s="1">
        <f>IFERROR(__xludf.DUMMYFUNCTION("""COMPUTED_VALUE"""),25500.0)</f>
        <v>25500</v>
      </c>
      <c r="F2047" s="1">
        <f>IFERROR(__xludf.DUMMYFUNCTION("""COMPUTED_VALUE"""),664716.0)</f>
        <v>664716</v>
      </c>
    </row>
    <row r="2048">
      <c r="A2048" s="2">
        <f>IFERROR(__xludf.DUMMYFUNCTION("""COMPUTED_VALUE"""),43593.64583333333)</f>
        <v>43593.64583</v>
      </c>
      <c r="B2048" s="1">
        <f>IFERROR(__xludf.DUMMYFUNCTION("""COMPUTED_VALUE"""),25300.0)</f>
        <v>25300</v>
      </c>
      <c r="C2048" s="1">
        <f>IFERROR(__xludf.DUMMYFUNCTION("""COMPUTED_VALUE"""),26000.0)</f>
        <v>26000</v>
      </c>
      <c r="D2048" s="1">
        <f>IFERROR(__xludf.DUMMYFUNCTION("""COMPUTED_VALUE"""),25100.0)</f>
        <v>25100</v>
      </c>
      <c r="E2048" s="1">
        <f>IFERROR(__xludf.DUMMYFUNCTION("""COMPUTED_VALUE"""),25700.0)</f>
        <v>25700</v>
      </c>
      <c r="F2048" s="1">
        <f>IFERROR(__xludf.DUMMYFUNCTION("""COMPUTED_VALUE"""),700167.0)</f>
        <v>700167</v>
      </c>
    </row>
    <row r="2049">
      <c r="A2049" s="2">
        <f>IFERROR(__xludf.DUMMYFUNCTION("""COMPUTED_VALUE"""),43594.64583333333)</f>
        <v>43594.64583</v>
      </c>
      <c r="B2049" s="1">
        <f>IFERROR(__xludf.DUMMYFUNCTION("""COMPUTED_VALUE"""),26700.0)</f>
        <v>26700</v>
      </c>
      <c r="C2049" s="1">
        <f>IFERROR(__xludf.DUMMYFUNCTION("""COMPUTED_VALUE"""),26700.0)</f>
        <v>26700</v>
      </c>
      <c r="D2049" s="1">
        <f>IFERROR(__xludf.DUMMYFUNCTION("""COMPUTED_VALUE"""),25300.0)</f>
        <v>25300</v>
      </c>
      <c r="E2049" s="1">
        <f>IFERROR(__xludf.DUMMYFUNCTION("""COMPUTED_VALUE"""),25300.0)</f>
        <v>25300</v>
      </c>
      <c r="F2049" s="1">
        <f>IFERROR(__xludf.DUMMYFUNCTION("""COMPUTED_VALUE"""),1352763.0)</f>
        <v>1352763</v>
      </c>
    </row>
    <row r="2050">
      <c r="A2050" s="2">
        <f>IFERROR(__xludf.DUMMYFUNCTION("""COMPUTED_VALUE"""),43595.64583333333)</f>
        <v>43595.64583</v>
      </c>
      <c r="B2050" s="1">
        <f>IFERROR(__xludf.DUMMYFUNCTION("""COMPUTED_VALUE"""),25700.0)</f>
        <v>25700</v>
      </c>
      <c r="C2050" s="1">
        <f>IFERROR(__xludf.DUMMYFUNCTION("""COMPUTED_VALUE"""),26200.0)</f>
        <v>26200</v>
      </c>
      <c r="D2050" s="1">
        <f>IFERROR(__xludf.DUMMYFUNCTION("""COMPUTED_VALUE"""),25500.0)</f>
        <v>25500</v>
      </c>
      <c r="E2050" s="1">
        <f>IFERROR(__xludf.DUMMYFUNCTION("""COMPUTED_VALUE"""),26000.0)</f>
        <v>26000</v>
      </c>
      <c r="F2050" s="1">
        <f>IFERROR(__xludf.DUMMYFUNCTION("""COMPUTED_VALUE"""),1006921.0)</f>
        <v>1006921</v>
      </c>
    </row>
    <row r="2051">
      <c r="A2051" s="2">
        <f>IFERROR(__xludf.DUMMYFUNCTION("""COMPUTED_VALUE"""),43598.64583333333)</f>
        <v>43598.64583</v>
      </c>
      <c r="B2051" s="1">
        <f>IFERROR(__xludf.DUMMYFUNCTION("""COMPUTED_VALUE"""),26100.0)</f>
        <v>26100</v>
      </c>
      <c r="C2051" s="1">
        <f>IFERROR(__xludf.DUMMYFUNCTION("""COMPUTED_VALUE"""),26100.0)</f>
        <v>26100</v>
      </c>
      <c r="D2051" s="1">
        <f>IFERROR(__xludf.DUMMYFUNCTION("""COMPUTED_VALUE"""),25400.0)</f>
        <v>25400</v>
      </c>
      <c r="E2051" s="1">
        <f>IFERROR(__xludf.DUMMYFUNCTION("""COMPUTED_VALUE"""),25700.0)</f>
        <v>25700</v>
      </c>
      <c r="F2051" s="1">
        <f>IFERROR(__xludf.DUMMYFUNCTION("""COMPUTED_VALUE"""),584824.0)</f>
        <v>584824</v>
      </c>
    </row>
    <row r="2052">
      <c r="A2052" s="2">
        <f>IFERROR(__xludf.DUMMYFUNCTION("""COMPUTED_VALUE"""),43599.64583333333)</f>
        <v>43599.64583</v>
      </c>
      <c r="B2052" s="1">
        <f>IFERROR(__xludf.DUMMYFUNCTION("""COMPUTED_VALUE"""),25400.0)</f>
        <v>25400</v>
      </c>
      <c r="C2052" s="1">
        <f>IFERROR(__xludf.DUMMYFUNCTION("""COMPUTED_VALUE"""),27000.0)</f>
        <v>27000</v>
      </c>
      <c r="D2052" s="1">
        <f>IFERROR(__xludf.DUMMYFUNCTION("""COMPUTED_VALUE"""),25300.0)</f>
        <v>25300</v>
      </c>
      <c r="E2052" s="1">
        <f>IFERROR(__xludf.DUMMYFUNCTION("""COMPUTED_VALUE"""),26800.0)</f>
        <v>26800</v>
      </c>
      <c r="F2052" s="1">
        <f>IFERROR(__xludf.DUMMYFUNCTION("""COMPUTED_VALUE"""),1360661.0)</f>
        <v>1360661</v>
      </c>
    </row>
    <row r="2053">
      <c r="A2053" s="2">
        <f>IFERROR(__xludf.DUMMYFUNCTION("""COMPUTED_VALUE"""),43600.64583333333)</f>
        <v>43600.64583</v>
      </c>
      <c r="B2053" s="1">
        <f>IFERROR(__xludf.DUMMYFUNCTION("""COMPUTED_VALUE"""),27100.0)</f>
        <v>27100</v>
      </c>
      <c r="C2053" s="1">
        <f>IFERROR(__xludf.DUMMYFUNCTION("""COMPUTED_VALUE"""),27200.0)</f>
        <v>27200</v>
      </c>
      <c r="D2053" s="1">
        <f>IFERROR(__xludf.DUMMYFUNCTION("""COMPUTED_VALUE"""),26000.0)</f>
        <v>26000</v>
      </c>
      <c r="E2053" s="1">
        <f>IFERROR(__xludf.DUMMYFUNCTION("""COMPUTED_VALUE"""),26400.0)</f>
        <v>26400</v>
      </c>
      <c r="F2053" s="1">
        <f>IFERROR(__xludf.DUMMYFUNCTION("""COMPUTED_VALUE"""),1241060.0)</f>
        <v>1241060</v>
      </c>
    </row>
    <row r="2054">
      <c r="A2054" s="2">
        <f>IFERROR(__xludf.DUMMYFUNCTION("""COMPUTED_VALUE"""),43601.64583333333)</f>
        <v>43601.64583</v>
      </c>
      <c r="B2054" s="1">
        <f>IFERROR(__xludf.DUMMYFUNCTION("""COMPUTED_VALUE"""),26500.0)</f>
        <v>26500</v>
      </c>
      <c r="C2054" s="1">
        <f>IFERROR(__xludf.DUMMYFUNCTION("""COMPUTED_VALUE"""),26800.0)</f>
        <v>26800</v>
      </c>
      <c r="D2054" s="1">
        <f>IFERROR(__xludf.DUMMYFUNCTION("""COMPUTED_VALUE"""),26100.0)</f>
        <v>26100</v>
      </c>
      <c r="E2054" s="1">
        <f>IFERROR(__xludf.DUMMYFUNCTION("""COMPUTED_VALUE"""),26700.0)</f>
        <v>26700</v>
      </c>
      <c r="F2054" s="1">
        <f>IFERROR(__xludf.DUMMYFUNCTION("""COMPUTED_VALUE"""),558891.0)</f>
        <v>558891</v>
      </c>
    </row>
    <row r="2055">
      <c r="A2055" s="2">
        <f>IFERROR(__xludf.DUMMYFUNCTION("""COMPUTED_VALUE"""),43602.64583333333)</f>
        <v>43602.64583</v>
      </c>
      <c r="B2055" s="1">
        <f>IFERROR(__xludf.DUMMYFUNCTION("""COMPUTED_VALUE"""),25800.0)</f>
        <v>25800</v>
      </c>
      <c r="C2055" s="1">
        <f>IFERROR(__xludf.DUMMYFUNCTION("""COMPUTED_VALUE"""),25900.0)</f>
        <v>25900</v>
      </c>
      <c r="D2055" s="1">
        <f>IFERROR(__xludf.DUMMYFUNCTION("""COMPUTED_VALUE"""),24800.0)</f>
        <v>24800</v>
      </c>
      <c r="E2055" s="1">
        <f>IFERROR(__xludf.DUMMYFUNCTION("""COMPUTED_VALUE"""),24900.0)</f>
        <v>24900</v>
      </c>
      <c r="F2055" s="1">
        <f>IFERROR(__xludf.DUMMYFUNCTION("""COMPUTED_VALUE"""),5222004.0)</f>
        <v>5222004</v>
      </c>
    </row>
    <row r="2056">
      <c r="A2056" s="2">
        <f>IFERROR(__xludf.DUMMYFUNCTION("""COMPUTED_VALUE"""),43605.64583333333)</f>
        <v>43605.64583</v>
      </c>
      <c r="B2056" s="1">
        <f>IFERROR(__xludf.DUMMYFUNCTION("""COMPUTED_VALUE"""),25300.0)</f>
        <v>25300</v>
      </c>
      <c r="C2056" s="1">
        <f>IFERROR(__xludf.DUMMYFUNCTION("""COMPUTED_VALUE"""),25700.0)</f>
        <v>25700</v>
      </c>
      <c r="D2056" s="1">
        <f>IFERROR(__xludf.DUMMYFUNCTION("""COMPUTED_VALUE"""),25100.0)</f>
        <v>25100</v>
      </c>
      <c r="E2056" s="1">
        <f>IFERROR(__xludf.DUMMYFUNCTION("""COMPUTED_VALUE"""),25300.0)</f>
        <v>25300</v>
      </c>
      <c r="F2056" s="1">
        <f>IFERROR(__xludf.DUMMYFUNCTION("""COMPUTED_VALUE"""),899474.0)</f>
        <v>899474</v>
      </c>
    </row>
    <row r="2057">
      <c r="A2057" s="2">
        <f>IFERROR(__xludf.DUMMYFUNCTION("""COMPUTED_VALUE"""),43606.64583333333)</f>
        <v>43606.64583</v>
      </c>
      <c r="B2057" s="1">
        <f>IFERROR(__xludf.DUMMYFUNCTION("""COMPUTED_VALUE"""),25300.0)</f>
        <v>25300</v>
      </c>
      <c r="C2057" s="1">
        <f>IFERROR(__xludf.DUMMYFUNCTION("""COMPUTED_VALUE"""),25500.0)</f>
        <v>25500</v>
      </c>
      <c r="D2057" s="1">
        <f>IFERROR(__xludf.DUMMYFUNCTION("""COMPUTED_VALUE"""),25000.0)</f>
        <v>25000</v>
      </c>
      <c r="E2057" s="1">
        <f>IFERROR(__xludf.DUMMYFUNCTION("""COMPUTED_VALUE"""),25000.0)</f>
        <v>25000</v>
      </c>
      <c r="F2057" s="1">
        <f>IFERROR(__xludf.DUMMYFUNCTION("""COMPUTED_VALUE"""),694961.0)</f>
        <v>694961</v>
      </c>
    </row>
    <row r="2058">
      <c r="A2058" s="2">
        <f>IFERROR(__xludf.DUMMYFUNCTION("""COMPUTED_VALUE"""),43607.64583333333)</f>
        <v>43607.64583</v>
      </c>
      <c r="B2058" s="1">
        <f>IFERROR(__xludf.DUMMYFUNCTION("""COMPUTED_VALUE"""),25100.0)</f>
        <v>25100</v>
      </c>
      <c r="C2058" s="1">
        <f>IFERROR(__xludf.DUMMYFUNCTION("""COMPUTED_VALUE"""),25300.0)</f>
        <v>25300</v>
      </c>
      <c r="D2058" s="1">
        <f>IFERROR(__xludf.DUMMYFUNCTION("""COMPUTED_VALUE"""),24300.0)</f>
        <v>24300</v>
      </c>
      <c r="E2058" s="1">
        <f>IFERROR(__xludf.DUMMYFUNCTION("""COMPUTED_VALUE"""),25100.0)</f>
        <v>25100</v>
      </c>
      <c r="F2058" s="1">
        <f>IFERROR(__xludf.DUMMYFUNCTION("""COMPUTED_VALUE"""),840648.0)</f>
        <v>840648</v>
      </c>
    </row>
    <row r="2059">
      <c r="A2059" s="2">
        <f>IFERROR(__xludf.DUMMYFUNCTION("""COMPUTED_VALUE"""),43608.64583333333)</f>
        <v>43608.64583</v>
      </c>
      <c r="B2059" s="1">
        <f>IFERROR(__xludf.DUMMYFUNCTION("""COMPUTED_VALUE"""),25000.0)</f>
        <v>25000</v>
      </c>
      <c r="C2059" s="1">
        <f>IFERROR(__xludf.DUMMYFUNCTION("""COMPUTED_VALUE"""),25400.0)</f>
        <v>25400</v>
      </c>
      <c r="D2059" s="1">
        <f>IFERROR(__xludf.DUMMYFUNCTION("""COMPUTED_VALUE"""),24700.0)</f>
        <v>24700</v>
      </c>
      <c r="E2059" s="1">
        <f>IFERROR(__xludf.DUMMYFUNCTION("""COMPUTED_VALUE"""),24800.0)</f>
        <v>24800</v>
      </c>
      <c r="F2059" s="1">
        <f>IFERROR(__xludf.DUMMYFUNCTION("""COMPUTED_VALUE"""),425136.0)</f>
        <v>425136</v>
      </c>
    </row>
    <row r="2060">
      <c r="A2060" s="2">
        <f>IFERROR(__xludf.DUMMYFUNCTION("""COMPUTED_VALUE"""),43609.64583333333)</f>
        <v>43609.64583</v>
      </c>
      <c r="B2060" s="1">
        <f>IFERROR(__xludf.DUMMYFUNCTION("""COMPUTED_VALUE"""),24600.0)</f>
        <v>24600</v>
      </c>
      <c r="C2060" s="1">
        <f>IFERROR(__xludf.DUMMYFUNCTION("""COMPUTED_VALUE"""),24800.0)</f>
        <v>24800</v>
      </c>
      <c r="D2060" s="1">
        <f>IFERROR(__xludf.DUMMYFUNCTION("""COMPUTED_VALUE"""),24100.0)</f>
        <v>24100</v>
      </c>
      <c r="E2060" s="1">
        <f>IFERROR(__xludf.DUMMYFUNCTION("""COMPUTED_VALUE"""),24800.0)</f>
        <v>24800</v>
      </c>
      <c r="F2060" s="1">
        <f>IFERROR(__xludf.DUMMYFUNCTION("""COMPUTED_VALUE"""),766145.0)</f>
        <v>766145</v>
      </c>
    </row>
    <row r="2061">
      <c r="A2061" s="2">
        <f>IFERROR(__xludf.DUMMYFUNCTION("""COMPUTED_VALUE"""),43612.64583333333)</f>
        <v>43612.64583</v>
      </c>
      <c r="B2061" s="1">
        <f>IFERROR(__xludf.DUMMYFUNCTION("""COMPUTED_VALUE"""),25000.0)</f>
        <v>25000</v>
      </c>
      <c r="C2061" s="1">
        <f>IFERROR(__xludf.DUMMYFUNCTION("""COMPUTED_VALUE"""),25300.0)</f>
        <v>25300</v>
      </c>
      <c r="D2061" s="1">
        <f>IFERROR(__xludf.DUMMYFUNCTION("""COMPUTED_VALUE"""),24100.0)</f>
        <v>24100</v>
      </c>
      <c r="E2061" s="1">
        <f>IFERROR(__xludf.DUMMYFUNCTION("""COMPUTED_VALUE"""),24400.0)</f>
        <v>24400</v>
      </c>
      <c r="F2061" s="1">
        <f>IFERROR(__xludf.DUMMYFUNCTION("""COMPUTED_VALUE"""),550142.0)</f>
        <v>550142</v>
      </c>
    </row>
    <row r="2062">
      <c r="A2062" s="2">
        <f>IFERROR(__xludf.DUMMYFUNCTION("""COMPUTED_VALUE"""),43613.64583333333)</f>
        <v>43613.64583</v>
      </c>
      <c r="B2062" s="1">
        <f>IFERROR(__xludf.DUMMYFUNCTION("""COMPUTED_VALUE"""),24200.0)</f>
        <v>24200</v>
      </c>
      <c r="C2062" s="1">
        <f>IFERROR(__xludf.DUMMYFUNCTION("""COMPUTED_VALUE"""),25000.0)</f>
        <v>25000</v>
      </c>
      <c r="D2062" s="1">
        <f>IFERROR(__xludf.DUMMYFUNCTION("""COMPUTED_VALUE"""),24100.0)</f>
        <v>24100</v>
      </c>
      <c r="E2062" s="1">
        <f>IFERROR(__xludf.DUMMYFUNCTION("""COMPUTED_VALUE"""),24600.0)</f>
        <v>24600</v>
      </c>
      <c r="F2062" s="1">
        <f>IFERROR(__xludf.DUMMYFUNCTION("""COMPUTED_VALUE"""),565899.0)</f>
        <v>565899</v>
      </c>
    </row>
    <row r="2063">
      <c r="A2063" s="2">
        <f>IFERROR(__xludf.DUMMYFUNCTION("""COMPUTED_VALUE"""),43614.64583333333)</f>
        <v>43614.64583</v>
      </c>
      <c r="B2063" s="1">
        <f>IFERROR(__xludf.DUMMYFUNCTION("""COMPUTED_VALUE"""),24500.0)</f>
        <v>24500</v>
      </c>
      <c r="C2063" s="1">
        <f>IFERROR(__xludf.DUMMYFUNCTION("""COMPUTED_VALUE"""),24700.0)</f>
        <v>24700</v>
      </c>
      <c r="D2063" s="1">
        <f>IFERROR(__xludf.DUMMYFUNCTION("""COMPUTED_VALUE"""),24100.0)</f>
        <v>24100</v>
      </c>
      <c r="E2063" s="1">
        <f>IFERROR(__xludf.DUMMYFUNCTION("""COMPUTED_VALUE"""),24300.0)</f>
        <v>24300</v>
      </c>
      <c r="F2063" s="1">
        <f>IFERROR(__xludf.DUMMYFUNCTION("""COMPUTED_VALUE"""),323116.0)</f>
        <v>323116</v>
      </c>
    </row>
    <row r="2064">
      <c r="A2064" s="2">
        <f>IFERROR(__xludf.DUMMYFUNCTION("""COMPUTED_VALUE"""),43615.64583333333)</f>
        <v>43615.64583</v>
      </c>
      <c r="B2064" s="1">
        <f>IFERROR(__xludf.DUMMYFUNCTION("""COMPUTED_VALUE"""),24400.0)</f>
        <v>24400</v>
      </c>
      <c r="C2064" s="1">
        <f>IFERROR(__xludf.DUMMYFUNCTION("""COMPUTED_VALUE"""),25100.0)</f>
        <v>25100</v>
      </c>
      <c r="D2064" s="1">
        <f>IFERROR(__xludf.DUMMYFUNCTION("""COMPUTED_VALUE"""),24400.0)</f>
        <v>24400</v>
      </c>
      <c r="E2064" s="1">
        <f>IFERROR(__xludf.DUMMYFUNCTION("""COMPUTED_VALUE"""),24900.0)</f>
        <v>24900</v>
      </c>
      <c r="F2064" s="1">
        <f>IFERROR(__xludf.DUMMYFUNCTION("""COMPUTED_VALUE"""),460680.0)</f>
        <v>460680</v>
      </c>
    </row>
    <row r="2065">
      <c r="A2065" s="2">
        <f>IFERROR(__xludf.DUMMYFUNCTION("""COMPUTED_VALUE"""),43616.64583333333)</f>
        <v>43616.64583</v>
      </c>
      <c r="B2065" s="1">
        <f>IFERROR(__xludf.DUMMYFUNCTION("""COMPUTED_VALUE"""),24800.0)</f>
        <v>24800</v>
      </c>
      <c r="C2065" s="1">
        <f>IFERROR(__xludf.DUMMYFUNCTION("""COMPUTED_VALUE"""),25200.0)</f>
        <v>25200</v>
      </c>
      <c r="D2065" s="1">
        <f>IFERROR(__xludf.DUMMYFUNCTION("""COMPUTED_VALUE"""),24600.0)</f>
        <v>24600</v>
      </c>
      <c r="E2065" s="1">
        <f>IFERROR(__xludf.DUMMYFUNCTION("""COMPUTED_VALUE"""),24900.0)</f>
        <v>24900</v>
      </c>
      <c r="F2065" s="1">
        <f>IFERROR(__xludf.DUMMYFUNCTION("""COMPUTED_VALUE"""),325040.0)</f>
        <v>325040</v>
      </c>
    </row>
    <row r="2066">
      <c r="A2066" s="2">
        <f>IFERROR(__xludf.DUMMYFUNCTION("""COMPUTED_VALUE"""),43619.64583333333)</f>
        <v>43619.64583</v>
      </c>
      <c r="B2066" s="1">
        <f>IFERROR(__xludf.DUMMYFUNCTION("""COMPUTED_VALUE"""),24700.0)</f>
        <v>24700</v>
      </c>
      <c r="C2066" s="1">
        <f>IFERROR(__xludf.DUMMYFUNCTION("""COMPUTED_VALUE"""),25100.0)</f>
        <v>25100</v>
      </c>
      <c r="D2066" s="1">
        <f>IFERROR(__xludf.DUMMYFUNCTION("""COMPUTED_VALUE"""),24400.0)</f>
        <v>24400</v>
      </c>
      <c r="E2066" s="1">
        <f>IFERROR(__xludf.DUMMYFUNCTION("""COMPUTED_VALUE"""),24500.0)</f>
        <v>24500</v>
      </c>
      <c r="F2066" s="1">
        <f>IFERROR(__xludf.DUMMYFUNCTION("""COMPUTED_VALUE"""),316035.0)</f>
        <v>316035</v>
      </c>
    </row>
    <row r="2067">
      <c r="A2067" s="2">
        <f>IFERROR(__xludf.DUMMYFUNCTION("""COMPUTED_VALUE"""),43620.64583333333)</f>
        <v>43620.64583</v>
      </c>
      <c r="B2067" s="1">
        <f>IFERROR(__xludf.DUMMYFUNCTION("""COMPUTED_VALUE"""),24500.0)</f>
        <v>24500</v>
      </c>
      <c r="C2067" s="1">
        <f>IFERROR(__xludf.DUMMYFUNCTION("""COMPUTED_VALUE"""),24800.0)</f>
        <v>24800</v>
      </c>
      <c r="D2067" s="1">
        <f>IFERROR(__xludf.DUMMYFUNCTION("""COMPUTED_VALUE"""),23300.0)</f>
        <v>23300</v>
      </c>
      <c r="E2067" s="1">
        <f>IFERROR(__xludf.DUMMYFUNCTION("""COMPUTED_VALUE"""),23900.0)</f>
        <v>23900</v>
      </c>
      <c r="F2067" s="1">
        <f>IFERROR(__xludf.DUMMYFUNCTION("""COMPUTED_VALUE"""),847685.0)</f>
        <v>847685</v>
      </c>
    </row>
    <row r="2068">
      <c r="A2068" s="2">
        <f>IFERROR(__xludf.DUMMYFUNCTION("""COMPUTED_VALUE"""),43621.64583333333)</f>
        <v>43621.64583</v>
      </c>
      <c r="B2068" s="1">
        <f>IFERROR(__xludf.DUMMYFUNCTION("""COMPUTED_VALUE"""),24200.0)</f>
        <v>24200</v>
      </c>
      <c r="C2068" s="1">
        <f>IFERROR(__xludf.DUMMYFUNCTION("""COMPUTED_VALUE"""),24300.0)</f>
        <v>24300</v>
      </c>
      <c r="D2068" s="1">
        <f>IFERROR(__xludf.DUMMYFUNCTION("""COMPUTED_VALUE"""),23900.0)</f>
        <v>23900</v>
      </c>
      <c r="E2068" s="1">
        <f>IFERROR(__xludf.DUMMYFUNCTION("""COMPUTED_VALUE"""),24100.0)</f>
        <v>24100</v>
      </c>
      <c r="F2068" s="1">
        <f>IFERROR(__xludf.DUMMYFUNCTION("""COMPUTED_VALUE"""),307665.0)</f>
        <v>307665</v>
      </c>
    </row>
    <row r="2069">
      <c r="A2069" s="2">
        <f>IFERROR(__xludf.DUMMYFUNCTION("""COMPUTED_VALUE"""),43623.64583333333)</f>
        <v>43623.64583</v>
      </c>
      <c r="B2069" s="1">
        <f>IFERROR(__xludf.DUMMYFUNCTION("""COMPUTED_VALUE"""),24000.0)</f>
        <v>24000</v>
      </c>
      <c r="C2069" s="1">
        <f>IFERROR(__xludf.DUMMYFUNCTION("""COMPUTED_VALUE"""),24100.0)</f>
        <v>24100</v>
      </c>
      <c r="D2069" s="1">
        <f>IFERROR(__xludf.DUMMYFUNCTION("""COMPUTED_VALUE"""),23500.0)</f>
        <v>23500</v>
      </c>
      <c r="E2069" s="1">
        <f>IFERROR(__xludf.DUMMYFUNCTION("""COMPUTED_VALUE"""),24000.0)</f>
        <v>24000</v>
      </c>
      <c r="F2069" s="1">
        <f>IFERROR(__xludf.DUMMYFUNCTION("""COMPUTED_VALUE"""),537162.0)</f>
        <v>537162</v>
      </c>
    </row>
    <row r="2070">
      <c r="A2070" s="2">
        <f>IFERROR(__xludf.DUMMYFUNCTION("""COMPUTED_VALUE"""),43626.64583333333)</f>
        <v>43626.64583</v>
      </c>
      <c r="B2070" s="1">
        <f>IFERROR(__xludf.DUMMYFUNCTION("""COMPUTED_VALUE"""),24000.0)</f>
        <v>24000</v>
      </c>
      <c r="C2070" s="1">
        <f>IFERROR(__xludf.DUMMYFUNCTION("""COMPUTED_VALUE"""),25000.0)</f>
        <v>25000</v>
      </c>
      <c r="D2070" s="1">
        <f>IFERROR(__xludf.DUMMYFUNCTION("""COMPUTED_VALUE"""),23800.0)</f>
        <v>23800</v>
      </c>
      <c r="E2070" s="1">
        <f>IFERROR(__xludf.DUMMYFUNCTION("""COMPUTED_VALUE"""),24800.0)</f>
        <v>24800</v>
      </c>
      <c r="F2070" s="1">
        <f>IFERROR(__xludf.DUMMYFUNCTION("""COMPUTED_VALUE"""),506951.0)</f>
        <v>506951</v>
      </c>
    </row>
    <row r="2071">
      <c r="A2071" s="2">
        <f>IFERROR(__xludf.DUMMYFUNCTION("""COMPUTED_VALUE"""),43627.64583333333)</f>
        <v>43627.64583</v>
      </c>
      <c r="B2071" s="1">
        <f>IFERROR(__xludf.DUMMYFUNCTION("""COMPUTED_VALUE"""),24800.0)</f>
        <v>24800</v>
      </c>
      <c r="C2071" s="1">
        <f>IFERROR(__xludf.DUMMYFUNCTION("""COMPUTED_VALUE"""),25000.0)</f>
        <v>25000</v>
      </c>
      <c r="D2071" s="1">
        <f>IFERROR(__xludf.DUMMYFUNCTION("""COMPUTED_VALUE"""),24500.0)</f>
        <v>24500</v>
      </c>
      <c r="E2071" s="1">
        <f>IFERROR(__xludf.DUMMYFUNCTION("""COMPUTED_VALUE"""),24900.0)</f>
        <v>24900</v>
      </c>
      <c r="F2071" s="1">
        <f>IFERROR(__xludf.DUMMYFUNCTION("""COMPUTED_VALUE"""),244302.0)</f>
        <v>244302</v>
      </c>
    </row>
    <row r="2072">
      <c r="A2072" s="2">
        <f>IFERROR(__xludf.DUMMYFUNCTION("""COMPUTED_VALUE"""),43628.64583333333)</f>
        <v>43628.64583</v>
      </c>
      <c r="B2072" s="1">
        <f>IFERROR(__xludf.DUMMYFUNCTION("""COMPUTED_VALUE"""),24900.0)</f>
        <v>24900</v>
      </c>
      <c r="C2072" s="1">
        <f>IFERROR(__xludf.DUMMYFUNCTION("""COMPUTED_VALUE"""),25000.0)</f>
        <v>25000</v>
      </c>
      <c r="D2072" s="1">
        <f>IFERROR(__xludf.DUMMYFUNCTION("""COMPUTED_VALUE"""),24500.0)</f>
        <v>24500</v>
      </c>
      <c r="E2072" s="1">
        <f>IFERROR(__xludf.DUMMYFUNCTION("""COMPUTED_VALUE"""),24800.0)</f>
        <v>24800</v>
      </c>
      <c r="F2072" s="1">
        <f>IFERROR(__xludf.DUMMYFUNCTION("""COMPUTED_VALUE"""),212619.0)</f>
        <v>212619</v>
      </c>
    </row>
    <row r="2073">
      <c r="A2073" s="2">
        <f>IFERROR(__xludf.DUMMYFUNCTION("""COMPUTED_VALUE"""),43629.64583333333)</f>
        <v>43629.64583</v>
      </c>
      <c r="B2073" s="1">
        <f>IFERROR(__xludf.DUMMYFUNCTION("""COMPUTED_VALUE"""),24800.0)</f>
        <v>24800</v>
      </c>
      <c r="C2073" s="1">
        <f>IFERROR(__xludf.DUMMYFUNCTION("""COMPUTED_VALUE"""),25500.0)</f>
        <v>25500</v>
      </c>
      <c r="D2073" s="1">
        <f>IFERROR(__xludf.DUMMYFUNCTION("""COMPUTED_VALUE"""),24700.0)</f>
        <v>24700</v>
      </c>
      <c r="E2073" s="1">
        <f>IFERROR(__xludf.DUMMYFUNCTION("""COMPUTED_VALUE"""),25300.0)</f>
        <v>25300</v>
      </c>
      <c r="F2073" s="1">
        <f>IFERROR(__xludf.DUMMYFUNCTION("""COMPUTED_VALUE"""),747390.0)</f>
        <v>747390</v>
      </c>
    </row>
    <row r="2074">
      <c r="A2074" s="2">
        <f>IFERROR(__xludf.DUMMYFUNCTION("""COMPUTED_VALUE"""),43630.64583333333)</f>
        <v>43630.64583</v>
      </c>
      <c r="B2074" s="1">
        <f>IFERROR(__xludf.DUMMYFUNCTION("""COMPUTED_VALUE"""),25400.0)</f>
        <v>25400</v>
      </c>
      <c r="C2074" s="1">
        <f>IFERROR(__xludf.DUMMYFUNCTION("""COMPUTED_VALUE"""),25600.0)</f>
        <v>25600</v>
      </c>
      <c r="D2074" s="1">
        <f>IFERROR(__xludf.DUMMYFUNCTION("""COMPUTED_VALUE"""),24900.0)</f>
        <v>24900</v>
      </c>
      <c r="E2074" s="1">
        <f>IFERROR(__xludf.DUMMYFUNCTION("""COMPUTED_VALUE"""),25000.0)</f>
        <v>25000</v>
      </c>
      <c r="F2074" s="1">
        <f>IFERROR(__xludf.DUMMYFUNCTION("""COMPUTED_VALUE"""),357300.0)</f>
        <v>357300</v>
      </c>
    </row>
    <row r="2075">
      <c r="A2075" s="2">
        <f>IFERROR(__xludf.DUMMYFUNCTION("""COMPUTED_VALUE"""),43633.64583333333)</f>
        <v>43633.64583</v>
      </c>
      <c r="B2075" s="1">
        <f>IFERROR(__xludf.DUMMYFUNCTION("""COMPUTED_VALUE"""),25000.0)</f>
        <v>25000</v>
      </c>
      <c r="C2075" s="1">
        <f>IFERROR(__xludf.DUMMYFUNCTION("""COMPUTED_VALUE"""),25000.0)</f>
        <v>25000</v>
      </c>
      <c r="D2075" s="1">
        <f>IFERROR(__xludf.DUMMYFUNCTION("""COMPUTED_VALUE"""),24200.0)</f>
        <v>24200</v>
      </c>
      <c r="E2075" s="1">
        <f>IFERROR(__xludf.DUMMYFUNCTION("""COMPUTED_VALUE"""),24300.0)</f>
        <v>24300</v>
      </c>
      <c r="F2075" s="1">
        <f>IFERROR(__xludf.DUMMYFUNCTION("""COMPUTED_VALUE"""),349662.0)</f>
        <v>349662</v>
      </c>
    </row>
    <row r="2076">
      <c r="A2076" s="2">
        <f>IFERROR(__xludf.DUMMYFUNCTION("""COMPUTED_VALUE"""),43634.64583333333)</f>
        <v>43634.64583</v>
      </c>
      <c r="B2076" s="1">
        <f>IFERROR(__xludf.DUMMYFUNCTION("""COMPUTED_VALUE"""),24300.0)</f>
        <v>24300</v>
      </c>
      <c r="C2076" s="1">
        <f>IFERROR(__xludf.DUMMYFUNCTION("""COMPUTED_VALUE"""),24600.0)</f>
        <v>24600</v>
      </c>
      <c r="D2076" s="1">
        <f>IFERROR(__xludf.DUMMYFUNCTION("""COMPUTED_VALUE"""),24000.0)</f>
        <v>24000</v>
      </c>
      <c r="E2076" s="1">
        <f>IFERROR(__xludf.DUMMYFUNCTION("""COMPUTED_VALUE"""),24200.0)</f>
        <v>24200</v>
      </c>
      <c r="F2076" s="1">
        <f>IFERROR(__xludf.DUMMYFUNCTION("""COMPUTED_VALUE"""),344107.0)</f>
        <v>344107</v>
      </c>
    </row>
    <row r="2077">
      <c r="A2077" s="2">
        <f>IFERROR(__xludf.DUMMYFUNCTION("""COMPUTED_VALUE"""),43635.64583333333)</f>
        <v>43635.64583</v>
      </c>
      <c r="B2077" s="1">
        <f>IFERROR(__xludf.DUMMYFUNCTION("""COMPUTED_VALUE"""),24500.0)</f>
        <v>24500</v>
      </c>
      <c r="C2077" s="1">
        <f>IFERROR(__xludf.DUMMYFUNCTION("""COMPUTED_VALUE"""),24500.0)</f>
        <v>24500</v>
      </c>
      <c r="D2077" s="1">
        <f>IFERROR(__xludf.DUMMYFUNCTION("""COMPUTED_VALUE"""),24200.0)</f>
        <v>24200</v>
      </c>
      <c r="E2077" s="1">
        <f>IFERROR(__xludf.DUMMYFUNCTION("""COMPUTED_VALUE"""),24400.0)</f>
        <v>24400</v>
      </c>
      <c r="F2077" s="1">
        <f>IFERROR(__xludf.DUMMYFUNCTION("""COMPUTED_VALUE"""),178919.0)</f>
        <v>178919</v>
      </c>
    </row>
    <row r="2078">
      <c r="A2078" s="2">
        <f>IFERROR(__xludf.DUMMYFUNCTION("""COMPUTED_VALUE"""),43636.64583333333)</f>
        <v>43636.64583</v>
      </c>
      <c r="B2078" s="1">
        <f>IFERROR(__xludf.DUMMYFUNCTION("""COMPUTED_VALUE"""),24400.0)</f>
        <v>24400</v>
      </c>
      <c r="C2078" s="1">
        <f>IFERROR(__xludf.DUMMYFUNCTION("""COMPUTED_VALUE"""),24800.0)</f>
        <v>24800</v>
      </c>
      <c r="D2078" s="1">
        <f>IFERROR(__xludf.DUMMYFUNCTION("""COMPUTED_VALUE"""),24000.0)</f>
        <v>24000</v>
      </c>
      <c r="E2078" s="1">
        <f>IFERROR(__xludf.DUMMYFUNCTION("""COMPUTED_VALUE"""),24400.0)</f>
        <v>24400</v>
      </c>
      <c r="F2078" s="1">
        <f>IFERROR(__xludf.DUMMYFUNCTION("""COMPUTED_VALUE"""),287954.0)</f>
        <v>287954</v>
      </c>
    </row>
    <row r="2079">
      <c r="A2079" s="2">
        <f>IFERROR(__xludf.DUMMYFUNCTION("""COMPUTED_VALUE"""),43637.64583333333)</f>
        <v>43637.64583</v>
      </c>
      <c r="B2079" s="1">
        <f>IFERROR(__xludf.DUMMYFUNCTION("""COMPUTED_VALUE"""),24900.0)</f>
        <v>24900</v>
      </c>
      <c r="C2079" s="1">
        <f>IFERROR(__xludf.DUMMYFUNCTION("""COMPUTED_VALUE"""),25600.0)</f>
        <v>25600</v>
      </c>
      <c r="D2079" s="1">
        <f>IFERROR(__xludf.DUMMYFUNCTION("""COMPUTED_VALUE"""),24800.0)</f>
        <v>24800</v>
      </c>
      <c r="E2079" s="1">
        <f>IFERROR(__xludf.DUMMYFUNCTION("""COMPUTED_VALUE"""),25300.0)</f>
        <v>25300</v>
      </c>
      <c r="F2079" s="1">
        <f>IFERROR(__xludf.DUMMYFUNCTION("""COMPUTED_VALUE"""),808423.0)</f>
        <v>808423</v>
      </c>
    </row>
    <row r="2080">
      <c r="A2080" s="2">
        <f>IFERROR(__xludf.DUMMYFUNCTION("""COMPUTED_VALUE"""),43640.64583333333)</f>
        <v>43640.64583</v>
      </c>
      <c r="B2080" s="1">
        <f>IFERROR(__xludf.DUMMYFUNCTION("""COMPUTED_VALUE"""),25400.0)</f>
        <v>25400</v>
      </c>
      <c r="C2080" s="1">
        <f>IFERROR(__xludf.DUMMYFUNCTION("""COMPUTED_VALUE"""),25600.0)</f>
        <v>25600</v>
      </c>
      <c r="D2080" s="1">
        <f>IFERROR(__xludf.DUMMYFUNCTION("""COMPUTED_VALUE"""),25100.0)</f>
        <v>25100</v>
      </c>
      <c r="E2080" s="1">
        <f>IFERROR(__xludf.DUMMYFUNCTION("""COMPUTED_VALUE"""),25200.0)</f>
        <v>25200</v>
      </c>
      <c r="F2080" s="1">
        <f>IFERROR(__xludf.DUMMYFUNCTION("""COMPUTED_VALUE"""),306333.0)</f>
        <v>306333</v>
      </c>
    </row>
    <row r="2081">
      <c r="A2081" s="2">
        <f>IFERROR(__xludf.DUMMYFUNCTION("""COMPUTED_VALUE"""),43641.64583333333)</f>
        <v>43641.64583</v>
      </c>
      <c r="B2081" s="1">
        <f>IFERROR(__xludf.DUMMYFUNCTION("""COMPUTED_VALUE"""),25800.0)</f>
        <v>25800</v>
      </c>
      <c r="C2081" s="1">
        <f>IFERROR(__xludf.DUMMYFUNCTION("""COMPUTED_VALUE"""),26200.0)</f>
        <v>26200</v>
      </c>
      <c r="D2081" s="1">
        <f>IFERROR(__xludf.DUMMYFUNCTION("""COMPUTED_VALUE"""),25500.0)</f>
        <v>25500</v>
      </c>
      <c r="E2081" s="1">
        <f>IFERROR(__xludf.DUMMYFUNCTION("""COMPUTED_VALUE"""),26100.0)</f>
        <v>26100</v>
      </c>
      <c r="F2081" s="1">
        <f>IFERROR(__xludf.DUMMYFUNCTION("""COMPUTED_VALUE"""),956899.0)</f>
        <v>956899</v>
      </c>
    </row>
    <row r="2082">
      <c r="A2082" s="2">
        <f>IFERROR(__xludf.DUMMYFUNCTION("""COMPUTED_VALUE"""),43642.64583333333)</f>
        <v>43642.64583</v>
      </c>
      <c r="B2082" s="1">
        <f>IFERROR(__xludf.DUMMYFUNCTION("""COMPUTED_VALUE"""),26200.0)</f>
        <v>26200</v>
      </c>
      <c r="C2082" s="1">
        <f>IFERROR(__xludf.DUMMYFUNCTION("""COMPUTED_VALUE"""),26500.0)</f>
        <v>26500</v>
      </c>
      <c r="D2082" s="1">
        <f>IFERROR(__xludf.DUMMYFUNCTION("""COMPUTED_VALUE"""),25800.0)</f>
        <v>25800</v>
      </c>
      <c r="E2082" s="1">
        <f>IFERROR(__xludf.DUMMYFUNCTION("""COMPUTED_VALUE"""),25900.0)</f>
        <v>25900</v>
      </c>
      <c r="F2082" s="1">
        <f>IFERROR(__xludf.DUMMYFUNCTION("""COMPUTED_VALUE"""),516097.0)</f>
        <v>516097</v>
      </c>
    </row>
    <row r="2083">
      <c r="A2083" s="2">
        <f>IFERROR(__xludf.DUMMYFUNCTION("""COMPUTED_VALUE"""),43643.64583333333)</f>
        <v>43643.64583</v>
      </c>
      <c r="B2083" s="1">
        <f>IFERROR(__xludf.DUMMYFUNCTION("""COMPUTED_VALUE"""),26200.0)</f>
        <v>26200</v>
      </c>
      <c r="C2083" s="1">
        <f>IFERROR(__xludf.DUMMYFUNCTION("""COMPUTED_VALUE"""),26700.0)</f>
        <v>26700</v>
      </c>
      <c r="D2083" s="1">
        <f>IFERROR(__xludf.DUMMYFUNCTION("""COMPUTED_VALUE"""),26000.0)</f>
        <v>26000</v>
      </c>
      <c r="E2083" s="1">
        <f>IFERROR(__xludf.DUMMYFUNCTION("""COMPUTED_VALUE"""),26300.0)</f>
        <v>26300</v>
      </c>
      <c r="F2083" s="1">
        <f>IFERROR(__xludf.DUMMYFUNCTION("""COMPUTED_VALUE"""),704159.0)</f>
        <v>704159</v>
      </c>
    </row>
    <row r="2084">
      <c r="A2084" s="2">
        <f>IFERROR(__xludf.DUMMYFUNCTION("""COMPUTED_VALUE"""),43644.64583333333)</f>
        <v>43644.64583</v>
      </c>
      <c r="B2084" s="1">
        <f>IFERROR(__xludf.DUMMYFUNCTION("""COMPUTED_VALUE"""),26300.0)</f>
        <v>26300</v>
      </c>
      <c r="C2084" s="1">
        <f>IFERROR(__xludf.DUMMYFUNCTION("""COMPUTED_VALUE"""),26600.0)</f>
        <v>26600</v>
      </c>
      <c r="D2084" s="1">
        <f>IFERROR(__xludf.DUMMYFUNCTION("""COMPUTED_VALUE"""),26000.0)</f>
        <v>26000</v>
      </c>
      <c r="E2084" s="1">
        <f>IFERROR(__xludf.DUMMYFUNCTION("""COMPUTED_VALUE"""),26300.0)</f>
        <v>26300</v>
      </c>
      <c r="F2084" s="1">
        <f>IFERROR(__xludf.DUMMYFUNCTION("""COMPUTED_VALUE"""),362354.0)</f>
        <v>362354</v>
      </c>
    </row>
    <row r="2085">
      <c r="A2085" s="2">
        <f>IFERROR(__xludf.DUMMYFUNCTION("""COMPUTED_VALUE"""),43647.64583333333)</f>
        <v>43647.64583</v>
      </c>
      <c r="B2085" s="1">
        <f>IFERROR(__xludf.DUMMYFUNCTION("""COMPUTED_VALUE"""),26500.0)</f>
        <v>26500</v>
      </c>
      <c r="C2085" s="1">
        <f>IFERROR(__xludf.DUMMYFUNCTION("""COMPUTED_VALUE"""),26600.0)</f>
        <v>26600</v>
      </c>
      <c r="D2085" s="1">
        <f>IFERROR(__xludf.DUMMYFUNCTION("""COMPUTED_VALUE"""),25800.0)</f>
        <v>25800</v>
      </c>
      <c r="E2085" s="1">
        <f>IFERROR(__xludf.DUMMYFUNCTION("""COMPUTED_VALUE"""),25900.0)</f>
        <v>25900</v>
      </c>
      <c r="F2085" s="1">
        <f>IFERROR(__xludf.DUMMYFUNCTION("""COMPUTED_VALUE"""),433735.0)</f>
        <v>433735</v>
      </c>
    </row>
    <row r="2086">
      <c r="A2086" s="2">
        <f>IFERROR(__xludf.DUMMYFUNCTION("""COMPUTED_VALUE"""),43648.64583333333)</f>
        <v>43648.64583</v>
      </c>
      <c r="B2086" s="1">
        <f>IFERROR(__xludf.DUMMYFUNCTION("""COMPUTED_VALUE"""),25900.0)</f>
        <v>25900</v>
      </c>
      <c r="C2086" s="1">
        <f>IFERROR(__xludf.DUMMYFUNCTION("""COMPUTED_VALUE"""),26300.0)</f>
        <v>26300</v>
      </c>
      <c r="D2086" s="1">
        <f>IFERROR(__xludf.DUMMYFUNCTION("""COMPUTED_VALUE"""),25600.0)</f>
        <v>25600</v>
      </c>
      <c r="E2086" s="1">
        <f>IFERROR(__xludf.DUMMYFUNCTION("""COMPUTED_VALUE"""),26300.0)</f>
        <v>26300</v>
      </c>
      <c r="F2086" s="1">
        <f>IFERROR(__xludf.DUMMYFUNCTION("""COMPUTED_VALUE"""),264488.0)</f>
        <v>264488</v>
      </c>
    </row>
    <row r="2087">
      <c r="A2087" s="2">
        <f>IFERROR(__xludf.DUMMYFUNCTION("""COMPUTED_VALUE"""),43649.64583333333)</f>
        <v>43649.64583</v>
      </c>
      <c r="B2087" s="1">
        <f>IFERROR(__xludf.DUMMYFUNCTION("""COMPUTED_VALUE"""),26300.0)</f>
        <v>26300</v>
      </c>
      <c r="C2087" s="1">
        <f>IFERROR(__xludf.DUMMYFUNCTION("""COMPUTED_VALUE"""),26400.0)</f>
        <v>26400</v>
      </c>
      <c r="D2087" s="1">
        <f>IFERROR(__xludf.DUMMYFUNCTION("""COMPUTED_VALUE"""),26000.0)</f>
        <v>26000</v>
      </c>
      <c r="E2087" s="1">
        <f>IFERROR(__xludf.DUMMYFUNCTION("""COMPUTED_VALUE"""),26200.0)</f>
        <v>26200</v>
      </c>
      <c r="F2087" s="1">
        <f>IFERROR(__xludf.DUMMYFUNCTION("""COMPUTED_VALUE"""),300667.0)</f>
        <v>300667</v>
      </c>
    </row>
    <row r="2088">
      <c r="A2088" s="2">
        <f>IFERROR(__xludf.DUMMYFUNCTION("""COMPUTED_VALUE"""),43650.64583333333)</f>
        <v>43650.64583</v>
      </c>
      <c r="B2088" s="1">
        <f>IFERROR(__xludf.DUMMYFUNCTION("""COMPUTED_VALUE"""),26200.0)</f>
        <v>26200</v>
      </c>
      <c r="C2088" s="1">
        <f>IFERROR(__xludf.DUMMYFUNCTION("""COMPUTED_VALUE"""),26500.0)</f>
        <v>26500</v>
      </c>
      <c r="D2088" s="1">
        <f>IFERROR(__xludf.DUMMYFUNCTION("""COMPUTED_VALUE"""),25900.0)</f>
        <v>25900</v>
      </c>
      <c r="E2088" s="1">
        <f>IFERROR(__xludf.DUMMYFUNCTION("""COMPUTED_VALUE"""),26500.0)</f>
        <v>26500</v>
      </c>
      <c r="F2088" s="1">
        <f>IFERROR(__xludf.DUMMYFUNCTION("""COMPUTED_VALUE"""),362634.0)</f>
        <v>362634</v>
      </c>
    </row>
    <row r="2089">
      <c r="A2089" s="2">
        <f>IFERROR(__xludf.DUMMYFUNCTION("""COMPUTED_VALUE"""),43651.64583333333)</f>
        <v>43651.64583</v>
      </c>
      <c r="B2089" s="1">
        <f>IFERROR(__xludf.DUMMYFUNCTION("""COMPUTED_VALUE"""),26600.0)</f>
        <v>26600</v>
      </c>
      <c r="C2089" s="1">
        <f>IFERROR(__xludf.DUMMYFUNCTION("""COMPUTED_VALUE"""),26800.0)</f>
        <v>26800</v>
      </c>
      <c r="D2089" s="1">
        <f>IFERROR(__xludf.DUMMYFUNCTION("""COMPUTED_VALUE"""),26300.0)</f>
        <v>26300</v>
      </c>
      <c r="E2089" s="1">
        <f>IFERROR(__xludf.DUMMYFUNCTION("""COMPUTED_VALUE"""),26700.0)</f>
        <v>26700</v>
      </c>
      <c r="F2089" s="1">
        <f>IFERROR(__xludf.DUMMYFUNCTION("""COMPUTED_VALUE"""),458417.0)</f>
        <v>458417</v>
      </c>
    </row>
    <row r="2090">
      <c r="A2090" s="2">
        <f>IFERROR(__xludf.DUMMYFUNCTION("""COMPUTED_VALUE"""),43654.64583333333)</f>
        <v>43654.64583</v>
      </c>
      <c r="B2090" s="1">
        <f>IFERROR(__xludf.DUMMYFUNCTION("""COMPUTED_VALUE"""),26700.0)</f>
        <v>26700</v>
      </c>
      <c r="C2090" s="1">
        <f>IFERROR(__xludf.DUMMYFUNCTION("""COMPUTED_VALUE"""),26700.0)</f>
        <v>26700</v>
      </c>
      <c r="D2090" s="1">
        <f>IFERROR(__xludf.DUMMYFUNCTION("""COMPUTED_VALUE"""),25600.0)</f>
        <v>25600</v>
      </c>
      <c r="E2090" s="1">
        <f>IFERROR(__xludf.DUMMYFUNCTION("""COMPUTED_VALUE"""),25600.0)</f>
        <v>25600</v>
      </c>
      <c r="F2090" s="1">
        <f>IFERROR(__xludf.DUMMYFUNCTION("""COMPUTED_VALUE"""),581000.0)</f>
        <v>581000</v>
      </c>
    </row>
    <row r="2091">
      <c r="A2091" s="2">
        <f>IFERROR(__xludf.DUMMYFUNCTION("""COMPUTED_VALUE"""),43655.64583333333)</f>
        <v>43655.64583</v>
      </c>
      <c r="B2091" s="1">
        <f>IFERROR(__xludf.DUMMYFUNCTION("""COMPUTED_VALUE"""),25700.0)</f>
        <v>25700</v>
      </c>
      <c r="C2091" s="1">
        <f>IFERROR(__xludf.DUMMYFUNCTION("""COMPUTED_VALUE"""),26400.0)</f>
        <v>26400</v>
      </c>
      <c r="D2091" s="1">
        <f>IFERROR(__xludf.DUMMYFUNCTION("""COMPUTED_VALUE"""),25600.0)</f>
        <v>25600</v>
      </c>
      <c r="E2091" s="1">
        <f>IFERROR(__xludf.DUMMYFUNCTION("""COMPUTED_VALUE"""),26200.0)</f>
        <v>26200</v>
      </c>
      <c r="F2091" s="1">
        <f>IFERROR(__xludf.DUMMYFUNCTION("""COMPUTED_VALUE"""),463640.0)</f>
        <v>463640</v>
      </c>
    </row>
    <row r="2092">
      <c r="A2092" s="2">
        <f>IFERROR(__xludf.DUMMYFUNCTION("""COMPUTED_VALUE"""),43656.64583333333)</f>
        <v>43656.64583</v>
      </c>
      <c r="B2092" s="1">
        <f>IFERROR(__xludf.DUMMYFUNCTION("""COMPUTED_VALUE"""),26400.0)</f>
        <v>26400</v>
      </c>
      <c r="C2092" s="1">
        <f>IFERROR(__xludf.DUMMYFUNCTION("""COMPUTED_VALUE"""),26400.0)</f>
        <v>26400</v>
      </c>
      <c r="D2092" s="1">
        <f>IFERROR(__xludf.DUMMYFUNCTION("""COMPUTED_VALUE"""),25800.0)</f>
        <v>25800</v>
      </c>
      <c r="E2092" s="1">
        <f>IFERROR(__xludf.DUMMYFUNCTION("""COMPUTED_VALUE"""),26200.0)</f>
        <v>26200</v>
      </c>
      <c r="F2092" s="1">
        <f>IFERROR(__xludf.DUMMYFUNCTION("""COMPUTED_VALUE"""),312943.0)</f>
        <v>312943</v>
      </c>
    </row>
    <row r="2093">
      <c r="A2093" s="2">
        <f>IFERROR(__xludf.DUMMYFUNCTION("""COMPUTED_VALUE"""),43657.64583333333)</f>
        <v>43657.64583</v>
      </c>
      <c r="B2093" s="1">
        <f>IFERROR(__xludf.DUMMYFUNCTION("""COMPUTED_VALUE"""),26200.0)</f>
        <v>26200</v>
      </c>
      <c r="C2093" s="1">
        <f>IFERROR(__xludf.DUMMYFUNCTION("""COMPUTED_VALUE"""),26600.0)</f>
        <v>26600</v>
      </c>
      <c r="D2093" s="1">
        <f>IFERROR(__xludf.DUMMYFUNCTION("""COMPUTED_VALUE"""),26100.0)</f>
        <v>26100</v>
      </c>
      <c r="E2093" s="1">
        <f>IFERROR(__xludf.DUMMYFUNCTION("""COMPUTED_VALUE"""),26100.0)</f>
        <v>26100</v>
      </c>
      <c r="F2093" s="1">
        <f>IFERROR(__xludf.DUMMYFUNCTION("""COMPUTED_VALUE"""),525918.0)</f>
        <v>525918</v>
      </c>
    </row>
    <row r="2094">
      <c r="A2094" s="2">
        <f>IFERROR(__xludf.DUMMYFUNCTION("""COMPUTED_VALUE"""),43658.64583333333)</f>
        <v>43658.64583</v>
      </c>
      <c r="B2094" s="1">
        <f>IFERROR(__xludf.DUMMYFUNCTION("""COMPUTED_VALUE"""),26200.0)</f>
        <v>26200</v>
      </c>
      <c r="C2094" s="1">
        <f>IFERROR(__xludf.DUMMYFUNCTION("""COMPUTED_VALUE"""),26500.0)</f>
        <v>26500</v>
      </c>
      <c r="D2094" s="1">
        <f>IFERROR(__xludf.DUMMYFUNCTION("""COMPUTED_VALUE"""),25900.0)</f>
        <v>25900</v>
      </c>
      <c r="E2094" s="1">
        <f>IFERROR(__xludf.DUMMYFUNCTION("""COMPUTED_VALUE"""),26300.0)</f>
        <v>26300</v>
      </c>
      <c r="F2094" s="1">
        <f>IFERROR(__xludf.DUMMYFUNCTION("""COMPUTED_VALUE"""),300566.0)</f>
        <v>300566</v>
      </c>
    </row>
    <row r="2095">
      <c r="A2095" s="2">
        <f>IFERROR(__xludf.DUMMYFUNCTION("""COMPUTED_VALUE"""),43661.64583333333)</f>
        <v>43661.64583</v>
      </c>
      <c r="B2095" s="1">
        <f>IFERROR(__xludf.DUMMYFUNCTION("""COMPUTED_VALUE"""),26500.0)</f>
        <v>26500</v>
      </c>
      <c r="C2095" s="1">
        <f>IFERROR(__xludf.DUMMYFUNCTION("""COMPUTED_VALUE"""),27200.0)</f>
        <v>27200</v>
      </c>
      <c r="D2095" s="1">
        <f>IFERROR(__xludf.DUMMYFUNCTION("""COMPUTED_VALUE"""),26200.0)</f>
        <v>26200</v>
      </c>
      <c r="E2095" s="1">
        <f>IFERROR(__xludf.DUMMYFUNCTION("""COMPUTED_VALUE"""),26600.0)</f>
        <v>26600</v>
      </c>
      <c r="F2095" s="1">
        <f>IFERROR(__xludf.DUMMYFUNCTION("""COMPUTED_VALUE"""),783546.0)</f>
        <v>783546</v>
      </c>
    </row>
    <row r="2096">
      <c r="A2096" s="2">
        <f>IFERROR(__xludf.DUMMYFUNCTION("""COMPUTED_VALUE"""),43662.64583333333)</f>
        <v>43662.64583</v>
      </c>
      <c r="B2096" s="1">
        <f>IFERROR(__xludf.DUMMYFUNCTION("""COMPUTED_VALUE"""),26700.0)</f>
        <v>26700</v>
      </c>
      <c r="C2096" s="1">
        <f>IFERROR(__xludf.DUMMYFUNCTION("""COMPUTED_VALUE"""),26800.0)</f>
        <v>26800</v>
      </c>
      <c r="D2096" s="1">
        <f>IFERROR(__xludf.DUMMYFUNCTION("""COMPUTED_VALUE"""),26400.0)</f>
        <v>26400</v>
      </c>
      <c r="E2096" s="1">
        <f>IFERROR(__xludf.DUMMYFUNCTION("""COMPUTED_VALUE"""),26600.0)</f>
        <v>26600</v>
      </c>
      <c r="F2096" s="1">
        <f>IFERROR(__xludf.DUMMYFUNCTION("""COMPUTED_VALUE"""),323628.0)</f>
        <v>323628</v>
      </c>
    </row>
    <row r="2097">
      <c r="A2097" s="2">
        <f>IFERROR(__xludf.DUMMYFUNCTION("""COMPUTED_VALUE"""),43663.64583333333)</f>
        <v>43663.64583</v>
      </c>
      <c r="B2097" s="1">
        <f>IFERROR(__xludf.DUMMYFUNCTION("""COMPUTED_VALUE"""),26400.0)</f>
        <v>26400</v>
      </c>
      <c r="C2097" s="1">
        <f>IFERROR(__xludf.DUMMYFUNCTION("""COMPUTED_VALUE"""),26500.0)</f>
        <v>26500</v>
      </c>
      <c r="D2097" s="1">
        <f>IFERROR(__xludf.DUMMYFUNCTION("""COMPUTED_VALUE"""),25900.0)</f>
        <v>25900</v>
      </c>
      <c r="E2097" s="1">
        <f>IFERROR(__xludf.DUMMYFUNCTION("""COMPUTED_VALUE"""),26200.0)</f>
        <v>26200</v>
      </c>
      <c r="F2097" s="1">
        <f>IFERROR(__xludf.DUMMYFUNCTION("""COMPUTED_VALUE"""),328637.0)</f>
        <v>328637</v>
      </c>
    </row>
    <row r="2098">
      <c r="A2098" s="2">
        <f>IFERROR(__xludf.DUMMYFUNCTION("""COMPUTED_VALUE"""),43664.64583333333)</f>
        <v>43664.64583</v>
      </c>
      <c r="B2098" s="1">
        <f>IFERROR(__xludf.DUMMYFUNCTION("""COMPUTED_VALUE"""),26100.0)</f>
        <v>26100</v>
      </c>
      <c r="C2098" s="1">
        <f>IFERROR(__xludf.DUMMYFUNCTION("""COMPUTED_VALUE"""),26500.0)</f>
        <v>26500</v>
      </c>
      <c r="D2098" s="1">
        <f>IFERROR(__xludf.DUMMYFUNCTION("""COMPUTED_VALUE"""),26100.0)</f>
        <v>26100</v>
      </c>
      <c r="E2098" s="1">
        <f>IFERROR(__xludf.DUMMYFUNCTION("""COMPUTED_VALUE"""),26300.0)</f>
        <v>26300</v>
      </c>
      <c r="F2098" s="1">
        <f>IFERROR(__xludf.DUMMYFUNCTION("""COMPUTED_VALUE"""),170819.0)</f>
        <v>170819</v>
      </c>
    </row>
    <row r="2099">
      <c r="A2099" s="2">
        <f>IFERROR(__xludf.DUMMYFUNCTION("""COMPUTED_VALUE"""),43665.64583333333)</f>
        <v>43665.64583</v>
      </c>
      <c r="B2099" s="1">
        <f>IFERROR(__xludf.DUMMYFUNCTION("""COMPUTED_VALUE"""),26400.0)</f>
        <v>26400</v>
      </c>
      <c r="C2099" s="1">
        <f>IFERROR(__xludf.DUMMYFUNCTION("""COMPUTED_VALUE"""),27100.0)</f>
        <v>27100</v>
      </c>
      <c r="D2099" s="1">
        <f>IFERROR(__xludf.DUMMYFUNCTION("""COMPUTED_VALUE"""),26300.0)</f>
        <v>26300</v>
      </c>
      <c r="E2099" s="1">
        <f>IFERROR(__xludf.DUMMYFUNCTION("""COMPUTED_VALUE"""),27000.0)</f>
        <v>27000</v>
      </c>
      <c r="F2099" s="1">
        <f>IFERROR(__xludf.DUMMYFUNCTION("""COMPUTED_VALUE"""),656218.0)</f>
        <v>656218</v>
      </c>
    </row>
    <row r="2100">
      <c r="A2100" s="2">
        <f>IFERROR(__xludf.DUMMYFUNCTION("""COMPUTED_VALUE"""),43668.64583333333)</f>
        <v>43668.64583</v>
      </c>
      <c r="B2100" s="1">
        <f>IFERROR(__xludf.DUMMYFUNCTION("""COMPUTED_VALUE"""),26900.0)</f>
        <v>26900</v>
      </c>
      <c r="C2100" s="1">
        <f>IFERROR(__xludf.DUMMYFUNCTION("""COMPUTED_VALUE"""),27200.0)</f>
        <v>27200</v>
      </c>
      <c r="D2100" s="1">
        <f>IFERROR(__xludf.DUMMYFUNCTION("""COMPUTED_VALUE"""),26700.0)</f>
        <v>26700</v>
      </c>
      <c r="E2100" s="1">
        <f>IFERROR(__xludf.DUMMYFUNCTION("""COMPUTED_VALUE"""),26800.0)</f>
        <v>26800</v>
      </c>
      <c r="F2100" s="1">
        <f>IFERROR(__xludf.DUMMYFUNCTION("""COMPUTED_VALUE"""),408551.0)</f>
        <v>408551</v>
      </c>
    </row>
    <row r="2101">
      <c r="A2101" s="2">
        <f>IFERROR(__xludf.DUMMYFUNCTION("""COMPUTED_VALUE"""),43669.64583333333)</f>
        <v>43669.64583</v>
      </c>
      <c r="B2101" s="1">
        <f>IFERROR(__xludf.DUMMYFUNCTION("""COMPUTED_VALUE"""),26800.0)</f>
        <v>26800</v>
      </c>
      <c r="C2101" s="1">
        <f>IFERROR(__xludf.DUMMYFUNCTION("""COMPUTED_VALUE"""),27300.0)</f>
        <v>27300</v>
      </c>
      <c r="D2101" s="1">
        <f>IFERROR(__xludf.DUMMYFUNCTION("""COMPUTED_VALUE"""),26600.0)</f>
        <v>26600</v>
      </c>
      <c r="E2101" s="1">
        <f>IFERROR(__xludf.DUMMYFUNCTION("""COMPUTED_VALUE"""),27200.0)</f>
        <v>27200</v>
      </c>
      <c r="F2101" s="1">
        <f>IFERROR(__xludf.DUMMYFUNCTION("""COMPUTED_VALUE"""),469494.0)</f>
        <v>469494</v>
      </c>
    </row>
    <row r="2102">
      <c r="A2102" s="2">
        <f>IFERROR(__xludf.DUMMYFUNCTION("""COMPUTED_VALUE"""),43670.64583333333)</f>
        <v>43670.64583</v>
      </c>
      <c r="B2102" s="1">
        <f>IFERROR(__xludf.DUMMYFUNCTION("""COMPUTED_VALUE"""),27200.0)</f>
        <v>27200</v>
      </c>
      <c r="C2102" s="1">
        <f>IFERROR(__xludf.DUMMYFUNCTION("""COMPUTED_VALUE"""),27600.0)</f>
        <v>27600</v>
      </c>
      <c r="D2102" s="1">
        <f>IFERROR(__xludf.DUMMYFUNCTION("""COMPUTED_VALUE"""),26800.0)</f>
        <v>26800</v>
      </c>
      <c r="E2102" s="1">
        <f>IFERROR(__xludf.DUMMYFUNCTION("""COMPUTED_VALUE"""),27200.0)</f>
        <v>27200</v>
      </c>
      <c r="F2102" s="1">
        <f>IFERROR(__xludf.DUMMYFUNCTION("""COMPUTED_VALUE"""),692256.0)</f>
        <v>692256</v>
      </c>
    </row>
    <row r="2103">
      <c r="A2103" s="2">
        <f>IFERROR(__xludf.DUMMYFUNCTION("""COMPUTED_VALUE"""),43671.64583333333)</f>
        <v>43671.64583</v>
      </c>
      <c r="B2103" s="1">
        <f>IFERROR(__xludf.DUMMYFUNCTION("""COMPUTED_VALUE"""),27200.0)</f>
        <v>27200</v>
      </c>
      <c r="C2103" s="1">
        <f>IFERROR(__xludf.DUMMYFUNCTION("""COMPUTED_VALUE"""),27200.0)</f>
        <v>27200</v>
      </c>
      <c r="D2103" s="1">
        <f>IFERROR(__xludf.DUMMYFUNCTION("""COMPUTED_VALUE"""),25600.0)</f>
        <v>25600</v>
      </c>
      <c r="E2103" s="1">
        <f>IFERROR(__xludf.DUMMYFUNCTION("""COMPUTED_VALUE"""),26200.0)</f>
        <v>26200</v>
      </c>
      <c r="F2103" s="1">
        <f>IFERROR(__xludf.DUMMYFUNCTION("""COMPUTED_VALUE"""),1295817.0)</f>
        <v>1295817</v>
      </c>
    </row>
    <row r="2104">
      <c r="A2104" s="2">
        <f>IFERROR(__xludf.DUMMYFUNCTION("""COMPUTED_VALUE"""),43672.64583333333)</f>
        <v>43672.64583</v>
      </c>
      <c r="B2104" s="1">
        <f>IFERROR(__xludf.DUMMYFUNCTION("""COMPUTED_VALUE"""),25800.0)</f>
        <v>25800</v>
      </c>
      <c r="C2104" s="1">
        <f>IFERROR(__xludf.DUMMYFUNCTION("""COMPUTED_VALUE"""),26400.0)</f>
        <v>26400</v>
      </c>
      <c r="D2104" s="1">
        <f>IFERROR(__xludf.DUMMYFUNCTION("""COMPUTED_VALUE"""),25400.0)</f>
        <v>25400</v>
      </c>
      <c r="E2104" s="1">
        <f>IFERROR(__xludf.DUMMYFUNCTION("""COMPUTED_VALUE"""),26200.0)</f>
        <v>26200</v>
      </c>
      <c r="F2104" s="1">
        <f>IFERROR(__xludf.DUMMYFUNCTION("""COMPUTED_VALUE"""),701403.0)</f>
        <v>701403</v>
      </c>
    </row>
    <row r="2105">
      <c r="A2105" s="2">
        <f>IFERROR(__xludf.DUMMYFUNCTION("""COMPUTED_VALUE"""),43675.64583333333)</f>
        <v>43675.64583</v>
      </c>
      <c r="B2105" s="1">
        <f>IFERROR(__xludf.DUMMYFUNCTION("""COMPUTED_VALUE"""),26000.0)</f>
        <v>26000</v>
      </c>
      <c r="C2105" s="1">
        <f>IFERROR(__xludf.DUMMYFUNCTION("""COMPUTED_VALUE"""),26400.0)</f>
        <v>26400</v>
      </c>
      <c r="D2105" s="1">
        <f>IFERROR(__xludf.DUMMYFUNCTION("""COMPUTED_VALUE"""),25600.0)</f>
        <v>25600</v>
      </c>
      <c r="E2105" s="1">
        <f>IFERROR(__xludf.DUMMYFUNCTION("""COMPUTED_VALUE"""),25800.0)</f>
        <v>25800</v>
      </c>
      <c r="F2105" s="1">
        <f>IFERROR(__xludf.DUMMYFUNCTION("""COMPUTED_VALUE"""),368682.0)</f>
        <v>368682</v>
      </c>
    </row>
    <row r="2106">
      <c r="A2106" s="2">
        <f>IFERROR(__xludf.DUMMYFUNCTION("""COMPUTED_VALUE"""),43676.64583333333)</f>
        <v>43676.64583</v>
      </c>
      <c r="B2106" s="1">
        <f>IFERROR(__xludf.DUMMYFUNCTION("""COMPUTED_VALUE"""),25700.0)</f>
        <v>25700</v>
      </c>
      <c r="C2106" s="1">
        <f>IFERROR(__xludf.DUMMYFUNCTION("""COMPUTED_VALUE"""),25900.0)</f>
        <v>25900</v>
      </c>
      <c r="D2106" s="1">
        <f>IFERROR(__xludf.DUMMYFUNCTION("""COMPUTED_VALUE"""),25200.0)</f>
        <v>25200</v>
      </c>
      <c r="E2106" s="1">
        <f>IFERROR(__xludf.DUMMYFUNCTION("""COMPUTED_VALUE"""),25200.0)</f>
        <v>25200</v>
      </c>
      <c r="F2106" s="1">
        <f>IFERROR(__xludf.DUMMYFUNCTION("""COMPUTED_VALUE"""),467439.0)</f>
        <v>467439</v>
      </c>
    </row>
    <row r="2107">
      <c r="A2107" s="2">
        <f>IFERROR(__xludf.DUMMYFUNCTION("""COMPUTED_VALUE"""),43677.64583333333)</f>
        <v>43677.64583</v>
      </c>
      <c r="B2107" s="1">
        <f>IFERROR(__xludf.DUMMYFUNCTION("""COMPUTED_VALUE"""),25000.0)</f>
        <v>25000</v>
      </c>
      <c r="C2107" s="1">
        <f>IFERROR(__xludf.DUMMYFUNCTION("""COMPUTED_VALUE"""),25600.0)</f>
        <v>25600</v>
      </c>
      <c r="D2107" s="1">
        <f>IFERROR(__xludf.DUMMYFUNCTION("""COMPUTED_VALUE"""),24900.0)</f>
        <v>24900</v>
      </c>
      <c r="E2107" s="1">
        <f>IFERROR(__xludf.DUMMYFUNCTION("""COMPUTED_VALUE"""),25400.0)</f>
        <v>25400</v>
      </c>
      <c r="F2107" s="1">
        <f>IFERROR(__xludf.DUMMYFUNCTION("""COMPUTED_VALUE"""),294609.0)</f>
        <v>294609</v>
      </c>
    </row>
    <row r="2108">
      <c r="A2108" s="2">
        <f>IFERROR(__xludf.DUMMYFUNCTION("""COMPUTED_VALUE"""),43678.64583333333)</f>
        <v>43678.64583</v>
      </c>
      <c r="B2108" s="1">
        <f>IFERROR(__xludf.DUMMYFUNCTION("""COMPUTED_VALUE"""),25200.0)</f>
        <v>25200</v>
      </c>
      <c r="C2108" s="1">
        <f>IFERROR(__xludf.DUMMYFUNCTION("""COMPUTED_VALUE"""),25700.0)</f>
        <v>25700</v>
      </c>
      <c r="D2108" s="1">
        <f>IFERROR(__xludf.DUMMYFUNCTION("""COMPUTED_VALUE"""),25100.0)</f>
        <v>25100</v>
      </c>
      <c r="E2108" s="1">
        <f>IFERROR(__xludf.DUMMYFUNCTION("""COMPUTED_VALUE"""),25300.0)</f>
        <v>25300</v>
      </c>
      <c r="F2108" s="1">
        <f>IFERROR(__xludf.DUMMYFUNCTION("""COMPUTED_VALUE"""),249194.0)</f>
        <v>249194</v>
      </c>
    </row>
    <row r="2109">
      <c r="A2109" s="2">
        <f>IFERROR(__xludf.DUMMYFUNCTION("""COMPUTED_VALUE"""),43679.64583333333)</f>
        <v>43679.64583</v>
      </c>
      <c r="B2109" s="1">
        <f>IFERROR(__xludf.DUMMYFUNCTION("""COMPUTED_VALUE"""),25200.0)</f>
        <v>25200</v>
      </c>
      <c r="C2109" s="1">
        <f>IFERROR(__xludf.DUMMYFUNCTION("""COMPUTED_VALUE"""),26000.0)</f>
        <v>26000</v>
      </c>
      <c r="D2109" s="1">
        <f>IFERROR(__xludf.DUMMYFUNCTION("""COMPUTED_VALUE"""),24700.0)</f>
        <v>24700</v>
      </c>
      <c r="E2109" s="1">
        <f>IFERROR(__xludf.DUMMYFUNCTION("""COMPUTED_VALUE"""),25700.0)</f>
        <v>25700</v>
      </c>
      <c r="F2109" s="1">
        <f>IFERROR(__xludf.DUMMYFUNCTION("""COMPUTED_VALUE"""),444403.0)</f>
        <v>444403</v>
      </c>
    </row>
    <row r="2110">
      <c r="A2110" s="2">
        <f>IFERROR(__xludf.DUMMYFUNCTION("""COMPUTED_VALUE"""),43682.64583333333)</f>
        <v>43682.64583</v>
      </c>
      <c r="B2110" s="1">
        <f>IFERROR(__xludf.DUMMYFUNCTION("""COMPUTED_VALUE"""),25600.0)</f>
        <v>25600</v>
      </c>
      <c r="C2110" s="1">
        <f>IFERROR(__xludf.DUMMYFUNCTION("""COMPUTED_VALUE"""),25800.0)</f>
        <v>25800</v>
      </c>
      <c r="D2110" s="1">
        <f>IFERROR(__xludf.DUMMYFUNCTION("""COMPUTED_VALUE"""),24300.0)</f>
        <v>24300</v>
      </c>
      <c r="E2110" s="1">
        <f>IFERROR(__xludf.DUMMYFUNCTION("""COMPUTED_VALUE"""),24500.0)</f>
        <v>24500</v>
      </c>
      <c r="F2110" s="1">
        <f>IFERROR(__xludf.DUMMYFUNCTION("""COMPUTED_VALUE"""),597268.0)</f>
        <v>597268</v>
      </c>
    </row>
    <row r="2111">
      <c r="A2111" s="2">
        <f>IFERROR(__xludf.DUMMYFUNCTION("""COMPUTED_VALUE"""),43683.64583333333)</f>
        <v>43683.64583</v>
      </c>
      <c r="B2111" s="1">
        <f>IFERROR(__xludf.DUMMYFUNCTION("""COMPUTED_VALUE"""),23700.0)</f>
        <v>23700</v>
      </c>
      <c r="C2111" s="1">
        <f>IFERROR(__xludf.DUMMYFUNCTION("""COMPUTED_VALUE"""),24900.0)</f>
        <v>24900</v>
      </c>
      <c r="D2111" s="1">
        <f>IFERROR(__xludf.DUMMYFUNCTION("""COMPUTED_VALUE"""),23500.0)</f>
        <v>23500</v>
      </c>
      <c r="E2111" s="1">
        <f>IFERROR(__xludf.DUMMYFUNCTION("""COMPUTED_VALUE"""),24400.0)</f>
        <v>24400</v>
      </c>
      <c r="F2111" s="1">
        <f>IFERROR(__xludf.DUMMYFUNCTION("""COMPUTED_VALUE"""),714349.0)</f>
        <v>714349</v>
      </c>
    </row>
    <row r="2112">
      <c r="A2112" s="2">
        <f>IFERROR(__xludf.DUMMYFUNCTION("""COMPUTED_VALUE"""),43684.64583333333)</f>
        <v>43684.64583</v>
      </c>
      <c r="B2112" s="1">
        <f>IFERROR(__xludf.DUMMYFUNCTION("""COMPUTED_VALUE"""),24900.0)</f>
        <v>24900</v>
      </c>
      <c r="C2112" s="1">
        <f>IFERROR(__xludf.DUMMYFUNCTION("""COMPUTED_VALUE"""),25000.0)</f>
        <v>25000</v>
      </c>
      <c r="D2112" s="1">
        <f>IFERROR(__xludf.DUMMYFUNCTION("""COMPUTED_VALUE"""),24300.0)</f>
        <v>24300</v>
      </c>
      <c r="E2112" s="1">
        <f>IFERROR(__xludf.DUMMYFUNCTION("""COMPUTED_VALUE"""),24700.0)</f>
        <v>24700</v>
      </c>
      <c r="F2112" s="1">
        <f>IFERROR(__xludf.DUMMYFUNCTION("""COMPUTED_VALUE"""),424495.0)</f>
        <v>424495</v>
      </c>
    </row>
    <row r="2113">
      <c r="A2113" s="2">
        <f>IFERROR(__xludf.DUMMYFUNCTION("""COMPUTED_VALUE"""),43685.64583333333)</f>
        <v>43685.64583</v>
      </c>
      <c r="B2113" s="1">
        <f>IFERROR(__xludf.DUMMYFUNCTION("""COMPUTED_VALUE"""),25600.0)</f>
        <v>25600</v>
      </c>
      <c r="C2113" s="1">
        <f>IFERROR(__xludf.DUMMYFUNCTION("""COMPUTED_VALUE"""),25800.0)</f>
        <v>25800</v>
      </c>
      <c r="D2113" s="1">
        <f>IFERROR(__xludf.DUMMYFUNCTION("""COMPUTED_VALUE"""),25100.0)</f>
        <v>25100</v>
      </c>
      <c r="E2113" s="1">
        <f>IFERROR(__xludf.DUMMYFUNCTION("""COMPUTED_VALUE"""),25400.0)</f>
        <v>25400</v>
      </c>
      <c r="F2113" s="1">
        <f>IFERROR(__xludf.DUMMYFUNCTION("""COMPUTED_VALUE"""),956084.0)</f>
        <v>956084</v>
      </c>
    </row>
    <row r="2114">
      <c r="A2114" s="2">
        <f>IFERROR(__xludf.DUMMYFUNCTION("""COMPUTED_VALUE"""),43686.64583333333)</f>
        <v>43686.64583</v>
      </c>
      <c r="B2114" s="1">
        <f>IFERROR(__xludf.DUMMYFUNCTION("""COMPUTED_VALUE"""),25600.0)</f>
        <v>25600</v>
      </c>
      <c r="C2114" s="1">
        <f>IFERROR(__xludf.DUMMYFUNCTION("""COMPUTED_VALUE"""),26600.0)</f>
        <v>26600</v>
      </c>
      <c r="D2114" s="1">
        <f>IFERROR(__xludf.DUMMYFUNCTION("""COMPUTED_VALUE"""),25500.0)</f>
        <v>25500</v>
      </c>
      <c r="E2114" s="1">
        <f>IFERROR(__xludf.DUMMYFUNCTION("""COMPUTED_VALUE"""),26400.0)</f>
        <v>26400</v>
      </c>
      <c r="F2114" s="1">
        <f>IFERROR(__xludf.DUMMYFUNCTION("""COMPUTED_VALUE"""),780515.0)</f>
        <v>780515</v>
      </c>
    </row>
    <row r="2115">
      <c r="A2115" s="2">
        <f>IFERROR(__xludf.DUMMYFUNCTION("""COMPUTED_VALUE"""),43689.64583333333)</f>
        <v>43689.64583</v>
      </c>
      <c r="B2115" s="1">
        <f>IFERROR(__xludf.DUMMYFUNCTION("""COMPUTED_VALUE"""),26600.0)</f>
        <v>26600</v>
      </c>
      <c r="C2115" s="1">
        <f>IFERROR(__xludf.DUMMYFUNCTION("""COMPUTED_VALUE"""),26700.0)</f>
        <v>26700</v>
      </c>
      <c r="D2115" s="1">
        <f>IFERROR(__xludf.DUMMYFUNCTION("""COMPUTED_VALUE"""),25900.0)</f>
        <v>25900</v>
      </c>
      <c r="E2115" s="1">
        <f>IFERROR(__xludf.DUMMYFUNCTION("""COMPUTED_VALUE"""),26000.0)</f>
        <v>26000</v>
      </c>
      <c r="F2115" s="1">
        <f>IFERROR(__xludf.DUMMYFUNCTION("""COMPUTED_VALUE"""),265084.0)</f>
        <v>265084</v>
      </c>
    </row>
    <row r="2116">
      <c r="A2116" s="2">
        <f>IFERROR(__xludf.DUMMYFUNCTION("""COMPUTED_VALUE"""),43690.64583333333)</f>
        <v>43690.64583</v>
      </c>
      <c r="B2116" s="1">
        <f>IFERROR(__xludf.DUMMYFUNCTION("""COMPUTED_VALUE"""),26000.0)</f>
        <v>26000</v>
      </c>
      <c r="C2116" s="1">
        <f>IFERROR(__xludf.DUMMYFUNCTION("""COMPUTED_VALUE"""),26500.0)</f>
        <v>26500</v>
      </c>
      <c r="D2116" s="1">
        <f>IFERROR(__xludf.DUMMYFUNCTION("""COMPUTED_VALUE"""),25800.0)</f>
        <v>25800</v>
      </c>
      <c r="E2116" s="1">
        <f>IFERROR(__xludf.DUMMYFUNCTION("""COMPUTED_VALUE"""),26300.0)</f>
        <v>26300</v>
      </c>
      <c r="F2116" s="1">
        <f>IFERROR(__xludf.DUMMYFUNCTION("""COMPUTED_VALUE"""),361927.0)</f>
        <v>361927</v>
      </c>
    </row>
    <row r="2117">
      <c r="A2117" s="2">
        <f>IFERROR(__xludf.DUMMYFUNCTION("""COMPUTED_VALUE"""),43691.64583333333)</f>
        <v>43691.64583</v>
      </c>
      <c r="B2117" s="1">
        <f>IFERROR(__xludf.DUMMYFUNCTION("""COMPUTED_VALUE"""),26600.0)</f>
        <v>26600</v>
      </c>
      <c r="C2117" s="1">
        <f>IFERROR(__xludf.DUMMYFUNCTION("""COMPUTED_VALUE"""),26600.0)</f>
        <v>26600</v>
      </c>
      <c r="D2117" s="1">
        <f>IFERROR(__xludf.DUMMYFUNCTION("""COMPUTED_VALUE"""),25800.0)</f>
        <v>25800</v>
      </c>
      <c r="E2117" s="1">
        <f>IFERROR(__xludf.DUMMYFUNCTION("""COMPUTED_VALUE"""),26100.0)</f>
        <v>26100</v>
      </c>
      <c r="F2117" s="1">
        <f>IFERROR(__xludf.DUMMYFUNCTION("""COMPUTED_VALUE"""),338519.0)</f>
        <v>338519</v>
      </c>
    </row>
    <row r="2118">
      <c r="A2118" s="2">
        <f>IFERROR(__xludf.DUMMYFUNCTION("""COMPUTED_VALUE"""),43693.64583333333)</f>
        <v>43693.64583</v>
      </c>
      <c r="B2118" s="1">
        <f>IFERROR(__xludf.DUMMYFUNCTION("""COMPUTED_VALUE"""),25900.0)</f>
        <v>25900</v>
      </c>
      <c r="C2118" s="1">
        <f>IFERROR(__xludf.DUMMYFUNCTION("""COMPUTED_VALUE"""),26000.0)</f>
        <v>26000</v>
      </c>
      <c r="D2118" s="1">
        <f>IFERROR(__xludf.DUMMYFUNCTION("""COMPUTED_VALUE"""),25600.0)</f>
        <v>25600</v>
      </c>
      <c r="E2118" s="1">
        <f>IFERROR(__xludf.DUMMYFUNCTION("""COMPUTED_VALUE"""),25900.0)</f>
        <v>25900</v>
      </c>
      <c r="F2118" s="1">
        <f>IFERROR(__xludf.DUMMYFUNCTION("""COMPUTED_VALUE"""),300046.0)</f>
        <v>300046</v>
      </c>
    </row>
    <row r="2119">
      <c r="A2119" s="2">
        <f>IFERROR(__xludf.DUMMYFUNCTION("""COMPUTED_VALUE"""),43696.64583333333)</f>
        <v>43696.64583</v>
      </c>
      <c r="B2119" s="1">
        <f>IFERROR(__xludf.DUMMYFUNCTION("""COMPUTED_VALUE"""),26100.0)</f>
        <v>26100</v>
      </c>
      <c r="C2119" s="1">
        <f>IFERROR(__xludf.DUMMYFUNCTION("""COMPUTED_VALUE"""),26300.0)</f>
        <v>26300</v>
      </c>
      <c r="D2119" s="1">
        <f>IFERROR(__xludf.DUMMYFUNCTION("""COMPUTED_VALUE"""),25900.0)</f>
        <v>25900</v>
      </c>
      <c r="E2119" s="1">
        <f>IFERROR(__xludf.DUMMYFUNCTION("""COMPUTED_VALUE"""),26100.0)</f>
        <v>26100</v>
      </c>
      <c r="F2119" s="1">
        <f>IFERROR(__xludf.DUMMYFUNCTION("""COMPUTED_VALUE"""),222446.0)</f>
        <v>222446</v>
      </c>
    </row>
    <row r="2120">
      <c r="A2120" s="2">
        <f>IFERROR(__xludf.DUMMYFUNCTION("""COMPUTED_VALUE"""),43697.64583333333)</f>
        <v>43697.64583</v>
      </c>
      <c r="B2120" s="1">
        <f>IFERROR(__xludf.DUMMYFUNCTION("""COMPUTED_VALUE"""),26200.0)</f>
        <v>26200</v>
      </c>
      <c r="C2120" s="1">
        <f>IFERROR(__xludf.DUMMYFUNCTION("""COMPUTED_VALUE"""),26400.0)</f>
        <v>26400</v>
      </c>
      <c r="D2120" s="1">
        <f>IFERROR(__xludf.DUMMYFUNCTION("""COMPUTED_VALUE"""),25900.0)</f>
        <v>25900</v>
      </c>
      <c r="E2120" s="1">
        <f>IFERROR(__xludf.DUMMYFUNCTION("""COMPUTED_VALUE"""),26400.0)</f>
        <v>26400</v>
      </c>
      <c r="F2120" s="1">
        <f>IFERROR(__xludf.DUMMYFUNCTION("""COMPUTED_VALUE"""),369383.0)</f>
        <v>369383</v>
      </c>
    </row>
    <row r="2121">
      <c r="A2121" s="2">
        <f>IFERROR(__xludf.DUMMYFUNCTION("""COMPUTED_VALUE"""),43698.64583333333)</f>
        <v>43698.64583</v>
      </c>
      <c r="B2121" s="1">
        <f>IFERROR(__xludf.DUMMYFUNCTION("""COMPUTED_VALUE"""),26200.0)</f>
        <v>26200</v>
      </c>
      <c r="C2121" s="1">
        <f>IFERROR(__xludf.DUMMYFUNCTION("""COMPUTED_VALUE"""),26600.0)</f>
        <v>26600</v>
      </c>
      <c r="D2121" s="1">
        <f>IFERROR(__xludf.DUMMYFUNCTION("""COMPUTED_VALUE"""),26100.0)</f>
        <v>26100</v>
      </c>
      <c r="E2121" s="1">
        <f>IFERROR(__xludf.DUMMYFUNCTION("""COMPUTED_VALUE"""),26300.0)</f>
        <v>26300</v>
      </c>
      <c r="F2121" s="1">
        <f>IFERROR(__xludf.DUMMYFUNCTION("""COMPUTED_VALUE"""),284628.0)</f>
        <v>284628</v>
      </c>
    </row>
    <row r="2122">
      <c r="A2122" s="2">
        <f>IFERROR(__xludf.DUMMYFUNCTION("""COMPUTED_VALUE"""),43699.64583333333)</f>
        <v>43699.64583</v>
      </c>
      <c r="B2122" s="1">
        <f>IFERROR(__xludf.DUMMYFUNCTION("""COMPUTED_VALUE"""),26300.0)</f>
        <v>26300</v>
      </c>
      <c r="C2122" s="1">
        <f>IFERROR(__xludf.DUMMYFUNCTION("""COMPUTED_VALUE"""),27000.0)</f>
        <v>27000</v>
      </c>
      <c r="D2122" s="1">
        <f>IFERROR(__xludf.DUMMYFUNCTION("""COMPUTED_VALUE"""),26300.0)</f>
        <v>26300</v>
      </c>
      <c r="E2122" s="1">
        <f>IFERROR(__xludf.DUMMYFUNCTION("""COMPUTED_VALUE"""),26600.0)</f>
        <v>26600</v>
      </c>
      <c r="F2122" s="1">
        <f>IFERROR(__xludf.DUMMYFUNCTION("""COMPUTED_VALUE"""),597184.0)</f>
        <v>597184</v>
      </c>
    </row>
    <row r="2123">
      <c r="A2123" s="2">
        <f>IFERROR(__xludf.DUMMYFUNCTION("""COMPUTED_VALUE"""),43700.64583333333)</f>
        <v>43700.64583</v>
      </c>
      <c r="B2123" s="1">
        <f>IFERROR(__xludf.DUMMYFUNCTION("""COMPUTED_VALUE"""),26400.0)</f>
        <v>26400</v>
      </c>
      <c r="C2123" s="1">
        <f>IFERROR(__xludf.DUMMYFUNCTION("""COMPUTED_VALUE"""),26700.0)</f>
        <v>26700</v>
      </c>
      <c r="D2123" s="1">
        <f>IFERROR(__xludf.DUMMYFUNCTION("""COMPUTED_VALUE"""),26100.0)</f>
        <v>26100</v>
      </c>
      <c r="E2123" s="1">
        <f>IFERROR(__xludf.DUMMYFUNCTION("""COMPUTED_VALUE"""),26600.0)</f>
        <v>26600</v>
      </c>
      <c r="F2123" s="1">
        <f>IFERROR(__xludf.DUMMYFUNCTION("""COMPUTED_VALUE"""),414033.0)</f>
        <v>414033</v>
      </c>
    </row>
    <row r="2124">
      <c r="A2124" s="2">
        <f>IFERROR(__xludf.DUMMYFUNCTION("""COMPUTED_VALUE"""),43703.64583333333)</f>
        <v>43703.64583</v>
      </c>
      <c r="B2124" s="1">
        <f>IFERROR(__xludf.DUMMYFUNCTION("""COMPUTED_VALUE"""),26000.0)</f>
        <v>26000</v>
      </c>
      <c r="C2124" s="1">
        <f>IFERROR(__xludf.DUMMYFUNCTION("""COMPUTED_VALUE"""),26600.0)</f>
        <v>26600</v>
      </c>
      <c r="D2124" s="1">
        <f>IFERROR(__xludf.DUMMYFUNCTION("""COMPUTED_VALUE"""),25900.0)</f>
        <v>25900</v>
      </c>
      <c r="E2124" s="1">
        <f>IFERROR(__xludf.DUMMYFUNCTION("""COMPUTED_VALUE"""),26500.0)</f>
        <v>26500</v>
      </c>
      <c r="F2124" s="1">
        <f>IFERROR(__xludf.DUMMYFUNCTION("""COMPUTED_VALUE"""),374958.0)</f>
        <v>374958</v>
      </c>
    </row>
    <row r="2125">
      <c r="A2125" s="2">
        <f>IFERROR(__xludf.DUMMYFUNCTION("""COMPUTED_VALUE"""),43704.64583333333)</f>
        <v>43704.64583</v>
      </c>
      <c r="B2125" s="1">
        <f>IFERROR(__xludf.DUMMYFUNCTION("""COMPUTED_VALUE"""),26700.0)</f>
        <v>26700</v>
      </c>
      <c r="C2125" s="1">
        <f>IFERROR(__xludf.DUMMYFUNCTION("""COMPUTED_VALUE"""),27000.0)</f>
        <v>27000</v>
      </c>
      <c r="D2125" s="1">
        <f>IFERROR(__xludf.DUMMYFUNCTION("""COMPUTED_VALUE"""),26600.0)</f>
        <v>26600</v>
      </c>
      <c r="E2125" s="1">
        <f>IFERROR(__xludf.DUMMYFUNCTION("""COMPUTED_VALUE"""),26800.0)</f>
        <v>26800</v>
      </c>
      <c r="F2125" s="1">
        <f>IFERROR(__xludf.DUMMYFUNCTION("""COMPUTED_VALUE"""),499775.0)</f>
        <v>499775</v>
      </c>
    </row>
    <row r="2126">
      <c r="A2126" s="2">
        <f>IFERROR(__xludf.DUMMYFUNCTION("""COMPUTED_VALUE"""),43705.64583333333)</f>
        <v>43705.64583</v>
      </c>
      <c r="B2126" s="1">
        <f>IFERROR(__xludf.DUMMYFUNCTION("""COMPUTED_VALUE"""),26800.0)</f>
        <v>26800</v>
      </c>
      <c r="C2126" s="1">
        <f>IFERROR(__xludf.DUMMYFUNCTION("""COMPUTED_VALUE"""),27000.0)</f>
        <v>27000</v>
      </c>
      <c r="D2126" s="1">
        <f>IFERROR(__xludf.DUMMYFUNCTION("""COMPUTED_VALUE"""),26500.0)</f>
        <v>26500</v>
      </c>
      <c r="E2126" s="1">
        <f>IFERROR(__xludf.DUMMYFUNCTION("""COMPUTED_VALUE"""),26700.0)</f>
        <v>26700</v>
      </c>
      <c r="F2126" s="1">
        <f>IFERROR(__xludf.DUMMYFUNCTION("""COMPUTED_VALUE"""),255507.0)</f>
        <v>255507</v>
      </c>
    </row>
    <row r="2127">
      <c r="A2127" s="2">
        <f>IFERROR(__xludf.DUMMYFUNCTION("""COMPUTED_VALUE"""),43706.64583333333)</f>
        <v>43706.64583</v>
      </c>
      <c r="B2127" s="1">
        <f>IFERROR(__xludf.DUMMYFUNCTION("""COMPUTED_VALUE"""),26600.0)</f>
        <v>26600</v>
      </c>
      <c r="C2127" s="1">
        <f>IFERROR(__xludf.DUMMYFUNCTION("""COMPUTED_VALUE"""),26700.0)</f>
        <v>26700</v>
      </c>
      <c r="D2127" s="1">
        <f>IFERROR(__xludf.DUMMYFUNCTION("""COMPUTED_VALUE"""),26200.0)</f>
        <v>26200</v>
      </c>
      <c r="E2127" s="1">
        <f>IFERROR(__xludf.DUMMYFUNCTION("""COMPUTED_VALUE"""),26600.0)</f>
        <v>26600</v>
      </c>
      <c r="F2127" s="1">
        <f>IFERROR(__xludf.DUMMYFUNCTION("""COMPUTED_VALUE"""),351957.0)</f>
        <v>351957</v>
      </c>
    </row>
    <row r="2128">
      <c r="A2128" s="2">
        <f>IFERROR(__xludf.DUMMYFUNCTION("""COMPUTED_VALUE"""),43707.64583333333)</f>
        <v>43707.64583</v>
      </c>
      <c r="B2128" s="1">
        <f>IFERROR(__xludf.DUMMYFUNCTION("""COMPUTED_VALUE"""),26800.0)</f>
        <v>26800</v>
      </c>
      <c r="C2128" s="1">
        <f>IFERROR(__xludf.DUMMYFUNCTION("""COMPUTED_VALUE"""),27100.0)</f>
        <v>27100</v>
      </c>
      <c r="D2128" s="1">
        <f>IFERROR(__xludf.DUMMYFUNCTION("""COMPUTED_VALUE"""),26800.0)</f>
        <v>26800</v>
      </c>
      <c r="E2128" s="1">
        <f>IFERROR(__xludf.DUMMYFUNCTION("""COMPUTED_VALUE"""),26900.0)</f>
        <v>26900</v>
      </c>
      <c r="F2128" s="1">
        <f>IFERROR(__xludf.DUMMYFUNCTION("""COMPUTED_VALUE"""),402408.0)</f>
        <v>402408</v>
      </c>
    </row>
    <row r="2129">
      <c r="A2129" s="2">
        <f>IFERROR(__xludf.DUMMYFUNCTION("""COMPUTED_VALUE"""),43710.64583333333)</f>
        <v>43710.64583</v>
      </c>
      <c r="B2129" s="1">
        <f>IFERROR(__xludf.DUMMYFUNCTION("""COMPUTED_VALUE"""),26800.0)</f>
        <v>26800</v>
      </c>
      <c r="C2129" s="1">
        <f>IFERROR(__xludf.DUMMYFUNCTION("""COMPUTED_VALUE"""),27500.0)</f>
        <v>27500</v>
      </c>
      <c r="D2129" s="1">
        <f>IFERROR(__xludf.DUMMYFUNCTION("""COMPUTED_VALUE"""),26700.0)</f>
        <v>26700</v>
      </c>
      <c r="E2129" s="1">
        <f>IFERROR(__xludf.DUMMYFUNCTION("""COMPUTED_VALUE"""),27400.0)</f>
        <v>27400</v>
      </c>
      <c r="F2129" s="1">
        <f>IFERROR(__xludf.DUMMYFUNCTION("""COMPUTED_VALUE"""),575791.0)</f>
        <v>575791</v>
      </c>
    </row>
    <row r="2130">
      <c r="A2130" s="2">
        <f>IFERROR(__xludf.DUMMYFUNCTION("""COMPUTED_VALUE"""),43711.64583333333)</f>
        <v>43711.64583</v>
      </c>
      <c r="B2130" s="1">
        <f>IFERROR(__xludf.DUMMYFUNCTION("""COMPUTED_VALUE"""),27500.0)</f>
        <v>27500</v>
      </c>
      <c r="C2130" s="1">
        <f>IFERROR(__xludf.DUMMYFUNCTION("""COMPUTED_VALUE"""),27600.0)</f>
        <v>27600</v>
      </c>
      <c r="D2130" s="1">
        <f>IFERROR(__xludf.DUMMYFUNCTION("""COMPUTED_VALUE"""),27200.0)</f>
        <v>27200</v>
      </c>
      <c r="E2130" s="1">
        <f>IFERROR(__xludf.DUMMYFUNCTION("""COMPUTED_VALUE"""),27500.0)</f>
        <v>27500</v>
      </c>
      <c r="F2130" s="1">
        <f>IFERROR(__xludf.DUMMYFUNCTION("""COMPUTED_VALUE"""),291503.0)</f>
        <v>291503</v>
      </c>
    </row>
    <row r="2131">
      <c r="A2131" s="2">
        <f>IFERROR(__xludf.DUMMYFUNCTION("""COMPUTED_VALUE"""),43712.64583333333)</f>
        <v>43712.64583</v>
      </c>
      <c r="B2131" s="1">
        <f>IFERROR(__xludf.DUMMYFUNCTION("""COMPUTED_VALUE"""),27400.0)</f>
        <v>27400</v>
      </c>
      <c r="C2131" s="1">
        <f>IFERROR(__xludf.DUMMYFUNCTION("""COMPUTED_VALUE"""),27800.0)</f>
        <v>27800</v>
      </c>
      <c r="D2131" s="1">
        <f>IFERROR(__xludf.DUMMYFUNCTION("""COMPUTED_VALUE"""),27300.0)</f>
        <v>27300</v>
      </c>
      <c r="E2131" s="1">
        <f>IFERROR(__xludf.DUMMYFUNCTION("""COMPUTED_VALUE"""),27700.0)</f>
        <v>27700</v>
      </c>
      <c r="F2131" s="1">
        <f>IFERROR(__xludf.DUMMYFUNCTION("""COMPUTED_VALUE"""),431250.0)</f>
        <v>431250</v>
      </c>
    </row>
    <row r="2132">
      <c r="A2132" s="2">
        <f>IFERROR(__xludf.DUMMYFUNCTION("""COMPUTED_VALUE"""),43713.64583333333)</f>
        <v>43713.64583</v>
      </c>
      <c r="B2132" s="1">
        <f>IFERROR(__xludf.DUMMYFUNCTION("""COMPUTED_VALUE"""),27600.0)</f>
        <v>27600</v>
      </c>
      <c r="C2132" s="1">
        <f>IFERROR(__xludf.DUMMYFUNCTION("""COMPUTED_VALUE"""),27800.0)</f>
        <v>27800</v>
      </c>
      <c r="D2132" s="1">
        <f>IFERROR(__xludf.DUMMYFUNCTION("""COMPUTED_VALUE"""),26900.0)</f>
        <v>26900</v>
      </c>
      <c r="E2132" s="1">
        <f>IFERROR(__xludf.DUMMYFUNCTION("""COMPUTED_VALUE"""),27000.0)</f>
        <v>27000</v>
      </c>
      <c r="F2132" s="1">
        <f>IFERROR(__xludf.DUMMYFUNCTION("""COMPUTED_VALUE"""),598646.0)</f>
        <v>598646</v>
      </c>
    </row>
    <row r="2133">
      <c r="A2133" s="2">
        <f>IFERROR(__xludf.DUMMYFUNCTION("""COMPUTED_VALUE"""),43714.64583333333)</f>
        <v>43714.64583</v>
      </c>
      <c r="B2133" s="1">
        <f>IFERROR(__xludf.DUMMYFUNCTION("""COMPUTED_VALUE"""),27000.0)</f>
        <v>27000</v>
      </c>
      <c r="C2133" s="1">
        <f>IFERROR(__xludf.DUMMYFUNCTION("""COMPUTED_VALUE"""),27300.0)</f>
        <v>27300</v>
      </c>
      <c r="D2133" s="1">
        <f>IFERROR(__xludf.DUMMYFUNCTION("""COMPUTED_VALUE"""),27000.0)</f>
        <v>27000</v>
      </c>
      <c r="E2133" s="1">
        <f>IFERROR(__xludf.DUMMYFUNCTION("""COMPUTED_VALUE"""),27200.0)</f>
        <v>27200</v>
      </c>
      <c r="F2133" s="1">
        <f>IFERROR(__xludf.DUMMYFUNCTION("""COMPUTED_VALUE"""),191271.0)</f>
        <v>191271</v>
      </c>
    </row>
    <row r="2134">
      <c r="A2134" s="2">
        <f>IFERROR(__xludf.DUMMYFUNCTION("""COMPUTED_VALUE"""),43717.64583333333)</f>
        <v>43717.64583</v>
      </c>
      <c r="B2134" s="1">
        <f>IFERROR(__xludf.DUMMYFUNCTION("""COMPUTED_VALUE"""),27000.0)</f>
        <v>27000</v>
      </c>
      <c r="C2134" s="1">
        <f>IFERROR(__xludf.DUMMYFUNCTION("""COMPUTED_VALUE"""),27100.0)</f>
        <v>27100</v>
      </c>
      <c r="D2134" s="1">
        <f>IFERROR(__xludf.DUMMYFUNCTION("""COMPUTED_VALUE"""),26400.0)</f>
        <v>26400</v>
      </c>
      <c r="E2134" s="1">
        <f>IFERROR(__xludf.DUMMYFUNCTION("""COMPUTED_VALUE"""),26600.0)</f>
        <v>26600</v>
      </c>
      <c r="F2134" s="1">
        <f>IFERROR(__xludf.DUMMYFUNCTION("""COMPUTED_VALUE"""),673204.0)</f>
        <v>673204</v>
      </c>
    </row>
    <row r="2135">
      <c r="A2135" s="2">
        <f>IFERROR(__xludf.DUMMYFUNCTION("""COMPUTED_VALUE"""),43718.64583333333)</f>
        <v>43718.64583</v>
      </c>
      <c r="B2135" s="1">
        <f>IFERROR(__xludf.DUMMYFUNCTION("""COMPUTED_VALUE"""),26600.0)</f>
        <v>26600</v>
      </c>
      <c r="C2135" s="1">
        <f>IFERROR(__xludf.DUMMYFUNCTION("""COMPUTED_VALUE"""),27100.0)</f>
        <v>27100</v>
      </c>
      <c r="D2135" s="1">
        <f>IFERROR(__xludf.DUMMYFUNCTION("""COMPUTED_VALUE"""),26500.0)</f>
        <v>26500</v>
      </c>
      <c r="E2135" s="1">
        <f>IFERROR(__xludf.DUMMYFUNCTION("""COMPUTED_VALUE"""),27100.0)</f>
        <v>27100</v>
      </c>
      <c r="F2135" s="1">
        <f>IFERROR(__xludf.DUMMYFUNCTION("""COMPUTED_VALUE"""),310565.0)</f>
        <v>310565</v>
      </c>
    </row>
    <row r="2136">
      <c r="A2136" s="2">
        <f>IFERROR(__xludf.DUMMYFUNCTION("""COMPUTED_VALUE"""),43719.64583333333)</f>
        <v>43719.64583</v>
      </c>
      <c r="B2136" s="1">
        <f>IFERROR(__xludf.DUMMYFUNCTION("""COMPUTED_VALUE"""),27100.0)</f>
        <v>27100</v>
      </c>
      <c r="C2136" s="1">
        <f>IFERROR(__xludf.DUMMYFUNCTION("""COMPUTED_VALUE"""),27200.0)</f>
        <v>27200</v>
      </c>
      <c r="D2136" s="1">
        <f>IFERROR(__xludf.DUMMYFUNCTION("""COMPUTED_VALUE"""),26600.0)</f>
        <v>26600</v>
      </c>
      <c r="E2136" s="1">
        <f>IFERROR(__xludf.DUMMYFUNCTION("""COMPUTED_VALUE"""),26600.0)</f>
        <v>26600</v>
      </c>
      <c r="F2136" s="1">
        <f>IFERROR(__xludf.DUMMYFUNCTION("""COMPUTED_VALUE"""),734465.0)</f>
        <v>734465</v>
      </c>
    </row>
    <row r="2137">
      <c r="A2137" s="2">
        <f>IFERROR(__xludf.DUMMYFUNCTION("""COMPUTED_VALUE"""),43724.64583333333)</f>
        <v>43724.64583</v>
      </c>
      <c r="B2137" s="1">
        <f>IFERROR(__xludf.DUMMYFUNCTION("""COMPUTED_VALUE"""),26900.0)</f>
        <v>26900</v>
      </c>
      <c r="C2137" s="1">
        <f>IFERROR(__xludf.DUMMYFUNCTION("""COMPUTED_VALUE"""),27000.0)</f>
        <v>27000</v>
      </c>
      <c r="D2137" s="1">
        <f>IFERROR(__xludf.DUMMYFUNCTION("""COMPUTED_VALUE"""),26200.0)</f>
        <v>26200</v>
      </c>
      <c r="E2137" s="1">
        <f>IFERROR(__xludf.DUMMYFUNCTION("""COMPUTED_VALUE"""),26400.0)</f>
        <v>26400</v>
      </c>
      <c r="F2137" s="1">
        <f>IFERROR(__xludf.DUMMYFUNCTION("""COMPUTED_VALUE"""),413424.0)</f>
        <v>413424</v>
      </c>
    </row>
    <row r="2138">
      <c r="A2138" s="2">
        <f>IFERROR(__xludf.DUMMYFUNCTION("""COMPUTED_VALUE"""),43725.64583333333)</f>
        <v>43725.64583</v>
      </c>
      <c r="B2138" s="1">
        <f>IFERROR(__xludf.DUMMYFUNCTION("""COMPUTED_VALUE"""),26400.0)</f>
        <v>26400</v>
      </c>
      <c r="C2138" s="1">
        <f>IFERROR(__xludf.DUMMYFUNCTION("""COMPUTED_VALUE"""),26800.0)</f>
        <v>26800</v>
      </c>
      <c r="D2138" s="1">
        <f>IFERROR(__xludf.DUMMYFUNCTION("""COMPUTED_VALUE"""),26400.0)</f>
        <v>26400</v>
      </c>
      <c r="E2138" s="1">
        <f>IFERROR(__xludf.DUMMYFUNCTION("""COMPUTED_VALUE"""),26400.0)</f>
        <v>26400</v>
      </c>
      <c r="F2138" s="1">
        <f>IFERROR(__xludf.DUMMYFUNCTION("""COMPUTED_VALUE"""),326141.0)</f>
        <v>326141</v>
      </c>
    </row>
    <row r="2139">
      <c r="A2139" s="2">
        <f>IFERROR(__xludf.DUMMYFUNCTION("""COMPUTED_VALUE"""),43726.64583333333)</f>
        <v>43726.64583</v>
      </c>
      <c r="B2139" s="1">
        <f>IFERROR(__xludf.DUMMYFUNCTION("""COMPUTED_VALUE"""),26600.0)</f>
        <v>26600</v>
      </c>
      <c r="C2139" s="1">
        <f>IFERROR(__xludf.DUMMYFUNCTION("""COMPUTED_VALUE"""),27400.0)</f>
        <v>27400</v>
      </c>
      <c r="D2139" s="1">
        <f>IFERROR(__xludf.DUMMYFUNCTION("""COMPUTED_VALUE"""),26600.0)</f>
        <v>26600</v>
      </c>
      <c r="E2139" s="1">
        <f>IFERROR(__xludf.DUMMYFUNCTION("""COMPUTED_VALUE"""),27400.0)</f>
        <v>27400</v>
      </c>
      <c r="F2139" s="1">
        <f>IFERROR(__xludf.DUMMYFUNCTION("""COMPUTED_VALUE"""),684630.0)</f>
        <v>684630</v>
      </c>
    </row>
    <row r="2140">
      <c r="A2140" s="2">
        <f>IFERROR(__xludf.DUMMYFUNCTION("""COMPUTED_VALUE"""),43727.64583333333)</f>
        <v>43727.64583</v>
      </c>
      <c r="B2140" s="1">
        <f>IFERROR(__xludf.DUMMYFUNCTION("""COMPUTED_VALUE"""),27300.0)</f>
        <v>27300</v>
      </c>
      <c r="C2140" s="1">
        <f>IFERROR(__xludf.DUMMYFUNCTION("""COMPUTED_VALUE"""),27500.0)</f>
        <v>27500</v>
      </c>
      <c r="D2140" s="1">
        <f>IFERROR(__xludf.DUMMYFUNCTION("""COMPUTED_VALUE"""),27000.0)</f>
        <v>27000</v>
      </c>
      <c r="E2140" s="1">
        <f>IFERROR(__xludf.DUMMYFUNCTION("""COMPUTED_VALUE"""),27100.0)</f>
        <v>27100</v>
      </c>
      <c r="F2140" s="1">
        <f>IFERROR(__xludf.DUMMYFUNCTION("""COMPUTED_VALUE"""),242822.0)</f>
        <v>242822</v>
      </c>
    </row>
    <row r="2141">
      <c r="A2141" s="2">
        <f>IFERROR(__xludf.DUMMYFUNCTION("""COMPUTED_VALUE"""),43728.64583333333)</f>
        <v>43728.64583</v>
      </c>
      <c r="B2141" s="1">
        <f>IFERROR(__xludf.DUMMYFUNCTION("""COMPUTED_VALUE"""),27100.0)</f>
        <v>27100</v>
      </c>
      <c r="C2141" s="1">
        <f>IFERROR(__xludf.DUMMYFUNCTION("""COMPUTED_VALUE"""),27100.0)</f>
        <v>27100</v>
      </c>
      <c r="D2141" s="1">
        <f>IFERROR(__xludf.DUMMYFUNCTION("""COMPUTED_VALUE"""),26600.0)</f>
        <v>26600</v>
      </c>
      <c r="E2141" s="1">
        <f>IFERROR(__xludf.DUMMYFUNCTION("""COMPUTED_VALUE"""),27100.0)</f>
        <v>27100</v>
      </c>
      <c r="F2141" s="1">
        <f>IFERROR(__xludf.DUMMYFUNCTION("""COMPUTED_VALUE"""),358235.0)</f>
        <v>358235</v>
      </c>
    </row>
    <row r="2142">
      <c r="A2142" s="2">
        <f>IFERROR(__xludf.DUMMYFUNCTION("""COMPUTED_VALUE"""),43731.64583333333)</f>
        <v>43731.64583</v>
      </c>
      <c r="B2142" s="1">
        <f>IFERROR(__xludf.DUMMYFUNCTION("""COMPUTED_VALUE"""),27000.0)</f>
        <v>27000</v>
      </c>
      <c r="C2142" s="1">
        <f>IFERROR(__xludf.DUMMYFUNCTION("""COMPUTED_VALUE"""),27300.0)</f>
        <v>27300</v>
      </c>
      <c r="D2142" s="1">
        <f>IFERROR(__xludf.DUMMYFUNCTION("""COMPUTED_VALUE"""),26900.0)</f>
        <v>26900</v>
      </c>
      <c r="E2142" s="1">
        <f>IFERROR(__xludf.DUMMYFUNCTION("""COMPUTED_VALUE"""),26900.0)</f>
        <v>26900</v>
      </c>
      <c r="F2142" s="1">
        <f>IFERROR(__xludf.DUMMYFUNCTION("""COMPUTED_VALUE"""),207227.0)</f>
        <v>207227</v>
      </c>
    </row>
    <row r="2143">
      <c r="A2143" s="2">
        <f>IFERROR(__xludf.DUMMYFUNCTION("""COMPUTED_VALUE"""),43732.64583333333)</f>
        <v>43732.64583</v>
      </c>
      <c r="B2143" s="1">
        <f>IFERROR(__xludf.DUMMYFUNCTION("""COMPUTED_VALUE"""),27000.0)</f>
        <v>27000</v>
      </c>
      <c r="C2143" s="1">
        <f>IFERROR(__xludf.DUMMYFUNCTION("""COMPUTED_VALUE"""),27600.0)</f>
        <v>27600</v>
      </c>
      <c r="D2143" s="1">
        <f>IFERROR(__xludf.DUMMYFUNCTION("""COMPUTED_VALUE"""),26900.0)</f>
        <v>26900</v>
      </c>
      <c r="E2143" s="1">
        <f>IFERROR(__xludf.DUMMYFUNCTION("""COMPUTED_VALUE"""),27600.0)</f>
        <v>27600</v>
      </c>
      <c r="F2143" s="1">
        <f>IFERROR(__xludf.DUMMYFUNCTION("""COMPUTED_VALUE"""),466753.0)</f>
        <v>466753</v>
      </c>
    </row>
    <row r="2144">
      <c r="A2144" s="2">
        <f>IFERROR(__xludf.DUMMYFUNCTION("""COMPUTED_VALUE"""),43733.64583333333)</f>
        <v>43733.64583</v>
      </c>
      <c r="B2144" s="1">
        <f>IFERROR(__xludf.DUMMYFUNCTION("""COMPUTED_VALUE"""),27500.0)</f>
        <v>27500</v>
      </c>
      <c r="C2144" s="1">
        <f>IFERROR(__xludf.DUMMYFUNCTION("""COMPUTED_VALUE"""),27700.0)</f>
        <v>27700</v>
      </c>
      <c r="D2144" s="1">
        <f>IFERROR(__xludf.DUMMYFUNCTION("""COMPUTED_VALUE"""),27200.0)</f>
        <v>27200</v>
      </c>
      <c r="E2144" s="1">
        <f>IFERROR(__xludf.DUMMYFUNCTION("""COMPUTED_VALUE"""),27200.0)</f>
        <v>27200</v>
      </c>
      <c r="F2144" s="1">
        <f>IFERROR(__xludf.DUMMYFUNCTION("""COMPUTED_VALUE"""),301919.0)</f>
        <v>301919</v>
      </c>
    </row>
    <row r="2145">
      <c r="A2145" s="2">
        <f>IFERROR(__xludf.DUMMYFUNCTION("""COMPUTED_VALUE"""),43734.64583333333)</f>
        <v>43734.64583</v>
      </c>
      <c r="B2145" s="1">
        <f>IFERROR(__xludf.DUMMYFUNCTION("""COMPUTED_VALUE"""),27400.0)</f>
        <v>27400</v>
      </c>
      <c r="C2145" s="1">
        <f>IFERROR(__xludf.DUMMYFUNCTION("""COMPUTED_VALUE"""),27500.0)</f>
        <v>27500</v>
      </c>
      <c r="D2145" s="1">
        <f>IFERROR(__xludf.DUMMYFUNCTION("""COMPUTED_VALUE"""),27000.0)</f>
        <v>27000</v>
      </c>
      <c r="E2145" s="1">
        <f>IFERROR(__xludf.DUMMYFUNCTION("""COMPUTED_VALUE"""),27300.0)</f>
        <v>27300</v>
      </c>
      <c r="F2145" s="1">
        <f>IFERROR(__xludf.DUMMYFUNCTION("""COMPUTED_VALUE"""),210766.0)</f>
        <v>210766</v>
      </c>
    </row>
    <row r="2146">
      <c r="A2146" s="2">
        <f>IFERROR(__xludf.DUMMYFUNCTION("""COMPUTED_VALUE"""),43735.64583333333)</f>
        <v>43735.64583</v>
      </c>
      <c r="B2146" s="1">
        <f>IFERROR(__xludf.DUMMYFUNCTION("""COMPUTED_VALUE"""),27300.0)</f>
        <v>27300</v>
      </c>
      <c r="C2146" s="1">
        <f>IFERROR(__xludf.DUMMYFUNCTION("""COMPUTED_VALUE"""),27300.0)</f>
        <v>27300</v>
      </c>
      <c r="D2146" s="1">
        <f>IFERROR(__xludf.DUMMYFUNCTION("""COMPUTED_VALUE"""),26900.0)</f>
        <v>26900</v>
      </c>
      <c r="E2146" s="1">
        <f>IFERROR(__xludf.DUMMYFUNCTION("""COMPUTED_VALUE"""),27100.0)</f>
        <v>27100</v>
      </c>
      <c r="F2146" s="1">
        <f>IFERROR(__xludf.DUMMYFUNCTION("""COMPUTED_VALUE"""),168760.0)</f>
        <v>168760</v>
      </c>
    </row>
    <row r="2147">
      <c r="A2147" s="2">
        <f>IFERROR(__xludf.DUMMYFUNCTION("""COMPUTED_VALUE"""),43738.64583333333)</f>
        <v>43738.64583</v>
      </c>
      <c r="B2147" s="1">
        <f>IFERROR(__xludf.DUMMYFUNCTION("""COMPUTED_VALUE"""),26900.0)</f>
        <v>26900</v>
      </c>
      <c r="C2147" s="1">
        <f>IFERROR(__xludf.DUMMYFUNCTION("""COMPUTED_VALUE"""),27200.0)</f>
        <v>27200</v>
      </c>
      <c r="D2147" s="1">
        <f>IFERROR(__xludf.DUMMYFUNCTION("""COMPUTED_VALUE"""),26800.0)</f>
        <v>26800</v>
      </c>
      <c r="E2147" s="1">
        <f>IFERROR(__xludf.DUMMYFUNCTION("""COMPUTED_VALUE"""),27100.0)</f>
        <v>27100</v>
      </c>
      <c r="F2147" s="1">
        <f>IFERROR(__xludf.DUMMYFUNCTION("""COMPUTED_VALUE"""),202006.0)</f>
        <v>202006</v>
      </c>
    </row>
    <row r="2148">
      <c r="A2148" s="2">
        <f>IFERROR(__xludf.DUMMYFUNCTION("""COMPUTED_VALUE"""),43739.64583333333)</f>
        <v>43739.64583</v>
      </c>
      <c r="B2148" s="1">
        <f>IFERROR(__xludf.DUMMYFUNCTION("""COMPUTED_VALUE"""),27200.0)</f>
        <v>27200</v>
      </c>
      <c r="C2148" s="1">
        <f>IFERROR(__xludf.DUMMYFUNCTION("""COMPUTED_VALUE"""),27600.0)</f>
        <v>27600</v>
      </c>
      <c r="D2148" s="1">
        <f>IFERROR(__xludf.DUMMYFUNCTION("""COMPUTED_VALUE"""),27200.0)</f>
        <v>27200</v>
      </c>
      <c r="E2148" s="1">
        <f>IFERROR(__xludf.DUMMYFUNCTION("""COMPUTED_VALUE"""),27500.0)</f>
        <v>27500</v>
      </c>
      <c r="F2148" s="1">
        <f>IFERROR(__xludf.DUMMYFUNCTION("""COMPUTED_VALUE"""),252319.0)</f>
        <v>252319</v>
      </c>
    </row>
    <row r="2149">
      <c r="A2149" s="2">
        <f>IFERROR(__xludf.DUMMYFUNCTION("""COMPUTED_VALUE"""),43740.64583333333)</f>
        <v>43740.64583</v>
      </c>
      <c r="B2149" s="1">
        <f>IFERROR(__xludf.DUMMYFUNCTION("""COMPUTED_VALUE"""),27300.0)</f>
        <v>27300</v>
      </c>
      <c r="C2149" s="1">
        <f>IFERROR(__xludf.DUMMYFUNCTION("""COMPUTED_VALUE"""),27400.0)</f>
        <v>27400</v>
      </c>
      <c r="D2149" s="1">
        <f>IFERROR(__xludf.DUMMYFUNCTION("""COMPUTED_VALUE"""),27100.0)</f>
        <v>27100</v>
      </c>
      <c r="E2149" s="1">
        <f>IFERROR(__xludf.DUMMYFUNCTION("""COMPUTED_VALUE"""),27100.0)</f>
        <v>27100</v>
      </c>
      <c r="F2149" s="1">
        <f>IFERROR(__xludf.DUMMYFUNCTION("""COMPUTED_VALUE"""),152309.0)</f>
        <v>152309</v>
      </c>
    </row>
    <row r="2150">
      <c r="A2150" s="2">
        <f>IFERROR(__xludf.DUMMYFUNCTION("""COMPUTED_VALUE"""),43742.64583333333)</f>
        <v>43742.64583</v>
      </c>
      <c r="B2150" s="1">
        <f>IFERROR(__xludf.DUMMYFUNCTION("""COMPUTED_VALUE"""),26900.0)</f>
        <v>26900</v>
      </c>
      <c r="C2150" s="1">
        <f>IFERROR(__xludf.DUMMYFUNCTION("""COMPUTED_VALUE"""),27200.0)</f>
        <v>27200</v>
      </c>
      <c r="D2150" s="1">
        <f>IFERROR(__xludf.DUMMYFUNCTION("""COMPUTED_VALUE"""),26700.0)</f>
        <v>26700</v>
      </c>
      <c r="E2150" s="1">
        <f>IFERROR(__xludf.DUMMYFUNCTION("""COMPUTED_VALUE"""),26700.0)</f>
        <v>26700</v>
      </c>
      <c r="F2150" s="1">
        <f>IFERROR(__xludf.DUMMYFUNCTION("""COMPUTED_VALUE"""),238417.0)</f>
        <v>238417</v>
      </c>
    </row>
    <row r="2151">
      <c r="A2151" s="2">
        <f>IFERROR(__xludf.DUMMYFUNCTION("""COMPUTED_VALUE"""),43745.64583333333)</f>
        <v>43745.64583</v>
      </c>
      <c r="B2151" s="1">
        <f>IFERROR(__xludf.DUMMYFUNCTION("""COMPUTED_VALUE"""),26800.0)</f>
        <v>26800</v>
      </c>
      <c r="C2151" s="1">
        <f>IFERROR(__xludf.DUMMYFUNCTION("""COMPUTED_VALUE"""),27000.0)</f>
        <v>27000</v>
      </c>
      <c r="D2151" s="1">
        <f>IFERROR(__xludf.DUMMYFUNCTION("""COMPUTED_VALUE"""),26600.0)</f>
        <v>26600</v>
      </c>
      <c r="E2151" s="1">
        <f>IFERROR(__xludf.DUMMYFUNCTION("""COMPUTED_VALUE"""),26900.0)</f>
        <v>26900</v>
      </c>
      <c r="F2151" s="1">
        <f>IFERROR(__xludf.DUMMYFUNCTION("""COMPUTED_VALUE"""),344020.0)</f>
        <v>344020</v>
      </c>
    </row>
    <row r="2152">
      <c r="A2152" s="2">
        <f>IFERROR(__xludf.DUMMYFUNCTION("""COMPUTED_VALUE"""),43746.64583333333)</f>
        <v>43746.64583</v>
      </c>
      <c r="B2152" s="1">
        <f>IFERROR(__xludf.DUMMYFUNCTION("""COMPUTED_VALUE"""),26900.0)</f>
        <v>26900</v>
      </c>
      <c r="C2152" s="1">
        <f>IFERROR(__xludf.DUMMYFUNCTION("""COMPUTED_VALUE"""),27000.0)</f>
        <v>27000</v>
      </c>
      <c r="D2152" s="1">
        <f>IFERROR(__xludf.DUMMYFUNCTION("""COMPUTED_VALUE"""),26700.0)</f>
        <v>26700</v>
      </c>
      <c r="E2152" s="1">
        <f>IFERROR(__xludf.DUMMYFUNCTION("""COMPUTED_VALUE"""),26900.0)</f>
        <v>26900</v>
      </c>
      <c r="F2152" s="1">
        <f>IFERROR(__xludf.DUMMYFUNCTION("""COMPUTED_VALUE"""),224907.0)</f>
        <v>224907</v>
      </c>
    </row>
    <row r="2153">
      <c r="A2153" s="2">
        <f>IFERROR(__xludf.DUMMYFUNCTION("""COMPUTED_VALUE"""),43748.64583333333)</f>
        <v>43748.64583</v>
      </c>
      <c r="B2153" s="1">
        <f>IFERROR(__xludf.DUMMYFUNCTION("""COMPUTED_VALUE"""),26600.0)</f>
        <v>26600</v>
      </c>
      <c r="C2153" s="1">
        <f>IFERROR(__xludf.DUMMYFUNCTION("""COMPUTED_VALUE"""),27400.0)</f>
        <v>27400</v>
      </c>
      <c r="D2153" s="1">
        <f>IFERROR(__xludf.DUMMYFUNCTION("""COMPUTED_VALUE"""),26500.0)</f>
        <v>26500</v>
      </c>
      <c r="E2153" s="1">
        <f>IFERROR(__xludf.DUMMYFUNCTION("""COMPUTED_VALUE"""),27300.0)</f>
        <v>27300</v>
      </c>
      <c r="F2153" s="1">
        <f>IFERROR(__xludf.DUMMYFUNCTION("""COMPUTED_VALUE"""),694345.0)</f>
        <v>694345</v>
      </c>
    </row>
    <row r="2154">
      <c r="A2154" s="2">
        <f>IFERROR(__xludf.DUMMYFUNCTION("""COMPUTED_VALUE"""),43749.64583333333)</f>
        <v>43749.64583</v>
      </c>
      <c r="B2154" s="1">
        <f>IFERROR(__xludf.DUMMYFUNCTION("""COMPUTED_VALUE"""),27300.0)</f>
        <v>27300</v>
      </c>
      <c r="C2154" s="1">
        <f>IFERROR(__xludf.DUMMYFUNCTION("""COMPUTED_VALUE"""),27500.0)</f>
        <v>27500</v>
      </c>
      <c r="D2154" s="1">
        <f>IFERROR(__xludf.DUMMYFUNCTION("""COMPUTED_VALUE"""),26900.0)</f>
        <v>26900</v>
      </c>
      <c r="E2154" s="1">
        <f>IFERROR(__xludf.DUMMYFUNCTION("""COMPUTED_VALUE"""),27000.0)</f>
        <v>27000</v>
      </c>
      <c r="F2154" s="1">
        <f>IFERROR(__xludf.DUMMYFUNCTION("""COMPUTED_VALUE"""),238584.0)</f>
        <v>238584</v>
      </c>
    </row>
    <row r="2155">
      <c r="A2155" s="2">
        <f>IFERROR(__xludf.DUMMYFUNCTION("""COMPUTED_VALUE"""),43752.64583333333)</f>
        <v>43752.64583</v>
      </c>
      <c r="B2155" s="1">
        <f>IFERROR(__xludf.DUMMYFUNCTION("""COMPUTED_VALUE"""),27200.0)</f>
        <v>27200</v>
      </c>
      <c r="C2155" s="1">
        <f>IFERROR(__xludf.DUMMYFUNCTION("""COMPUTED_VALUE"""),27300.0)</f>
        <v>27300</v>
      </c>
      <c r="D2155" s="1">
        <f>IFERROR(__xludf.DUMMYFUNCTION("""COMPUTED_VALUE"""),26800.0)</f>
        <v>26800</v>
      </c>
      <c r="E2155" s="1">
        <f>IFERROR(__xludf.DUMMYFUNCTION("""COMPUTED_VALUE"""),26900.0)</f>
        <v>26900</v>
      </c>
      <c r="F2155" s="1">
        <f>IFERROR(__xludf.DUMMYFUNCTION("""COMPUTED_VALUE"""),317555.0)</f>
        <v>317555</v>
      </c>
    </row>
    <row r="2156">
      <c r="A2156" s="2">
        <f>IFERROR(__xludf.DUMMYFUNCTION("""COMPUTED_VALUE"""),43753.64583333333)</f>
        <v>43753.64583</v>
      </c>
      <c r="B2156" s="1">
        <f>IFERROR(__xludf.DUMMYFUNCTION("""COMPUTED_VALUE"""),27000.0)</f>
        <v>27000</v>
      </c>
      <c r="C2156" s="1">
        <f>IFERROR(__xludf.DUMMYFUNCTION("""COMPUTED_VALUE"""),27000.0)</f>
        <v>27000</v>
      </c>
      <c r="D2156" s="1">
        <f>IFERROR(__xludf.DUMMYFUNCTION("""COMPUTED_VALUE"""),26600.0)</f>
        <v>26600</v>
      </c>
      <c r="E2156" s="1">
        <f>IFERROR(__xludf.DUMMYFUNCTION("""COMPUTED_VALUE"""),26800.0)</f>
        <v>26800</v>
      </c>
      <c r="F2156" s="1">
        <f>IFERROR(__xludf.DUMMYFUNCTION("""COMPUTED_VALUE"""),190243.0)</f>
        <v>190243</v>
      </c>
    </row>
    <row r="2157">
      <c r="A2157" s="2">
        <f>IFERROR(__xludf.DUMMYFUNCTION("""COMPUTED_VALUE"""),43754.64583333333)</f>
        <v>43754.64583</v>
      </c>
      <c r="B2157" s="1">
        <f>IFERROR(__xludf.DUMMYFUNCTION("""COMPUTED_VALUE"""),26800.0)</f>
        <v>26800</v>
      </c>
      <c r="C2157" s="1">
        <f>IFERROR(__xludf.DUMMYFUNCTION("""COMPUTED_VALUE"""),26900.0)</f>
        <v>26900</v>
      </c>
      <c r="D2157" s="1">
        <f>IFERROR(__xludf.DUMMYFUNCTION("""COMPUTED_VALUE"""),25700.0)</f>
        <v>25700</v>
      </c>
      <c r="E2157" s="1">
        <f>IFERROR(__xludf.DUMMYFUNCTION("""COMPUTED_VALUE"""),26400.0)</f>
        <v>26400</v>
      </c>
      <c r="F2157" s="1">
        <f>IFERROR(__xludf.DUMMYFUNCTION("""COMPUTED_VALUE"""),753513.0)</f>
        <v>753513</v>
      </c>
    </row>
    <row r="2158">
      <c r="A2158" s="2">
        <f>IFERROR(__xludf.DUMMYFUNCTION("""COMPUTED_VALUE"""),43755.64583333333)</f>
        <v>43755.64583</v>
      </c>
      <c r="B2158" s="1">
        <f>IFERROR(__xludf.DUMMYFUNCTION("""COMPUTED_VALUE"""),26300.0)</f>
        <v>26300</v>
      </c>
      <c r="C2158" s="1">
        <f>IFERROR(__xludf.DUMMYFUNCTION("""COMPUTED_VALUE"""),26500.0)</f>
        <v>26500</v>
      </c>
      <c r="D2158" s="1">
        <f>IFERROR(__xludf.DUMMYFUNCTION("""COMPUTED_VALUE"""),25800.0)</f>
        <v>25800</v>
      </c>
      <c r="E2158" s="1">
        <f>IFERROR(__xludf.DUMMYFUNCTION("""COMPUTED_VALUE"""),26100.0)</f>
        <v>26100</v>
      </c>
      <c r="F2158" s="1">
        <f>IFERROR(__xludf.DUMMYFUNCTION("""COMPUTED_VALUE"""),618170.0)</f>
        <v>618170</v>
      </c>
    </row>
    <row r="2159">
      <c r="A2159" s="2">
        <f>IFERROR(__xludf.DUMMYFUNCTION("""COMPUTED_VALUE"""),43756.64583333333)</f>
        <v>43756.64583</v>
      </c>
      <c r="B2159" s="1">
        <f>IFERROR(__xludf.DUMMYFUNCTION("""COMPUTED_VALUE"""),26200.0)</f>
        <v>26200</v>
      </c>
      <c r="C2159" s="1">
        <f>IFERROR(__xludf.DUMMYFUNCTION("""COMPUTED_VALUE"""),26700.0)</f>
        <v>26700</v>
      </c>
      <c r="D2159" s="1">
        <f>IFERROR(__xludf.DUMMYFUNCTION("""COMPUTED_VALUE"""),26200.0)</f>
        <v>26200</v>
      </c>
      <c r="E2159" s="1">
        <f>IFERROR(__xludf.DUMMYFUNCTION("""COMPUTED_VALUE"""),26500.0)</f>
        <v>26500</v>
      </c>
      <c r="F2159" s="1">
        <f>IFERROR(__xludf.DUMMYFUNCTION("""COMPUTED_VALUE"""),332984.0)</f>
        <v>332984</v>
      </c>
    </row>
    <row r="2160">
      <c r="A2160" s="2">
        <f>IFERROR(__xludf.DUMMYFUNCTION("""COMPUTED_VALUE"""),43759.64583333333)</f>
        <v>43759.64583</v>
      </c>
      <c r="B2160" s="1">
        <f>IFERROR(__xludf.DUMMYFUNCTION("""COMPUTED_VALUE"""),26500.0)</f>
        <v>26500</v>
      </c>
      <c r="C2160" s="1">
        <f>IFERROR(__xludf.DUMMYFUNCTION("""COMPUTED_VALUE"""),26800.0)</f>
        <v>26800</v>
      </c>
      <c r="D2160" s="1">
        <f>IFERROR(__xludf.DUMMYFUNCTION("""COMPUTED_VALUE"""),26200.0)</f>
        <v>26200</v>
      </c>
      <c r="E2160" s="1">
        <f>IFERROR(__xludf.DUMMYFUNCTION("""COMPUTED_VALUE"""),26700.0)</f>
        <v>26700</v>
      </c>
      <c r="F2160" s="1">
        <f>IFERROR(__xludf.DUMMYFUNCTION("""COMPUTED_VALUE"""),214102.0)</f>
        <v>214102</v>
      </c>
    </row>
    <row r="2161">
      <c r="A2161" s="2">
        <f>IFERROR(__xludf.DUMMYFUNCTION("""COMPUTED_VALUE"""),43760.64583333333)</f>
        <v>43760.64583</v>
      </c>
      <c r="B2161" s="1">
        <f>IFERROR(__xludf.DUMMYFUNCTION("""COMPUTED_VALUE"""),26800.0)</f>
        <v>26800</v>
      </c>
      <c r="C2161" s="1">
        <f>IFERROR(__xludf.DUMMYFUNCTION("""COMPUTED_VALUE"""),27200.0)</f>
        <v>27200</v>
      </c>
      <c r="D2161" s="1">
        <f>IFERROR(__xludf.DUMMYFUNCTION("""COMPUTED_VALUE"""),26800.0)</f>
        <v>26800</v>
      </c>
      <c r="E2161" s="1">
        <f>IFERROR(__xludf.DUMMYFUNCTION("""COMPUTED_VALUE"""),27200.0)</f>
        <v>27200</v>
      </c>
      <c r="F2161" s="1">
        <f>IFERROR(__xludf.DUMMYFUNCTION("""COMPUTED_VALUE"""),337570.0)</f>
        <v>337570</v>
      </c>
    </row>
    <row r="2162">
      <c r="A2162" s="2">
        <f>IFERROR(__xludf.DUMMYFUNCTION("""COMPUTED_VALUE"""),43761.64583333333)</f>
        <v>43761.64583</v>
      </c>
      <c r="B2162" s="1">
        <f>IFERROR(__xludf.DUMMYFUNCTION("""COMPUTED_VALUE"""),27200.0)</f>
        <v>27200</v>
      </c>
      <c r="C2162" s="1">
        <f>IFERROR(__xludf.DUMMYFUNCTION("""COMPUTED_VALUE"""),28000.0)</f>
        <v>28000</v>
      </c>
      <c r="D2162" s="1">
        <f>IFERROR(__xludf.DUMMYFUNCTION("""COMPUTED_VALUE"""),27100.0)</f>
        <v>27100</v>
      </c>
      <c r="E2162" s="1">
        <f>IFERROR(__xludf.DUMMYFUNCTION("""COMPUTED_VALUE"""),28000.0)</f>
        <v>28000</v>
      </c>
      <c r="F2162" s="1">
        <f>IFERROR(__xludf.DUMMYFUNCTION("""COMPUTED_VALUE"""),1045771.0)</f>
        <v>1045771</v>
      </c>
    </row>
    <row r="2163">
      <c r="A2163" s="2">
        <f>IFERROR(__xludf.DUMMYFUNCTION("""COMPUTED_VALUE"""),43762.64583333333)</f>
        <v>43762.64583</v>
      </c>
      <c r="B2163" s="1">
        <f>IFERROR(__xludf.DUMMYFUNCTION("""COMPUTED_VALUE"""),28100.0)</f>
        <v>28100</v>
      </c>
      <c r="C2163" s="1">
        <f>IFERROR(__xludf.DUMMYFUNCTION("""COMPUTED_VALUE"""),28400.0)</f>
        <v>28400</v>
      </c>
      <c r="D2163" s="1">
        <f>IFERROR(__xludf.DUMMYFUNCTION("""COMPUTED_VALUE"""),27800.0)</f>
        <v>27800</v>
      </c>
      <c r="E2163" s="1">
        <f>IFERROR(__xludf.DUMMYFUNCTION("""COMPUTED_VALUE"""),27900.0)</f>
        <v>27900</v>
      </c>
      <c r="F2163" s="1">
        <f>IFERROR(__xludf.DUMMYFUNCTION("""COMPUTED_VALUE"""),490092.0)</f>
        <v>490092</v>
      </c>
    </row>
    <row r="2164">
      <c r="A2164" s="2">
        <f>IFERROR(__xludf.DUMMYFUNCTION("""COMPUTED_VALUE"""),43763.64583333333)</f>
        <v>43763.64583</v>
      </c>
      <c r="B2164" s="1">
        <f>IFERROR(__xludf.DUMMYFUNCTION("""COMPUTED_VALUE"""),28000.0)</f>
        <v>28000</v>
      </c>
      <c r="C2164" s="1">
        <f>IFERROR(__xludf.DUMMYFUNCTION("""COMPUTED_VALUE"""),28200.0)</f>
        <v>28200</v>
      </c>
      <c r="D2164" s="1">
        <f>IFERROR(__xludf.DUMMYFUNCTION("""COMPUTED_VALUE"""),27900.0)</f>
        <v>27900</v>
      </c>
      <c r="E2164" s="1">
        <f>IFERROR(__xludf.DUMMYFUNCTION("""COMPUTED_VALUE"""),28000.0)</f>
        <v>28000</v>
      </c>
      <c r="F2164" s="1">
        <f>IFERROR(__xludf.DUMMYFUNCTION("""COMPUTED_VALUE"""),196552.0)</f>
        <v>196552</v>
      </c>
    </row>
    <row r="2165">
      <c r="A2165" s="2">
        <f>IFERROR(__xludf.DUMMYFUNCTION("""COMPUTED_VALUE"""),43766.64583333333)</f>
        <v>43766.64583</v>
      </c>
      <c r="B2165" s="1">
        <f>IFERROR(__xludf.DUMMYFUNCTION("""COMPUTED_VALUE"""),28400.0)</f>
        <v>28400</v>
      </c>
      <c r="C2165" s="1">
        <f>IFERROR(__xludf.DUMMYFUNCTION("""COMPUTED_VALUE"""),29000.0)</f>
        <v>29000</v>
      </c>
      <c r="D2165" s="1">
        <f>IFERROR(__xludf.DUMMYFUNCTION("""COMPUTED_VALUE"""),27900.0)</f>
        <v>27900</v>
      </c>
      <c r="E2165" s="1">
        <f>IFERROR(__xludf.DUMMYFUNCTION("""COMPUTED_VALUE"""),28000.0)</f>
        <v>28000</v>
      </c>
      <c r="F2165" s="1">
        <f>IFERROR(__xludf.DUMMYFUNCTION("""COMPUTED_VALUE"""),665988.0)</f>
        <v>665988</v>
      </c>
    </row>
    <row r="2166">
      <c r="A2166" s="2">
        <f>IFERROR(__xludf.DUMMYFUNCTION("""COMPUTED_VALUE"""),43767.64583333333)</f>
        <v>43767.64583</v>
      </c>
      <c r="B2166" s="1">
        <f>IFERROR(__xludf.DUMMYFUNCTION("""COMPUTED_VALUE"""),28300.0)</f>
        <v>28300</v>
      </c>
      <c r="C2166" s="1">
        <f>IFERROR(__xludf.DUMMYFUNCTION("""COMPUTED_VALUE"""),28400.0)</f>
        <v>28400</v>
      </c>
      <c r="D2166" s="1">
        <f>IFERROR(__xludf.DUMMYFUNCTION("""COMPUTED_VALUE"""),27600.0)</f>
        <v>27600</v>
      </c>
      <c r="E2166" s="1">
        <f>IFERROR(__xludf.DUMMYFUNCTION("""COMPUTED_VALUE"""),27900.0)</f>
        <v>27900</v>
      </c>
      <c r="F2166" s="1">
        <f>IFERROR(__xludf.DUMMYFUNCTION("""COMPUTED_VALUE"""),367213.0)</f>
        <v>367213</v>
      </c>
    </row>
    <row r="2167">
      <c r="A2167" s="2">
        <f>IFERROR(__xludf.DUMMYFUNCTION("""COMPUTED_VALUE"""),43768.64583333333)</f>
        <v>43768.64583</v>
      </c>
      <c r="B2167" s="1">
        <f>IFERROR(__xludf.DUMMYFUNCTION("""COMPUTED_VALUE"""),28100.0)</f>
        <v>28100</v>
      </c>
      <c r="C2167" s="1">
        <f>IFERROR(__xludf.DUMMYFUNCTION("""COMPUTED_VALUE"""),28100.0)</f>
        <v>28100</v>
      </c>
      <c r="D2167" s="1">
        <f>IFERROR(__xludf.DUMMYFUNCTION("""COMPUTED_VALUE"""),27500.0)</f>
        <v>27500</v>
      </c>
      <c r="E2167" s="1">
        <f>IFERROR(__xludf.DUMMYFUNCTION("""COMPUTED_VALUE"""),27600.0)</f>
        <v>27600</v>
      </c>
      <c r="F2167" s="1">
        <f>IFERROR(__xludf.DUMMYFUNCTION("""COMPUTED_VALUE"""),251362.0)</f>
        <v>251362</v>
      </c>
    </row>
    <row r="2168">
      <c r="A2168" s="2">
        <f>IFERROR(__xludf.DUMMYFUNCTION("""COMPUTED_VALUE"""),43769.64583333333)</f>
        <v>43769.64583</v>
      </c>
      <c r="B2168" s="1">
        <f>IFERROR(__xludf.DUMMYFUNCTION("""COMPUTED_VALUE"""),27800.0)</f>
        <v>27800</v>
      </c>
      <c r="C2168" s="1">
        <f>IFERROR(__xludf.DUMMYFUNCTION("""COMPUTED_VALUE"""),28800.0)</f>
        <v>28800</v>
      </c>
      <c r="D2168" s="1">
        <f>IFERROR(__xludf.DUMMYFUNCTION("""COMPUTED_VALUE"""),27700.0)</f>
        <v>27700</v>
      </c>
      <c r="E2168" s="1">
        <f>IFERROR(__xludf.DUMMYFUNCTION("""COMPUTED_VALUE"""),28300.0)</f>
        <v>28300</v>
      </c>
      <c r="F2168" s="1">
        <f>IFERROR(__xludf.DUMMYFUNCTION("""COMPUTED_VALUE"""),726151.0)</f>
        <v>726151</v>
      </c>
    </row>
    <row r="2169">
      <c r="A2169" s="2">
        <f>IFERROR(__xludf.DUMMYFUNCTION("""COMPUTED_VALUE"""),43770.64583333333)</f>
        <v>43770.64583</v>
      </c>
      <c r="B2169" s="1">
        <f>IFERROR(__xludf.DUMMYFUNCTION("""COMPUTED_VALUE"""),28500.0)</f>
        <v>28500</v>
      </c>
      <c r="C2169" s="1">
        <f>IFERROR(__xludf.DUMMYFUNCTION("""COMPUTED_VALUE"""),29200.0)</f>
        <v>29200</v>
      </c>
      <c r="D2169" s="1">
        <f>IFERROR(__xludf.DUMMYFUNCTION("""COMPUTED_VALUE"""),28400.0)</f>
        <v>28400</v>
      </c>
      <c r="E2169" s="1">
        <f>IFERROR(__xludf.DUMMYFUNCTION("""COMPUTED_VALUE"""),29100.0)</f>
        <v>29100</v>
      </c>
      <c r="F2169" s="1">
        <f>IFERROR(__xludf.DUMMYFUNCTION("""COMPUTED_VALUE"""),717046.0)</f>
        <v>717046</v>
      </c>
    </row>
    <row r="2170">
      <c r="A2170" s="2">
        <f>IFERROR(__xludf.DUMMYFUNCTION("""COMPUTED_VALUE"""),43773.64583333333)</f>
        <v>43773.64583</v>
      </c>
      <c r="B2170" s="1">
        <f>IFERROR(__xludf.DUMMYFUNCTION("""COMPUTED_VALUE"""),29300.0)</f>
        <v>29300</v>
      </c>
      <c r="C2170" s="1">
        <f>IFERROR(__xludf.DUMMYFUNCTION("""COMPUTED_VALUE"""),29500.0)</f>
        <v>29500</v>
      </c>
      <c r="D2170" s="1">
        <f>IFERROR(__xludf.DUMMYFUNCTION("""COMPUTED_VALUE"""),29100.0)</f>
        <v>29100</v>
      </c>
      <c r="E2170" s="1">
        <f>IFERROR(__xludf.DUMMYFUNCTION("""COMPUTED_VALUE"""),29300.0)</f>
        <v>29300</v>
      </c>
      <c r="F2170" s="1">
        <f>IFERROR(__xludf.DUMMYFUNCTION("""COMPUTED_VALUE"""),436509.0)</f>
        <v>436509</v>
      </c>
    </row>
    <row r="2171">
      <c r="A2171" s="2">
        <f>IFERROR(__xludf.DUMMYFUNCTION("""COMPUTED_VALUE"""),43774.64583333333)</f>
        <v>43774.64583</v>
      </c>
      <c r="B2171" s="1">
        <f>IFERROR(__xludf.DUMMYFUNCTION("""COMPUTED_VALUE"""),29200.0)</f>
        <v>29200</v>
      </c>
      <c r="C2171" s="1">
        <f>IFERROR(__xludf.DUMMYFUNCTION("""COMPUTED_VALUE"""),29800.0)</f>
        <v>29800</v>
      </c>
      <c r="D2171" s="1">
        <f>IFERROR(__xludf.DUMMYFUNCTION("""COMPUTED_VALUE"""),29100.0)</f>
        <v>29100</v>
      </c>
      <c r="E2171" s="1">
        <f>IFERROR(__xludf.DUMMYFUNCTION("""COMPUTED_VALUE"""),29700.0)</f>
        <v>29700</v>
      </c>
      <c r="F2171" s="1">
        <f>IFERROR(__xludf.DUMMYFUNCTION("""COMPUTED_VALUE"""),502806.0)</f>
        <v>502806</v>
      </c>
    </row>
    <row r="2172">
      <c r="A2172" s="2">
        <f>IFERROR(__xludf.DUMMYFUNCTION("""COMPUTED_VALUE"""),43775.64583333333)</f>
        <v>43775.64583</v>
      </c>
      <c r="B2172" s="1">
        <f>IFERROR(__xludf.DUMMYFUNCTION("""COMPUTED_VALUE"""),29800.0)</f>
        <v>29800</v>
      </c>
      <c r="C2172" s="1">
        <f>IFERROR(__xludf.DUMMYFUNCTION("""COMPUTED_VALUE"""),30200.0)</f>
        <v>30200</v>
      </c>
      <c r="D2172" s="1">
        <f>IFERROR(__xludf.DUMMYFUNCTION("""COMPUTED_VALUE"""),29600.0)</f>
        <v>29600</v>
      </c>
      <c r="E2172" s="1">
        <f>IFERROR(__xludf.DUMMYFUNCTION("""COMPUTED_VALUE"""),30200.0)</f>
        <v>30200</v>
      </c>
      <c r="F2172" s="1">
        <f>IFERROR(__xludf.DUMMYFUNCTION("""COMPUTED_VALUE"""),516744.0)</f>
        <v>516744</v>
      </c>
    </row>
    <row r="2173">
      <c r="A2173" s="2">
        <f>IFERROR(__xludf.DUMMYFUNCTION("""COMPUTED_VALUE"""),43776.64583333333)</f>
        <v>43776.64583</v>
      </c>
      <c r="B2173" s="1">
        <f>IFERROR(__xludf.DUMMYFUNCTION("""COMPUTED_VALUE"""),30400.0)</f>
        <v>30400</v>
      </c>
      <c r="C2173" s="1">
        <f>IFERROR(__xludf.DUMMYFUNCTION("""COMPUTED_VALUE"""),30900.0)</f>
        <v>30900</v>
      </c>
      <c r="D2173" s="1">
        <f>IFERROR(__xludf.DUMMYFUNCTION("""COMPUTED_VALUE"""),29400.0)</f>
        <v>29400</v>
      </c>
      <c r="E2173" s="1">
        <f>IFERROR(__xludf.DUMMYFUNCTION("""COMPUTED_VALUE"""),30200.0)</f>
        <v>30200</v>
      </c>
      <c r="F2173" s="1">
        <f>IFERROR(__xludf.DUMMYFUNCTION("""COMPUTED_VALUE"""),1222184.0)</f>
        <v>1222184</v>
      </c>
    </row>
    <row r="2174">
      <c r="A2174" s="2">
        <f>IFERROR(__xludf.DUMMYFUNCTION("""COMPUTED_VALUE"""),43777.64583333333)</f>
        <v>43777.64583</v>
      </c>
      <c r="B2174" s="1">
        <f>IFERROR(__xludf.DUMMYFUNCTION("""COMPUTED_VALUE"""),30400.0)</f>
        <v>30400</v>
      </c>
      <c r="C2174" s="1">
        <f>IFERROR(__xludf.DUMMYFUNCTION("""COMPUTED_VALUE"""),31000.0)</f>
        <v>31000</v>
      </c>
      <c r="D2174" s="1">
        <f>IFERROR(__xludf.DUMMYFUNCTION("""COMPUTED_VALUE"""),30200.0)</f>
        <v>30200</v>
      </c>
      <c r="E2174" s="1">
        <f>IFERROR(__xludf.DUMMYFUNCTION("""COMPUTED_VALUE"""),30400.0)</f>
        <v>30400</v>
      </c>
      <c r="F2174" s="1">
        <f>IFERROR(__xludf.DUMMYFUNCTION("""COMPUTED_VALUE"""),900774.0)</f>
        <v>900774</v>
      </c>
    </row>
    <row r="2175">
      <c r="A2175" s="2">
        <f>IFERROR(__xludf.DUMMYFUNCTION("""COMPUTED_VALUE"""),43780.64583333333)</f>
        <v>43780.64583</v>
      </c>
      <c r="B2175" s="1">
        <f>IFERROR(__xludf.DUMMYFUNCTION("""COMPUTED_VALUE"""),30600.0)</f>
        <v>30600</v>
      </c>
      <c r="C2175" s="1">
        <f>IFERROR(__xludf.DUMMYFUNCTION("""COMPUTED_VALUE"""),31000.0)</f>
        <v>31000</v>
      </c>
      <c r="D2175" s="1">
        <f>IFERROR(__xludf.DUMMYFUNCTION("""COMPUTED_VALUE"""),30400.0)</f>
        <v>30400</v>
      </c>
      <c r="E2175" s="1">
        <f>IFERROR(__xludf.DUMMYFUNCTION("""COMPUTED_VALUE"""),30800.0)</f>
        <v>30800</v>
      </c>
      <c r="F2175" s="1">
        <f>IFERROR(__xludf.DUMMYFUNCTION("""COMPUTED_VALUE"""),509809.0)</f>
        <v>509809</v>
      </c>
    </row>
    <row r="2176">
      <c r="A2176" s="2">
        <f>IFERROR(__xludf.DUMMYFUNCTION("""COMPUTED_VALUE"""),43781.64583333333)</f>
        <v>43781.64583</v>
      </c>
      <c r="B2176" s="1">
        <f>IFERROR(__xludf.DUMMYFUNCTION("""COMPUTED_VALUE"""),30800.0)</f>
        <v>30800</v>
      </c>
      <c r="C2176" s="1">
        <f>IFERROR(__xludf.DUMMYFUNCTION("""COMPUTED_VALUE"""),30900.0)</f>
        <v>30900</v>
      </c>
      <c r="D2176" s="1">
        <f>IFERROR(__xludf.DUMMYFUNCTION("""COMPUTED_VALUE"""),30400.0)</f>
        <v>30400</v>
      </c>
      <c r="E2176" s="1">
        <f>IFERROR(__xludf.DUMMYFUNCTION("""COMPUTED_VALUE"""),30700.0)</f>
        <v>30700</v>
      </c>
      <c r="F2176" s="1">
        <f>IFERROR(__xludf.DUMMYFUNCTION("""COMPUTED_VALUE"""),396292.0)</f>
        <v>396292</v>
      </c>
    </row>
    <row r="2177">
      <c r="A2177" s="2">
        <f>IFERROR(__xludf.DUMMYFUNCTION("""COMPUTED_VALUE"""),43782.64583333333)</f>
        <v>43782.64583</v>
      </c>
      <c r="B2177" s="1">
        <f>IFERROR(__xludf.DUMMYFUNCTION("""COMPUTED_VALUE"""),30500.0)</f>
        <v>30500</v>
      </c>
      <c r="C2177" s="1">
        <f>IFERROR(__xludf.DUMMYFUNCTION("""COMPUTED_VALUE"""),30800.0)</f>
        <v>30800</v>
      </c>
      <c r="D2177" s="1">
        <f>IFERROR(__xludf.DUMMYFUNCTION("""COMPUTED_VALUE"""),30200.0)</f>
        <v>30200</v>
      </c>
      <c r="E2177" s="1">
        <f>IFERROR(__xludf.DUMMYFUNCTION("""COMPUTED_VALUE"""),30700.0)</f>
        <v>30700</v>
      </c>
      <c r="F2177" s="1">
        <f>IFERROR(__xludf.DUMMYFUNCTION("""COMPUTED_VALUE"""),376959.0)</f>
        <v>376959</v>
      </c>
    </row>
    <row r="2178">
      <c r="A2178" s="2">
        <f>IFERROR(__xludf.DUMMYFUNCTION("""COMPUTED_VALUE"""),43783.6875)</f>
        <v>43783.6875</v>
      </c>
      <c r="B2178" s="1">
        <f>IFERROR(__xludf.DUMMYFUNCTION("""COMPUTED_VALUE"""),30900.0)</f>
        <v>30900</v>
      </c>
      <c r="C2178" s="1">
        <f>IFERROR(__xludf.DUMMYFUNCTION("""COMPUTED_VALUE"""),31000.0)</f>
        <v>31000</v>
      </c>
      <c r="D2178" s="1">
        <f>IFERROR(__xludf.DUMMYFUNCTION("""COMPUTED_VALUE"""),30400.0)</f>
        <v>30400</v>
      </c>
      <c r="E2178" s="1">
        <f>IFERROR(__xludf.DUMMYFUNCTION("""COMPUTED_VALUE"""),30900.0)</f>
        <v>30900</v>
      </c>
      <c r="F2178" s="1">
        <f>IFERROR(__xludf.DUMMYFUNCTION("""COMPUTED_VALUE"""),651414.0)</f>
        <v>651414</v>
      </c>
    </row>
    <row r="2179">
      <c r="A2179" s="2">
        <f>IFERROR(__xludf.DUMMYFUNCTION("""COMPUTED_VALUE"""),43784.64583333333)</f>
        <v>43784.64583</v>
      </c>
      <c r="B2179" s="1">
        <f>IFERROR(__xludf.DUMMYFUNCTION("""COMPUTED_VALUE"""),30900.0)</f>
        <v>30900</v>
      </c>
      <c r="C2179" s="1">
        <f>IFERROR(__xludf.DUMMYFUNCTION("""COMPUTED_VALUE"""),31100.0)</f>
        <v>31100</v>
      </c>
      <c r="D2179" s="1">
        <f>IFERROR(__xludf.DUMMYFUNCTION("""COMPUTED_VALUE"""),30700.0)</f>
        <v>30700</v>
      </c>
      <c r="E2179" s="1">
        <f>IFERROR(__xludf.DUMMYFUNCTION("""COMPUTED_VALUE"""),31100.0)</f>
        <v>31100</v>
      </c>
      <c r="F2179" s="1">
        <f>IFERROR(__xludf.DUMMYFUNCTION("""COMPUTED_VALUE"""),281084.0)</f>
        <v>281084</v>
      </c>
    </row>
    <row r="2180">
      <c r="A2180" s="2">
        <f>IFERROR(__xludf.DUMMYFUNCTION("""COMPUTED_VALUE"""),43787.64583333333)</f>
        <v>43787.64583</v>
      </c>
      <c r="B2180" s="1">
        <f>IFERROR(__xludf.DUMMYFUNCTION("""COMPUTED_VALUE"""),31100.0)</f>
        <v>31100</v>
      </c>
      <c r="C2180" s="1">
        <f>IFERROR(__xludf.DUMMYFUNCTION("""COMPUTED_VALUE"""),31600.0)</f>
        <v>31600</v>
      </c>
      <c r="D2180" s="1">
        <f>IFERROR(__xludf.DUMMYFUNCTION("""COMPUTED_VALUE"""),31100.0)</f>
        <v>31100</v>
      </c>
      <c r="E2180" s="1">
        <f>IFERROR(__xludf.DUMMYFUNCTION("""COMPUTED_VALUE"""),31500.0)</f>
        <v>31500</v>
      </c>
      <c r="F2180" s="1">
        <f>IFERROR(__xludf.DUMMYFUNCTION("""COMPUTED_VALUE"""),372362.0)</f>
        <v>372362</v>
      </c>
    </row>
    <row r="2181">
      <c r="A2181" s="2">
        <f>IFERROR(__xludf.DUMMYFUNCTION("""COMPUTED_VALUE"""),43788.64583333333)</f>
        <v>43788.64583</v>
      </c>
      <c r="B2181" s="1">
        <f>IFERROR(__xludf.DUMMYFUNCTION("""COMPUTED_VALUE"""),31500.0)</f>
        <v>31500</v>
      </c>
      <c r="C2181" s="1">
        <f>IFERROR(__xludf.DUMMYFUNCTION("""COMPUTED_VALUE"""),31500.0)</f>
        <v>31500</v>
      </c>
      <c r="D2181" s="1">
        <f>IFERROR(__xludf.DUMMYFUNCTION("""COMPUTED_VALUE"""),31100.0)</f>
        <v>31100</v>
      </c>
      <c r="E2181" s="1">
        <f>IFERROR(__xludf.DUMMYFUNCTION("""COMPUTED_VALUE"""),31300.0)</f>
        <v>31300</v>
      </c>
      <c r="F2181" s="1">
        <f>IFERROR(__xludf.DUMMYFUNCTION("""COMPUTED_VALUE"""),323233.0)</f>
        <v>323233</v>
      </c>
    </row>
    <row r="2182">
      <c r="A2182" s="2">
        <f>IFERROR(__xludf.DUMMYFUNCTION("""COMPUTED_VALUE"""),43789.64583333333)</f>
        <v>43789.64583</v>
      </c>
      <c r="B2182" s="1">
        <f>IFERROR(__xludf.DUMMYFUNCTION("""COMPUTED_VALUE"""),31200.0)</f>
        <v>31200</v>
      </c>
      <c r="C2182" s="1">
        <f>IFERROR(__xludf.DUMMYFUNCTION("""COMPUTED_VALUE"""),31800.0)</f>
        <v>31800</v>
      </c>
      <c r="D2182" s="1">
        <f>IFERROR(__xludf.DUMMYFUNCTION("""COMPUTED_VALUE"""),31100.0)</f>
        <v>31100</v>
      </c>
      <c r="E2182" s="1">
        <f>IFERROR(__xludf.DUMMYFUNCTION("""COMPUTED_VALUE"""),31300.0)</f>
        <v>31300</v>
      </c>
      <c r="F2182" s="1">
        <f>IFERROR(__xludf.DUMMYFUNCTION("""COMPUTED_VALUE"""),332676.0)</f>
        <v>332676</v>
      </c>
    </row>
    <row r="2183">
      <c r="A2183" s="2">
        <f>IFERROR(__xludf.DUMMYFUNCTION("""COMPUTED_VALUE"""),43790.64583333333)</f>
        <v>43790.64583</v>
      </c>
      <c r="B2183" s="1">
        <f>IFERROR(__xludf.DUMMYFUNCTION("""COMPUTED_VALUE"""),31300.0)</f>
        <v>31300</v>
      </c>
      <c r="C2183" s="1">
        <f>IFERROR(__xludf.DUMMYFUNCTION("""COMPUTED_VALUE"""),31400.0)</f>
        <v>31400</v>
      </c>
      <c r="D2183" s="1">
        <f>IFERROR(__xludf.DUMMYFUNCTION("""COMPUTED_VALUE"""),30200.0)</f>
        <v>30200</v>
      </c>
      <c r="E2183" s="1">
        <f>IFERROR(__xludf.DUMMYFUNCTION("""COMPUTED_VALUE"""),30800.0)</f>
        <v>30800</v>
      </c>
      <c r="F2183" s="1">
        <f>IFERROR(__xludf.DUMMYFUNCTION("""COMPUTED_VALUE"""),666854.0)</f>
        <v>666854</v>
      </c>
    </row>
    <row r="2184">
      <c r="A2184" s="2">
        <f>IFERROR(__xludf.DUMMYFUNCTION("""COMPUTED_VALUE"""),43791.64583333333)</f>
        <v>43791.64583</v>
      </c>
      <c r="B2184" s="1">
        <f>IFERROR(__xludf.DUMMYFUNCTION("""COMPUTED_VALUE"""),30600.0)</f>
        <v>30600</v>
      </c>
      <c r="C2184" s="1">
        <f>IFERROR(__xludf.DUMMYFUNCTION("""COMPUTED_VALUE"""),31100.0)</f>
        <v>31100</v>
      </c>
      <c r="D2184" s="1">
        <f>IFERROR(__xludf.DUMMYFUNCTION("""COMPUTED_VALUE"""),30400.0)</f>
        <v>30400</v>
      </c>
      <c r="E2184" s="1">
        <f>IFERROR(__xludf.DUMMYFUNCTION("""COMPUTED_VALUE"""),30600.0)</f>
        <v>30600</v>
      </c>
      <c r="F2184" s="1">
        <f>IFERROR(__xludf.DUMMYFUNCTION("""COMPUTED_VALUE"""),335038.0)</f>
        <v>335038</v>
      </c>
    </row>
    <row r="2185">
      <c r="A2185" s="2">
        <f>IFERROR(__xludf.DUMMYFUNCTION("""COMPUTED_VALUE"""),43794.64583333333)</f>
        <v>43794.64583</v>
      </c>
      <c r="B2185" s="1">
        <f>IFERROR(__xludf.DUMMYFUNCTION("""COMPUTED_VALUE"""),30700.0)</f>
        <v>30700</v>
      </c>
      <c r="C2185" s="1">
        <f>IFERROR(__xludf.DUMMYFUNCTION("""COMPUTED_VALUE"""),31300.0)</f>
        <v>31300</v>
      </c>
      <c r="D2185" s="1">
        <f>IFERROR(__xludf.DUMMYFUNCTION("""COMPUTED_VALUE"""),30700.0)</f>
        <v>30700</v>
      </c>
      <c r="E2185" s="1">
        <f>IFERROR(__xludf.DUMMYFUNCTION("""COMPUTED_VALUE"""),31300.0)</f>
        <v>31300</v>
      </c>
      <c r="F2185" s="1">
        <f>IFERROR(__xludf.DUMMYFUNCTION("""COMPUTED_VALUE"""),300270.0)</f>
        <v>300270</v>
      </c>
    </row>
    <row r="2186">
      <c r="A2186" s="2">
        <f>IFERROR(__xludf.DUMMYFUNCTION("""COMPUTED_VALUE"""),43795.64583333333)</f>
        <v>43795.64583</v>
      </c>
      <c r="B2186" s="1">
        <f>IFERROR(__xludf.DUMMYFUNCTION("""COMPUTED_VALUE"""),31400.0)</f>
        <v>31400</v>
      </c>
      <c r="C2186" s="1">
        <f>IFERROR(__xludf.DUMMYFUNCTION("""COMPUTED_VALUE"""),31700.0)</f>
        <v>31700</v>
      </c>
      <c r="D2186" s="1">
        <f>IFERROR(__xludf.DUMMYFUNCTION("""COMPUTED_VALUE"""),31300.0)</f>
        <v>31300</v>
      </c>
      <c r="E2186" s="1">
        <f>IFERROR(__xludf.DUMMYFUNCTION("""COMPUTED_VALUE"""),31500.0)</f>
        <v>31500</v>
      </c>
      <c r="F2186" s="1">
        <f>IFERROR(__xludf.DUMMYFUNCTION("""COMPUTED_VALUE"""),361401.0)</f>
        <v>361401</v>
      </c>
    </row>
    <row r="2187">
      <c r="A2187" s="2">
        <f>IFERROR(__xludf.DUMMYFUNCTION("""COMPUTED_VALUE"""),43796.64583333333)</f>
        <v>43796.64583</v>
      </c>
      <c r="B2187" s="1">
        <f>IFERROR(__xludf.DUMMYFUNCTION("""COMPUTED_VALUE"""),31700.0)</f>
        <v>31700</v>
      </c>
      <c r="C2187" s="1">
        <f>IFERROR(__xludf.DUMMYFUNCTION("""COMPUTED_VALUE"""),31800.0)</f>
        <v>31800</v>
      </c>
      <c r="D2187" s="1">
        <f>IFERROR(__xludf.DUMMYFUNCTION("""COMPUTED_VALUE"""),31300.0)</f>
        <v>31300</v>
      </c>
      <c r="E2187" s="1">
        <f>IFERROR(__xludf.DUMMYFUNCTION("""COMPUTED_VALUE"""),31500.0)</f>
        <v>31500</v>
      </c>
      <c r="F2187" s="1">
        <f>IFERROR(__xludf.DUMMYFUNCTION("""COMPUTED_VALUE"""),294619.0)</f>
        <v>294619</v>
      </c>
    </row>
    <row r="2188">
      <c r="A2188" s="2">
        <f>IFERROR(__xludf.DUMMYFUNCTION("""COMPUTED_VALUE"""),43797.64583333333)</f>
        <v>43797.64583</v>
      </c>
      <c r="B2188" s="1">
        <f>IFERROR(__xludf.DUMMYFUNCTION("""COMPUTED_VALUE"""),31300.0)</f>
        <v>31300</v>
      </c>
      <c r="C2188" s="1">
        <f>IFERROR(__xludf.DUMMYFUNCTION("""COMPUTED_VALUE"""),31500.0)</f>
        <v>31500</v>
      </c>
      <c r="D2188" s="1">
        <f>IFERROR(__xludf.DUMMYFUNCTION("""COMPUTED_VALUE"""),31100.0)</f>
        <v>31100</v>
      </c>
      <c r="E2188" s="1">
        <f>IFERROR(__xludf.DUMMYFUNCTION("""COMPUTED_VALUE"""),31400.0)</f>
        <v>31400</v>
      </c>
      <c r="F2188" s="1">
        <f>IFERROR(__xludf.DUMMYFUNCTION("""COMPUTED_VALUE"""),218221.0)</f>
        <v>218221</v>
      </c>
    </row>
    <row r="2189">
      <c r="A2189" s="2">
        <f>IFERROR(__xludf.DUMMYFUNCTION("""COMPUTED_VALUE"""),43798.64583333333)</f>
        <v>43798.64583</v>
      </c>
      <c r="B2189" s="1">
        <f>IFERROR(__xludf.DUMMYFUNCTION("""COMPUTED_VALUE"""),31200.0)</f>
        <v>31200</v>
      </c>
      <c r="C2189" s="1">
        <f>IFERROR(__xludf.DUMMYFUNCTION("""COMPUTED_VALUE"""),31800.0)</f>
        <v>31800</v>
      </c>
      <c r="D2189" s="1">
        <f>IFERROR(__xludf.DUMMYFUNCTION("""COMPUTED_VALUE"""),30700.0)</f>
        <v>30700</v>
      </c>
      <c r="E2189" s="1">
        <f>IFERROR(__xludf.DUMMYFUNCTION("""COMPUTED_VALUE"""),31100.0)</f>
        <v>31100</v>
      </c>
      <c r="F2189" s="1">
        <f>IFERROR(__xludf.DUMMYFUNCTION("""COMPUTED_VALUE"""),471253.0)</f>
        <v>471253</v>
      </c>
    </row>
    <row r="2190">
      <c r="A2190" s="2">
        <f>IFERROR(__xludf.DUMMYFUNCTION("""COMPUTED_VALUE"""),43801.64583333333)</f>
        <v>43801.64583</v>
      </c>
      <c r="B2190" s="1">
        <f>IFERROR(__xludf.DUMMYFUNCTION("""COMPUTED_VALUE"""),31200.0)</f>
        <v>31200</v>
      </c>
      <c r="C2190" s="1">
        <f>IFERROR(__xludf.DUMMYFUNCTION("""COMPUTED_VALUE"""),31300.0)</f>
        <v>31300</v>
      </c>
      <c r="D2190" s="1">
        <f>IFERROR(__xludf.DUMMYFUNCTION("""COMPUTED_VALUE"""),30700.0)</f>
        <v>30700</v>
      </c>
      <c r="E2190" s="1">
        <f>IFERROR(__xludf.DUMMYFUNCTION("""COMPUTED_VALUE"""),31300.0)</f>
        <v>31300</v>
      </c>
      <c r="F2190" s="1">
        <f>IFERROR(__xludf.DUMMYFUNCTION("""COMPUTED_VALUE"""),250192.0)</f>
        <v>250192</v>
      </c>
    </row>
    <row r="2191">
      <c r="A2191" s="2">
        <f>IFERROR(__xludf.DUMMYFUNCTION("""COMPUTED_VALUE"""),43802.64583333333)</f>
        <v>43802.64583</v>
      </c>
      <c r="B2191" s="1">
        <f>IFERROR(__xludf.DUMMYFUNCTION("""COMPUTED_VALUE"""),31100.0)</f>
        <v>31100</v>
      </c>
      <c r="C2191" s="1">
        <f>IFERROR(__xludf.DUMMYFUNCTION("""COMPUTED_VALUE"""),31400.0)</f>
        <v>31400</v>
      </c>
      <c r="D2191" s="1">
        <f>IFERROR(__xludf.DUMMYFUNCTION("""COMPUTED_VALUE"""),30800.0)</f>
        <v>30800</v>
      </c>
      <c r="E2191" s="1">
        <f>IFERROR(__xludf.DUMMYFUNCTION("""COMPUTED_VALUE"""),31400.0)</f>
        <v>31400</v>
      </c>
      <c r="F2191" s="1">
        <f>IFERROR(__xludf.DUMMYFUNCTION("""COMPUTED_VALUE"""),235453.0)</f>
        <v>235453</v>
      </c>
    </row>
    <row r="2192">
      <c r="A2192" s="2">
        <f>IFERROR(__xludf.DUMMYFUNCTION("""COMPUTED_VALUE"""),43803.64583333333)</f>
        <v>43803.64583</v>
      </c>
      <c r="B2192" s="1">
        <f>IFERROR(__xludf.DUMMYFUNCTION("""COMPUTED_VALUE"""),31200.0)</f>
        <v>31200</v>
      </c>
      <c r="C2192" s="1">
        <f>IFERROR(__xludf.DUMMYFUNCTION("""COMPUTED_VALUE"""),31200.0)</f>
        <v>31200</v>
      </c>
      <c r="D2192" s="1">
        <f>IFERROR(__xludf.DUMMYFUNCTION("""COMPUTED_VALUE"""),30900.0)</f>
        <v>30900</v>
      </c>
      <c r="E2192" s="1">
        <f>IFERROR(__xludf.DUMMYFUNCTION("""COMPUTED_VALUE"""),31200.0)</f>
        <v>31200</v>
      </c>
      <c r="F2192" s="1">
        <f>IFERROR(__xludf.DUMMYFUNCTION("""COMPUTED_VALUE"""),233141.0)</f>
        <v>233141</v>
      </c>
    </row>
    <row r="2193">
      <c r="A2193" s="2">
        <f>IFERROR(__xludf.DUMMYFUNCTION("""COMPUTED_VALUE"""),43804.64583333333)</f>
        <v>43804.64583</v>
      </c>
      <c r="B2193" s="1">
        <f>IFERROR(__xludf.DUMMYFUNCTION("""COMPUTED_VALUE"""),31100.0)</f>
        <v>31100</v>
      </c>
      <c r="C2193" s="1">
        <f>IFERROR(__xludf.DUMMYFUNCTION("""COMPUTED_VALUE"""),31200.0)</f>
        <v>31200</v>
      </c>
      <c r="D2193" s="1">
        <f>IFERROR(__xludf.DUMMYFUNCTION("""COMPUTED_VALUE"""),29700.0)</f>
        <v>29700</v>
      </c>
      <c r="E2193" s="1">
        <f>IFERROR(__xludf.DUMMYFUNCTION("""COMPUTED_VALUE"""),29900.0)</f>
        <v>29900</v>
      </c>
      <c r="F2193" s="1">
        <f>IFERROR(__xludf.DUMMYFUNCTION("""COMPUTED_VALUE"""),841460.0)</f>
        <v>841460</v>
      </c>
    </row>
    <row r="2194">
      <c r="A2194" s="2">
        <f>IFERROR(__xludf.DUMMYFUNCTION("""COMPUTED_VALUE"""),43805.64583333333)</f>
        <v>43805.64583</v>
      </c>
      <c r="B2194" s="1">
        <f>IFERROR(__xludf.DUMMYFUNCTION("""COMPUTED_VALUE"""),29800.0)</f>
        <v>29800</v>
      </c>
      <c r="C2194" s="1">
        <f>IFERROR(__xludf.DUMMYFUNCTION("""COMPUTED_VALUE"""),30800.0)</f>
        <v>30800</v>
      </c>
      <c r="D2194" s="1">
        <f>IFERROR(__xludf.DUMMYFUNCTION("""COMPUTED_VALUE"""),29800.0)</f>
        <v>29800</v>
      </c>
      <c r="E2194" s="1">
        <f>IFERROR(__xludf.DUMMYFUNCTION("""COMPUTED_VALUE"""),30700.0)</f>
        <v>30700</v>
      </c>
      <c r="F2194" s="1">
        <f>IFERROR(__xludf.DUMMYFUNCTION("""COMPUTED_VALUE"""),415390.0)</f>
        <v>415390</v>
      </c>
    </row>
    <row r="2195">
      <c r="A2195" s="2">
        <f>IFERROR(__xludf.DUMMYFUNCTION("""COMPUTED_VALUE"""),43808.64583333333)</f>
        <v>43808.64583</v>
      </c>
      <c r="B2195" s="1">
        <f>IFERROR(__xludf.DUMMYFUNCTION("""COMPUTED_VALUE"""),30800.0)</f>
        <v>30800</v>
      </c>
      <c r="C2195" s="1">
        <f>IFERROR(__xludf.DUMMYFUNCTION("""COMPUTED_VALUE"""),30900.0)</f>
        <v>30900</v>
      </c>
      <c r="D2195" s="1">
        <f>IFERROR(__xludf.DUMMYFUNCTION("""COMPUTED_VALUE"""),30200.0)</f>
        <v>30200</v>
      </c>
      <c r="E2195" s="1">
        <f>IFERROR(__xludf.DUMMYFUNCTION("""COMPUTED_VALUE"""),30300.0)</f>
        <v>30300</v>
      </c>
      <c r="F2195" s="1">
        <f>IFERROR(__xludf.DUMMYFUNCTION("""COMPUTED_VALUE"""),267330.0)</f>
        <v>267330</v>
      </c>
    </row>
    <row r="2196">
      <c r="A2196" s="2">
        <f>IFERROR(__xludf.DUMMYFUNCTION("""COMPUTED_VALUE"""),43809.64583333333)</f>
        <v>43809.64583</v>
      </c>
      <c r="B2196" s="1">
        <f>IFERROR(__xludf.DUMMYFUNCTION("""COMPUTED_VALUE"""),30000.0)</f>
        <v>30000</v>
      </c>
      <c r="C2196" s="1">
        <f>IFERROR(__xludf.DUMMYFUNCTION("""COMPUTED_VALUE"""),30300.0)</f>
        <v>30300</v>
      </c>
      <c r="D2196" s="1">
        <f>IFERROR(__xludf.DUMMYFUNCTION("""COMPUTED_VALUE"""),29400.0)</f>
        <v>29400</v>
      </c>
      <c r="E2196" s="1">
        <f>IFERROR(__xludf.DUMMYFUNCTION("""COMPUTED_VALUE"""),29900.0)</f>
        <v>29900</v>
      </c>
      <c r="F2196" s="1">
        <f>IFERROR(__xludf.DUMMYFUNCTION("""COMPUTED_VALUE"""),516074.0)</f>
        <v>516074</v>
      </c>
    </row>
    <row r="2197">
      <c r="A2197" s="2">
        <f>IFERROR(__xludf.DUMMYFUNCTION("""COMPUTED_VALUE"""),43810.64583333333)</f>
        <v>43810.64583</v>
      </c>
      <c r="B2197" s="1">
        <f>IFERROR(__xludf.DUMMYFUNCTION("""COMPUTED_VALUE"""),30100.0)</f>
        <v>30100</v>
      </c>
      <c r="C2197" s="1">
        <f>IFERROR(__xludf.DUMMYFUNCTION("""COMPUTED_VALUE"""),30100.0)</f>
        <v>30100</v>
      </c>
      <c r="D2197" s="1">
        <f>IFERROR(__xludf.DUMMYFUNCTION("""COMPUTED_VALUE"""),29500.0)</f>
        <v>29500</v>
      </c>
      <c r="E2197" s="1">
        <f>IFERROR(__xludf.DUMMYFUNCTION("""COMPUTED_VALUE"""),30000.0)</f>
        <v>30000</v>
      </c>
      <c r="F2197" s="1">
        <f>IFERROR(__xludf.DUMMYFUNCTION("""COMPUTED_VALUE"""),480071.0)</f>
        <v>480071</v>
      </c>
    </row>
    <row r="2198">
      <c r="A2198" s="2">
        <f>IFERROR(__xludf.DUMMYFUNCTION("""COMPUTED_VALUE"""),43811.64583333333)</f>
        <v>43811.64583</v>
      </c>
      <c r="B2198" s="1">
        <f>IFERROR(__xludf.DUMMYFUNCTION("""COMPUTED_VALUE"""),30200.0)</f>
        <v>30200</v>
      </c>
      <c r="C2198" s="1">
        <f>IFERROR(__xludf.DUMMYFUNCTION("""COMPUTED_VALUE"""),30300.0)</f>
        <v>30300</v>
      </c>
      <c r="D2198" s="1">
        <f>IFERROR(__xludf.DUMMYFUNCTION("""COMPUTED_VALUE"""),29800.0)</f>
        <v>29800</v>
      </c>
      <c r="E2198" s="1">
        <f>IFERROR(__xludf.DUMMYFUNCTION("""COMPUTED_VALUE"""),29900.0)</f>
        <v>29900</v>
      </c>
      <c r="F2198" s="1">
        <f>IFERROR(__xludf.DUMMYFUNCTION("""COMPUTED_VALUE"""),710378.0)</f>
        <v>710378</v>
      </c>
    </row>
    <row r="2199">
      <c r="A2199" s="2">
        <f>IFERROR(__xludf.DUMMYFUNCTION("""COMPUTED_VALUE"""),43812.64583333333)</f>
        <v>43812.64583</v>
      </c>
      <c r="B2199" s="1">
        <f>IFERROR(__xludf.DUMMYFUNCTION("""COMPUTED_VALUE"""),30100.0)</f>
        <v>30100</v>
      </c>
      <c r="C2199" s="1">
        <f>IFERROR(__xludf.DUMMYFUNCTION("""COMPUTED_VALUE"""),30200.0)</f>
        <v>30200</v>
      </c>
      <c r="D2199" s="1">
        <f>IFERROR(__xludf.DUMMYFUNCTION("""COMPUTED_VALUE"""),29700.0)</f>
        <v>29700</v>
      </c>
      <c r="E2199" s="1">
        <f>IFERROR(__xludf.DUMMYFUNCTION("""COMPUTED_VALUE"""),30200.0)</f>
        <v>30200</v>
      </c>
      <c r="F2199" s="1">
        <f>IFERROR(__xludf.DUMMYFUNCTION("""COMPUTED_VALUE"""),456822.0)</f>
        <v>456822</v>
      </c>
    </row>
    <row r="2200">
      <c r="A2200" s="2">
        <f>IFERROR(__xludf.DUMMYFUNCTION("""COMPUTED_VALUE"""),43815.64583333333)</f>
        <v>43815.64583</v>
      </c>
      <c r="B2200" s="1">
        <f>IFERROR(__xludf.DUMMYFUNCTION("""COMPUTED_VALUE"""),30200.0)</f>
        <v>30200</v>
      </c>
      <c r="C2200" s="1">
        <f>IFERROR(__xludf.DUMMYFUNCTION("""COMPUTED_VALUE"""),30400.0)</f>
        <v>30400</v>
      </c>
      <c r="D2200" s="1">
        <f>IFERROR(__xludf.DUMMYFUNCTION("""COMPUTED_VALUE"""),30000.0)</f>
        <v>30000</v>
      </c>
      <c r="E2200" s="1">
        <f>IFERROR(__xludf.DUMMYFUNCTION("""COMPUTED_VALUE"""),30300.0)</f>
        <v>30300</v>
      </c>
      <c r="F2200" s="1">
        <f>IFERROR(__xludf.DUMMYFUNCTION("""COMPUTED_VALUE"""),297095.0)</f>
        <v>297095</v>
      </c>
    </row>
    <row r="2201">
      <c r="A2201" s="2">
        <f>IFERROR(__xludf.DUMMYFUNCTION("""COMPUTED_VALUE"""),43816.64583333333)</f>
        <v>43816.64583</v>
      </c>
      <c r="B2201" s="1">
        <f>IFERROR(__xludf.DUMMYFUNCTION("""COMPUTED_VALUE"""),30300.0)</f>
        <v>30300</v>
      </c>
      <c r="C2201" s="1">
        <f>IFERROR(__xludf.DUMMYFUNCTION("""COMPUTED_VALUE"""),30400.0)</f>
        <v>30400</v>
      </c>
      <c r="D2201" s="1">
        <f>IFERROR(__xludf.DUMMYFUNCTION("""COMPUTED_VALUE"""),29900.0)</f>
        <v>29900</v>
      </c>
      <c r="E2201" s="1">
        <f>IFERROR(__xludf.DUMMYFUNCTION("""COMPUTED_VALUE"""),30100.0)</f>
        <v>30100</v>
      </c>
      <c r="F2201" s="1">
        <f>IFERROR(__xludf.DUMMYFUNCTION("""COMPUTED_VALUE"""),275832.0)</f>
        <v>275832</v>
      </c>
    </row>
    <row r="2202">
      <c r="A2202" s="2">
        <f>IFERROR(__xludf.DUMMYFUNCTION("""COMPUTED_VALUE"""),43817.64583333333)</f>
        <v>43817.64583</v>
      </c>
      <c r="B2202" s="1">
        <f>IFERROR(__xludf.DUMMYFUNCTION("""COMPUTED_VALUE"""),30100.0)</f>
        <v>30100</v>
      </c>
      <c r="C2202" s="1">
        <f>IFERROR(__xludf.DUMMYFUNCTION("""COMPUTED_VALUE"""),30400.0)</f>
        <v>30400</v>
      </c>
      <c r="D2202" s="1">
        <f>IFERROR(__xludf.DUMMYFUNCTION("""COMPUTED_VALUE"""),29900.0)</f>
        <v>29900</v>
      </c>
      <c r="E2202" s="1">
        <f>IFERROR(__xludf.DUMMYFUNCTION("""COMPUTED_VALUE"""),30200.0)</f>
        <v>30200</v>
      </c>
      <c r="F2202" s="1">
        <f>IFERROR(__xludf.DUMMYFUNCTION("""COMPUTED_VALUE"""),252752.0)</f>
        <v>252752</v>
      </c>
    </row>
    <row r="2203">
      <c r="A2203" s="2">
        <f>IFERROR(__xludf.DUMMYFUNCTION("""COMPUTED_VALUE"""),43818.64583333333)</f>
        <v>43818.64583</v>
      </c>
      <c r="B2203" s="1">
        <f>IFERROR(__xludf.DUMMYFUNCTION("""COMPUTED_VALUE"""),30100.0)</f>
        <v>30100</v>
      </c>
      <c r="C2203" s="1">
        <f>IFERROR(__xludf.DUMMYFUNCTION("""COMPUTED_VALUE"""),30200.0)</f>
        <v>30200</v>
      </c>
      <c r="D2203" s="1">
        <f>IFERROR(__xludf.DUMMYFUNCTION("""COMPUTED_VALUE"""),29800.0)</f>
        <v>29800</v>
      </c>
      <c r="E2203" s="1">
        <f>IFERROR(__xludf.DUMMYFUNCTION("""COMPUTED_VALUE"""),30000.0)</f>
        <v>30000</v>
      </c>
      <c r="F2203" s="1">
        <f>IFERROR(__xludf.DUMMYFUNCTION("""COMPUTED_VALUE"""),175849.0)</f>
        <v>175849</v>
      </c>
    </row>
    <row r="2204">
      <c r="A2204" s="2">
        <f>IFERROR(__xludf.DUMMYFUNCTION("""COMPUTED_VALUE"""),43819.64583333333)</f>
        <v>43819.64583</v>
      </c>
      <c r="B2204" s="1">
        <f>IFERROR(__xludf.DUMMYFUNCTION("""COMPUTED_VALUE"""),30000.0)</f>
        <v>30000</v>
      </c>
      <c r="C2204" s="1">
        <f>IFERROR(__xludf.DUMMYFUNCTION("""COMPUTED_VALUE"""),30600.0)</f>
        <v>30600</v>
      </c>
      <c r="D2204" s="1">
        <f>IFERROR(__xludf.DUMMYFUNCTION("""COMPUTED_VALUE"""),29900.0)</f>
        <v>29900</v>
      </c>
      <c r="E2204" s="1">
        <f>IFERROR(__xludf.DUMMYFUNCTION("""COMPUTED_VALUE"""),30000.0)</f>
        <v>30000</v>
      </c>
      <c r="F2204" s="1">
        <f>IFERROR(__xludf.DUMMYFUNCTION("""COMPUTED_VALUE"""),545445.0)</f>
        <v>545445</v>
      </c>
    </row>
    <row r="2205">
      <c r="A2205" s="2">
        <f>IFERROR(__xludf.DUMMYFUNCTION("""COMPUTED_VALUE"""),43822.64583333333)</f>
        <v>43822.64583</v>
      </c>
      <c r="B2205" s="1">
        <f>IFERROR(__xludf.DUMMYFUNCTION("""COMPUTED_VALUE"""),30200.0)</f>
        <v>30200</v>
      </c>
      <c r="C2205" s="1">
        <f>IFERROR(__xludf.DUMMYFUNCTION("""COMPUTED_VALUE"""),30200.0)</f>
        <v>30200</v>
      </c>
      <c r="D2205" s="1">
        <f>IFERROR(__xludf.DUMMYFUNCTION("""COMPUTED_VALUE"""),29600.0)</f>
        <v>29600</v>
      </c>
      <c r="E2205" s="1">
        <f>IFERROR(__xludf.DUMMYFUNCTION("""COMPUTED_VALUE"""),29700.0)</f>
        <v>29700</v>
      </c>
      <c r="F2205" s="1">
        <f>IFERROR(__xludf.DUMMYFUNCTION("""COMPUTED_VALUE"""),283403.0)</f>
        <v>283403</v>
      </c>
    </row>
    <row r="2206">
      <c r="A2206" s="2">
        <f>IFERROR(__xludf.DUMMYFUNCTION("""COMPUTED_VALUE"""),43823.64583333333)</f>
        <v>43823.64583</v>
      </c>
      <c r="B2206" s="1">
        <f>IFERROR(__xludf.DUMMYFUNCTION("""COMPUTED_VALUE"""),29600.0)</f>
        <v>29600</v>
      </c>
      <c r="C2206" s="1">
        <f>IFERROR(__xludf.DUMMYFUNCTION("""COMPUTED_VALUE"""),30000.0)</f>
        <v>30000</v>
      </c>
      <c r="D2206" s="1">
        <f>IFERROR(__xludf.DUMMYFUNCTION("""COMPUTED_VALUE"""),28900.0)</f>
        <v>28900</v>
      </c>
      <c r="E2206" s="1">
        <f>IFERROR(__xludf.DUMMYFUNCTION("""COMPUTED_VALUE"""),29300.0)</f>
        <v>29300</v>
      </c>
      <c r="F2206" s="1">
        <f>IFERROR(__xludf.DUMMYFUNCTION("""COMPUTED_VALUE"""),367817.0)</f>
        <v>367817</v>
      </c>
    </row>
    <row r="2207">
      <c r="A2207" s="2">
        <f>IFERROR(__xludf.DUMMYFUNCTION("""COMPUTED_VALUE"""),43825.64583333333)</f>
        <v>43825.64583</v>
      </c>
      <c r="B2207" s="1">
        <f>IFERROR(__xludf.DUMMYFUNCTION("""COMPUTED_VALUE"""),29200.0)</f>
        <v>29200</v>
      </c>
      <c r="C2207" s="1">
        <f>IFERROR(__xludf.DUMMYFUNCTION("""COMPUTED_VALUE"""),29600.0)</f>
        <v>29600</v>
      </c>
      <c r="D2207" s="1">
        <f>IFERROR(__xludf.DUMMYFUNCTION("""COMPUTED_VALUE"""),29200.0)</f>
        <v>29200</v>
      </c>
      <c r="E2207" s="1">
        <f>IFERROR(__xludf.DUMMYFUNCTION("""COMPUTED_VALUE"""),29600.0)</f>
        <v>29600</v>
      </c>
      <c r="F2207" s="1">
        <f>IFERROR(__xludf.DUMMYFUNCTION("""COMPUTED_VALUE"""),320921.0)</f>
        <v>320921</v>
      </c>
    </row>
    <row r="2208">
      <c r="A2208" s="2">
        <f>IFERROR(__xludf.DUMMYFUNCTION("""COMPUTED_VALUE"""),43826.64583333333)</f>
        <v>43826.64583</v>
      </c>
      <c r="B2208" s="1">
        <f>IFERROR(__xludf.DUMMYFUNCTION("""COMPUTED_VALUE"""),29900.0)</f>
        <v>29900</v>
      </c>
      <c r="C2208" s="1">
        <f>IFERROR(__xludf.DUMMYFUNCTION("""COMPUTED_VALUE"""),30800.0)</f>
        <v>30800</v>
      </c>
      <c r="D2208" s="1">
        <f>IFERROR(__xludf.DUMMYFUNCTION("""COMPUTED_VALUE"""),29800.0)</f>
        <v>29800</v>
      </c>
      <c r="E2208" s="1">
        <f>IFERROR(__xludf.DUMMYFUNCTION("""COMPUTED_VALUE"""),30700.0)</f>
        <v>30700</v>
      </c>
      <c r="F2208" s="1">
        <f>IFERROR(__xludf.DUMMYFUNCTION("""COMPUTED_VALUE"""),690548.0)</f>
        <v>690548</v>
      </c>
    </row>
    <row r="2209">
      <c r="A2209" s="2">
        <f>IFERROR(__xludf.DUMMYFUNCTION("""COMPUTED_VALUE"""),43829.64583333333)</f>
        <v>43829.64583</v>
      </c>
      <c r="B2209" s="1">
        <f>IFERROR(__xludf.DUMMYFUNCTION("""COMPUTED_VALUE"""),30800.0)</f>
        <v>30800</v>
      </c>
      <c r="C2209" s="1">
        <f>IFERROR(__xludf.DUMMYFUNCTION("""COMPUTED_VALUE"""),31000.0)</f>
        <v>31000</v>
      </c>
      <c r="D2209" s="1">
        <f>IFERROR(__xludf.DUMMYFUNCTION("""COMPUTED_VALUE"""),30600.0)</f>
        <v>30600</v>
      </c>
      <c r="E2209" s="1">
        <f>IFERROR(__xludf.DUMMYFUNCTION("""COMPUTED_VALUE"""),30700.0)</f>
        <v>30700</v>
      </c>
      <c r="F2209" s="1">
        <f>IFERROR(__xludf.DUMMYFUNCTION("""COMPUTED_VALUE"""),428587.0)</f>
        <v>428587</v>
      </c>
    </row>
    <row r="2210">
      <c r="A2210" s="2">
        <f>IFERROR(__xludf.DUMMYFUNCTION("""COMPUTED_VALUE"""),43832.64583333333)</f>
        <v>43832.64583</v>
      </c>
      <c r="B2210" s="1">
        <f>IFERROR(__xludf.DUMMYFUNCTION("""COMPUTED_VALUE"""),30800.0)</f>
        <v>30800</v>
      </c>
      <c r="C2210" s="1">
        <f>IFERROR(__xludf.DUMMYFUNCTION("""COMPUTED_VALUE"""),30900.0)</f>
        <v>30900</v>
      </c>
      <c r="D2210" s="1">
        <f>IFERROR(__xludf.DUMMYFUNCTION("""COMPUTED_VALUE"""),30400.0)</f>
        <v>30400</v>
      </c>
      <c r="E2210" s="1">
        <f>IFERROR(__xludf.DUMMYFUNCTION("""COMPUTED_VALUE"""),30500.0)</f>
        <v>30500</v>
      </c>
      <c r="F2210" s="1">
        <f>IFERROR(__xludf.DUMMYFUNCTION("""COMPUTED_VALUE"""),241047.0)</f>
        <v>241047</v>
      </c>
    </row>
    <row r="2211">
      <c r="A2211" s="2">
        <f>IFERROR(__xludf.DUMMYFUNCTION("""COMPUTED_VALUE"""),43833.64583333333)</f>
        <v>43833.64583</v>
      </c>
      <c r="B2211" s="1">
        <f>IFERROR(__xludf.DUMMYFUNCTION("""COMPUTED_VALUE"""),30700.0)</f>
        <v>30700</v>
      </c>
      <c r="C2211" s="1">
        <f>IFERROR(__xludf.DUMMYFUNCTION("""COMPUTED_VALUE"""),31000.0)</f>
        <v>31000</v>
      </c>
      <c r="D2211" s="1">
        <f>IFERROR(__xludf.DUMMYFUNCTION("""COMPUTED_VALUE"""),30200.0)</f>
        <v>30200</v>
      </c>
      <c r="E2211" s="1">
        <f>IFERROR(__xludf.DUMMYFUNCTION("""COMPUTED_VALUE"""),30500.0)</f>
        <v>30500</v>
      </c>
      <c r="F2211" s="1">
        <f>IFERROR(__xludf.DUMMYFUNCTION("""COMPUTED_VALUE"""),314848.0)</f>
        <v>314848</v>
      </c>
    </row>
    <row r="2212">
      <c r="A2212" s="2">
        <f>IFERROR(__xludf.DUMMYFUNCTION("""COMPUTED_VALUE"""),43836.64583333333)</f>
        <v>43836.64583</v>
      </c>
      <c r="B2212" s="1">
        <f>IFERROR(__xludf.DUMMYFUNCTION("""COMPUTED_VALUE"""),30100.0)</f>
        <v>30100</v>
      </c>
      <c r="C2212" s="1">
        <f>IFERROR(__xludf.DUMMYFUNCTION("""COMPUTED_VALUE"""),31000.0)</f>
        <v>31000</v>
      </c>
      <c r="D2212" s="1">
        <f>IFERROR(__xludf.DUMMYFUNCTION("""COMPUTED_VALUE"""),30000.0)</f>
        <v>30000</v>
      </c>
      <c r="E2212" s="1">
        <f>IFERROR(__xludf.DUMMYFUNCTION("""COMPUTED_VALUE"""),30900.0)</f>
        <v>30900</v>
      </c>
      <c r="F2212" s="1">
        <f>IFERROR(__xludf.DUMMYFUNCTION("""COMPUTED_VALUE"""),393715.0)</f>
        <v>393715</v>
      </c>
    </row>
    <row r="2213">
      <c r="A2213" s="2">
        <f>IFERROR(__xludf.DUMMYFUNCTION("""COMPUTED_VALUE"""),43837.64583333333)</f>
        <v>43837.64583</v>
      </c>
      <c r="B2213" s="1">
        <f>IFERROR(__xludf.DUMMYFUNCTION("""COMPUTED_VALUE"""),31000.0)</f>
        <v>31000</v>
      </c>
      <c r="C2213" s="1">
        <f>IFERROR(__xludf.DUMMYFUNCTION("""COMPUTED_VALUE"""),32000.0)</f>
        <v>32000</v>
      </c>
      <c r="D2213" s="1">
        <f>IFERROR(__xludf.DUMMYFUNCTION("""COMPUTED_VALUE"""),30900.0)</f>
        <v>30900</v>
      </c>
      <c r="E2213" s="1">
        <f>IFERROR(__xludf.DUMMYFUNCTION("""COMPUTED_VALUE"""),32000.0)</f>
        <v>32000</v>
      </c>
      <c r="F2213" s="1">
        <f>IFERROR(__xludf.DUMMYFUNCTION("""COMPUTED_VALUE"""),840186.0)</f>
        <v>840186</v>
      </c>
    </row>
    <row r="2214">
      <c r="A2214" s="2">
        <f>IFERROR(__xludf.DUMMYFUNCTION("""COMPUTED_VALUE"""),43838.64583333333)</f>
        <v>43838.64583</v>
      </c>
      <c r="B2214" s="1">
        <f>IFERROR(__xludf.DUMMYFUNCTION("""COMPUTED_VALUE"""),31700.0)</f>
        <v>31700</v>
      </c>
      <c r="C2214" s="1">
        <f>IFERROR(__xludf.DUMMYFUNCTION("""COMPUTED_VALUE"""),32400.0)</f>
        <v>32400</v>
      </c>
      <c r="D2214" s="1">
        <f>IFERROR(__xludf.DUMMYFUNCTION("""COMPUTED_VALUE"""),31300.0)</f>
        <v>31300</v>
      </c>
      <c r="E2214" s="1">
        <f>IFERROR(__xludf.DUMMYFUNCTION("""COMPUTED_VALUE"""),31900.0)</f>
        <v>31900</v>
      </c>
      <c r="F2214" s="1">
        <f>IFERROR(__xludf.DUMMYFUNCTION("""COMPUTED_VALUE"""),851619.0)</f>
        <v>851619</v>
      </c>
    </row>
    <row r="2215">
      <c r="A2215" s="2">
        <f>IFERROR(__xludf.DUMMYFUNCTION("""COMPUTED_VALUE"""),43839.64583333333)</f>
        <v>43839.64583</v>
      </c>
      <c r="B2215" s="1">
        <f>IFERROR(__xludf.DUMMYFUNCTION("""COMPUTED_VALUE"""),32700.0)</f>
        <v>32700</v>
      </c>
      <c r="C2215" s="1">
        <f>IFERROR(__xludf.DUMMYFUNCTION("""COMPUTED_VALUE"""),33100.0)</f>
        <v>33100</v>
      </c>
      <c r="D2215" s="1">
        <f>IFERROR(__xludf.DUMMYFUNCTION("""COMPUTED_VALUE"""),32500.0)</f>
        <v>32500</v>
      </c>
      <c r="E2215" s="1">
        <f>IFERROR(__xludf.DUMMYFUNCTION("""COMPUTED_VALUE"""),32800.0)</f>
        <v>32800</v>
      </c>
      <c r="F2215" s="1">
        <f>IFERROR(__xludf.DUMMYFUNCTION("""COMPUTED_VALUE"""),878319.0)</f>
        <v>878319</v>
      </c>
    </row>
    <row r="2216">
      <c r="A2216" s="2">
        <f>IFERROR(__xludf.DUMMYFUNCTION("""COMPUTED_VALUE"""),43840.64583333333)</f>
        <v>43840.64583</v>
      </c>
      <c r="B2216" s="1">
        <f>IFERROR(__xludf.DUMMYFUNCTION("""COMPUTED_VALUE"""),33000.0)</f>
        <v>33000</v>
      </c>
      <c r="C2216" s="1">
        <f>IFERROR(__xludf.DUMMYFUNCTION("""COMPUTED_VALUE"""),33300.0)</f>
        <v>33300</v>
      </c>
      <c r="D2216" s="1">
        <f>IFERROR(__xludf.DUMMYFUNCTION("""COMPUTED_VALUE"""),32600.0)</f>
        <v>32600</v>
      </c>
      <c r="E2216" s="1">
        <f>IFERROR(__xludf.DUMMYFUNCTION("""COMPUTED_VALUE"""),33000.0)</f>
        <v>33000</v>
      </c>
      <c r="F2216" s="1">
        <f>IFERROR(__xludf.DUMMYFUNCTION("""COMPUTED_VALUE"""),401906.0)</f>
        <v>401906</v>
      </c>
    </row>
    <row r="2217">
      <c r="A2217" s="2">
        <f>IFERROR(__xludf.DUMMYFUNCTION("""COMPUTED_VALUE"""),43843.64583333333)</f>
        <v>43843.64583</v>
      </c>
      <c r="B2217" s="1">
        <f>IFERROR(__xludf.DUMMYFUNCTION("""COMPUTED_VALUE"""),33100.0)</f>
        <v>33100</v>
      </c>
      <c r="C2217" s="1">
        <f>IFERROR(__xludf.DUMMYFUNCTION("""COMPUTED_VALUE"""),33500.0)</f>
        <v>33500</v>
      </c>
      <c r="D2217" s="1">
        <f>IFERROR(__xludf.DUMMYFUNCTION("""COMPUTED_VALUE"""),33000.0)</f>
        <v>33000</v>
      </c>
      <c r="E2217" s="1">
        <f>IFERROR(__xludf.DUMMYFUNCTION("""COMPUTED_VALUE"""),33400.0)</f>
        <v>33400</v>
      </c>
      <c r="F2217" s="1">
        <f>IFERROR(__xludf.DUMMYFUNCTION("""COMPUTED_VALUE"""),475667.0)</f>
        <v>475667</v>
      </c>
    </row>
    <row r="2218">
      <c r="A2218" s="2">
        <f>IFERROR(__xludf.DUMMYFUNCTION("""COMPUTED_VALUE"""),43844.64583333333)</f>
        <v>43844.64583</v>
      </c>
      <c r="B2218" s="1">
        <f>IFERROR(__xludf.DUMMYFUNCTION("""COMPUTED_VALUE"""),33500.0)</f>
        <v>33500</v>
      </c>
      <c r="C2218" s="1">
        <f>IFERROR(__xludf.DUMMYFUNCTION("""COMPUTED_VALUE"""),33700.0)</f>
        <v>33700</v>
      </c>
      <c r="D2218" s="1">
        <f>IFERROR(__xludf.DUMMYFUNCTION("""COMPUTED_VALUE"""),33100.0)</f>
        <v>33100</v>
      </c>
      <c r="E2218" s="1">
        <f>IFERROR(__xludf.DUMMYFUNCTION("""COMPUTED_VALUE"""),33400.0)</f>
        <v>33400</v>
      </c>
      <c r="F2218" s="1">
        <f>IFERROR(__xludf.DUMMYFUNCTION("""COMPUTED_VALUE"""),423286.0)</f>
        <v>423286</v>
      </c>
    </row>
    <row r="2219">
      <c r="A2219" s="2">
        <f>IFERROR(__xludf.DUMMYFUNCTION("""COMPUTED_VALUE"""),43845.64583333333)</f>
        <v>43845.64583</v>
      </c>
      <c r="B2219" s="1">
        <f>IFERROR(__xludf.DUMMYFUNCTION("""COMPUTED_VALUE"""),33400.0)</f>
        <v>33400</v>
      </c>
      <c r="C2219" s="1">
        <f>IFERROR(__xludf.DUMMYFUNCTION("""COMPUTED_VALUE"""),34100.0)</f>
        <v>34100</v>
      </c>
      <c r="D2219" s="1">
        <f>IFERROR(__xludf.DUMMYFUNCTION("""COMPUTED_VALUE"""),33300.0)</f>
        <v>33300</v>
      </c>
      <c r="E2219" s="1">
        <f>IFERROR(__xludf.DUMMYFUNCTION("""COMPUTED_VALUE"""),34000.0)</f>
        <v>34000</v>
      </c>
      <c r="F2219" s="1">
        <f>IFERROR(__xludf.DUMMYFUNCTION("""COMPUTED_VALUE"""),462119.0)</f>
        <v>462119</v>
      </c>
    </row>
    <row r="2220">
      <c r="A2220" s="2">
        <f>IFERROR(__xludf.DUMMYFUNCTION("""COMPUTED_VALUE"""),43846.64583333333)</f>
        <v>43846.64583</v>
      </c>
      <c r="B2220" s="1">
        <f>IFERROR(__xludf.DUMMYFUNCTION("""COMPUTED_VALUE"""),34000.0)</f>
        <v>34000</v>
      </c>
      <c r="C2220" s="1">
        <f>IFERROR(__xludf.DUMMYFUNCTION("""COMPUTED_VALUE"""),34400.0)</f>
        <v>34400</v>
      </c>
      <c r="D2220" s="1">
        <f>IFERROR(__xludf.DUMMYFUNCTION("""COMPUTED_VALUE"""),34000.0)</f>
        <v>34000</v>
      </c>
      <c r="E2220" s="1">
        <f>IFERROR(__xludf.DUMMYFUNCTION("""COMPUTED_VALUE"""),34300.0)</f>
        <v>34300</v>
      </c>
      <c r="F2220" s="1">
        <f>IFERROR(__xludf.DUMMYFUNCTION("""COMPUTED_VALUE"""),260049.0)</f>
        <v>260049</v>
      </c>
    </row>
    <row r="2221">
      <c r="A2221" s="2">
        <f>IFERROR(__xludf.DUMMYFUNCTION("""COMPUTED_VALUE"""),43847.64583333333)</f>
        <v>43847.64583</v>
      </c>
      <c r="B2221" s="1">
        <f>IFERROR(__xludf.DUMMYFUNCTION("""COMPUTED_VALUE"""),34300.0)</f>
        <v>34300</v>
      </c>
      <c r="C2221" s="1">
        <f>IFERROR(__xludf.DUMMYFUNCTION("""COMPUTED_VALUE"""),34500.0)</f>
        <v>34500</v>
      </c>
      <c r="D2221" s="1">
        <f>IFERROR(__xludf.DUMMYFUNCTION("""COMPUTED_VALUE"""),33600.0)</f>
        <v>33600</v>
      </c>
      <c r="E2221" s="1">
        <f>IFERROR(__xludf.DUMMYFUNCTION("""COMPUTED_VALUE"""),33700.0)</f>
        <v>33700</v>
      </c>
      <c r="F2221" s="1">
        <f>IFERROR(__xludf.DUMMYFUNCTION("""COMPUTED_VALUE"""),354724.0)</f>
        <v>354724</v>
      </c>
    </row>
    <row r="2222">
      <c r="A2222" s="2">
        <f>IFERROR(__xludf.DUMMYFUNCTION("""COMPUTED_VALUE"""),43850.64583333333)</f>
        <v>43850.64583</v>
      </c>
      <c r="B2222" s="1">
        <f>IFERROR(__xludf.DUMMYFUNCTION("""COMPUTED_VALUE"""),33800.0)</f>
        <v>33800</v>
      </c>
      <c r="C2222" s="1">
        <f>IFERROR(__xludf.DUMMYFUNCTION("""COMPUTED_VALUE"""),34000.0)</f>
        <v>34000</v>
      </c>
      <c r="D2222" s="1">
        <f>IFERROR(__xludf.DUMMYFUNCTION("""COMPUTED_VALUE"""),33400.0)</f>
        <v>33400</v>
      </c>
      <c r="E2222" s="1">
        <f>IFERROR(__xludf.DUMMYFUNCTION("""COMPUTED_VALUE"""),33700.0)</f>
        <v>33700</v>
      </c>
      <c r="F2222" s="1">
        <f>IFERROR(__xludf.DUMMYFUNCTION("""COMPUTED_VALUE"""),380510.0)</f>
        <v>380510</v>
      </c>
    </row>
    <row r="2223">
      <c r="A2223" s="2">
        <f>IFERROR(__xludf.DUMMYFUNCTION("""COMPUTED_VALUE"""),43851.64583333333)</f>
        <v>43851.64583</v>
      </c>
      <c r="B2223" s="1">
        <f>IFERROR(__xludf.DUMMYFUNCTION("""COMPUTED_VALUE"""),33700.0)</f>
        <v>33700</v>
      </c>
      <c r="C2223" s="1">
        <f>IFERROR(__xludf.DUMMYFUNCTION("""COMPUTED_VALUE"""),33800.0)</f>
        <v>33800</v>
      </c>
      <c r="D2223" s="1">
        <f>IFERROR(__xludf.DUMMYFUNCTION("""COMPUTED_VALUE"""),32700.0)</f>
        <v>32700</v>
      </c>
      <c r="E2223" s="1">
        <f>IFERROR(__xludf.DUMMYFUNCTION("""COMPUTED_VALUE"""),33000.0)</f>
        <v>33000</v>
      </c>
      <c r="F2223" s="1">
        <f>IFERROR(__xludf.DUMMYFUNCTION("""COMPUTED_VALUE"""),389155.0)</f>
        <v>389155</v>
      </c>
    </row>
    <row r="2224">
      <c r="A2224" s="2">
        <f>IFERROR(__xludf.DUMMYFUNCTION("""COMPUTED_VALUE"""),43852.64583333333)</f>
        <v>43852.64583</v>
      </c>
      <c r="B2224" s="1">
        <f>IFERROR(__xludf.DUMMYFUNCTION("""COMPUTED_VALUE"""),33200.0)</f>
        <v>33200</v>
      </c>
      <c r="C2224" s="1">
        <f>IFERROR(__xludf.DUMMYFUNCTION("""COMPUTED_VALUE"""),33800.0)</f>
        <v>33800</v>
      </c>
      <c r="D2224" s="1">
        <f>IFERROR(__xludf.DUMMYFUNCTION("""COMPUTED_VALUE"""),32900.0)</f>
        <v>32900</v>
      </c>
      <c r="E2224" s="1">
        <f>IFERROR(__xludf.DUMMYFUNCTION("""COMPUTED_VALUE"""),33200.0)</f>
        <v>33200</v>
      </c>
      <c r="F2224" s="1">
        <f>IFERROR(__xludf.DUMMYFUNCTION("""COMPUTED_VALUE"""),504350.0)</f>
        <v>504350</v>
      </c>
    </row>
    <row r="2225">
      <c r="A2225" s="2">
        <f>IFERROR(__xludf.DUMMYFUNCTION("""COMPUTED_VALUE"""),43853.64583333333)</f>
        <v>43853.64583</v>
      </c>
      <c r="B2225" s="1">
        <f>IFERROR(__xludf.DUMMYFUNCTION("""COMPUTED_VALUE"""),33600.0)</f>
        <v>33600</v>
      </c>
      <c r="C2225" s="1">
        <f>IFERROR(__xludf.DUMMYFUNCTION("""COMPUTED_VALUE"""),33600.0)</f>
        <v>33600</v>
      </c>
      <c r="D2225" s="1">
        <f>IFERROR(__xludf.DUMMYFUNCTION("""COMPUTED_VALUE"""),32900.0)</f>
        <v>32900</v>
      </c>
      <c r="E2225" s="1">
        <f>IFERROR(__xludf.DUMMYFUNCTION("""COMPUTED_VALUE"""),33100.0)</f>
        <v>33100</v>
      </c>
      <c r="F2225" s="1">
        <f>IFERROR(__xludf.DUMMYFUNCTION("""COMPUTED_VALUE"""),323420.0)</f>
        <v>323420</v>
      </c>
    </row>
    <row r="2226">
      <c r="A2226" s="2">
        <f>IFERROR(__xludf.DUMMYFUNCTION("""COMPUTED_VALUE"""),43858.64583333333)</f>
        <v>43858.64583</v>
      </c>
      <c r="B2226" s="1">
        <f>IFERROR(__xludf.DUMMYFUNCTION("""COMPUTED_VALUE"""),32000.0)</f>
        <v>32000</v>
      </c>
      <c r="C2226" s="1">
        <f>IFERROR(__xludf.DUMMYFUNCTION("""COMPUTED_VALUE"""),32700.0)</f>
        <v>32700</v>
      </c>
      <c r="D2226" s="1">
        <f>IFERROR(__xludf.DUMMYFUNCTION("""COMPUTED_VALUE"""),31900.0)</f>
        <v>31900</v>
      </c>
      <c r="E2226" s="1">
        <f>IFERROR(__xludf.DUMMYFUNCTION("""COMPUTED_VALUE"""),32500.0)</f>
        <v>32500</v>
      </c>
      <c r="F2226" s="1">
        <f>IFERROR(__xludf.DUMMYFUNCTION("""COMPUTED_VALUE"""),513228.0)</f>
        <v>513228</v>
      </c>
    </row>
    <row r="2227">
      <c r="A2227" s="2">
        <f>IFERROR(__xludf.DUMMYFUNCTION("""COMPUTED_VALUE"""),43859.64583333333)</f>
        <v>43859.64583</v>
      </c>
      <c r="B2227" s="1">
        <f>IFERROR(__xludf.DUMMYFUNCTION("""COMPUTED_VALUE"""),33100.0)</f>
        <v>33100</v>
      </c>
      <c r="C2227" s="1">
        <f>IFERROR(__xludf.DUMMYFUNCTION("""COMPUTED_VALUE"""),33200.0)</f>
        <v>33200</v>
      </c>
      <c r="D2227" s="1">
        <f>IFERROR(__xludf.DUMMYFUNCTION("""COMPUTED_VALUE"""),32500.0)</f>
        <v>32500</v>
      </c>
      <c r="E2227" s="1">
        <f>IFERROR(__xludf.DUMMYFUNCTION("""COMPUTED_VALUE"""),32700.0)</f>
        <v>32700</v>
      </c>
      <c r="F2227" s="1">
        <f>IFERROR(__xludf.DUMMYFUNCTION("""COMPUTED_VALUE"""),255167.0)</f>
        <v>255167</v>
      </c>
    </row>
    <row r="2228">
      <c r="A2228" s="2">
        <f>IFERROR(__xludf.DUMMYFUNCTION("""COMPUTED_VALUE"""),43860.64583333333)</f>
        <v>43860.64583</v>
      </c>
      <c r="B2228" s="1">
        <f>IFERROR(__xludf.DUMMYFUNCTION("""COMPUTED_VALUE"""),32600.0)</f>
        <v>32600</v>
      </c>
      <c r="C2228" s="1">
        <f>IFERROR(__xludf.DUMMYFUNCTION("""COMPUTED_VALUE"""),33100.0)</f>
        <v>33100</v>
      </c>
      <c r="D2228" s="1">
        <f>IFERROR(__xludf.DUMMYFUNCTION("""COMPUTED_VALUE"""),32100.0)</f>
        <v>32100</v>
      </c>
      <c r="E2228" s="1">
        <f>IFERROR(__xludf.DUMMYFUNCTION("""COMPUTED_VALUE"""),32400.0)</f>
        <v>32400</v>
      </c>
      <c r="F2228" s="1">
        <f>IFERROR(__xludf.DUMMYFUNCTION("""COMPUTED_VALUE"""),418908.0)</f>
        <v>418908</v>
      </c>
    </row>
    <row r="2229">
      <c r="A2229" s="2">
        <f>IFERROR(__xludf.DUMMYFUNCTION("""COMPUTED_VALUE"""),43861.64583333333)</f>
        <v>43861.64583</v>
      </c>
      <c r="B2229" s="1">
        <f>IFERROR(__xludf.DUMMYFUNCTION("""COMPUTED_VALUE"""),32500.0)</f>
        <v>32500</v>
      </c>
      <c r="C2229" s="1">
        <f>IFERROR(__xludf.DUMMYFUNCTION("""COMPUTED_VALUE"""),32800.0)</f>
        <v>32800</v>
      </c>
      <c r="D2229" s="1">
        <f>IFERROR(__xludf.DUMMYFUNCTION("""COMPUTED_VALUE"""),31700.0)</f>
        <v>31700</v>
      </c>
      <c r="E2229" s="1">
        <f>IFERROR(__xludf.DUMMYFUNCTION("""COMPUTED_VALUE"""),31800.0)</f>
        <v>31800</v>
      </c>
      <c r="F2229" s="1">
        <f>IFERROR(__xludf.DUMMYFUNCTION("""COMPUTED_VALUE"""),346067.0)</f>
        <v>346067</v>
      </c>
    </row>
    <row r="2230">
      <c r="A2230" s="2">
        <f>IFERROR(__xludf.DUMMYFUNCTION("""COMPUTED_VALUE"""),43864.64583333333)</f>
        <v>43864.64583</v>
      </c>
      <c r="B2230" s="1">
        <f>IFERROR(__xludf.DUMMYFUNCTION("""COMPUTED_VALUE"""),31200.0)</f>
        <v>31200</v>
      </c>
      <c r="C2230" s="1">
        <f>IFERROR(__xludf.DUMMYFUNCTION("""COMPUTED_VALUE"""),32100.0)</f>
        <v>32100</v>
      </c>
      <c r="D2230" s="1">
        <f>IFERROR(__xludf.DUMMYFUNCTION("""COMPUTED_VALUE"""),31200.0)</f>
        <v>31200</v>
      </c>
      <c r="E2230" s="1">
        <f>IFERROR(__xludf.DUMMYFUNCTION("""COMPUTED_VALUE"""),31900.0)</f>
        <v>31900</v>
      </c>
      <c r="F2230" s="1">
        <f>IFERROR(__xludf.DUMMYFUNCTION("""COMPUTED_VALUE"""),423907.0)</f>
        <v>423907</v>
      </c>
    </row>
    <row r="2231">
      <c r="A2231" s="2">
        <f>IFERROR(__xludf.DUMMYFUNCTION("""COMPUTED_VALUE"""),43865.64583333333)</f>
        <v>43865.64583</v>
      </c>
      <c r="B2231" s="1">
        <f>IFERROR(__xludf.DUMMYFUNCTION("""COMPUTED_VALUE"""),32300.0)</f>
        <v>32300</v>
      </c>
      <c r="C2231" s="1">
        <f>IFERROR(__xludf.DUMMYFUNCTION("""COMPUTED_VALUE"""),33100.0)</f>
        <v>33100</v>
      </c>
      <c r="D2231" s="1">
        <f>IFERROR(__xludf.DUMMYFUNCTION("""COMPUTED_VALUE"""),32100.0)</f>
        <v>32100</v>
      </c>
      <c r="E2231" s="1">
        <f>IFERROR(__xludf.DUMMYFUNCTION("""COMPUTED_VALUE"""),32900.0)</f>
        <v>32900</v>
      </c>
      <c r="F2231" s="1">
        <f>IFERROR(__xludf.DUMMYFUNCTION("""COMPUTED_VALUE"""),394773.0)</f>
        <v>394773</v>
      </c>
    </row>
    <row r="2232">
      <c r="A2232" s="2">
        <f>IFERROR(__xludf.DUMMYFUNCTION("""COMPUTED_VALUE"""),43866.64583333333)</f>
        <v>43866.64583</v>
      </c>
      <c r="B2232" s="1">
        <f>IFERROR(__xludf.DUMMYFUNCTION("""COMPUTED_VALUE"""),33300.0)</f>
        <v>33300</v>
      </c>
      <c r="C2232" s="1">
        <f>IFERROR(__xludf.DUMMYFUNCTION("""COMPUTED_VALUE"""),33400.0)</f>
        <v>33400</v>
      </c>
      <c r="D2232" s="1">
        <f>IFERROR(__xludf.DUMMYFUNCTION("""COMPUTED_VALUE"""),32300.0)</f>
        <v>32300</v>
      </c>
      <c r="E2232" s="1">
        <f>IFERROR(__xludf.DUMMYFUNCTION("""COMPUTED_VALUE"""),32600.0)</f>
        <v>32600</v>
      </c>
      <c r="F2232" s="1">
        <f>IFERROR(__xludf.DUMMYFUNCTION("""COMPUTED_VALUE"""),456954.0)</f>
        <v>456954</v>
      </c>
    </row>
    <row r="2233">
      <c r="A2233" s="2">
        <f>IFERROR(__xludf.DUMMYFUNCTION("""COMPUTED_VALUE"""),43867.64583333333)</f>
        <v>43867.64583</v>
      </c>
      <c r="B2233" s="1">
        <f>IFERROR(__xludf.DUMMYFUNCTION("""COMPUTED_VALUE"""),33100.0)</f>
        <v>33100</v>
      </c>
      <c r="C2233" s="1">
        <f>IFERROR(__xludf.DUMMYFUNCTION("""COMPUTED_VALUE"""),33600.0)</f>
        <v>33600</v>
      </c>
      <c r="D2233" s="1">
        <f>IFERROR(__xludf.DUMMYFUNCTION("""COMPUTED_VALUE"""),32700.0)</f>
        <v>32700</v>
      </c>
      <c r="E2233" s="1">
        <f>IFERROR(__xludf.DUMMYFUNCTION("""COMPUTED_VALUE"""),33200.0)</f>
        <v>33200</v>
      </c>
      <c r="F2233" s="1">
        <f>IFERROR(__xludf.DUMMYFUNCTION("""COMPUTED_VALUE"""),552044.0)</f>
        <v>552044</v>
      </c>
    </row>
    <row r="2234">
      <c r="A2234" s="2">
        <f>IFERROR(__xludf.DUMMYFUNCTION("""COMPUTED_VALUE"""),43868.64583333333)</f>
        <v>43868.64583</v>
      </c>
      <c r="B2234" s="1">
        <f>IFERROR(__xludf.DUMMYFUNCTION("""COMPUTED_VALUE"""),33400.0)</f>
        <v>33400</v>
      </c>
      <c r="C2234" s="1">
        <f>IFERROR(__xludf.DUMMYFUNCTION("""COMPUTED_VALUE"""),34100.0)</f>
        <v>34100</v>
      </c>
      <c r="D2234" s="1">
        <f>IFERROR(__xludf.DUMMYFUNCTION("""COMPUTED_VALUE"""),33200.0)</f>
        <v>33200</v>
      </c>
      <c r="E2234" s="1">
        <f>IFERROR(__xludf.DUMMYFUNCTION("""COMPUTED_VALUE"""),33500.0)</f>
        <v>33500</v>
      </c>
      <c r="F2234" s="1">
        <f>IFERROR(__xludf.DUMMYFUNCTION("""COMPUTED_VALUE"""),522100.0)</f>
        <v>522100</v>
      </c>
    </row>
    <row r="2235">
      <c r="A2235" s="2">
        <f>IFERROR(__xludf.DUMMYFUNCTION("""COMPUTED_VALUE"""),43871.64583333333)</f>
        <v>43871.64583</v>
      </c>
      <c r="B2235" s="1">
        <f>IFERROR(__xludf.DUMMYFUNCTION("""COMPUTED_VALUE"""),33500.0)</f>
        <v>33500</v>
      </c>
      <c r="C2235" s="1">
        <f>IFERROR(__xludf.DUMMYFUNCTION("""COMPUTED_VALUE"""),33900.0)</f>
        <v>33900</v>
      </c>
      <c r="D2235" s="1">
        <f>IFERROR(__xludf.DUMMYFUNCTION("""COMPUTED_VALUE"""),33200.0)</f>
        <v>33200</v>
      </c>
      <c r="E2235" s="1">
        <f>IFERROR(__xludf.DUMMYFUNCTION("""COMPUTED_VALUE"""),33800.0)</f>
        <v>33800</v>
      </c>
      <c r="F2235" s="1">
        <f>IFERROR(__xludf.DUMMYFUNCTION("""COMPUTED_VALUE"""),375209.0)</f>
        <v>375209</v>
      </c>
    </row>
    <row r="2236">
      <c r="A2236" s="2">
        <f>IFERROR(__xludf.DUMMYFUNCTION("""COMPUTED_VALUE"""),43872.64583333333)</f>
        <v>43872.64583</v>
      </c>
      <c r="B2236" s="1">
        <f>IFERROR(__xludf.DUMMYFUNCTION("""COMPUTED_VALUE"""),33800.0)</f>
        <v>33800</v>
      </c>
      <c r="C2236" s="1">
        <f>IFERROR(__xludf.DUMMYFUNCTION("""COMPUTED_VALUE"""),34000.0)</f>
        <v>34000</v>
      </c>
      <c r="D2236" s="1">
        <f>IFERROR(__xludf.DUMMYFUNCTION("""COMPUTED_VALUE"""),33600.0)</f>
        <v>33600</v>
      </c>
      <c r="E2236" s="1">
        <f>IFERROR(__xludf.DUMMYFUNCTION("""COMPUTED_VALUE"""),34000.0)</f>
        <v>34000</v>
      </c>
      <c r="F2236" s="1">
        <f>IFERROR(__xludf.DUMMYFUNCTION("""COMPUTED_VALUE"""),307120.0)</f>
        <v>307120</v>
      </c>
    </row>
    <row r="2237">
      <c r="A2237" s="2">
        <f>IFERROR(__xludf.DUMMYFUNCTION("""COMPUTED_VALUE"""),43873.64583333333)</f>
        <v>43873.64583</v>
      </c>
      <c r="B2237" s="1">
        <f>IFERROR(__xludf.DUMMYFUNCTION("""COMPUTED_VALUE"""),33900.0)</f>
        <v>33900</v>
      </c>
      <c r="C2237" s="1">
        <f>IFERROR(__xludf.DUMMYFUNCTION("""COMPUTED_VALUE"""),34400.0)</f>
        <v>34400</v>
      </c>
      <c r="D2237" s="1">
        <f>IFERROR(__xludf.DUMMYFUNCTION("""COMPUTED_VALUE"""),33600.0)</f>
        <v>33600</v>
      </c>
      <c r="E2237" s="1">
        <f>IFERROR(__xludf.DUMMYFUNCTION("""COMPUTED_VALUE"""),34400.0)</f>
        <v>34400</v>
      </c>
      <c r="F2237" s="1">
        <f>IFERROR(__xludf.DUMMYFUNCTION("""COMPUTED_VALUE"""),407917.0)</f>
        <v>407917</v>
      </c>
    </row>
    <row r="2238">
      <c r="A2238" s="2">
        <f>IFERROR(__xludf.DUMMYFUNCTION("""COMPUTED_VALUE"""),43874.64583333333)</f>
        <v>43874.64583</v>
      </c>
      <c r="B2238" s="1">
        <f>IFERROR(__xludf.DUMMYFUNCTION("""COMPUTED_VALUE"""),34900.0)</f>
        <v>34900</v>
      </c>
      <c r="C2238" s="1">
        <f>IFERROR(__xludf.DUMMYFUNCTION("""COMPUTED_VALUE"""),36300.0)</f>
        <v>36300</v>
      </c>
      <c r="D2238" s="1">
        <f>IFERROR(__xludf.DUMMYFUNCTION("""COMPUTED_VALUE"""),34700.0)</f>
        <v>34700</v>
      </c>
      <c r="E2238" s="1">
        <f>IFERROR(__xludf.DUMMYFUNCTION("""COMPUTED_VALUE"""),35800.0)</f>
        <v>35800</v>
      </c>
      <c r="F2238" s="1">
        <f>IFERROR(__xludf.DUMMYFUNCTION("""COMPUTED_VALUE"""),1877980.0)</f>
        <v>1877980</v>
      </c>
    </row>
    <row r="2239">
      <c r="A2239" s="2">
        <f>IFERROR(__xludf.DUMMYFUNCTION("""COMPUTED_VALUE"""),43875.64583333333)</f>
        <v>43875.64583</v>
      </c>
      <c r="B2239" s="1">
        <f>IFERROR(__xludf.DUMMYFUNCTION("""COMPUTED_VALUE"""),36200.0)</f>
        <v>36200</v>
      </c>
      <c r="C2239" s="1">
        <f>IFERROR(__xludf.DUMMYFUNCTION("""COMPUTED_VALUE"""),36900.0)</f>
        <v>36900</v>
      </c>
      <c r="D2239" s="1">
        <f>IFERROR(__xludf.DUMMYFUNCTION("""COMPUTED_VALUE"""),35800.0)</f>
        <v>35800</v>
      </c>
      <c r="E2239" s="1">
        <f>IFERROR(__xludf.DUMMYFUNCTION("""COMPUTED_VALUE"""),36000.0)</f>
        <v>36000</v>
      </c>
      <c r="F2239" s="1">
        <f>IFERROR(__xludf.DUMMYFUNCTION("""COMPUTED_VALUE"""),948085.0)</f>
        <v>948085</v>
      </c>
    </row>
    <row r="2240">
      <c r="A2240" s="2">
        <f>IFERROR(__xludf.DUMMYFUNCTION("""COMPUTED_VALUE"""),43878.64583333333)</f>
        <v>43878.64583</v>
      </c>
      <c r="B2240" s="1">
        <f>IFERROR(__xludf.DUMMYFUNCTION("""COMPUTED_VALUE"""),36000.0)</f>
        <v>36000</v>
      </c>
      <c r="C2240" s="1">
        <f>IFERROR(__xludf.DUMMYFUNCTION("""COMPUTED_VALUE"""),36400.0)</f>
        <v>36400</v>
      </c>
      <c r="D2240" s="1">
        <f>IFERROR(__xludf.DUMMYFUNCTION("""COMPUTED_VALUE"""),35800.0)</f>
        <v>35800</v>
      </c>
      <c r="E2240" s="1">
        <f>IFERROR(__xludf.DUMMYFUNCTION("""COMPUTED_VALUE"""),36100.0)</f>
        <v>36100</v>
      </c>
      <c r="F2240" s="1">
        <f>IFERROR(__xludf.DUMMYFUNCTION("""COMPUTED_VALUE"""),329408.0)</f>
        <v>329408</v>
      </c>
    </row>
    <row r="2241">
      <c r="A2241" s="2">
        <f>IFERROR(__xludf.DUMMYFUNCTION("""COMPUTED_VALUE"""),43879.64583333333)</f>
        <v>43879.64583</v>
      </c>
      <c r="B2241" s="1">
        <f>IFERROR(__xludf.DUMMYFUNCTION("""COMPUTED_VALUE"""),36100.0)</f>
        <v>36100</v>
      </c>
      <c r="C2241" s="1">
        <f>IFERROR(__xludf.DUMMYFUNCTION("""COMPUTED_VALUE"""),36700.0)</f>
        <v>36700</v>
      </c>
      <c r="D2241" s="1">
        <f>IFERROR(__xludf.DUMMYFUNCTION("""COMPUTED_VALUE"""),35800.0)</f>
        <v>35800</v>
      </c>
      <c r="E2241" s="1">
        <f>IFERROR(__xludf.DUMMYFUNCTION("""COMPUTED_VALUE"""),36400.0)</f>
        <v>36400</v>
      </c>
      <c r="F2241" s="1">
        <f>IFERROR(__xludf.DUMMYFUNCTION("""COMPUTED_VALUE"""),587253.0)</f>
        <v>587253</v>
      </c>
    </row>
    <row r="2242">
      <c r="A2242" s="2">
        <f>IFERROR(__xludf.DUMMYFUNCTION("""COMPUTED_VALUE"""),43880.64583333333)</f>
        <v>43880.64583</v>
      </c>
      <c r="B2242" s="1">
        <f>IFERROR(__xludf.DUMMYFUNCTION("""COMPUTED_VALUE"""),36800.0)</f>
        <v>36800</v>
      </c>
      <c r="C2242" s="1">
        <f>IFERROR(__xludf.DUMMYFUNCTION("""COMPUTED_VALUE"""),38100.0)</f>
        <v>38100</v>
      </c>
      <c r="D2242" s="1">
        <f>IFERROR(__xludf.DUMMYFUNCTION("""COMPUTED_VALUE"""),36700.0)</f>
        <v>36700</v>
      </c>
      <c r="E2242" s="1">
        <f>IFERROR(__xludf.DUMMYFUNCTION("""COMPUTED_VALUE"""),38000.0)</f>
        <v>38000</v>
      </c>
      <c r="F2242" s="1">
        <f>IFERROR(__xludf.DUMMYFUNCTION("""COMPUTED_VALUE"""),1362998.0)</f>
        <v>1362998</v>
      </c>
    </row>
    <row r="2243">
      <c r="A2243" s="2">
        <f>IFERROR(__xludf.DUMMYFUNCTION("""COMPUTED_VALUE"""),43881.64583333333)</f>
        <v>43881.64583</v>
      </c>
      <c r="B2243" s="1">
        <f>IFERROR(__xludf.DUMMYFUNCTION("""COMPUTED_VALUE"""),38100.0)</f>
        <v>38100</v>
      </c>
      <c r="C2243" s="1">
        <f>IFERROR(__xludf.DUMMYFUNCTION("""COMPUTED_VALUE"""),38300.0)</f>
        <v>38300</v>
      </c>
      <c r="D2243" s="1">
        <f>IFERROR(__xludf.DUMMYFUNCTION("""COMPUTED_VALUE"""),37600.0)</f>
        <v>37600</v>
      </c>
      <c r="E2243" s="1">
        <f>IFERROR(__xludf.DUMMYFUNCTION("""COMPUTED_VALUE"""),38100.0)</f>
        <v>38100</v>
      </c>
      <c r="F2243" s="1">
        <f>IFERROR(__xludf.DUMMYFUNCTION("""COMPUTED_VALUE"""),547405.0)</f>
        <v>547405</v>
      </c>
    </row>
    <row r="2244">
      <c r="A2244" s="2">
        <f>IFERROR(__xludf.DUMMYFUNCTION("""COMPUTED_VALUE"""),43882.64583333333)</f>
        <v>43882.64583</v>
      </c>
      <c r="B2244" s="1">
        <f>IFERROR(__xludf.DUMMYFUNCTION("""COMPUTED_VALUE"""),37700.0)</f>
        <v>37700</v>
      </c>
      <c r="C2244" s="1">
        <f>IFERROR(__xludf.DUMMYFUNCTION("""COMPUTED_VALUE"""),38300.0)</f>
        <v>38300</v>
      </c>
      <c r="D2244" s="1">
        <f>IFERROR(__xludf.DUMMYFUNCTION("""COMPUTED_VALUE"""),37500.0)</f>
        <v>37500</v>
      </c>
      <c r="E2244" s="1">
        <f>IFERROR(__xludf.DUMMYFUNCTION("""COMPUTED_VALUE"""),37900.0)</f>
        <v>37900</v>
      </c>
      <c r="F2244" s="1">
        <f>IFERROR(__xludf.DUMMYFUNCTION("""COMPUTED_VALUE"""),558497.0)</f>
        <v>558497</v>
      </c>
    </row>
    <row r="2245">
      <c r="A2245" s="2">
        <f>IFERROR(__xludf.DUMMYFUNCTION("""COMPUTED_VALUE"""),43885.64583333333)</f>
        <v>43885.64583</v>
      </c>
      <c r="B2245" s="1">
        <f>IFERROR(__xludf.DUMMYFUNCTION("""COMPUTED_VALUE"""),36900.0)</f>
        <v>36900</v>
      </c>
      <c r="C2245" s="1">
        <f>IFERROR(__xludf.DUMMYFUNCTION("""COMPUTED_VALUE"""),37200.0)</f>
        <v>37200</v>
      </c>
      <c r="D2245" s="1">
        <f>IFERROR(__xludf.DUMMYFUNCTION("""COMPUTED_VALUE"""),36400.0)</f>
        <v>36400</v>
      </c>
      <c r="E2245" s="1">
        <f>IFERROR(__xludf.DUMMYFUNCTION("""COMPUTED_VALUE"""),36700.0)</f>
        <v>36700</v>
      </c>
      <c r="F2245" s="1">
        <f>IFERROR(__xludf.DUMMYFUNCTION("""COMPUTED_VALUE"""),792733.0)</f>
        <v>792733</v>
      </c>
    </row>
    <row r="2246">
      <c r="A2246" s="2">
        <f>IFERROR(__xludf.DUMMYFUNCTION("""COMPUTED_VALUE"""),43886.64583333333)</f>
        <v>43886.64583</v>
      </c>
      <c r="B2246" s="1">
        <f>IFERROR(__xludf.DUMMYFUNCTION("""COMPUTED_VALUE"""),36400.0)</f>
        <v>36400</v>
      </c>
      <c r="C2246" s="1">
        <f>IFERROR(__xludf.DUMMYFUNCTION("""COMPUTED_VALUE"""),37200.0)</f>
        <v>37200</v>
      </c>
      <c r="D2246" s="1">
        <f>IFERROR(__xludf.DUMMYFUNCTION("""COMPUTED_VALUE"""),36000.0)</f>
        <v>36000</v>
      </c>
      <c r="E2246" s="1">
        <f>IFERROR(__xludf.DUMMYFUNCTION("""COMPUTED_VALUE"""),37100.0)</f>
        <v>37100</v>
      </c>
      <c r="F2246" s="1">
        <f>IFERROR(__xludf.DUMMYFUNCTION("""COMPUTED_VALUE"""),596763.0)</f>
        <v>596763</v>
      </c>
    </row>
    <row r="2247">
      <c r="A2247" s="2">
        <f>IFERROR(__xludf.DUMMYFUNCTION("""COMPUTED_VALUE"""),43887.64583333333)</f>
        <v>43887.64583</v>
      </c>
      <c r="B2247" s="1">
        <f>IFERROR(__xludf.DUMMYFUNCTION("""COMPUTED_VALUE"""),36700.0)</f>
        <v>36700</v>
      </c>
      <c r="C2247" s="1">
        <f>IFERROR(__xludf.DUMMYFUNCTION("""COMPUTED_VALUE"""),37100.0)</f>
        <v>37100</v>
      </c>
      <c r="D2247" s="1">
        <f>IFERROR(__xludf.DUMMYFUNCTION("""COMPUTED_VALUE"""),36300.0)</f>
        <v>36300</v>
      </c>
      <c r="E2247" s="1">
        <f>IFERROR(__xludf.DUMMYFUNCTION("""COMPUTED_VALUE"""),36800.0)</f>
        <v>36800</v>
      </c>
      <c r="F2247" s="1">
        <f>IFERROR(__xludf.DUMMYFUNCTION("""COMPUTED_VALUE"""),516378.0)</f>
        <v>516378</v>
      </c>
    </row>
    <row r="2248">
      <c r="A2248" s="2">
        <f>IFERROR(__xludf.DUMMYFUNCTION("""COMPUTED_VALUE"""),43888.64583333333)</f>
        <v>43888.64583</v>
      </c>
      <c r="B2248" s="1">
        <f>IFERROR(__xludf.DUMMYFUNCTION("""COMPUTED_VALUE"""),36800.0)</f>
        <v>36800</v>
      </c>
      <c r="C2248" s="1">
        <f>IFERROR(__xludf.DUMMYFUNCTION("""COMPUTED_VALUE"""),37100.0)</f>
        <v>37100</v>
      </c>
      <c r="D2248" s="1">
        <f>IFERROR(__xludf.DUMMYFUNCTION("""COMPUTED_VALUE"""),35300.0)</f>
        <v>35300</v>
      </c>
      <c r="E2248" s="1">
        <f>IFERROR(__xludf.DUMMYFUNCTION("""COMPUTED_VALUE"""),35700.0)</f>
        <v>35700</v>
      </c>
      <c r="F2248" s="1">
        <f>IFERROR(__xludf.DUMMYFUNCTION("""COMPUTED_VALUE"""),785062.0)</f>
        <v>785062</v>
      </c>
    </row>
    <row r="2249">
      <c r="A2249" s="2">
        <f>IFERROR(__xludf.DUMMYFUNCTION("""COMPUTED_VALUE"""),43889.64583333333)</f>
        <v>43889.64583</v>
      </c>
      <c r="B2249" s="1">
        <f>IFERROR(__xludf.DUMMYFUNCTION("""COMPUTED_VALUE"""),34900.0)</f>
        <v>34900</v>
      </c>
      <c r="C2249" s="1">
        <f>IFERROR(__xludf.DUMMYFUNCTION("""COMPUTED_VALUE"""),35300.0)</f>
        <v>35300</v>
      </c>
      <c r="D2249" s="1">
        <f>IFERROR(__xludf.DUMMYFUNCTION("""COMPUTED_VALUE"""),34100.0)</f>
        <v>34100</v>
      </c>
      <c r="E2249" s="1">
        <f>IFERROR(__xludf.DUMMYFUNCTION("""COMPUTED_VALUE"""),34400.0)</f>
        <v>34400</v>
      </c>
      <c r="F2249" s="1">
        <f>IFERROR(__xludf.DUMMYFUNCTION("""COMPUTED_VALUE"""),1022917.0)</f>
        <v>1022917</v>
      </c>
    </row>
    <row r="2250">
      <c r="A2250" s="2">
        <f>IFERROR(__xludf.DUMMYFUNCTION("""COMPUTED_VALUE"""),43892.64583333333)</f>
        <v>43892.64583</v>
      </c>
      <c r="B2250" s="1">
        <f>IFERROR(__xludf.DUMMYFUNCTION("""COMPUTED_VALUE"""),34900.0)</f>
        <v>34900</v>
      </c>
      <c r="C2250" s="1">
        <f>IFERROR(__xludf.DUMMYFUNCTION("""COMPUTED_VALUE"""),35300.0)</f>
        <v>35300</v>
      </c>
      <c r="D2250" s="1">
        <f>IFERROR(__xludf.DUMMYFUNCTION("""COMPUTED_VALUE"""),33900.0)</f>
        <v>33900</v>
      </c>
      <c r="E2250" s="1">
        <f>IFERROR(__xludf.DUMMYFUNCTION("""COMPUTED_VALUE"""),35000.0)</f>
        <v>35000</v>
      </c>
      <c r="F2250" s="1">
        <f>IFERROR(__xludf.DUMMYFUNCTION("""COMPUTED_VALUE"""),793495.0)</f>
        <v>793495</v>
      </c>
    </row>
    <row r="2251">
      <c r="A2251" s="2">
        <f>IFERROR(__xludf.DUMMYFUNCTION("""COMPUTED_VALUE"""),43893.64583333333)</f>
        <v>43893.64583</v>
      </c>
      <c r="B2251" s="1">
        <f>IFERROR(__xludf.DUMMYFUNCTION("""COMPUTED_VALUE"""),36100.0)</f>
        <v>36100</v>
      </c>
      <c r="C2251" s="1">
        <f>IFERROR(__xludf.DUMMYFUNCTION("""COMPUTED_VALUE"""),36200.0)</f>
        <v>36200</v>
      </c>
      <c r="D2251" s="1">
        <f>IFERROR(__xludf.DUMMYFUNCTION("""COMPUTED_VALUE"""),35000.0)</f>
        <v>35000</v>
      </c>
      <c r="E2251" s="1">
        <f>IFERROR(__xludf.DUMMYFUNCTION("""COMPUTED_VALUE"""),35000.0)</f>
        <v>35000</v>
      </c>
      <c r="F2251" s="1">
        <f>IFERROR(__xludf.DUMMYFUNCTION("""COMPUTED_VALUE"""),629017.0)</f>
        <v>629017</v>
      </c>
    </row>
    <row r="2252">
      <c r="A2252" s="2">
        <f>IFERROR(__xludf.DUMMYFUNCTION("""COMPUTED_VALUE"""),43894.64583333333)</f>
        <v>43894.64583</v>
      </c>
      <c r="B2252" s="1">
        <f>IFERROR(__xludf.DUMMYFUNCTION("""COMPUTED_VALUE"""),34800.0)</f>
        <v>34800</v>
      </c>
      <c r="C2252" s="1">
        <f>IFERROR(__xludf.DUMMYFUNCTION("""COMPUTED_VALUE"""),36200.0)</f>
        <v>36200</v>
      </c>
      <c r="D2252" s="1">
        <f>IFERROR(__xludf.DUMMYFUNCTION("""COMPUTED_VALUE"""),34800.0)</f>
        <v>34800</v>
      </c>
      <c r="E2252" s="1">
        <f>IFERROR(__xludf.DUMMYFUNCTION("""COMPUTED_VALUE"""),35900.0)</f>
        <v>35900</v>
      </c>
      <c r="F2252" s="1">
        <f>IFERROR(__xludf.DUMMYFUNCTION("""COMPUTED_VALUE"""),709188.0)</f>
        <v>709188</v>
      </c>
    </row>
    <row r="2253">
      <c r="A2253" s="2">
        <f>IFERROR(__xludf.DUMMYFUNCTION("""COMPUTED_VALUE"""),43895.64583333333)</f>
        <v>43895.64583</v>
      </c>
      <c r="B2253" s="1">
        <f>IFERROR(__xludf.DUMMYFUNCTION("""COMPUTED_VALUE"""),36500.0)</f>
        <v>36500</v>
      </c>
      <c r="C2253" s="1">
        <f>IFERROR(__xludf.DUMMYFUNCTION("""COMPUTED_VALUE"""),36600.0)</f>
        <v>36600</v>
      </c>
      <c r="D2253" s="1">
        <f>IFERROR(__xludf.DUMMYFUNCTION("""COMPUTED_VALUE"""),35300.0)</f>
        <v>35300</v>
      </c>
      <c r="E2253" s="1">
        <f>IFERROR(__xludf.DUMMYFUNCTION("""COMPUTED_VALUE"""),35900.0)</f>
        <v>35900</v>
      </c>
      <c r="F2253" s="1">
        <f>IFERROR(__xludf.DUMMYFUNCTION("""COMPUTED_VALUE"""),821744.0)</f>
        <v>821744</v>
      </c>
    </row>
    <row r="2254">
      <c r="A2254" s="2">
        <f>IFERROR(__xludf.DUMMYFUNCTION("""COMPUTED_VALUE"""),43896.64583333333)</f>
        <v>43896.64583</v>
      </c>
      <c r="B2254" s="1">
        <f>IFERROR(__xludf.DUMMYFUNCTION("""COMPUTED_VALUE"""),35300.0)</f>
        <v>35300</v>
      </c>
      <c r="C2254" s="1">
        <f>IFERROR(__xludf.DUMMYFUNCTION("""COMPUTED_VALUE"""),35700.0)</f>
        <v>35700</v>
      </c>
      <c r="D2254" s="1">
        <f>IFERROR(__xludf.DUMMYFUNCTION("""COMPUTED_VALUE"""),34800.0)</f>
        <v>34800</v>
      </c>
      <c r="E2254" s="1">
        <f>IFERROR(__xludf.DUMMYFUNCTION("""COMPUTED_VALUE"""),35100.0)</f>
        <v>35100</v>
      </c>
      <c r="F2254" s="1">
        <f>IFERROR(__xludf.DUMMYFUNCTION("""COMPUTED_VALUE"""),568424.0)</f>
        <v>568424</v>
      </c>
    </row>
    <row r="2255">
      <c r="A2255" s="2">
        <f>IFERROR(__xludf.DUMMYFUNCTION("""COMPUTED_VALUE"""),43899.64583333333)</f>
        <v>43899.64583</v>
      </c>
      <c r="B2255" s="1">
        <f>IFERROR(__xludf.DUMMYFUNCTION("""COMPUTED_VALUE"""),34200.0)</f>
        <v>34200</v>
      </c>
      <c r="C2255" s="1">
        <f>IFERROR(__xludf.DUMMYFUNCTION("""COMPUTED_VALUE"""),34300.0)</f>
        <v>34300</v>
      </c>
      <c r="D2255" s="1">
        <f>IFERROR(__xludf.DUMMYFUNCTION("""COMPUTED_VALUE"""),33200.0)</f>
        <v>33200</v>
      </c>
      <c r="E2255" s="1">
        <f>IFERROR(__xludf.DUMMYFUNCTION("""COMPUTED_VALUE"""),33500.0)</f>
        <v>33500</v>
      </c>
      <c r="F2255" s="1">
        <f>IFERROR(__xludf.DUMMYFUNCTION("""COMPUTED_VALUE"""),805638.0)</f>
        <v>805638</v>
      </c>
    </row>
    <row r="2256">
      <c r="A2256" s="2">
        <f>IFERROR(__xludf.DUMMYFUNCTION("""COMPUTED_VALUE"""),43900.64583333333)</f>
        <v>43900.64583</v>
      </c>
      <c r="B2256" s="1">
        <f>IFERROR(__xludf.DUMMYFUNCTION("""COMPUTED_VALUE"""),32900.0)</f>
        <v>32900</v>
      </c>
      <c r="C2256" s="1">
        <f>IFERROR(__xludf.DUMMYFUNCTION("""COMPUTED_VALUE"""),34900.0)</f>
        <v>34900</v>
      </c>
      <c r="D2256" s="1">
        <f>IFERROR(__xludf.DUMMYFUNCTION("""COMPUTED_VALUE"""),32800.0)</f>
        <v>32800</v>
      </c>
      <c r="E2256" s="1">
        <f>IFERROR(__xludf.DUMMYFUNCTION("""COMPUTED_VALUE"""),34600.0)</f>
        <v>34600</v>
      </c>
      <c r="F2256" s="1">
        <f>IFERROR(__xludf.DUMMYFUNCTION("""COMPUTED_VALUE"""),950875.0)</f>
        <v>950875</v>
      </c>
    </row>
    <row r="2257">
      <c r="A2257" s="2">
        <f>IFERROR(__xludf.DUMMYFUNCTION("""COMPUTED_VALUE"""),43901.64583333333)</f>
        <v>43901.64583</v>
      </c>
      <c r="B2257" s="1">
        <f>IFERROR(__xludf.DUMMYFUNCTION("""COMPUTED_VALUE"""),34400.0)</f>
        <v>34400</v>
      </c>
      <c r="C2257" s="1">
        <f>IFERROR(__xludf.DUMMYFUNCTION("""COMPUTED_VALUE"""),34900.0)</f>
        <v>34900</v>
      </c>
      <c r="D2257" s="1">
        <f>IFERROR(__xludf.DUMMYFUNCTION("""COMPUTED_VALUE"""),33400.0)</f>
        <v>33400</v>
      </c>
      <c r="E2257" s="1">
        <f>IFERROR(__xludf.DUMMYFUNCTION("""COMPUTED_VALUE"""),33800.0)</f>
        <v>33800</v>
      </c>
      <c r="F2257" s="1">
        <f>IFERROR(__xludf.DUMMYFUNCTION("""COMPUTED_VALUE"""),550227.0)</f>
        <v>550227</v>
      </c>
    </row>
    <row r="2258">
      <c r="A2258" s="2">
        <f>IFERROR(__xludf.DUMMYFUNCTION("""COMPUTED_VALUE"""),43902.64583333333)</f>
        <v>43902.64583</v>
      </c>
      <c r="B2258" s="1">
        <f>IFERROR(__xludf.DUMMYFUNCTION("""COMPUTED_VALUE"""),33400.0)</f>
        <v>33400</v>
      </c>
      <c r="C2258" s="1">
        <f>IFERROR(__xludf.DUMMYFUNCTION("""COMPUTED_VALUE"""),33800.0)</f>
        <v>33800</v>
      </c>
      <c r="D2258" s="1">
        <f>IFERROR(__xludf.DUMMYFUNCTION("""COMPUTED_VALUE"""),31700.0)</f>
        <v>31700</v>
      </c>
      <c r="E2258" s="1">
        <f>IFERROR(__xludf.DUMMYFUNCTION("""COMPUTED_VALUE"""),32200.0)</f>
        <v>32200</v>
      </c>
      <c r="F2258" s="1">
        <f>IFERROR(__xludf.DUMMYFUNCTION("""COMPUTED_VALUE"""),1218070.0)</f>
        <v>1218070</v>
      </c>
    </row>
    <row r="2259">
      <c r="A2259" s="2">
        <f>IFERROR(__xludf.DUMMYFUNCTION("""COMPUTED_VALUE"""),43903.64583333333)</f>
        <v>43903.64583</v>
      </c>
      <c r="B2259" s="1">
        <f>IFERROR(__xludf.DUMMYFUNCTION("""COMPUTED_VALUE"""),30000.0)</f>
        <v>30000</v>
      </c>
      <c r="C2259" s="1">
        <f>IFERROR(__xludf.DUMMYFUNCTION("""COMPUTED_VALUE"""),32300.0)</f>
        <v>32300</v>
      </c>
      <c r="D2259" s="1">
        <f>IFERROR(__xludf.DUMMYFUNCTION("""COMPUTED_VALUE"""),29000.0)</f>
        <v>29000</v>
      </c>
      <c r="E2259" s="1">
        <f>IFERROR(__xludf.DUMMYFUNCTION("""COMPUTED_VALUE"""),31800.0)</f>
        <v>31800</v>
      </c>
      <c r="F2259" s="1">
        <f>IFERROR(__xludf.DUMMYFUNCTION("""COMPUTED_VALUE"""),1601985.0)</f>
        <v>1601985</v>
      </c>
    </row>
    <row r="2260">
      <c r="A2260" s="2">
        <f>IFERROR(__xludf.DUMMYFUNCTION("""COMPUTED_VALUE"""),43906.64583333333)</f>
        <v>43906.64583</v>
      </c>
      <c r="B2260" s="1">
        <f>IFERROR(__xludf.DUMMYFUNCTION("""COMPUTED_VALUE"""),32400.0)</f>
        <v>32400</v>
      </c>
      <c r="C2260" s="1">
        <f>IFERROR(__xludf.DUMMYFUNCTION("""COMPUTED_VALUE"""),32800.0)</f>
        <v>32800</v>
      </c>
      <c r="D2260" s="1">
        <f>IFERROR(__xludf.DUMMYFUNCTION("""COMPUTED_VALUE"""),29500.0)</f>
        <v>29500</v>
      </c>
      <c r="E2260" s="1">
        <f>IFERROR(__xludf.DUMMYFUNCTION("""COMPUTED_VALUE"""),29500.0)</f>
        <v>29500</v>
      </c>
      <c r="F2260" s="1">
        <f>IFERROR(__xludf.DUMMYFUNCTION("""COMPUTED_VALUE"""),1252484.0)</f>
        <v>1252484</v>
      </c>
    </row>
    <row r="2261">
      <c r="A2261" s="2">
        <f>IFERROR(__xludf.DUMMYFUNCTION("""COMPUTED_VALUE"""),43907.64583333333)</f>
        <v>43907.64583</v>
      </c>
      <c r="B2261" s="1">
        <f>IFERROR(__xludf.DUMMYFUNCTION("""COMPUTED_VALUE"""),28200.0)</f>
        <v>28200</v>
      </c>
      <c r="C2261" s="1">
        <f>IFERROR(__xludf.DUMMYFUNCTION("""COMPUTED_VALUE"""),30100.0)</f>
        <v>30100</v>
      </c>
      <c r="D2261" s="1">
        <f>IFERROR(__xludf.DUMMYFUNCTION("""COMPUTED_VALUE"""),28000.0)</f>
        <v>28000</v>
      </c>
      <c r="E2261" s="1">
        <f>IFERROR(__xludf.DUMMYFUNCTION("""COMPUTED_VALUE"""),29500.0)</f>
        <v>29500</v>
      </c>
      <c r="F2261" s="1">
        <f>IFERROR(__xludf.DUMMYFUNCTION("""COMPUTED_VALUE"""),1221046.0)</f>
        <v>1221046</v>
      </c>
    </row>
    <row r="2262">
      <c r="A2262" s="2">
        <f>IFERROR(__xludf.DUMMYFUNCTION("""COMPUTED_VALUE"""),43908.64583333333)</f>
        <v>43908.64583</v>
      </c>
      <c r="B2262" s="1">
        <f>IFERROR(__xludf.DUMMYFUNCTION("""COMPUTED_VALUE"""),29700.0)</f>
        <v>29700</v>
      </c>
      <c r="C2262" s="1">
        <f>IFERROR(__xludf.DUMMYFUNCTION("""COMPUTED_VALUE"""),30400.0)</f>
        <v>30400</v>
      </c>
      <c r="D2262" s="1">
        <f>IFERROR(__xludf.DUMMYFUNCTION("""COMPUTED_VALUE"""),28100.0)</f>
        <v>28100</v>
      </c>
      <c r="E2262" s="1">
        <f>IFERROR(__xludf.DUMMYFUNCTION("""COMPUTED_VALUE"""),28200.0)</f>
        <v>28200</v>
      </c>
      <c r="F2262" s="1">
        <f>IFERROR(__xludf.DUMMYFUNCTION("""COMPUTED_VALUE"""),1107527.0)</f>
        <v>1107527</v>
      </c>
    </row>
    <row r="2263">
      <c r="A2263" s="2">
        <f>IFERROR(__xludf.DUMMYFUNCTION("""COMPUTED_VALUE"""),43909.64583333333)</f>
        <v>43909.64583</v>
      </c>
      <c r="B2263" s="1">
        <f>IFERROR(__xludf.DUMMYFUNCTION("""COMPUTED_VALUE"""),29100.0)</f>
        <v>29100</v>
      </c>
      <c r="C2263" s="1">
        <f>IFERROR(__xludf.DUMMYFUNCTION("""COMPUTED_VALUE"""),29400.0)</f>
        <v>29400</v>
      </c>
      <c r="D2263" s="1">
        <f>IFERROR(__xludf.DUMMYFUNCTION("""COMPUTED_VALUE"""),25500.0)</f>
        <v>25500</v>
      </c>
      <c r="E2263" s="1">
        <f>IFERROR(__xludf.DUMMYFUNCTION("""COMPUTED_VALUE"""),26800.0)</f>
        <v>26800</v>
      </c>
      <c r="F2263" s="1">
        <f>IFERROR(__xludf.DUMMYFUNCTION("""COMPUTED_VALUE"""),2157141.0)</f>
        <v>2157141</v>
      </c>
    </row>
    <row r="2264">
      <c r="A2264" s="2">
        <f>IFERROR(__xludf.DUMMYFUNCTION("""COMPUTED_VALUE"""),43910.64583333333)</f>
        <v>43910.64583</v>
      </c>
      <c r="B2264" s="1">
        <f>IFERROR(__xludf.DUMMYFUNCTION("""COMPUTED_VALUE"""),27600.0)</f>
        <v>27600</v>
      </c>
      <c r="C2264" s="1">
        <f>IFERROR(__xludf.DUMMYFUNCTION("""COMPUTED_VALUE"""),30200.0)</f>
        <v>30200</v>
      </c>
      <c r="D2264" s="1">
        <f>IFERROR(__xludf.DUMMYFUNCTION("""COMPUTED_VALUE"""),26900.0)</f>
        <v>26900</v>
      </c>
      <c r="E2264" s="1">
        <f>IFERROR(__xludf.DUMMYFUNCTION("""COMPUTED_VALUE"""),29900.0)</f>
        <v>29900</v>
      </c>
      <c r="F2264" s="1">
        <f>IFERROR(__xludf.DUMMYFUNCTION("""COMPUTED_VALUE"""),1765756.0)</f>
        <v>1765756</v>
      </c>
    </row>
    <row r="2265">
      <c r="A2265" s="2">
        <f>IFERROR(__xludf.DUMMYFUNCTION("""COMPUTED_VALUE"""),43913.64583333333)</f>
        <v>43913.64583</v>
      </c>
      <c r="B2265" s="1">
        <f>IFERROR(__xludf.DUMMYFUNCTION("""COMPUTED_VALUE"""),27600.0)</f>
        <v>27600</v>
      </c>
      <c r="C2265" s="1">
        <f>IFERROR(__xludf.DUMMYFUNCTION("""COMPUTED_VALUE"""),29600.0)</f>
        <v>29600</v>
      </c>
      <c r="D2265" s="1">
        <f>IFERROR(__xludf.DUMMYFUNCTION("""COMPUTED_VALUE"""),27500.0)</f>
        <v>27500</v>
      </c>
      <c r="E2265" s="1">
        <f>IFERROR(__xludf.DUMMYFUNCTION("""COMPUTED_VALUE"""),28700.0)</f>
        <v>28700</v>
      </c>
      <c r="F2265" s="1">
        <f>IFERROR(__xludf.DUMMYFUNCTION("""COMPUTED_VALUE"""),1569378.0)</f>
        <v>1569378</v>
      </c>
    </row>
    <row r="2266">
      <c r="A2266" s="2">
        <f>IFERROR(__xludf.DUMMYFUNCTION("""COMPUTED_VALUE"""),43914.64583333333)</f>
        <v>43914.64583</v>
      </c>
      <c r="B2266" s="1">
        <f>IFERROR(__xludf.DUMMYFUNCTION("""COMPUTED_VALUE"""),30100.0)</f>
        <v>30100</v>
      </c>
      <c r="C2266" s="1">
        <f>IFERROR(__xludf.DUMMYFUNCTION("""COMPUTED_VALUE"""),31000.0)</f>
        <v>31000</v>
      </c>
      <c r="D2266" s="1">
        <f>IFERROR(__xludf.DUMMYFUNCTION("""COMPUTED_VALUE"""),29400.0)</f>
        <v>29400</v>
      </c>
      <c r="E2266" s="1">
        <f>IFERROR(__xludf.DUMMYFUNCTION("""COMPUTED_VALUE"""),30900.0)</f>
        <v>30900</v>
      </c>
      <c r="F2266" s="1">
        <f>IFERROR(__xludf.DUMMYFUNCTION("""COMPUTED_VALUE"""),1271387.0)</f>
        <v>1271387</v>
      </c>
    </row>
    <row r="2267">
      <c r="A2267" s="2">
        <f>IFERROR(__xludf.DUMMYFUNCTION("""COMPUTED_VALUE"""),43915.64583333333)</f>
        <v>43915.64583</v>
      </c>
      <c r="B2267" s="1">
        <f>IFERROR(__xludf.DUMMYFUNCTION("""COMPUTED_VALUE"""),32100.0)</f>
        <v>32100</v>
      </c>
      <c r="C2267" s="1">
        <f>IFERROR(__xludf.DUMMYFUNCTION("""COMPUTED_VALUE"""),32500.0)</f>
        <v>32500</v>
      </c>
      <c r="D2267" s="1">
        <f>IFERROR(__xludf.DUMMYFUNCTION("""COMPUTED_VALUE"""),30200.0)</f>
        <v>30200</v>
      </c>
      <c r="E2267" s="1">
        <f>IFERROR(__xludf.DUMMYFUNCTION("""COMPUTED_VALUE"""),30900.0)</f>
        <v>30900</v>
      </c>
      <c r="F2267" s="1">
        <f>IFERROR(__xludf.DUMMYFUNCTION("""COMPUTED_VALUE"""),1290376.0)</f>
        <v>1290376</v>
      </c>
    </row>
    <row r="2268">
      <c r="A2268" s="2">
        <f>IFERROR(__xludf.DUMMYFUNCTION("""COMPUTED_VALUE"""),43916.64583333333)</f>
        <v>43916.64583</v>
      </c>
      <c r="B2268" s="1">
        <f>IFERROR(__xludf.DUMMYFUNCTION("""COMPUTED_VALUE"""),31000.0)</f>
        <v>31000</v>
      </c>
      <c r="C2268" s="1">
        <f>IFERROR(__xludf.DUMMYFUNCTION("""COMPUTED_VALUE"""),31200.0)</f>
        <v>31200</v>
      </c>
      <c r="D2268" s="1">
        <f>IFERROR(__xludf.DUMMYFUNCTION("""COMPUTED_VALUE"""),30000.0)</f>
        <v>30000</v>
      </c>
      <c r="E2268" s="1">
        <f>IFERROR(__xludf.DUMMYFUNCTION("""COMPUTED_VALUE"""),30100.0)</f>
        <v>30100</v>
      </c>
      <c r="F2268" s="1">
        <f>IFERROR(__xludf.DUMMYFUNCTION("""COMPUTED_VALUE"""),893688.0)</f>
        <v>893688</v>
      </c>
    </row>
    <row r="2269">
      <c r="A2269" s="2">
        <f>IFERROR(__xludf.DUMMYFUNCTION("""COMPUTED_VALUE"""),43917.64583333333)</f>
        <v>43917.64583</v>
      </c>
      <c r="B2269" s="1">
        <f>IFERROR(__xludf.DUMMYFUNCTION("""COMPUTED_VALUE"""),31300.0)</f>
        <v>31300</v>
      </c>
      <c r="C2269" s="1">
        <f>IFERROR(__xludf.DUMMYFUNCTION("""COMPUTED_VALUE"""),31400.0)</f>
        <v>31400</v>
      </c>
      <c r="D2269" s="1">
        <f>IFERROR(__xludf.DUMMYFUNCTION("""COMPUTED_VALUE"""),29800.0)</f>
        <v>29800</v>
      </c>
      <c r="E2269" s="1">
        <f>IFERROR(__xludf.DUMMYFUNCTION("""COMPUTED_VALUE"""),30500.0)</f>
        <v>30500</v>
      </c>
      <c r="F2269" s="1">
        <f>IFERROR(__xludf.DUMMYFUNCTION("""COMPUTED_VALUE"""),958988.0)</f>
        <v>958988</v>
      </c>
    </row>
    <row r="2270">
      <c r="A2270" s="2">
        <f>IFERROR(__xludf.DUMMYFUNCTION("""COMPUTED_VALUE"""),43920.64583333333)</f>
        <v>43920.64583</v>
      </c>
      <c r="B2270" s="1">
        <f>IFERROR(__xludf.DUMMYFUNCTION("""COMPUTED_VALUE"""),29900.0)</f>
        <v>29900</v>
      </c>
      <c r="C2270" s="1">
        <f>IFERROR(__xludf.DUMMYFUNCTION("""COMPUTED_VALUE"""),30900.0)</f>
        <v>30900</v>
      </c>
      <c r="D2270" s="1">
        <f>IFERROR(__xludf.DUMMYFUNCTION("""COMPUTED_VALUE"""),29500.0)</f>
        <v>29500</v>
      </c>
      <c r="E2270" s="1">
        <f>IFERROR(__xludf.DUMMYFUNCTION("""COMPUTED_VALUE"""),30600.0)</f>
        <v>30600</v>
      </c>
      <c r="F2270" s="1">
        <f>IFERROR(__xludf.DUMMYFUNCTION("""COMPUTED_VALUE"""),668254.0)</f>
        <v>668254</v>
      </c>
    </row>
    <row r="2271">
      <c r="A2271" s="2">
        <f>IFERROR(__xludf.DUMMYFUNCTION("""COMPUTED_VALUE"""),43921.64583333333)</f>
        <v>43921.64583</v>
      </c>
      <c r="B2271" s="1">
        <f>IFERROR(__xludf.DUMMYFUNCTION("""COMPUTED_VALUE"""),31000.0)</f>
        <v>31000</v>
      </c>
      <c r="C2271" s="1">
        <f>IFERROR(__xludf.DUMMYFUNCTION("""COMPUTED_VALUE"""),31800.0)</f>
        <v>31800</v>
      </c>
      <c r="D2271" s="1">
        <f>IFERROR(__xludf.DUMMYFUNCTION("""COMPUTED_VALUE"""),30400.0)</f>
        <v>30400</v>
      </c>
      <c r="E2271" s="1">
        <f>IFERROR(__xludf.DUMMYFUNCTION("""COMPUTED_VALUE"""),31100.0)</f>
        <v>31100</v>
      </c>
      <c r="F2271" s="1">
        <f>IFERROR(__xludf.DUMMYFUNCTION("""COMPUTED_VALUE"""),1042474.0)</f>
        <v>1042474</v>
      </c>
    </row>
    <row r="2272">
      <c r="A2272" s="2">
        <f>IFERROR(__xludf.DUMMYFUNCTION("""COMPUTED_VALUE"""),43922.64583333333)</f>
        <v>43922.64583</v>
      </c>
      <c r="B2272" s="1">
        <f>IFERROR(__xludf.DUMMYFUNCTION("""COMPUTED_VALUE"""),31200.0)</f>
        <v>31200</v>
      </c>
      <c r="C2272" s="1">
        <f>IFERROR(__xludf.DUMMYFUNCTION("""COMPUTED_VALUE"""),31700.0)</f>
        <v>31700</v>
      </c>
      <c r="D2272" s="1">
        <f>IFERROR(__xludf.DUMMYFUNCTION("""COMPUTED_VALUE"""),30000.0)</f>
        <v>30000</v>
      </c>
      <c r="E2272" s="1">
        <f>IFERROR(__xludf.DUMMYFUNCTION("""COMPUTED_VALUE"""),30100.0)</f>
        <v>30100</v>
      </c>
      <c r="F2272" s="1">
        <f>IFERROR(__xludf.DUMMYFUNCTION("""COMPUTED_VALUE"""),794295.0)</f>
        <v>794295</v>
      </c>
    </row>
    <row r="2273">
      <c r="A2273" s="2">
        <f>IFERROR(__xludf.DUMMYFUNCTION("""COMPUTED_VALUE"""),43923.64583333333)</f>
        <v>43923.64583</v>
      </c>
      <c r="B2273" s="1">
        <f>IFERROR(__xludf.DUMMYFUNCTION("""COMPUTED_VALUE"""),30400.0)</f>
        <v>30400</v>
      </c>
      <c r="C2273" s="1">
        <f>IFERROR(__xludf.DUMMYFUNCTION("""COMPUTED_VALUE"""),31400.0)</f>
        <v>31400</v>
      </c>
      <c r="D2273" s="1">
        <f>IFERROR(__xludf.DUMMYFUNCTION("""COMPUTED_VALUE"""),29800.0)</f>
        <v>29800</v>
      </c>
      <c r="E2273" s="1">
        <f>IFERROR(__xludf.DUMMYFUNCTION("""COMPUTED_VALUE"""),31400.0)</f>
        <v>31400</v>
      </c>
      <c r="F2273" s="1">
        <f>IFERROR(__xludf.DUMMYFUNCTION("""COMPUTED_VALUE"""),1043790.0)</f>
        <v>1043790</v>
      </c>
    </row>
    <row r="2274">
      <c r="A2274" s="2">
        <f>IFERROR(__xludf.DUMMYFUNCTION("""COMPUTED_VALUE"""),43924.64583333333)</f>
        <v>43924.64583</v>
      </c>
      <c r="B2274" s="1">
        <f>IFERROR(__xludf.DUMMYFUNCTION("""COMPUTED_VALUE"""),31700.0)</f>
        <v>31700</v>
      </c>
      <c r="C2274" s="1">
        <f>IFERROR(__xludf.DUMMYFUNCTION("""COMPUTED_VALUE"""),31800.0)</f>
        <v>31800</v>
      </c>
      <c r="D2274" s="1">
        <f>IFERROR(__xludf.DUMMYFUNCTION("""COMPUTED_VALUE"""),31000.0)</f>
        <v>31000</v>
      </c>
      <c r="E2274" s="1">
        <f>IFERROR(__xludf.DUMMYFUNCTION("""COMPUTED_VALUE"""),31500.0)</f>
        <v>31500</v>
      </c>
      <c r="F2274" s="1">
        <f>IFERROR(__xludf.DUMMYFUNCTION("""COMPUTED_VALUE"""),545749.0)</f>
        <v>545749</v>
      </c>
    </row>
    <row r="2275">
      <c r="A2275" s="2">
        <f>IFERROR(__xludf.DUMMYFUNCTION("""COMPUTED_VALUE"""),43927.64583333333)</f>
        <v>43927.64583</v>
      </c>
      <c r="B2275" s="1">
        <f>IFERROR(__xludf.DUMMYFUNCTION("""COMPUTED_VALUE"""),31700.0)</f>
        <v>31700</v>
      </c>
      <c r="C2275" s="1">
        <f>IFERROR(__xludf.DUMMYFUNCTION("""COMPUTED_VALUE"""),32200.0)</f>
        <v>32200</v>
      </c>
      <c r="D2275" s="1">
        <f>IFERROR(__xludf.DUMMYFUNCTION("""COMPUTED_VALUE"""),31500.0)</f>
        <v>31500</v>
      </c>
      <c r="E2275" s="1">
        <f>IFERROR(__xludf.DUMMYFUNCTION("""COMPUTED_VALUE"""),32100.0)</f>
        <v>32100</v>
      </c>
      <c r="F2275" s="1">
        <f>IFERROR(__xludf.DUMMYFUNCTION("""COMPUTED_VALUE"""),807805.0)</f>
        <v>807805</v>
      </c>
    </row>
    <row r="2276">
      <c r="A2276" s="2">
        <f>IFERROR(__xludf.DUMMYFUNCTION("""COMPUTED_VALUE"""),43928.64583333333)</f>
        <v>43928.64583</v>
      </c>
      <c r="B2276" s="1">
        <f>IFERROR(__xludf.DUMMYFUNCTION("""COMPUTED_VALUE"""),32700.0)</f>
        <v>32700</v>
      </c>
      <c r="C2276" s="1">
        <f>IFERROR(__xludf.DUMMYFUNCTION("""COMPUTED_VALUE"""),32900.0)</f>
        <v>32900</v>
      </c>
      <c r="D2276" s="1">
        <f>IFERROR(__xludf.DUMMYFUNCTION("""COMPUTED_VALUE"""),31700.0)</f>
        <v>31700</v>
      </c>
      <c r="E2276" s="1">
        <f>IFERROR(__xludf.DUMMYFUNCTION("""COMPUTED_VALUE"""),32000.0)</f>
        <v>32000</v>
      </c>
      <c r="F2276" s="1">
        <f>IFERROR(__xludf.DUMMYFUNCTION("""COMPUTED_VALUE"""),920798.0)</f>
        <v>920798</v>
      </c>
    </row>
    <row r="2277">
      <c r="A2277" s="2">
        <f>IFERROR(__xludf.DUMMYFUNCTION("""COMPUTED_VALUE"""),43929.64583333333)</f>
        <v>43929.64583</v>
      </c>
      <c r="B2277" s="1">
        <f>IFERROR(__xludf.DUMMYFUNCTION("""COMPUTED_VALUE"""),31800.0)</f>
        <v>31800</v>
      </c>
      <c r="C2277" s="1">
        <f>IFERROR(__xludf.DUMMYFUNCTION("""COMPUTED_VALUE"""),32100.0)</f>
        <v>32100</v>
      </c>
      <c r="D2277" s="1">
        <f>IFERROR(__xludf.DUMMYFUNCTION("""COMPUTED_VALUE"""),31600.0)</f>
        <v>31600</v>
      </c>
      <c r="E2277" s="1">
        <f>IFERROR(__xludf.DUMMYFUNCTION("""COMPUTED_VALUE"""),31600.0)</f>
        <v>31600</v>
      </c>
      <c r="F2277" s="1">
        <f>IFERROR(__xludf.DUMMYFUNCTION("""COMPUTED_VALUE"""),738303.0)</f>
        <v>738303</v>
      </c>
    </row>
    <row r="2278">
      <c r="A2278" s="2">
        <f>IFERROR(__xludf.DUMMYFUNCTION("""COMPUTED_VALUE"""),43930.64583333333)</f>
        <v>43930.64583</v>
      </c>
      <c r="B2278" s="1">
        <f>IFERROR(__xludf.DUMMYFUNCTION("""COMPUTED_VALUE"""),32200.0)</f>
        <v>32200</v>
      </c>
      <c r="C2278" s="1">
        <f>IFERROR(__xludf.DUMMYFUNCTION("""COMPUTED_VALUE"""),32200.0)</f>
        <v>32200</v>
      </c>
      <c r="D2278" s="1">
        <f>IFERROR(__xludf.DUMMYFUNCTION("""COMPUTED_VALUE"""),31500.0)</f>
        <v>31500</v>
      </c>
      <c r="E2278" s="1">
        <f>IFERROR(__xludf.DUMMYFUNCTION("""COMPUTED_VALUE"""),31600.0)</f>
        <v>31600</v>
      </c>
      <c r="F2278" s="1">
        <f>IFERROR(__xludf.DUMMYFUNCTION("""COMPUTED_VALUE"""),726920.0)</f>
        <v>726920</v>
      </c>
    </row>
    <row r="2279">
      <c r="A2279" s="2">
        <f>IFERROR(__xludf.DUMMYFUNCTION("""COMPUTED_VALUE"""),43931.64583333333)</f>
        <v>43931.64583</v>
      </c>
      <c r="B2279" s="1">
        <f>IFERROR(__xludf.DUMMYFUNCTION("""COMPUTED_VALUE"""),31700.0)</f>
        <v>31700</v>
      </c>
      <c r="C2279" s="1">
        <f>IFERROR(__xludf.DUMMYFUNCTION("""COMPUTED_VALUE"""),32300.0)</f>
        <v>32300</v>
      </c>
      <c r="D2279" s="1">
        <f>IFERROR(__xludf.DUMMYFUNCTION("""COMPUTED_VALUE"""),31400.0)</f>
        <v>31400</v>
      </c>
      <c r="E2279" s="1">
        <f>IFERROR(__xludf.DUMMYFUNCTION("""COMPUTED_VALUE"""),32200.0)</f>
        <v>32200</v>
      </c>
      <c r="F2279" s="1">
        <f>IFERROR(__xludf.DUMMYFUNCTION("""COMPUTED_VALUE"""),753323.0)</f>
        <v>753323</v>
      </c>
    </row>
    <row r="2280">
      <c r="A2280" s="2">
        <f>IFERROR(__xludf.DUMMYFUNCTION("""COMPUTED_VALUE"""),43934.64583333333)</f>
        <v>43934.64583</v>
      </c>
      <c r="B2280" s="1">
        <f>IFERROR(__xludf.DUMMYFUNCTION("""COMPUTED_VALUE"""),32200.0)</f>
        <v>32200</v>
      </c>
      <c r="C2280" s="1">
        <f>IFERROR(__xludf.DUMMYFUNCTION("""COMPUTED_VALUE"""),32200.0)</f>
        <v>32200</v>
      </c>
      <c r="D2280" s="1">
        <f>IFERROR(__xludf.DUMMYFUNCTION("""COMPUTED_VALUE"""),31400.0)</f>
        <v>31400</v>
      </c>
      <c r="E2280" s="1">
        <f>IFERROR(__xludf.DUMMYFUNCTION("""COMPUTED_VALUE"""),31500.0)</f>
        <v>31500</v>
      </c>
      <c r="F2280" s="1">
        <f>IFERROR(__xludf.DUMMYFUNCTION("""COMPUTED_VALUE"""),470251.0)</f>
        <v>470251</v>
      </c>
    </row>
    <row r="2281">
      <c r="A2281" s="2">
        <f>IFERROR(__xludf.DUMMYFUNCTION("""COMPUTED_VALUE"""),43935.64583333333)</f>
        <v>43935.64583</v>
      </c>
      <c r="B2281" s="1">
        <f>IFERROR(__xludf.DUMMYFUNCTION("""COMPUTED_VALUE"""),31900.0)</f>
        <v>31900</v>
      </c>
      <c r="C2281" s="1">
        <f>IFERROR(__xludf.DUMMYFUNCTION("""COMPUTED_VALUE"""),32100.0)</f>
        <v>32100</v>
      </c>
      <c r="D2281" s="1">
        <f>IFERROR(__xludf.DUMMYFUNCTION("""COMPUTED_VALUE"""),31600.0)</f>
        <v>31600</v>
      </c>
      <c r="E2281" s="1">
        <f>IFERROR(__xludf.DUMMYFUNCTION("""COMPUTED_VALUE"""),31900.0)</f>
        <v>31900</v>
      </c>
      <c r="F2281" s="1">
        <f>IFERROR(__xludf.DUMMYFUNCTION("""COMPUTED_VALUE"""),430759.0)</f>
        <v>430759</v>
      </c>
    </row>
    <row r="2282">
      <c r="A2282" s="2">
        <f>IFERROR(__xludf.DUMMYFUNCTION("""COMPUTED_VALUE"""),43937.64583333333)</f>
        <v>43937.64583</v>
      </c>
      <c r="B2282" s="1">
        <f>IFERROR(__xludf.DUMMYFUNCTION("""COMPUTED_VALUE"""),31800.0)</f>
        <v>31800</v>
      </c>
      <c r="C2282" s="1">
        <f>IFERROR(__xludf.DUMMYFUNCTION("""COMPUTED_VALUE"""),33400.0)</f>
        <v>33400</v>
      </c>
      <c r="D2282" s="1">
        <f>IFERROR(__xludf.DUMMYFUNCTION("""COMPUTED_VALUE"""),31700.0)</f>
        <v>31700</v>
      </c>
      <c r="E2282" s="1">
        <f>IFERROR(__xludf.DUMMYFUNCTION("""COMPUTED_VALUE"""),33100.0)</f>
        <v>33100</v>
      </c>
      <c r="F2282" s="1">
        <f>IFERROR(__xludf.DUMMYFUNCTION("""COMPUTED_VALUE"""),1005533.0)</f>
        <v>1005533</v>
      </c>
    </row>
    <row r="2283">
      <c r="A2283" s="2">
        <f>IFERROR(__xludf.DUMMYFUNCTION("""COMPUTED_VALUE"""),43938.64583333333)</f>
        <v>43938.64583</v>
      </c>
      <c r="B2283" s="1">
        <f>IFERROR(__xludf.DUMMYFUNCTION("""COMPUTED_VALUE"""),33800.0)</f>
        <v>33800</v>
      </c>
      <c r="C2283" s="1">
        <f>IFERROR(__xludf.DUMMYFUNCTION("""COMPUTED_VALUE"""),34500.0)</f>
        <v>34500</v>
      </c>
      <c r="D2283" s="1">
        <f>IFERROR(__xludf.DUMMYFUNCTION("""COMPUTED_VALUE"""),33500.0)</f>
        <v>33500</v>
      </c>
      <c r="E2283" s="1">
        <f>IFERROR(__xludf.DUMMYFUNCTION("""COMPUTED_VALUE"""),34400.0)</f>
        <v>34400</v>
      </c>
      <c r="F2283" s="1">
        <f>IFERROR(__xludf.DUMMYFUNCTION("""COMPUTED_VALUE"""),947794.0)</f>
        <v>947794</v>
      </c>
    </row>
    <row r="2284">
      <c r="A2284" s="2">
        <f>IFERROR(__xludf.DUMMYFUNCTION("""COMPUTED_VALUE"""),43941.64583333333)</f>
        <v>43941.64583</v>
      </c>
      <c r="B2284" s="1">
        <f>IFERROR(__xludf.DUMMYFUNCTION("""COMPUTED_VALUE"""),34500.0)</f>
        <v>34500</v>
      </c>
      <c r="C2284" s="1">
        <f>IFERROR(__xludf.DUMMYFUNCTION("""COMPUTED_VALUE"""),35800.0)</f>
        <v>35800</v>
      </c>
      <c r="D2284" s="1">
        <f>IFERROR(__xludf.DUMMYFUNCTION("""COMPUTED_VALUE"""),34400.0)</f>
        <v>34400</v>
      </c>
      <c r="E2284" s="1">
        <f>IFERROR(__xludf.DUMMYFUNCTION("""COMPUTED_VALUE"""),35000.0)</f>
        <v>35000</v>
      </c>
      <c r="F2284" s="1">
        <f>IFERROR(__xludf.DUMMYFUNCTION("""COMPUTED_VALUE"""),859303.0)</f>
        <v>859303</v>
      </c>
    </row>
    <row r="2285">
      <c r="A2285" s="2">
        <f>IFERROR(__xludf.DUMMYFUNCTION("""COMPUTED_VALUE"""),43942.64583333333)</f>
        <v>43942.64583</v>
      </c>
      <c r="B2285" s="1">
        <f>IFERROR(__xludf.DUMMYFUNCTION("""COMPUTED_VALUE"""),35300.0)</f>
        <v>35300</v>
      </c>
      <c r="C2285" s="1">
        <f>IFERROR(__xludf.DUMMYFUNCTION("""COMPUTED_VALUE"""),35500.0)</f>
        <v>35500</v>
      </c>
      <c r="D2285" s="1">
        <f>IFERROR(__xludf.DUMMYFUNCTION("""COMPUTED_VALUE"""),33700.0)</f>
        <v>33700</v>
      </c>
      <c r="E2285" s="1">
        <f>IFERROR(__xludf.DUMMYFUNCTION("""COMPUTED_VALUE"""),35100.0)</f>
        <v>35100</v>
      </c>
      <c r="F2285" s="1">
        <f>IFERROR(__xludf.DUMMYFUNCTION("""COMPUTED_VALUE"""),1232126.0)</f>
        <v>1232126</v>
      </c>
    </row>
    <row r="2286">
      <c r="A2286" s="2">
        <f>IFERROR(__xludf.DUMMYFUNCTION("""COMPUTED_VALUE"""),43943.64583333333)</f>
        <v>43943.64583</v>
      </c>
      <c r="B2286" s="1">
        <f>IFERROR(__xludf.DUMMYFUNCTION("""COMPUTED_VALUE"""),34800.0)</f>
        <v>34800</v>
      </c>
      <c r="C2286" s="1">
        <f>IFERROR(__xludf.DUMMYFUNCTION("""COMPUTED_VALUE"""),35400.0)</f>
        <v>35400</v>
      </c>
      <c r="D2286" s="1">
        <f>IFERROR(__xludf.DUMMYFUNCTION("""COMPUTED_VALUE"""),34300.0)</f>
        <v>34300</v>
      </c>
      <c r="E2286" s="1">
        <f>IFERROR(__xludf.DUMMYFUNCTION("""COMPUTED_VALUE"""),35400.0)</f>
        <v>35400</v>
      </c>
      <c r="F2286" s="1">
        <f>IFERROR(__xludf.DUMMYFUNCTION("""COMPUTED_VALUE"""),686146.0)</f>
        <v>686146</v>
      </c>
    </row>
    <row r="2287">
      <c r="A2287" s="2">
        <f>IFERROR(__xludf.DUMMYFUNCTION("""COMPUTED_VALUE"""),43944.64583333333)</f>
        <v>43944.64583</v>
      </c>
      <c r="B2287" s="1">
        <f>IFERROR(__xludf.DUMMYFUNCTION("""COMPUTED_VALUE"""),36300.0)</f>
        <v>36300</v>
      </c>
      <c r="C2287" s="1">
        <f>IFERROR(__xludf.DUMMYFUNCTION("""COMPUTED_VALUE"""),37300.0)</f>
        <v>37300</v>
      </c>
      <c r="D2287" s="1">
        <f>IFERROR(__xludf.DUMMYFUNCTION("""COMPUTED_VALUE"""),36100.0)</f>
        <v>36100</v>
      </c>
      <c r="E2287" s="1">
        <f>IFERROR(__xludf.DUMMYFUNCTION("""COMPUTED_VALUE"""),37100.0)</f>
        <v>37100</v>
      </c>
      <c r="F2287" s="1">
        <f>IFERROR(__xludf.DUMMYFUNCTION("""COMPUTED_VALUE"""),1509799.0)</f>
        <v>1509799</v>
      </c>
    </row>
    <row r="2288">
      <c r="A2288" s="2">
        <f>IFERROR(__xludf.DUMMYFUNCTION("""COMPUTED_VALUE"""),43945.64583333333)</f>
        <v>43945.64583</v>
      </c>
      <c r="B2288" s="1">
        <f>IFERROR(__xludf.DUMMYFUNCTION("""COMPUTED_VALUE"""),36900.0)</f>
        <v>36900</v>
      </c>
      <c r="C2288" s="1">
        <f>IFERROR(__xludf.DUMMYFUNCTION("""COMPUTED_VALUE"""),37700.0)</f>
        <v>37700</v>
      </c>
      <c r="D2288" s="1">
        <f>IFERROR(__xludf.DUMMYFUNCTION("""COMPUTED_VALUE"""),36400.0)</f>
        <v>36400</v>
      </c>
      <c r="E2288" s="1">
        <f>IFERROR(__xludf.DUMMYFUNCTION("""COMPUTED_VALUE"""),36600.0)</f>
        <v>36600</v>
      </c>
      <c r="F2288" s="1">
        <f>IFERROR(__xludf.DUMMYFUNCTION("""COMPUTED_VALUE"""),1073684.0)</f>
        <v>1073684</v>
      </c>
    </row>
    <row r="2289">
      <c r="A2289" s="2">
        <f>IFERROR(__xludf.DUMMYFUNCTION("""COMPUTED_VALUE"""),43948.64583333333)</f>
        <v>43948.64583</v>
      </c>
      <c r="B2289" s="1">
        <f>IFERROR(__xludf.DUMMYFUNCTION("""COMPUTED_VALUE"""),36600.0)</f>
        <v>36600</v>
      </c>
      <c r="C2289" s="1">
        <f>IFERROR(__xludf.DUMMYFUNCTION("""COMPUTED_VALUE"""),37400.0)</f>
        <v>37400</v>
      </c>
      <c r="D2289" s="1">
        <f>IFERROR(__xludf.DUMMYFUNCTION("""COMPUTED_VALUE"""),36300.0)</f>
        <v>36300</v>
      </c>
      <c r="E2289" s="1">
        <f>IFERROR(__xludf.DUMMYFUNCTION("""COMPUTED_VALUE"""),36800.0)</f>
        <v>36800</v>
      </c>
      <c r="F2289" s="1">
        <f>IFERROR(__xludf.DUMMYFUNCTION("""COMPUTED_VALUE"""),721963.0)</f>
        <v>721963</v>
      </c>
    </row>
    <row r="2290">
      <c r="A2290" s="2">
        <f>IFERROR(__xludf.DUMMYFUNCTION("""COMPUTED_VALUE"""),43949.64583333333)</f>
        <v>43949.64583</v>
      </c>
      <c r="B2290" s="1">
        <f>IFERROR(__xludf.DUMMYFUNCTION("""COMPUTED_VALUE"""),37100.0)</f>
        <v>37100</v>
      </c>
      <c r="C2290" s="1">
        <f>IFERROR(__xludf.DUMMYFUNCTION("""COMPUTED_VALUE"""),37300.0)</f>
        <v>37300</v>
      </c>
      <c r="D2290" s="1">
        <f>IFERROR(__xludf.DUMMYFUNCTION("""COMPUTED_VALUE"""),36300.0)</f>
        <v>36300</v>
      </c>
      <c r="E2290" s="1">
        <f>IFERROR(__xludf.DUMMYFUNCTION("""COMPUTED_VALUE"""),37000.0)</f>
        <v>37000</v>
      </c>
      <c r="F2290" s="1">
        <f>IFERROR(__xludf.DUMMYFUNCTION("""COMPUTED_VALUE"""),668638.0)</f>
        <v>668638</v>
      </c>
    </row>
    <row r="2291">
      <c r="A2291" s="2">
        <f>IFERROR(__xludf.DUMMYFUNCTION("""COMPUTED_VALUE"""),43950.64583333333)</f>
        <v>43950.64583</v>
      </c>
      <c r="B2291" s="1">
        <f>IFERROR(__xludf.DUMMYFUNCTION("""COMPUTED_VALUE"""),36800.0)</f>
        <v>36800</v>
      </c>
      <c r="C2291" s="1">
        <f>IFERROR(__xludf.DUMMYFUNCTION("""COMPUTED_VALUE"""),37300.0)</f>
        <v>37300</v>
      </c>
      <c r="D2291" s="1">
        <f>IFERROR(__xludf.DUMMYFUNCTION("""COMPUTED_VALUE"""),36500.0)</f>
        <v>36500</v>
      </c>
      <c r="E2291" s="1">
        <f>IFERROR(__xludf.DUMMYFUNCTION("""COMPUTED_VALUE"""),36800.0)</f>
        <v>36800</v>
      </c>
      <c r="F2291" s="1">
        <f>IFERROR(__xludf.DUMMYFUNCTION("""COMPUTED_VALUE"""),659512.0)</f>
        <v>659512</v>
      </c>
    </row>
    <row r="2292">
      <c r="A2292" s="2">
        <f>IFERROR(__xludf.DUMMYFUNCTION("""COMPUTED_VALUE"""),43955.64583333333)</f>
        <v>43955.64583</v>
      </c>
      <c r="B2292" s="1">
        <f>IFERROR(__xludf.DUMMYFUNCTION("""COMPUTED_VALUE"""),36300.0)</f>
        <v>36300</v>
      </c>
      <c r="C2292" s="1">
        <f>IFERROR(__xludf.DUMMYFUNCTION("""COMPUTED_VALUE"""),38000.0)</f>
        <v>38000</v>
      </c>
      <c r="D2292" s="1">
        <f>IFERROR(__xludf.DUMMYFUNCTION("""COMPUTED_VALUE"""),36000.0)</f>
        <v>36000</v>
      </c>
      <c r="E2292" s="1">
        <f>IFERROR(__xludf.DUMMYFUNCTION("""COMPUTED_VALUE"""),37300.0)</f>
        <v>37300</v>
      </c>
      <c r="F2292" s="1">
        <f>IFERROR(__xludf.DUMMYFUNCTION("""COMPUTED_VALUE"""),1019409.0)</f>
        <v>1019409</v>
      </c>
    </row>
    <row r="2293">
      <c r="A2293" s="2">
        <f>IFERROR(__xludf.DUMMYFUNCTION("""COMPUTED_VALUE"""),43957.64583333333)</f>
        <v>43957.64583</v>
      </c>
      <c r="B2293" s="1">
        <f>IFERROR(__xludf.DUMMYFUNCTION("""COMPUTED_VALUE"""),37800.0)</f>
        <v>37800</v>
      </c>
      <c r="C2293" s="1">
        <f>IFERROR(__xludf.DUMMYFUNCTION("""COMPUTED_VALUE"""),40000.0)</f>
        <v>40000</v>
      </c>
      <c r="D2293" s="1">
        <f>IFERROR(__xludf.DUMMYFUNCTION("""COMPUTED_VALUE"""),37600.0)</f>
        <v>37600</v>
      </c>
      <c r="E2293" s="1">
        <f>IFERROR(__xludf.DUMMYFUNCTION("""COMPUTED_VALUE"""),39900.0)</f>
        <v>39900</v>
      </c>
      <c r="F2293" s="1">
        <f>IFERROR(__xludf.DUMMYFUNCTION("""COMPUTED_VALUE"""),2035947.0)</f>
        <v>2035947</v>
      </c>
    </row>
    <row r="2294">
      <c r="A2294" s="2">
        <f>IFERROR(__xludf.DUMMYFUNCTION("""COMPUTED_VALUE"""),43958.64583333333)</f>
        <v>43958.64583</v>
      </c>
      <c r="B2294" s="1">
        <f>IFERROR(__xludf.DUMMYFUNCTION("""COMPUTED_VALUE"""),39900.0)</f>
        <v>39900</v>
      </c>
      <c r="C2294" s="1">
        <f>IFERROR(__xludf.DUMMYFUNCTION("""COMPUTED_VALUE"""),41500.0)</f>
        <v>41500</v>
      </c>
      <c r="D2294" s="1">
        <f>IFERROR(__xludf.DUMMYFUNCTION("""COMPUTED_VALUE"""),39700.0)</f>
        <v>39700</v>
      </c>
      <c r="E2294" s="1">
        <f>IFERROR(__xludf.DUMMYFUNCTION("""COMPUTED_VALUE"""),41200.0)</f>
        <v>41200</v>
      </c>
      <c r="F2294" s="1">
        <f>IFERROR(__xludf.DUMMYFUNCTION("""COMPUTED_VALUE"""),2629709.0)</f>
        <v>2629709</v>
      </c>
    </row>
    <row r="2295">
      <c r="A2295" s="2">
        <f>IFERROR(__xludf.DUMMYFUNCTION("""COMPUTED_VALUE"""),43959.64583333333)</f>
        <v>43959.64583</v>
      </c>
      <c r="B2295" s="1">
        <f>IFERROR(__xludf.DUMMYFUNCTION("""COMPUTED_VALUE"""),41300.0)</f>
        <v>41300</v>
      </c>
      <c r="C2295" s="1">
        <f>IFERROR(__xludf.DUMMYFUNCTION("""COMPUTED_VALUE"""),42000.0)</f>
        <v>42000</v>
      </c>
      <c r="D2295" s="1">
        <f>IFERROR(__xludf.DUMMYFUNCTION("""COMPUTED_VALUE"""),40800.0)</f>
        <v>40800</v>
      </c>
      <c r="E2295" s="1">
        <f>IFERROR(__xludf.DUMMYFUNCTION("""COMPUTED_VALUE"""),41200.0)</f>
        <v>41200</v>
      </c>
      <c r="F2295" s="1">
        <f>IFERROR(__xludf.DUMMYFUNCTION("""COMPUTED_VALUE"""),1405404.0)</f>
        <v>1405404</v>
      </c>
    </row>
    <row r="2296">
      <c r="A2296" s="2">
        <f>IFERROR(__xludf.DUMMYFUNCTION("""COMPUTED_VALUE"""),43962.64583333333)</f>
        <v>43962.64583</v>
      </c>
      <c r="B2296" s="1">
        <f>IFERROR(__xludf.DUMMYFUNCTION("""COMPUTED_VALUE"""),41400.0)</f>
        <v>41400</v>
      </c>
      <c r="C2296" s="1">
        <f>IFERROR(__xludf.DUMMYFUNCTION("""COMPUTED_VALUE"""),42300.0)</f>
        <v>42300</v>
      </c>
      <c r="D2296" s="1">
        <f>IFERROR(__xludf.DUMMYFUNCTION("""COMPUTED_VALUE"""),41300.0)</f>
        <v>41300</v>
      </c>
      <c r="E2296" s="1">
        <f>IFERROR(__xludf.DUMMYFUNCTION("""COMPUTED_VALUE"""),41500.0)</f>
        <v>41500</v>
      </c>
      <c r="F2296" s="1">
        <f>IFERROR(__xludf.DUMMYFUNCTION("""COMPUTED_VALUE"""),1048413.0)</f>
        <v>1048413</v>
      </c>
    </row>
    <row r="2297">
      <c r="A2297" s="2">
        <f>IFERROR(__xludf.DUMMYFUNCTION("""COMPUTED_VALUE"""),43963.64583333333)</f>
        <v>43963.64583</v>
      </c>
      <c r="B2297" s="1">
        <f>IFERROR(__xludf.DUMMYFUNCTION("""COMPUTED_VALUE"""),41800.0)</f>
        <v>41800</v>
      </c>
      <c r="C2297" s="1">
        <f>IFERROR(__xludf.DUMMYFUNCTION("""COMPUTED_VALUE"""),43300.0)</f>
        <v>43300</v>
      </c>
      <c r="D2297" s="1">
        <f>IFERROR(__xludf.DUMMYFUNCTION("""COMPUTED_VALUE"""),41200.0)</f>
        <v>41200</v>
      </c>
      <c r="E2297" s="1">
        <f>IFERROR(__xludf.DUMMYFUNCTION("""COMPUTED_VALUE"""),42900.0)</f>
        <v>42900</v>
      </c>
      <c r="F2297" s="1">
        <f>IFERROR(__xludf.DUMMYFUNCTION("""COMPUTED_VALUE"""),1563095.0)</f>
        <v>1563095</v>
      </c>
    </row>
    <row r="2298">
      <c r="A2298" s="2">
        <f>IFERROR(__xludf.DUMMYFUNCTION("""COMPUTED_VALUE"""),43964.64583333333)</f>
        <v>43964.64583</v>
      </c>
      <c r="B2298" s="1">
        <f>IFERROR(__xludf.DUMMYFUNCTION("""COMPUTED_VALUE"""),42300.0)</f>
        <v>42300</v>
      </c>
      <c r="C2298" s="1">
        <f>IFERROR(__xludf.DUMMYFUNCTION("""COMPUTED_VALUE"""),43300.0)</f>
        <v>43300</v>
      </c>
      <c r="D2298" s="1">
        <f>IFERROR(__xludf.DUMMYFUNCTION("""COMPUTED_VALUE"""),42300.0)</f>
        <v>42300</v>
      </c>
      <c r="E2298" s="1">
        <f>IFERROR(__xludf.DUMMYFUNCTION("""COMPUTED_VALUE"""),43300.0)</f>
        <v>43300</v>
      </c>
      <c r="F2298" s="1">
        <f>IFERROR(__xludf.DUMMYFUNCTION("""COMPUTED_VALUE"""),1113608.0)</f>
        <v>1113608</v>
      </c>
    </row>
    <row r="2299">
      <c r="A2299" s="2">
        <f>IFERROR(__xludf.DUMMYFUNCTION("""COMPUTED_VALUE"""),43965.64583333333)</f>
        <v>43965.64583</v>
      </c>
      <c r="B2299" s="1">
        <f>IFERROR(__xludf.DUMMYFUNCTION("""COMPUTED_VALUE"""),43200.0)</f>
        <v>43200</v>
      </c>
      <c r="C2299" s="1">
        <f>IFERROR(__xludf.DUMMYFUNCTION("""COMPUTED_VALUE"""),45600.0)</f>
        <v>45600</v>
      </c>
      <c r="D2299" s="1">
        <f>IFERROR(__xludf.DUMMYFUNCTION("""COMPUTED_VALUE"""),42800.0)</f>
        <v>42800</v>
      </c>
      <c r="E2299" s="1">
        <f>IFERROR(__xludf.DUMMYFUNCTION("""COMPUTED_VALUE"""),45000.0)</f>
        <v>45000</v>
      </c>
      <c r="F2299" s="1">
        <f>IFERROR(__xludf.DUMMYFUNCTION("""COMPUTED_VALUE"""),1459813.0)</f>
        <v>1459813</v>
      </c>
    </row>
    <row r="2300">
      <c r="A2300" s="2">
        <f>IFERROR(__xludf.DUMMYFUNCTION("""COMPUTED_VALUE"""),43966.64583333333)</f>
        <v>43966.64583</v>
      </c>
      <c r="B2300" s="1">
        <f>IFERROR(__xludf.DUMMYFUNCTION("""COMPUTED_VALUE"""),45700.0)</f>
        <v>45700</v>
      </c>
      <c r="C2300" s="1">
        <f>IFERROR(__xludf.DUMMYFUNCTION("""COMPUTED_VALUE"""),46300.0)</f>
        <v>46300</v>
      </c>
      <c r="D2300" s="1">
        <f>IFERROR(__xludf.DUMMYFUNCTION("""COMPUTED_VALUE"""),43200.0)</f>
        <v>43200</v>
      </c>
      <c r="E2300" s="1">
        <f>IFERROR(__xludf.DUMMYFUNCTION("""COMPUTED_VALUE"""),44300.0)</f>
        <v>44300</v>
      </c>
      <c r="F2300" s="1">
        <f>IFERROR(__xludf.DUMMYFUNCTION("""COMPUTED_VALUE"""),1524083.0)</f>
        <v>1524083</v>
      </c>
    </row>
    <row r="2301">
      <c r="A2301" s="2">
        <f>IFERROR(__xludf.DUMMYFUNCTION("""COMPUTED_VALUE"""),43969.64583333333)</f>
        <v>43969.64583</v>
      </c>
      <c r="B2301" s="1">
        <f>IFERROR(__xludf.DUMMYFUNCTION("""COMPUTED_VALUE"""),44300.0)</f>
        <v>44300</v>
      </c>
      <c r="C2301" s="1">
        <f>IFERROR(__xludf.DUMMYFUNCTION("""COMPUTED_VALUE"""),45100.0)</f>
        <v>45100</v>
      </c>
      <c r="D2301" s="1">
        <f>IFERROR(__xludf.DUMMYFUNCTION("""COMPUTED_VALUE"""),43700.0)</f>
        <v>43700</v>
      </c>
      <c r="E2301" s="1">
        <f>IFERROR(__xludf.DUMMYFUNCTION("""COMPUTED_VALUE"""),44200.0)</f>
        <v>44200</v>
      </c>
      <c r="F2301" s="1">
        <f>IFERROR(__xludf.DUMMYFUNCTION("""COMPUTED_VALUE"""),744533.0)</f>
        <v>744533</v>
      </c>
    </row>
    <row r="2302">
      <c r="A2302" s="2">
        <f>IFERROR(__xludf.DUMMYFUNCTION("""COMPUTED_VALUE"""),43970.64583333333)</f>
        <v>43970.64583</v>
      </c>
      <c r="B2302" s="1">
        <f>IFERROR(__xludf.DUMMYFUNCTION("""COMPUTED_VALUE"""),44300.0)</f>
        <v>44300</v>
      </c>
      <c r="C2302" s="1">
        <f>IFERROR(__xludf.DUMMYFUNCTION("""COMPUTED_VALUE"""),44500.0)</f>
        <v>44500</v>
      </c>
      <c r="D2302" s="1">
        <f>IFERROR(__xludf.DUMMYFUNCTION("""COMPUTED_VALUE"""),42800.0)</f>
        <v>42800</v>
      </c>
      <c r="E2302" s="1">
        <f>IFERROR(__xludf.DUMMYFUNCTION("""COMPUTED_VALUE"""),44000.0)</f>
        <v>44000</v>
      </c>
      <c r="F2302" s="1">
        <f>IFERROR(__xludf.DUMMYFUNCTION("""COMPUTED_VALUE"""),1308903.0)</f>
        <v>1308903</v>
      </c>
    </row>
    <row r="2303">
      <c r="A2303" s="2">
        <f>IFERROR(__xludf.DUMMYFUNCTION("""COMPUTED_VALUE"""),43971.64583333333)</f>
        <v>43971.64583</v>
      </c>
      <c r="B2303" s="1">
        <f>IFERROR(__xludf.DUMMYFUNCTION("""COMPUTED_VALUE"""),44700.0)</f>
        <v>44700</v>
      </c>
      <c r="C2303" s="1">
        <f>IFERROR(__xludf.DUMMYFUNCTION("""COMPUTED_VALUE"""),46900.0)</f>
        <v>46900</v>
      </c>
      <c r="D2303" s="1">
        <f>IFERROR(__xludf.DUMMYFUNCTION("""COMPUTED_VALUE"""),44400.0)</f>
        <v>44400</v>
      </c>
      <c r="E2303" s="1">
        <f>IFERROR(__xludf.DUMMYFUNCTION("""COMPUTED_VALUE"""),46300.0)</f>
        <v>46300</v>
      </c>
      <c r="F2303" s="1">
        <f>IFERROR(__xludf.DUMMYFUNCTION("""COMPUTED_VALUE"""),1773960.0)</f>
        <v>1773960</v>
      </c>
    </row>
    <row r="2304">
      <c r="A2304" s="2">
        <f>IFERROR(__xludf.DUMMYFUNCTION("""COMPUTED_VALUE"""),43972.64583333333)</f>
        <v>43972.64583</v>
      </c>
      <c r="B2304" s="1">
        <f>IFERROR(__xludf.DUMMYFUNCTION("""COMPUTED_VALUE"""),47500.0)</f>
        <v>47500</v>
      </c>
      <c r="C2304" s="1">
        <f>IFERROR(__xludf.DUMMYFUNCTION("""COMPUTED_VALUE"""),48000.0)</f>
        <v>48000</v>
      </c>
      <c r="D2304" s="1">
        <f>IFERROR(__xludf.DUMMYFUNCTION("""COMPUTED_VALUE"""),46900.0)</f>
        <v>46900</v>
      </c>
      <c r="E2304" s="1">
        <f>IFERROR(__xludf.DUMMYFUNCTION("""COMPUTED_VALUE"""),47500.0)</f>
        <v>47500</v>
      </c>
      <c r="F2304" s="1">
        <f>IFERROR(__xludf.DUMMYFUNCTION("""COMPUTED_VALUE"""),1408737.0)</f>
        <v>1408737</v>
      </c>
    </row>
    <row r="2305">
      <c r="A2305" s="2">
        <f>IFERROR(__xludf.DUMMYFUNCTION("""COMPUTED_VALUE"""),43973.64583333333)</f>
        <v>43973.64583</v>
      </c>
      <c r="B2305" s="1">
        <f>IFERROR(__xludf.DUMMYFUNCTION("""COMPUTED_VALUE"""),47500.0)</f>
        <v>47500</v>
      </c>
      <c r="C2305" s="1">
        <f>IFERROR(__xludf.DUMMYFUNCTION("""COMPUTED_VALUE"""),49700.0)</f>
        <v>49700</v>
      </c>
      <c r="D2305" s="1">
        <f>IFERROR(__xludf.DUMMYFUNCTION("""COMPUTED_VALUE"""),47000.0)</f>
        <v>47000</v>
      </c>
      <c r="E2305" s="1">
        <f>IFERROR(__xludf.DUMMYFUNCTION("""COMPUTED_VALUE"""),49400.0)</f>
        <v>49400</v>
      </c>
      <c r="F2305" s="1">
        <f>IFERROR(__xludf.DUMMYFUNCTION("""COMPUTED_VALUE"""),1887064.0)</f>
        <v>1887064</v>
      </c>
    </row>
    <row r="2306">
      <c r="A2306" s="2">
        <f>IFERROR(__xludf.DUMMYFUNCTION("""COMPUTED_VALUE"""),43976.64583333333)</f>
        <v>43976.64583</v>
      </c>
      <c r="B2306" s="1">
        <f>IFERROR(__xludf.DUMMYFUNCTION("""COMPUTED_VALUE"""),50200.0)</f>
        <v>50200</v>
      </c>
      <c r="C2306" s="1">
        <f>IFERROR(__xludf.DUMMYFUNCTION("""COMPUTED_VALUE"""),54000.0)</f>
        <v>54000</v>
      </c>
      <c r="D2306" s="1">
        <f>IFERROR(__xludf.DUMMYFUNCTION("""COMPUTED_VALUE"""),49800.0)</f>
        <v>49800</v>
      </c>
      <c r="E2306" s="1">
        <f>IFERROR(__xludf.DUMMYFUNCTION("""COMPUTED_VALUE"""),53600.0)</f>
        <v>53600</v>
      </c>
      <c r="F2306" s="1">
        <f>IFERROR(__xludf.DUMMYFUNCTION("""COMPUTED_VALUE"""),2653776.0)</f>
        <v>2653776</v>
      </c>
    </row>
    <row r="2307">
      <c r="A2307" s="2">
        <f>IFERROR(__xludf.DUMMYFUNCTION("""COMPUTED_VALUE"""),43977.64583333333)</f>
        <v>43977.64583</v>
      </c>
      <c r="B2307" s="1">
        <f>IFERROR(__xludf.DUMMYFUNCTION("""COMPUTED_VALUE"""),54700.0)</f>
        <v>54700</v>
      </c>
      <c r="C2307" s="1">
        <f>IFERROR(__xludf.DUMMYFUNCTION("""COMPUTED_VALUE"""),55900.0)</f>
        <v>55900</v>
      </c>
      <c r="D2307" s="1">
        <f>IFERROR(__xludf.DUMMYFUNCTION("""COMPUTED_VALUE"""),52200.0)</f>
        <v>52200</v>
      </c>
      <c r="E2307" s="1">
        <f>IFERROR(__xludf.DUMMYFUNCTION("""COMPUTED_VALUE"""),54000.0)</f>
        <v>54000</v>
      </c>
      <c r="F2307" s="1">
        <f>IFERROR(__xludf.DUMMYFUNCTION("""COMPUTED_VALUE"""),3274293.0)</f>
        <v>3274293</v>
      </c>
    </row>
    <row r="2308">
      <c r="A2308" s="2">
        <f>IFERROR(__xludf.DUMMYFUNCTION("""COMPUTED_VALUE"""),43978.64583333333)</f>
        <v>43978.64583</v>
      </c>
      <c r="B2308" s="1">
        <f>IFERROR(__xludf.DUMMYFUNCTION("""COMPUTED_VALUE"""),52400.0)</f>
        <v>52400</v>
      </c>
      <c r="C2308" s="1">
        <f>IFERROR(__xludf.DUMMYFUNCTION("""COMPUTED_VALUE"""),53400.0)</f>
        <v>53400</v>
      </c>
      <c r="D2308" s="1">
        <f>IFERROR(__xludf.DUMMYFUNCTION("""COMPUTED_VALUE"""),51400.0)</f>
        <v>51400</v>
      </c>
      <c r="E2308" s="1">
        <f>IFERROR(__xludf.DUMMYFUNCTION("""COMPUTED_VALUE"""),52100.0)</f>
        <v>52100</v>
      </c>
      <c r="F2308" s="1">
        <f>IFERROR(__xludf.DUMMYFUNCTION("""COMPUTED_VALUE"""),2015974.0)</f>
        <v>2015974</v>
      </c>
    </row>
    <row r="2309">
      <c r="A2309" s="2">
        <f>IFERROR(__xludf.DUMMYFUNCTION("""COMPUTED_VALUE"""),43979.64583333333)</f>
        <v>43979.64583</v>
      </c>
      <c r="B2309" s="1">
        <f>IFERROR(__xludf.DUMMYFUNCTION("""COMPUTED_VALUE"""),51500.0)</f>
        <v>51500</v>
      </c>
      <c r="C2309" s="1">
        <f>IFERROR(__xludf.DUMMYFUNCTION("""COMPUTED_VALUE"""),54000.0)</f>
        <v>54000</v>
      </c>
      <c r="D2309" s="1">
        <f>IFERROR(__xludf.DUMMYFUNCTION("""COMPUTED_VALUE"""),50500.0)</f>
        <v>50500</v>
      </c>
      <c r="E2309" s="1">
        <f>IFERROR(__xludf.DUMMYFUNCTION("""COMPUTED_VALUE"""),53400.0)</f>
        <v>53400</v>
      </c>
      <c r="F2309" s="1">
        <f>IFERROR(__xludf.DUMMYFUNCTION("""COMPUTED_VALUE"""),2495048.0)</f>
        <v>2495048</v>
      </c>
    </row>
    <row r="2310">
      <c r="A2310" s="2">
        <f>IFERROR(__xludf.DUMMYFUNCTION("""COMPUTED_VALUE"""),43980.64583333333)</f>
        <v>43980.64583</v>
      </c>
      <c r="B2310" s="1">
        <f>IFERROR(__xludf.DUMMYFUNCTION("""COMPUTED_VALUE"""),52700.0)</f>
        <v>52700</v>
      </c>
      <c r="C2310" s="1">
        <f>IFERROR(__xludf.DUMMYFUNCTION("""COMPUTED_VALUE"""),53500.0)</f>
        <v>53500</v>
      </c>
      <c r="D2310" s="1">
        <f>IFERROR(__xludf.DUMMYFUNCTION("""COMPUTED_VALUE"""),51500.0)</f>
        <v>51500</v>
      </c>
      <c r="E2310" s="1">
        <f>IFERROR(__xludf.DUMMYFUNCTION("""COMPUTED_VALUE"""),52700.0)</f>
        <v>52700</v>
      </c>
      <c r="F2310" s="1">
        <f>IFERROR(__xludf.DUMMYFUNCTION("""COMPUTED_VALUE"""),1645822.0)</f>
        <v>1645822</v>
      </c>
    </row>
    <row r="2311">
      <c r="A2311" s="2">
        <f>IFERROR(__xludf.DUMMYFUNCTION("""COMPUTED_VALUE"""),43983.64583333333)</f>
        <v>43983.64583</v>
      </c>
      <c r="B2311" s="1">
        <f>IFERROR(__xludf.DUMMYFUNCTION("""COMPUTED_VALUE"""),52700.0)</f>
        <v>52700</v>
      </c>
      <c r="C2311" s="1">
        <f>IFERROR(__xludf.DUMMYFUNCTION("""COMPUTED_VALUE"""),53200.0)</f>
        <v>53200</v>
      </c>
      <c r="D2311" s="1">
        <f>IFERROR(__xludf.DUMMYFUNCTION("""COMPUTED_VALUE"""),51900.0)</f>
        <v>51900</v>
      </c>
      <c r="E2311" s="1">
        <f>IFERROR(__xludf.DUMMYFUNCTION("""COMPUTED_VALUE"""),52800.0)</f>
        <v>52800</v>
      </c>
      <c r="F2311" s="1">
        <f>IFERROR(__xludf.DUMMYFUNCTION("""COMPUTED_VALUE"""),1083698.0)</f>
        <v>1083698</v>
      </c>
    </row>
    <row r="2312">
      <c r="A2312" s="2">
        <f>IFERROR(__xludf.DUMMYFUNCTION("""COMPUTED_VALUE"""),43984.64583333333)</f>
        <v>43984.64583</v>
      </c>
      <c r="B2312" s="1">
        <f>IFERROR(__xludf.DUMMYFUNCTION("""COMPUTED_VALUE"""),52500.0)</f>
        <v>52500</v>
      </c>
      <c r="C2312" s="1">
        <f>IFERROR(__xludf.DUMMYFUNCTION("""COMPUTED_VALUE"""),52600.0)</f>
        <v>52600</v>
      </c>
      <c r="D2312" s="1">
        <f>IFERROR(__xludf.DUMMYFUNCTION("""COMPUTED_VALUE"""),51400.0)</f>
        <v>51400</v>
      </c>
      <c r="E2312" s="1">
        <f>IFERROR(__xludf.DUMMYFUNCTION("""COMPUTED_VALUE"""),51900.0)</f>
        <v>51900</v>
      </c>
      <c r="F2312" s="1">
        <f>IFERROR(__xludf.DUMMYFUNCTION("""COMPUTED_VALUE"""),978846.0)</f>
        <v>978846</v>
      </c>
    </row>
    <row r="2313">
      <c r="A2313" s="2">
        <f>IFERROR(__xludf.DUMMYFUNCTION("""COMPUTED_VALUE"""),43985.64583333333)</f>
        <v>43985.64583</v>
      </c>
      <c r="B2313" s="1">
        <f>IFERROR(__xludf.DUMMYFUNCTION("""COMPUTED_VALUE"""),51900.0)</f>
        <v>51900</v>
      </c>
      <c r="C2313" s="1">
        <f>IFERROR(__xludf.DUMMYFUNCTION("""COMPUTED_VALUE"""),52300.0)</f>
        <v>52300</v>
      </c>
      <c r="D2313" s="1">
        <f>IFERROR(__xludf.DUMMYFUNCTION("""COMPUTED_VALUE"""),49500.0)</f>
        <v>49500</v>
      </c>
      <c r="E2313" s="1">
        <f>IFERROR(__xludf.DUMMYFUNCTION("""COMPUTED_VALUE"""),49900.0)</f>
        <v>49900</v>
      </c>
      <c r="F2313" s="1">
        <f>IFERROR(__xludf.DUMMYFUNCTION("""COMPUTED_VALUE"""),2302391.0)</f>
        <v>2302391</v>
      </c>
    </row>
    <row r="2314">
      <c r="A2314" s="2">
        <f>IFERROR(__xludf.DUMMYFUNCTION("""COMPUTED_VALUE"""),43986.64583333333)</f>
        <v>43986.64583</v>
      </c>
      <c r="B2314" s="1">
        <f>IFERROR(__xludf.DUMMYFUNCTION("""COMPUTED_VALUE"""),49500.0)</f>
        <v>49500</v>
      </c>
      <c r="C2314" s="1">
        <f>IFERROR(__xludf.DUMMYFUNCTION("""COMPUTED_VALUE"""),51400.0)</f>
        <v>51400</v>
      </c>
      <c r="D2314" s="1">
        <f>IFERROR(__xludf.DUMMYFUNCTION("""COMPUTED_VALUE"""),49400.0)</f>
        <v>49400</v>
      </c>
      <c r="E2314" s="1">
        <f>IFERROR(__xludf.DUMMYFUNCTION("""COMPUTED_VALUE"""),50800.0)</f>
        <v>50800</v>
      </c>
      <c r="F2314" s="1">
        <f>IFERROR(__xludf.DUMMYFUNCTION("""COMPUTED_VALUE"""),1228950.0)</f>
        <v>1228950</v>
      </c>
    </row>
    <row r="2315">
      <c r="A2315" s="2">
        <f>IFERROR(__xludf.DUMMYFUNCTION("""COMPUTED_VALUE"""),43987.64583333333)</f>
        <v>43987.64583</v>
      </c>
      <c r="B2315" s="1">
        <f>IFERROR(__xludf.DUMMYFUNCTION("""COMPUTED_VALUE"""),50600.0)</f>
        <v>50600</v>
      </c>
      <c r="C2315" s="1">
        <f>IFERROR(__xludf.DUMMYFUNCTION("""COMPUTED_VALUE"""),50700.0)</f>
        <v>50700</v>
      </c>
      <c r="D2315" s="1">
        <f>IFERROR(__xludf.DUMMYFUNCTION("""COMPUTED_VALUE"""),49500.0)</f>
        <v>49500</v>
      </c>
      <c r="E2315" s="1">
        <f>IFERROR(__xludf.DUMMYFUNCTION("""COMPUTED_VALUE"""),50200.0)</f>
        <v>50200</v>
      </c>
      <c r="F2315" s="1">
        <f>IFERROR(__xludf.DUMMYFUNCTION("""COMPUTED_VALUE"""),1007264.0)</f>
        <v>1007264</v>
      </c>
    </row>
    <row r="2316">
      <c r="A2316" s="2">
        <f>IFERROR(__xludf.DUMMYFUNCTION("""COMPUTED_VALUE"""),43990.64583333333)</f>
        <v>43990.64583</v>
      </c>
      <c r="B2316" s="1">
        <f>IFERROR(__xludf.DUMMYFUNCTION("""COMPUTED_VALUE"""),50500.0)</f>
        <v>50500</v>
      </c>
      <c r="C2316" s="1">
        <f>IFERROR(__xludf.DUMMYFUNCTION("""COMPUTED_VALUE"""),51600.0)</f>
        <v>51600</v>
      </c>
      <c r="D2316" s="1">
        <f>IFERROR(__xludf.DUMMYFUNCTION("""COMPUTED_VALUE"""),49700.0)</f>
        <v>49700</v>
      </c>
      <c r="E2316" s="1">
        <f>IFERROR(__xludf.DUMMYFUNCTION("""COMPUTED_VALUE"""),51300.0)</f>
        <v>51300</v>
      </c>
      <c r="F2316" s="1">
        <f>IFERROR(__xludf.DUMMYFUNCTION("""COMPUTED_VALUE"""),1417078.0)</f>
        <v>1417078</v>
      </c>
    </row>
    <row r="2317">
      <c r="A2317" s="2">
        <f>IFERROR(__xludf.DUMMYFUNCTION("""COMPUTED_VALUE"""),43991.64583333333)</f>
        <v>43991.64583</v>
      </c>
      <c r="B2317" s="1">
        <f>IFERROR(__xludf.DUMMYFUNCTION("""COMPUTED_VALUE"""),51100.0)</f>
        <v>51100</v>
      </c>
      <c r="C2317" s="1">
        <f>IFERROR(__xludf.DUMMYFUNCTION("""COMPUTED_VALUE"""),51900.0)</f>
        <v>51900</v>
      </c>
      <c r="D2317" s="1">
        <f>IFERROR(__xludf.DUMMYFUNCTION("""COMPUTED_VALUE"""),50500.0)</f>
        <v>50500</v>
      </c>
      <c r="E2317" s="1">
        <f>IFERROR(__xludf.DUMMYFUNCTION("""COMPUTED_VALUE"""),50900.0)</f>
        <v>50900</v>
      </c>
      <c r="F2317" s="1">
        <f>IFERROR(__xludf.DUMMYFUNCTION("""COMPUTED_VALUE"""),834862.0)</f>
        <v>834862</v>
      </c>
    </row>
    <row r="2318">
      <c r="A2318" s="2">
        <f>IFERROR(__xludf.DUMMYFUNCTION("""COMPUTED_VALUE"""),43992.64583333333)</f>
        <v>43992.64583</v>
      </c>
      <c r="B2318" s="1">
        <f>IFERROR(__xludf.DUMMYFUNCTION("""COMPUTED_VALUE"""),51300.0)</f>
        <v>51300</v>
      </c>
      <c r="C2318" s="1">
        <f>IFERROR(__xludf.DUMMYFUNCTION("""COMPUTED_VALUE"""),52700.0)</f>
        <v>52700</v>
      </c>
      <c r="D2318" s="1">
        <f>IFERROR(__xludf.DUMMYFUNCTION("""COMPUTED_VALUE"""),51300.0)</f>
        <v>51300</v>
      </c>
      <c r="E2318" s="1">
        <f>IFERROR(__xludf.DUMMYFUNCTION("""COMPUTED_VALUE"""),52400.0)</f>
        <v>52400</v>
      </c>
      <c r="F2318" s="1">
        <f>IFERROR(__xludf.DUMMYFUNCTION("""COMPUTED_VALUE"""),1575452.0)</f>
        <v>1575452</v>
      </c>
    </row>
    <row r="2319">
      <c r="A2319" s="2">
        <f>IFERROR(__xludf.DUMMYFUNCTION("""COMPUTED_VALUE"""),43993.64583333333)</f>
        <v>43993.64583</v>
      </c>
      <c r="B2319" s="1">
        <f>IFERROR(__xludf.DUMMYFUNCTION("""COMPUTED_VALUE"""),52800.0)</f>
        <v>52800</v>
      </c>
      <c r="C2319" s="1">
        <f>IFERROR(__xludf.DUMMYFUNCTION("""COMPUTED_VALUE"""),53600.0)</f>
        <v>53600</v>
      </c>
      <c r="D2319" s="1">
        <f>IFERROR(__xludf.DUMMYFUNCTION("""COMPUTED_VALUE"""),52200.0)</f>
        <v>52200</v>
      </c>
      <c r="E2319" s="1">
        <f>IFERROR(__xludf.DUMMYFUNCTION("""COMPUTED_VALUE"""),53000.0)</f>
        <v>53000</v>
      </c>
      <c r="F2319" s="1">
        <f>IFERROR(__xludf.DUMMYFUNCTION("""COMPUTED_VALUE"""),1724551.0)</f>
        <v>1724551</v>
      </c>
    </row>
    <row r="2320">
      <c r="A2320" s="2">
        <f>IFERROR(__xludf.DUMMYFUNCTION("""COMPUTED_VALUE"""),43994.64583333333)</f>
        <v>43994.64583</v>
      </c>
      <c r="B2320" s="1">
        <f>IFERROR(__xludf.DUMMYFUNCTION("""COMPUTED_VALUE"""),51300.0)</f>
        <v>51300</v>
      </c>
      <c r="C2320" s="1">
        <f>IFERROR(__xludf.DUMMYFUNCTION("""COMPUTED_VALUE"""),53600.0)</f>
        <v>53600</v>
      </c>
      <c r="D2320" s="1">
        <f>IFERROR(__xludf.DUMMYFUNCTION("""COMPUTED_VALUE"""),51200.0)</f>
        <v>51200</v>
      </c>
      <c r="E2320" s="1">
        <f>IFERROR(__xludf.DUMMYFUNCTION("""COMPUTED_VALUE"""),53200.0)</f>
        <v>53200</v>
      </c>
      <c r="F2320" s="1">
        <f>IFERROR(__xludf.DUMMYFUNCTION("""COMPUTED_VALUE"""),1688975.0)</f>
        <v>1688975</v>
      </c>
    </row>
    <row r="2321">
      <c r="A2321" s="2">
        <f>IFERROR(__xludf.DUMMYFUNCTION("""COMPUTED_VALUE"""),43997.64583333333)</f>
        <v>43997.64583</v>
      </c>
      <c r="B2321" s="1">
        <f>IFERROR(__xludf.DUMMYFUNCTION("""COMPUTED_VALUE"""),53200.0)</f>
        <v>53200</v>
      </c>
      <c r="C2321" s="1">
        <f>IFERROR(__xludf.DUMMYFUNCTION("""COMPUTED_VALUE"""),54200.0)</f>
        <v>54200</v>
      </c>
      <c r="D2321" s="1">
        <f>IFERROR(__xludf.DUMMYFUNCTION("""COMPUTED_VALUE"""),50000.0)</f>
        <v>50000</v>
      </c>
      <c r="E2321" s="1">
        <f>IFERROR(__xludf.DUMMYFUNCTION("""COMPUTED_VALUE"""),50500.0)</f>
        <v>50500</v>
      </c>
      <c r="F2321" s="1">
        <f>IFERROR(__xludf.DUMMYFUNCTION("""COMPUTED_VALUE"""),1549230.0)</f>
        <v>1549230</v>
      </c>
    </row>
    <row r="2322">
      <c r="A2322" s="2">
        <f>IFERROR(__xludf.DUMMYFUNCTION("""COMPUTED_VALUE"""),43998.64583333333)</f>
        <v>43998.64583</v>
      </c>
      <c r="B2322" s="1">
        <f>IFERROR(__xludf.DUMMYFUNCTION("""COMPUTED_VALUE"""),52100.0)</f>
        <v>52100</v>
      </c>
      <c r="C2322" s="1">
        <f>IFERROR(__xludf.DUMMYFUNCTION("""COMPUTED_VALUE"""),52600.0)</f>
        <v>52600</v>
      </c>
      <c r="D2322" s="1">
        <f>IFERROR(__xludf.DUMMYFUNCTION("""COMPUTED_VALUE"""),51600.0)</f>
        <v>51600</v>
      </c>
      <c r="E2322" s="1">
        <f>IFERROR(__xludf.DUMMYFUNCTION("""COMPUTED_VALUE"""),52600.0)</f>
        <v>52600</v>
      </c>
      <c r="F2322" s="1">
        <f>IFERROR(__xludf.DUMMYFUNCTION("""COMPUTED_VALUE"""),915456.0)</f>
        <v>915456</v>
      </c>
    </row>
    <row r="2323">
      <c r="A2323" s="2">
        <f>IFERROR(__xludf.DUMMYFUNCTION("""COMPUTED_VALUE"""),43999.64583333333)</f>
        <v>43999.64583</v>
      </c>
      <c r="B2323" s="1">
        <f>IFERROR(__xludf.DUMMYFUNCTION("""COMPUTED_VALUE"""),52300.0)</f>
        <v>52300</v>
      </c>
      <c r="C2323" s="1">
        <f>IFERROR(__xludf.DUMMYFUNCTION("""COMPUTED_VALUE"""),53600.0)</f>
        <v>53600</v>
      </c>
      <c r="D2323" s="1">
        <f>IFERROR(__xludf.DUMMYFUNCTION("""COMPUTED_VALUE"""),51600.0)</f>
        <v>51600</v>
      </c>
      <c r="E2323" s="1">
        <f>IFERROR(__xludf.DUMMYFUNCTION("""COMPUTED_VALUE"""),52600.0)</f>
        <v>52600</v>
      </c>
      <c r="F2323" s="1">
        <f>IFERROR(__xludf.DUMMYFUNCTION("""COMPUTED_VALUE"""),1162204.0)</f>
        <v>1162204</v>
      </c>
    </row>
    <row r="2324">
      <c r="A2324" s="2">
        <f>IFERROR(__xludf.DUMMYFUNCTION("""COMPUTED_VALUE"""),44000.64583333333)</f>
        <v>44000.64583</v>
      </c>
      <c r="B2324" s="1">
        <f>IFERROR(__xludf.DUMMYFUNCTION("""COMPUTED_VALUE"""),52900.0)</f>
        <v>52900</v>
      </c>
      <c r="C2324" s="1">
        <f>IFERROR(__xludf.DUMMYFUNCTION("""COMPUTED_VALUE"""),53400.0)</f>
        <v>53400</v>
      </c>
      <c r="D2324" s="1">
        <f>IFERROR(__xludf.DUMMYFUNCTION("""COMPUTED_VALUE"""),52100.0)</f>
        <v>52100</v>
      </c>
      <c r="E2324" s="1">
        <f>IFERROR(__xludf.DUMMYFUNCTION("""COMPUTED_VALUE"""),52700.0)</f>
        <v>52700</v>
      </c>
      <c r="F2324" s="1">
        <f>IFERROR(__xludf.DUMMYFUNCTION("""COMPUTED_VALUE"""),981144.0)</f>
        <v>981144</v>
      </c>
    </row>
    <row r="2325">
      <c r="A2325" s="2">
        <f>IFERROR(__xludf.DUMMYFUNCTION("""COMPUTED_VALUE"""),44001.64583333333)</f>
        <v>44001.64583</v>
      </c>
      <c r="B2325" s="1">
        <f>IFERROR(__xludf.DUMMYFUNCTION("""COMPUTED_VALUE"""),53500.0)</f>
        <v>53500</v>
      </c>
      <c r="C2325" s="1">
        <f>IFERROR(__xludf.DUMMYFUNCTION("""COMPUTED_VALUE"""),53900.0)</f>
        <v>53900</v>
      </c>
      <c r="D2325" s="1">
        <f>IFERROR(__xludf.DUMMYFUNCTION("""COMPUTED_VALUE"""),52400.0)</f>
        <v>52400</v>
      </c>
      <c r="E2325" s="1">
        <f>IFERROR(__xludf.DUMMYFUNCTION("""COMPUTED_VALUE"""),52700.0)</f>
        <v>52700</v>
      </c>
      <c r="F2325" s="1">
        <f>IFERROR(__xludf.DUMMYFUNCTION("""COMPUTED_VALUE"""),920126.0)</f>
        <v>920126</v>
      </c>
    </row>
    <row r="2326">
      <c r="A2326" s="2">
        <f>IFERROR(__xludf.DUMMYFUNCTION("""COMPUTED_VALUE"""),44004.64583333333)</f>
        <v>44004.64583</v>
      </c>
      <c r="B2326" s="1">
        <f>IFERROR(__xludf.DUMMYFUNCTION("""COMPUTED_VALUE"""),52700.0)</f>
        <v>52700</v>
      </c>
      <c r="C2326" s="1">
        <f>IFERROR(__xludf.DUMMYFUNCTION("""COMPUTED_VALUE"""),55200.0)</f>
        <v>55200</v>
      </c>
      <c r="D2326" s="1">
        <f>IFERROR(__xludf.DUMMYFUNCTION("""COMPUTED_VALUE"""),52100.0)</f>
        <v>52100</v>
      </c>
      <c r="E2326" s="1">
        <f>IFERROR(__xludf.DUMMYFUNCTION("""COMPUTED_VALUE"""),54800.0)</f>
        <v>54800</v>
      </c>
      <c r="F2326" s="1">
        <f>IFERROR(__xludf.DUMMYFUNCTION("""COMPUTED_VALUE"""),2008656.0)</f>
        <v>2008656</v>
      </c>
    </row>
    <row r="2327">
      <c r="A2327" s="2">
        <f>IFERROR(__xludf.DUMMYFUNCTION("""COMPUTED_VALUE"""),44005.64583333333)</f>
        <v>44005.64583</v>
      </c>
      <c r="B2327" s="1">
        <f>IFERROR(__xludf.DUMMYFUNCTION("""COMPUTED_VALUE"""),55800.0)</f>
        <v>55800</v>
      </c>
      <c r="C2327" s="1">
        <f>IFERROR(__xludf.DUMMYFUNCTION("""COMPUTED_VALUE"""),57800.0)</f>
        <v>57800</v>
      </c>
      <c r="D2327" s="1">
        <f>IFERROR(__xludf.DUMMYFUNCTION("""COMPUTED_VALUE"""),55400.0)</f>
        <v>55400</v>
      </c>
      <c r="E2327" s="1">
        <f>IFERROR(__xludf.DUMMYFUNCTION("""COMPUTED_VALUE"""),56300.0)</f>
        <v>56300</v>
      </c>
      <c r="F2327" s="1">
        <f>IFERROR(__xludf.DUMMYFUNCTION("""COMPUTED_VALUE"""),2166267.0)</f>
        <v>2166267</v>
      </c>
    </row>
    <row r="2328">
      <c r="A2328" s="2">
        <f>IFERROR(__xludf.DUMMYFUNCTION("""COMPUTED_VALUE"""),44006.64583333333)</f>
        <v>44006.64583</v>
      </c>
      <c r="B2328" s="1">
        <f>IFERROR(__xludf.DUMMYFUNCTION("""COMPUTED_VALUE"""),56300.0)</f>
        <v>56300</v>
      </c>
      <c r="C2328" s="1">
        <f>IFERROR(__xludf.DUMMYFUNCTION("""COMPUTED_VALUE"""),56800.0)</f>
        <v>56800</v>
      </c>
      <c r="D2328" s="1">
        <f>IFERROR(__xludf.DUMMYFUNCTION("""COMPUTED_VALUE"""),55000.0)</f>
        <v>55000</v>
      </c>
      <c r="E2328" s="1">
        <f>IFERROR(__xludf.DUMMYFUNCTION("""COMPUTED_VALUE"""),56500.0)</f>
        <v>56500</v>
      </c>
      <c r="F2328" s="1">
        <f>IFERROR(__xludf.DUMMYFUNCTION("""COMPUTED_VALUE"""),1081233.0)</f>
        <v>1081233</v>
      </c>
    </row>
    <row r="2329">
      <c r="A2329" s="2">
        <f>IFERROR(__xludf.DUMMYFUNCTION("""COMPUTED_VALUE"""),44007.64583333333)</f>
        <v>44007.64583</v>
      </c>
      <c r="B2329" s="1">
        <f>IFERROR(__xludf.DUMMYFUNCTION("""COMPUTED_VALUE"""),55700.0)</f>
        <v>55700</v>
      </c>
      <c r="C2329" s="1">
        <f>IFERROR(__xludf.DUMMYFUNCTION("""COMPUTED_VALUE"""),56400.0)</f>
        <v>56400</v>
      </c>
      <c r="D2329" s="1">
        <f>IFERROR(__xludf.DUMMYFUNCTION("""COMPUTED_VALUE"""),54700.0)</f>
        <v>54700</v>
      </c>
      <c r="E2329" s="1">
        <f>IFERROR(__xludf.DUMMYFUNCTION("""COMPUTED_VALUE"""),54900.0)</f>
        <v>54900</v>
      </c>
      <c r="F2329" s="1">
        <f>IFERROR(__xludf.DUMMYFUNCTION("""COMPUTED_VALUE"""),900258.0)</f>
        <v>900258</v>
      </c>
    </row>
    <row r="2330">
      <c r="A2330" s="2">
        <f>IFERROR(__xludf.DUMMYFUNCTION("""COMPUTED_VALUE"""),44008.64583333333)</f>
        <v>44008.64583</v>
      </c>
      <c r="B2330" s="1">
        <f>IFERROR(__xludf.DUMMYFUNCTION("""COMPUTED_VALUE"""),55900.0)</f>
        <v>55900</v>
      </c>
      <c r="C2330" s="1">
        <f>IFERROR(__xludf.DUMMYFUNCTION("""COMPUTED_VALUE"""),56000.0)</f>
        <v>56000</v>
      </c>
      <c r="D2330" s="1">
        <f>IFERROR(__xludf.DUMMYFUNCTION("""COMPUTED_VALUE"""),53600.0)</f>
        <v>53600</v>
      </c>
      <c r="E2330" s="1">
        <f>IFERROR(__xludf.DUMMYFUNCTION("""COMPUTED_VALUE"""),54900.0)</f>
        <v>54900</v>
      </c>
      <c r="F2330" s="1">
        <f>IFERROR(__xludf.DUMMYFUNCTION("""COMPUTED_VALUE"""),812726.0)</f>
        <v>812726</v>
      </c>
    </row>
    <row r="2331">
      <c r="A2331" s="2">
        <f>IFERROR(__xludf.DUMMYFUNCTION("""COMPUTED_VALUE"""),44011.64583333333)</f>
        <v>44011.64583</v>
      </c>
      <c r="B2331" s="1">
        <f>IFERROR(__xludf.DUMMYFUNCTION("""COMPUTED_VALUE"""),53800.0)</f>
        <v>53800</v>
      </c>
      <c r="C2331" s="1">
        <f>IFERROR(__xludf.DUMMYFUNCTION("""COMPUTED_VALUE"""),54700.0)</f>
        <v>54700</v>
      </c>
      <c r="D2331" s="1">
        <f>IFERROR(__xludf.DUMMYFUNCTION("""COMPUTED_VALUE"""),53200.0)</f>
        <v>53200</v>
      </c>
      <c r="E2331" s="1">
        <f>IFERROR(__xludf.DUMMYFUNCTION("""COMPUTED_VALUE"""),53500.0)</f>
        <v>53500</v>
      </c>
      <c r="F2331" s="1">
        <f>IFERROR(__xludf.DUMMYFUNCTION("""COMPUTED_VALUE"""),778818.0)</f>
        <v>778818</v>
      </c>
    </row>
    <row r="2332">
      <c r="A2332" s="2">
        <f>IFERROR(__xludf.DUMMYFUNCTION("""COMPUTED_VALUE"""),44012.64583333333)</f>
        <v>44012.64583</v>
      </c>
      <c r="B2332" s="1">
        <f>IFERROR(__xludf.DUMMYFUNCTION("""COMPUTED_VALUE"""),54400.0)</f>
        <v>54400</v>
      </c>
      <c r="C2332" s="1">
        <f>IFERROR(__xludf.DUMMYFUNCTION("""COMPUTED_VALUE"""),54600.0)</f>
        <v>54600</v>
      </c>
      <c r="D2332" s="1">
        <f>IFERROR(__xludf.DUMMYFUNCTION("""COMPUTED_VALUE"""),53500.0)</f>
        <v>53500</v>
      </c>
      <c r="E2332" s="1">
        <f>IFERROR(__xludf.DUMMYFUNCTION("""COMPUTED_VALUE"""),53500.0)</f>
        <v>53500</v>
      </c>
      <c r="F2332" s="1">
        <f>IFERROR(__xludf.DUMMYFUNCTION("""COMPUTED_VALUE"""),624089.0)</f>
        <v>624089</v>
      </c>
    </row>
    <row r="2333">
      <c r="A2333" s="2">
        <f>IFERROR(__xludf.DUMMYFUNCTION("""COMPUTED_VALUE"""),44013.64583333333)</f>
        <v>44013.64583</v>
      </c>
      <c r="B2333" s="1">
        <f>IFERROR(__xludf.DUMMYFUNCTION("""COMPUTED_VALUE"""),54300.0)</f>
        <v>54300</v>
      </c>
      <c r="C2333" s="1">
        <f>IFERROR(__xludf.DUMMYFUNCTION("""COMPUTED_VALUE"""),55000.0)</f>
        <v>55000</v>
      </c>
      <c r="D2333" s="1">
        <f>IFERROR(__xludf.DUMMYFUNCTION("""COMPUTED_VALUE"""),53500.0)</f>
        <v>53500</v>
      </c>
      <c r="E2333" s="1">
        <f>IFERROR(__xludf.DUMMYFUNCTION("""COMPUTED_VALUE"""),53900.0)</f>
        <v>53900</v>
      </c>
      <c r="F2333" s="1">
        <f>IFERROR(__xludf.DUMMYFUNCTION("""COMPUTED_VALUE"""),578023.0)</f>
        <v>578023</v>
      </c>
    </row>
    <row r="2334">
      <c r="A2334" s="2">
        <f>IFERROR(__xludf.DUMMYFUNCTION("""COMPUTED_VALUE"""),44014.64583333333)</f>
        <v>44014.64583</v>
      </c>
      <c r="B2334" s="1">
        <f>IFERROR(__xludf.DUMMYFUNCTION("""COMPUTED_VALUE"""),54700.0)</f>
        <v>54700</v>
      </c>
      <c r="C2334" s="1">
        <f>IFERROR(__xludf.DUMMYFUNCTION("""COMPUTED_VALUE"""),57100.0)</f>
        <v>57100</v>
      </c>
      <c r="D2334" s="1">
        <f>IFERROR(__xludf.DUMMYFUNCTION("""COMPUTED_VALUE"""),54600.0)</f>
        <v>54600</v>
      </c>
      <c r="E2334" s="1">
        <f>IFERROR(__xludf.DUMMYFUNCTION("""COMPUTED_VALUE"""),57100.0)</f>
        <v>57100</v>
      </c>
      <c r="F2334" s="1">
        <f>IFERROR(__xludf.DUMMYFUNCTION("""COMPUTED_VALUE"""),1378545.0)</f>
        <v>1378545</v>
      </c>
    </row>
    <row r="2335">
      <c r="A2335" s="2">
        <f>IFERROR(__xludf.DUMMYFUNCTION("""COMPUTED_VALUE"""),44015.64583333333)</f>
        <v>44015.64583</v>
      </c>
      <c r="B2335" s="1">
        <f>IFERROR(__xludf.DUMMYFUNCTION("""COMPUTED_VALUE"""),57900.0)</f>
        <v>57900</v>
      </c>
      <c r="C2335" s="1">
        <f>IFERROR(__xludf.DUMMYFUNCTION("""COMPUTED_VALUE"""),59400.0)</f>
        <v>59400</v>
      </c>
      <c r="D2335" s="1">
        <f>IFERROR(__xludf.DUMMYFUNCTION("""COMPUTED_VALUE"""),56800.0)</f>
        <v>56800</v>
      </c>
      <c r="E2335" s="1">
        <f>IFERROR(__xludf.DUMMYFUNCTION("""COMPUTED_VALUE"""),58800.0)</f>
        <v>58800</v>
      </c>
      <c r="F2335" s="1">
        <f>IFERROR(__xludf.DUMMYFUNCTION("""COMPUTED_VALUE"""),1604493.0)</f>
        <v>1604493</v>
      </c>
    </row>
    <row r="2336">
      <c r="A2336" s="2">
        <f>IFERROR(__xludf.DUMMYFUNCTION("""COMPUTED_VALUE"""),44018.64583333333)</f>
        <v>44018.64583</v>
      </c>
      <c r="B2336" s="1">
        <f>IFERROR(__xludf.DUMMYFUNCTION("""COMPUTED_VALUE"""),59600.0)</f>
        <v>59600</v>
      </c>
      <c r="C2336" s="1">
        <f>IFERROR(__xludf.DUMMYFUNCTION("""COMPUTED_VALUE"""),61500.0)</f>
        <v>61500</v>
      </c>
      <c r="D2336" s="1">
        <f>IFERROR(__xludf.DUMMYFUNCTION("""COMPUTED_VALUE"""),59400.0)</f>
        <v>59400</v>
      </c>
      <c r="E2336" s="1">
        <f>IFERROR(__xludf.DUMMYFUNCTION("""COMPUTED_VALUE"""),60100.0)</f>
        <v>60100</v>
      </c>
      <c r="F2336" s="1">
        <f>IFERROR(__xludf.DUMMYFUNCTION("""COMPUTED_VALUE"""),1344851.0)</f>
        <v>1344851</v>
      </c>
    </row>
    <row r="2337">
      <c r="A2337" s="2">
        <f>IFERROR(__xludf.DUMMYFUNCTION("""COMPUTED_VALUE"""),44019.64583333333)</f>
        <v>44019.64583</v>
      </c>
      <c r="B2337" s="1">
        <f>IFERROR(__xludf.DUMMYFUNCTION("""COMPUTED_VALUE"""),61300.0)</f>
        <v>61300</v>
      </c>
      <c r="C2337" s="1">
        <f>IFERROR(__xludf.DUMMYFUNCTION("""COMPUTED_VALUE"""),63600.0)</f>
        <v>63600</v>
      </c>
      <c r="D2337" s="1">
        <f>IFERROR(__xludf.DUMMYFUNCTION("""COMPUTED_VALUE"""),60800.0)</f>
        <v>60800</v>
      </c>
      <c r="E2337" s="1">
        <f>IFERROR(__xludf.DUMMYFUNCTION("""COMPUTED_VALUE"""),62100.0)</f>
        <v>62100</v>
      </c>
      <c r="F2337" s="1">
        <f>IFERROR(__xludf.DUMMYFUNCTION("""COMPUTED_VALUE"""),1552820.0)</f>
        <v>1552820</v>
      </c>
    </row>
    <row r="2338">
      <c r="A2338" s="2">
        <f>IFERROR(__xludf.DUMMYFUNCTION("""COMPUTED_VALUE"""),44020.64583333333)</f>
        <v>44020.64583</v>
      </c>
      <c r="B2338" s="1">
        <f>IFERROR(__xludf.DUMMYFUNCTION("""COMPUTED_VALUE"""),62400.0)</f>
        <v>62400</v>
      </c>
      <c r="C2338" s="1">
        <f>IFERROR(__xludf.DUMMYFUNCTION("""COMPUTED_VALUE"""),65600.0)</f>
        <v>65600</v>
      </c>
      <c r="D2338" s="1">
        <f>IFERROR(__xludf.DUMMYFUNCTION("""COMPUTED_VALUE"""),61000.0)</f>
        <v>61000</v>
      </c>
      <c r="E2338" s="1">
        <f>IFERROR(__xludf.DUMMYFUNCTION("""COMPUTED_VALUE"""),65600.0)</f>
        <v>65600</v>
      </c>
      <c r="F2338" s="1">
        <f>IFERROR(__xludf.DUMMYFUNCTION("""COMPUTED_VALUE"""),1869663.0)</f>
        <v>1869663</v>
      </c>
    </row>
    <row r="2339">
      <c r="A2339" s="2">
        <f>IFERROR(__xludf.DUMMYFUNCTION("""COMPUTED_VALUE"""),44021.64583333333)</f>
        <v>44021.64583</v>
      </c>
      <c r="B2339" s="1">
        <f>IFERROR(__xludf.DUMMYFUNCTION("""COMPUTED_VALUE"""),67000.0)</f>
        <v>67000</v>
      </c>
      <c r="C2339" s="1">
        <f>IFERROR(__xludf.DUMMYFUNCTION("""COMPUTED_VALUE"""),71100.0)</f>
        <v>71100</v>
      </c>
      <c r="D2339" s="1">
        <f>IFERROR(__xludf.DUMMYFUNCTION("""COMPUTED_VALUE"""),66400.0)</f>
        <v>66400</v>
      </c>
      <c r="E2339" s="1">
        <f>IFERROR(__xludf.DUMMYFUNCTION("""COMPUTED_VALUE"""),71100.0)</f>
        <v>71100</v>
      </c>
      <c r="F2339" s="1">
        <f>IFERROR(__xludf.DUMMYFUNCTION("""COMPUTED_VALUE"""),2463503.0)</f>
        <v>2463503</v>
      </c>
    </row>
    <row r="2340">
      <c r="A2340" s="2">
        <f>IFERROR(__xludf.DUMMYFUNCTION("""COMPUTED_VALUE"""),44022.64583333333)</f>
        <v>44022.64583</v>
      </c>
      <c r="B2340" s="1">
        <f>IFERROR(__xludf.DUMMYFUNCTION("""COMPUTED_VALUE"""),70200.0)</f>
        <v>70200</v>
      </c>
      <c r="C2340" s="1">
        <f>IFERROR(__xludf.DUMMYFUNCTION("""COMPUTED_VALUE"""),73600.0)</f>
        <v>73600</v>
      </c>
      <c r="D2340" s="1">
        <f>IFERROR(__xludf.DUMMYFUNCTION("""COMPUTED_VALUE"""),69100.0)</f>
        <v>69100</v>
      </c>
      <c r="E2340" s="1">
        <f>IFERROR(__xludf.DUMMYFUNCTION("""COMPUTED_VALUE"""),71100.0)</f>
        <v>71100</v>
      </c>
      <c r="F2340" s="1">
        <f>IFERROR(__xludf.DUMMYFUNCTION("""COMPUTED_VALUE"""),2566935.0)</f>
        <v>2566935</v>
      </c>
    </row>
    <row r="2341">
      <c r="A2341" s="2">
        <f>IFERROR(__xludf.DUMMYFUNCTION("""COMPUTED_VALUE"""),44025.64583333333)</f>
        <v>44025.64583</v>
      </c>
      <c r="B2341" s="1">
        <f>IFERROR(__xludf.DUMMYFUNCTION("""COMPUTED_VALUE"""),71800.0)</f>
        <v>71800</v>
      </c>
      <c r="C2341" s="1">
        <f>IFERROR(__xludf.DUMMYFUNCTION("""COMPUTED_VALUE"""),72200.0)</f>
        <v>72200</v>
      </c>
      <c r="D2341" s="1">
        <f>IFERROR(__xludf.DUMMYFUNCTION("""COMPUTED_VALUE"""),69000.0)</f>
        <v>69000</v>
      </c>
      <c r="E2341" s="1">
        <f>IFERROR(__xludf.DUMMYFUNCTION("""COMPUTED_VALUE"""),70400.0)</f>
        <v>70400</v>
      </c>
      <c r="F2341" s="1">
        <f>IFERROR(__xludf.DUMMYFUNCTION("""COMPUTED_VALUE"""),1391744.0)</f>
        <v>1391744</v>
      </c>
    </row>
    <row r="2342">
      <c r="A2342" s="2">
        <f>IFERROR(__xludf.DUMMYFUNCTION("""COMPUTED_VALUE"""),44026.64583333333)</f>
        <v>44026.64583</v>
      </c>
      <c r="B2342" s="1">
        <f>IFERROR(__xludf.DUMMYFUNCTION("""COMPUTED_VALUE"""),68100.0)</f>
        <v>68100</v>
      </c>
      <c r="C2342" s="1">
        <f>IFERROR(__xludf.DUMMYFUNCTION("""COMPUTED_VALUE"""),69300.0)</f>
        <v>69300</v>
      </c>
      <c r="D2342" s="1">
        <f>IFERROR(__xludf.DUMMYFUNCTION("""COMPUTED_VALUE"""),68000.0)</f>
        <v>68000</v>
      </c>
      <c r="E2342" s="1">
        <f>IFERROR(__xludf.DUMMYFUNCTION("""COMPUTED_VALUE"""),68600.0)</f>
        <v>68600</v>
      </c>
      <c r="F2342" s="1">
        <f>IFERROR(__xludf.DUMMYFUNCTION("""COMPUTED_VALUE"""),1212519.0)</f>
        <v>1212519</v>
      </c>
    </row>
    <row r="2343">
      <c r="A2343" s="2">
        <f>IFERROR(__xludf.DUMMYFUNCTION("""COMPUTED_VALUE"""),44027.64583333333)</f>
        <v>44027.64583</v>
      </c>
      <c r="B2343" s="1">
        <f>IFERROR(__xludf.DUMMYFUNCTION("""COMPUTED_VALUE"""),68800.0)</f>
        <v>68800</v>
      </c>
      <c r="C2343" s="1">
        <f>IFERROR(__xludf.DUMMYFUNCTION("""COMPUTED_VALUE"""),69900.0)</f>
        <v>69900</v>
      </c>
      <c r="D2343" s="1">
        <f>IFERROR(__xludf.DUMMYFUNCTION("""COMPUTED_VALUE"""),66400.0)</f>
        <v>66400</v>
      </c>
      <c r="E2343" s="1">
        <f>IFERROR(__xludf.DUMMYFUNCTION("""COMPUTED_VALUE"""),67500.0)</f>
        <v>67500</v>
      </c>
      <c r="F2343" s="1">
        <f>IFERROR(__xludf.DUMMYFUNCTION("""COMPUTED_VALUE"""),1487417.0)</f>
        <v>1487417</v>
      </c>
    </row>
    <row r="2344">
      <c r="A2344" s="2">
        <f>IFERROR(__xludf.DUMMYFUNCTION("""COMPUTED_VALUE"""),44028.64583333333)</f>
        <v>44028.64583</v>
      </c>
      <c r="B2344" s="1">
        <f>IFERROR(__xludf.DUMMYFUNCTION("""COMPUTED_VALUE"""),66400.0)</f>
        <v>66400</v>
      </c>
      <c r="C2344" s="1">
        <f>IFERROR(__xludf.DUMMYFUNCTION("""COMPUTED_VALUE"""),67100.0)</f>
        <v>67100</v>
      </c>
      <c r="D2344" s="1">
        <f>IFERROR(__xludf.DUMMYFUNCTION("""COMPUTED_VALUE"""),63800.0)</f>
        <v>63800</v>
      </c>
      <c r="E2344" s="1">
        <f>IFERROR(__xludf.DUMMYFUNCTION("""COMPUTED_VALUE"""),64400.0)</f>
        <v>64400</v>
      </c>
      <c r="F2344" s="1">
        <f>IFERROR(__xludf.DUMMYFUNCTION("""COMPUTED_VALUE"""),1941508.0)</f>
        <v>1941508</v>
      </c>
    </row>
    <row r="2345">
      <c r="A2345" s="2">
        <f>IFERROR(__xludf.DUMMYFUNCTION("""COMPUTED_VALUE"""),44029.64583333333)</f>
        <v>44029.64583</v>
      </c>
      <c r="B2345" s="1">
        <f>IFERROR(__xludf.DUMMYFUNCTION("""COMPUTED_VALUE"""),63800.0)</f>
        <v>63800</v>
      </c>
      <c r="C2345" s="1">
        <f>IFERROR(__xludf.DUMMYFUNCTION("""COMPUTED_VALUE"""),65400.0)</f>
        <v>65400</v>
      </c>
      <c r="D2345" s="1">
        <f>IFERROR(__xludf.DUMMYFUNCTION("""COMPUTED_VALUE"""),62800.0)</f>
        <v>62800</v>
      </c>
      <c r="E2345" s="1">
        <f>IFERROR(__xludf.DUMMYFUNCTION("""COMPUTED_VALUE"""),65000.0)</f>
        <v>65000</v>
      </c>
      <c r="F2345" s="1">
        <f>IFERROR(__xludf.DUMMYFUNCTION("""COMPUTED_VALUE"""),1268587.0)</f>
        <v>1268587</v>
      </c>
    </row>
    <row r="2346">
      <c r="A2346" s="2">
        <f>IFERROR(__xludf.DUMMYFUNCTION("""COMPUTED_VALUE"""),44032.64583333333)</f>
        <v>44032.64583</v>
      </c>
      <c r="B2346" s="1">
        <f>IFERROR(__xludf.DUMMYFUNCTION("""COMPUTED_VALUE"""),65000.0)</f>
        <v>65000</v>
      </c>
      <c r="C2346" s="1">
        <f>IFERROR(__xludf.DUMMYFUNCTION("""COMPUTED_VALUE"""),65000.0)</f>
        <v>65000</v>
      </c>
      <c r="D2346" s="1">
        <f>IFERROR(__xludf.DUMMYFUNCTION("""COMPUTED_VALUE"""),62000.0)</f>
        <v>62000</v>
      </c>
      <c r="E2346" s="1">
        <f>IFERROR(__xludf.DUMMYFUNCTION("""COMPUTED_VALUE"""),62000.0)</f>
        <v>62000</v>
      </c>
      <c r="F2346" s="1">
        <f>IFERROR(__xludf.DUMMYFUNCTION("""COMPUTED_VALUE"""),1534422.0)</f>
        <v>1534422</v>
      </c>
    </row>
    <row r="2347">
      <c r="A2347" s="2">
        <f>IFERROR(__xludf.DUMMYFUNCTION("""COMPUTED_VALUE"""),44033.64583333333)</f>
        <v>44033.64583</v>
      </c>
      <c r="B2347" s="1">
        <f>IFERROR(__xludf.DUMMYFUNCTION("""COMPUTED_VALUE"""),64700.0)</f>
        <v>64700</v>
      </c>
      <c r="C2347" s="1">
        <f>IFERROR(__xludf.DUMMYFUNCTION("""COMPUTED_VALUE"""),65200.0)</f>
        <v>65200</v>
      </c>
      <c r="D2347" s="1">
        <f>IFERROR(__xludf.DUMMYFUNCTION("""COMPUTED_VALUE"""),62300.0)</f>
        <v>62300</v>
      </c>
      <c r="E2347" s="1">
        <f>IFERROR(__xludf.DUMMYFUNCTION("""COMPUTED_VALUE"""),63200.0)</f>
        <v>63200</v>
      </c>
      <c r="F2347" s="1">
        <f>IFERROR(__xludf.DUMMYFUNCTION("""COMPUTED_VALUE"""),1676630.0)</f>
        <v>1676630</v>
      </c>
    </row>
    <row r="2348">
      <c r="A2348" s="2">
        <f>IFERROR(__xludf.DUMMYFUNCTION("""COMPUTED_VALUE"""),44034.64583333333)</f>
        <v>44034.64583</v>
      </c>
      <c r="B2348" s="1">
        <f>IFERROR(__xludf.DUMMYFUNCTION("""COMPUTED_VALUE"""),62100.0)</f>
        <v>62100</v>
      </c>
      <c r="C2348" s="1">
        <f>IFERROR(__xludf.DUMMYFUNCTION("""COMPUTED_VALUE"""),64300.0)</f>
        <v>64300</v>
      </c>
      <c r="D2348" s="1">
        <f>IFERROR(__xludf.DUMMYFUNCTION("""COMPUTED_VALUE"""),61200.0)</f>
        <v>61200</v>
      </c>
      <c r="E2348" s="1">
        <f>IFERROR(__xludf.DUMMYFUNCTION("""COMPUTED_VALUE"""),63600.0)</f>
        <v>63600</v>
      </c>
      <c r="F2348" s="1">
        <f>IFERROR(__xludf.DUMMYFUNCTION("""COMPUTED_VALUE"""),1159298.0)</f>
        <v>1159298</v>
      </c>
    </row>
    <row r="2349">
      <c r="A2349" s="2">
        <f>IFERROR(__xludf.DUMMYFUNCTION("""COMPUTED_VALUE"""),44035.64583333333)</f>
        <v>44035.64583</v>
      </c>
      <c r="B2349" s="1">
        <f>IFERROR(__xludf.DUMMYFUNCTION("""COMPUTED_VALUE"""),63300.0)</f>
        <v>63300</v>
      </c>
      <c r="C2349" s="1">
        <f>IFERROR(__xludf.DUMMYFUNCTION("""COMPUTED_VALUE"""),65900.0)</f>
        <v>65900</v>
      </c>
      <c r="D2349" s="1">
        <f>IFERROR(__xludf.DUMMYFUNCTION("""COMPUTED_VALUE"""),63000.0)</f>
        <v>63000</v>
      </c>
      <c r="E2349" s="1">
        <f>IFERROR(__xludf.DUMMYFUNCTION("""COMPUTED_VALUE"""),65900.0)</f>
        <v>65900</v>
      </c>
      <c r="F2349" s="1">
        <f>IFERROR(__xludf.DUMMYFUNCTION("""COMPUTED_VALUE"""),1260435.0)</f>
        <v>1260435</v>
      </c>
    </row>
    <row r="2350">
      <c r="A2350" s="2">
        <f>IFERROR(__xludf.DUMMYFUNCTION("""COMPUTED_VALUE"""),44036.64583333333)</f>
        <v>44036.64583</v>
      </c>
      <c r="B2350" s="1">
        <f>IFERROR(__xludf.DUMMYFUNCTION("""COMPUTED_VALUE"""),65000.0)</f>
        <v>65000</v>
      </c>
      <c r="C2350" s="1">
        <f>IFERROR(__xludf.DUMMYFUNCTION("""COMPUTED_VALUE"""),66600.0)</f>
        <v>66600</v>
      </c>
      <c r="D2350" s="1">
        <f>IFERROR(__xludf.DUMMYFUNCTION("""COMPUTED_VALUE"""),64400.0)</f>
        <v>64400</v>
      </c>
      <c r="E2350" s="1">
        <f>IFERROR(__xludf.DUMMYFUNCTION("""COMPUTED_VALUE"""),64900.0)</f>
        <v>64900</v>
      </c>
      <c r="F2350" s="1">
        <f>IFERROR(__xludf.DUMMYFUNCTION("""COMPUTED_VALUE"""),907643.0)</f>
        <v>907643</v>
      </c>
    </row>
    <row r="2351">
      <c r="A2351" s="2">
        <f>IFERROR(__xludf.DUMMYFUNCTION("""COMPUTED_VALUE"""),44039.64583333333)</f>
        <v>44039.64583</v>
      </c>
      <c r="B2351" s="1">
        <f>IFERROR(__xludf.DUMMYFUNCTION("""COMPUTED_VALUE"""),64200.0)</f>
        <v>64200</v>
      </c>
      <c r="C2351" s="1">
        <f>IFERROR(__xludf.DUMMYFUNCTION("""COMPUTED_VALUE"""),65900.0)</f>
        <v>65900</v>
      </c>
      <c r="D2351" s="1">
        <f>IFERROR(__xludf.DUMMYFUNCTION("""COMPUTED_VALUE"""),64100.0)</f>
        <v>64100</v>
      </c>
      <c r="E2351" s="1">
        <f>IFERROR(__xludf.DUMMYFUNCTION("""COMPUTED_VALUE"""),65300.0)</f>
        <v>65300</v>
      </c>
      <c r="F2351" s="1">
        <f>IFERROR(__xludf.DUMMYFUNCTION("""COMPUTED_VALUE"""),603322.0)</f>
        <v>603322</v>
      </c>
    </row>
    <row r="2352">
      <c r="A2352" s="2">
        <f>IFERROR(__xludf.DUMMYFUNCTION("""COMPUTED_VALUE"""),44040.64583333333)</f>
        <v>44040.64583</v>
      </c>
      <c r="B2352" s="1">
        <f>IFERROR(__xludf.DUMMYFUNCTION("""COMPUTED_VALUE"""),66400.0)</f>
        <v>66400</v>
      </c>
      <c r="C2352" s="1">
        <f>IFERROR(__xludf.DUMMYFUNCTION("""COMPUTED_VALUE"""),67200.0)</f>
        <v>67200</v>
      </c>
      <c r="D2352" s="1">
        <f>IFERROR(__xludf.DUMMYFUNCTION("""COMPUTED_VALUE"""),65700.0)</f>
        <v>65700</v>
      </c>
      <c r="E2352" s="1">
        <f>IFERROR(__xludf.DUMMYFUNCTION("""COMPUTED_VALUE"""),65900.0)</f>
        <v>65900</v>
      </c>
      <c r="F2352" s="1">
        <f>IFERROR(__xludf.DUMMYFUNCTION("""COMPUTED_VALUE"""),873063.0)</f>
        <v>873063</v>
      </c>
    </row>
    <row r="2353">
      <c r="A2353" s="2">
        <f>IFERROR(__xludf.DUMMYFUNCTION("""COMPUTED_VALUE"""),44041.64583333333)</f>
        <v>44041.64583</v>
      </c>
      <c r="B2353" s="1">
        <f>IFERROR(__xludf.DUMMYFUNCTION("""COMPUTED_VALUE"""),65800.0)</f>
        <v>65800</v>
      </c>
      <c r="C2353" s="1">
        <f>IFERROR(__xludf.DUMMYFUNCTION("""COMPUTED_VALUE"""),66600.0)</f>
        <v>66600</v>
      </c>
      <c r="D2353" s="1">
        <f>IFERROR(__xludf.DUMMYFUNCTION("""COMPUTED_VALUE"""),65000.0)</f>
        <v>65000</v>
      </c>
      <c r="E2353" s="1">
        <f>IFERROR(__xludf.DUMMYFUNCTION("""COMPUTED_VALUE"""),66300.0)</f>
        <v>66300</v>
      </c>
      <c r="F2353" s="1">
        <f>IFERROR(__xludf.DUMMYFUNCTION("""COMPUTED_VALUE"""),618435.0)</f>
        <v>618435</v>
      </c>
    </row>
    <row r="2354">
      <c r="A2354" s="2">
        <f>IFERROR(__xludf.DUMMYFUNCTION("""COMPUTED_VALUE"""),44042.64583333333)</f>
        <v>44042.64583</v>
      </c>
      <c r="B2354" s="1">
        <f>IFERROR(__xludf.DUMMYFUNCTION("""COMPUTED_VALUE"""),67200.0)</f>
        <v>67200</v>
      </c>
      <c r="C2354" s="1">
        <f>IFERROR(__xludf.DUMMYFUNCTION("""COMPUTED_VALUE"""),67400.0)</f>
        <v>67400</v>
      </c>
      <c r="D2354" s="1">
        <f>IFERROR(__xludf.DUMMYFUNCTION("""COMPUTED_VALUE"""),66300.0)</f>
        <v>66300</v>
      </c>
      <c r="E2354" s="1">
        <f>IFERROR(__xludf.DUMMYFUNCTION("""COMPUTED_VALUE"""),66400.0)</f>
        <v>66400</v>
      </c>
      <c r="F2354" s="1">
        <f>IFERROR(__xludf.DUMMYFUNCTION("""COMPUTED_VALUE"""),615872.0)</f>
        <v>615872</v>
      </c>
    </row>
    <row r="2355">
      <c r="A2355" s="2">
        <f>IFERROR(__xludf.DUMMYFUNCTION("""COMPUTED_VALUE"""),44043.64583333333)</f>
        <v>44043.64583</v>
      </c>
      <c r="B2355" s="1">
        <f>IFERROR(__xludf.DUMMYFUNCTION("""COMPUTED_VALUE"""),67200.0)</f>
        <v>67200</v>
      </c>
      <c r="C2355" s="1">
        <f>IFERROR(__xludf.DUMMYFUNCTION("""COMPUTED_VALUE"""),68800.0)</f>
        <v>68800</v>
      </c>
      <c r="D2355" s="1">
        <f>IFERROR(__xludf.DUMMYFUNCTION("""COMPUTED_VALUE"""),67100.0)</f>
        <v>67100</v>
      </c>
      <c r="E2355" s="1">
        <f>IFERROR(__xludf.DUMMYFUNCTION("""COMPUTED_VALUE"""),68700.0)</f>
        <v>68700</v>
      </c>
      <c r="F2355" s="1">
        <f>IFERROR(__xludf.DUMMYFUNCTION("""COMPUTED_VALUE"""),1078837.0)</f>
        <v>1078837</v>
      </c>
    </row>
    <row r="2356">
      <c r="A2356" s="2">
        <f>IFERROR(__xludf.DUMMYFUNCTION("""COMPUTED_VALUE"""),44046.64583333333)</f>
        <v>44046.64583</v>
      </c>
      <c r="B2356" s="1">
        <f>IFERROR(__xludf.DUMMYFUNCTION("""COMPUTED_VALUE"""),69500.0)</f>
        <v>69500</v>
      </c>
      <c r="C2356" s="1">
        <f>IFERROR(__xludf.DUMMYFUNCTION("""COMPUTED_VALUE"""),73200.0)</f>
        <v>73200</v>
      </c>
      <c r="D2356" s="1">
        <f>IFERROR(__xludf.DUMMYFUNCTION("""COMPUTED_VALUE"""),69400.0)</f>
        <v>69400</v>
      </c>
      <c r="E2356" s="1">
        <f>IFERROR(__xludf.DUMMYFUNCTION("""COMPUTED_VALUE"""),73200.0)</f>
        <v>73200</v>
      </c>
      <c r="F2356" s="1">
        <f>IFERROR(__xludf.DUMMYFUNCTION("""COMPUTED_VALUE"""),1636803.0)</f>
        <v>1636803</v>
      </c>
    </row>
    <row r="2357">
      <c r="A2357" s="2">
        <f>IFERROR(__xludf.DUMMYFUNCTION("""COMPUTED_VALUE"""),44047.64583333333)</f>
        <v>44047.64583</v>
      </c>
      <c r="B2357" s="1">
        <f>IFERROR(__xludf.DUMMYFUNCTION("""COMPUTED_VALUE"""),75700.0)</f>
        <v>75700</v>
      </c>
      <c r="C2357" s="1">
        <f>IFERROR(__xludf.DUMMYFUNCTION("""COMPUTED_VALUE"""),76800.0)</f>
        <v>76800</v>
      </c>
      <c r="D2357" s="1">
        <f>IFERROR(__xludf.DUMMYFUNCTION("""COMPUTED_VALUE"""),72200.0)</f>
        <v>72200</v>
      </c>
      <c r="E2357" s="1">
        <f>IFERROR(__xludf.DUMMYFUNCTION("""COMPUTED_VALUE"""),74000.0)</f>
        <v>74000</v>
      </c>
      <c r="F2357" s="1">
        <f>IFERROR(__xludf.DUMMYFUNCTION("""COMPUTED_VALUE"""),1714642.0)</f>
        <v>1714642</v>
      </c>
    </row>
    <row r="2358">
      <c r="A2358" s="2">
        <f>IFERROR(__xludf.DUMMYFUNCTION("""COMPUTED_VALUE"""),44048.64583333333)</f>
        <v>44048.64583</v>
      </c>
      <c r="B2358" s="1">
        <f>IFERROR(__xludf.DUMMYFUNCTION("""COMPUTED_VALUE"""),73200.0)</f>
        <v>73200</v>
      </c>
      <c r="C2358" s="1">
        <f>IFERROR(__xludf.DUMMYFUNCTION("""COMPUTED_VALUE"""),74200.0)</f>
        <v>74200</v>
      </c>
      <c r="D2358" s="1">
        <f>IFERROR(__xludf.DUMMYFUNCTION("""COMPUTED_VALUE"""),72500.0)</f>
        <v>72500</v>
      </c>
      <c r="E2358" s="1">
        <f>IFERROR(__xludf.DUMMYFUNCTION("""COMPUTED_VALUE"""),74100.0)</f>
        <v>74100</v>
      </c>
      <c r="F2358" s="1">
        <f>IFERROR(__xludf.DUMMYFUNCTION("""COMPUTED_VALUE"""),1075879.0)</f>
        <v>1075879</v>
      </c>
    </row>
    <row r="2359">
      <c r="A2359" s="2">
        <f>IFERROR(__xludf.DUMMYFUNCTION("""COMPUTED_VALUE"""),44049.64583333333)</f>
        <v>44049.64583</v>
      </c>
      <c r="B2359" s="1">
        <f>IFERROR(__xludf.DUMMYFUNCTION("""COMPUTED_VALUE"""),71700.0)</f>
        <v>71700</v>
      </c>
      <c r="C2359" s="1">
        <f>IFERROR(__xludf.DUMMYFUNCTION("""COMPUTED_VALUE"""),74500.0)</f>
        <v>74500</v>
      </c>
      <c r="D2359" s="1">
        <f>IFERROR(__xludf.DUMMYFUNCTION("""COMPUTED_VALUE"""),71500.0)</f>
        <v>71500</v>
      </c>
      <c r="E2359" s="1">
        <f>IFERROR(__xludf.DUMMYFUNCTION("""COMPUTED_VALUE"""),72800.0)</f>
        <v>72800</v>
      </c>
      <c r="F2359" s="1">
        <f>IFERROR(__xludf.DUMMYFUNCTION("""COMPUTED_VALUE"""),1848898.0)</f>
        <v>1848898</v>
      </c>
    </row>
    <row r="2360">
      <c r="A2360" s="2">
        <f>IFERROR(__xludf.DUMMYFUNCTION("""COMPUTED_VALUE"""),44050.64583333333)</f>
        <v>44050.64583</v>
      </c>
      <c r="B2360" s="1">
        <f>IFERROR(__xludf.DUMMYFUNCTION("""COMPUTED_VALUE"""),73600.0)</f>
        <v>73600</v>
      </c>
      <c r="C2360" s="1">
        <f>IFERROR(__xludf.DUMMYFUNCTION("""COMPUTED_VALUE"""),74000.0)</f>
        <v>74000</v>
      </c>
      <c r="D2360" s="1">
        <f>IFERROR(__xludf.DUMMYFUNCTION("""COMPUTED_VALUE"""),70100.0)</f>
        <v>70100</v>
      </c>
      <c r="E2360" s="1">
        <f>IFERROR(__xludf.DUMMYFUNCTION("""COMPUTED_VALUE"""),70600.0)</f>
        <v>70600</v>
      </c>
      <c r="F2360" s="1">
        <f>IFERROR(__xludf.DUMMYFUNCTION("""COMPUTED_VALUE"""),1899111.0)</f>
        <v>1899111</v>
      </c>
    </row>
    <row r="2361">
      <c r="A2361" s="2">
        <f>IFERROR(__xludf.DUMMYFUNCTION("""COMPUTED_VALUE"""),44053.64583333333)</f>
        <v>44053.64583</v>
      </c>
      <c r="B2361" s="1">
        <f>IFERROR(__xludf.DUMMYFUNCTION("""COMPUTED_VALUE"""),69200.0)</f>
        <v>69200</v>
      </c>
      <c r="C2361" s="1">
        <f>IFERROR(__xludf.DUMMYFUNCTION("""COMPUTED_VALUE"""),71700.0)</f>
        <v>71700</v>
      </c>
      <c r="D2361" s="1">
        <f>IFERROR(__xludf.DUMMYFUNCTION("""COMPUTED_VALUE"""),68300.0)</f>
        <v>68300</v>
      </c>
      <c r="E2361" s="1">
        <f>IFERROR(__xludf.DUMMYFUNCTION("""COMPUTED_VALUE"""),71200.0)</f>
        <v>71200</v>
      </c>
      <c r="F2361" s="1">
        <f>IFERROR(__xludf.DUMMYFUNCTION("""COMPUTED_VALUE"""),1086391.0)</f>
        <v>1086391</v>
      </c>
    </row>
    <row r="2362">
      <c r="A2362" s="2">
        <f>IFERROR(__xludf.DUMMYFUNCTION("""COMPUTED_VALUE"""),44054.64583333333)</f>
        <v>44054.64583</v>
      </c>
      <c r="B2362" s="1">
        <f>IFERROR(__xludf.DUMMYFUNCTION("""COMPUTED_VALUE"""),70300.0)</f>
        <v>70300</v>
      </c>
      <c r="C2362" s="1">
        <f>IFERROR(__xludf.DUMMYFUNCTION("""COMPUTED_VALUE"""),71400.0)</f>
        <v>71400</v>
      </c>
      <c r="D2362" s="1">
        <f>IFERROR(__xludf.DUMMYFUNCTION("""COMPUTED_VALUE"""),69500.0)</f>
        <v>69500</v>
      </c>
      <c r="E2362" s="1">
        <f>IFERROR(__xludf.DUMMYFUNCTION("""COMPUTED_VALUE"""),70500.0)</f>
        <v>70500</v>
      </c>
      <c r="F2362" s="1">
        <f>IFERROR(__xludf.DUMMYFUNCTION("""COMPUTED_VALUE"""),750285.0)</f>
        <v>750285</v>
      </c>
    </row>
    <row r="2363">
      <c r="A2363" s="2">
        <f>IFERROR(__xludf.DUMMYFUNCTION("""COMPUTED_VALUE"""),44055.64583333333)</f>
        <v>44055.64583</v>
      </c>
      <c r="B2363" s="1">
        <f>IFERROR(__xludf.DUMMYFUNCTION("""COMPUTED_VALUE"""),69700.0)</f>
        <v>69700</v>
      </c>
      <c r="C2363" s="1">
        <f>IFERROR(__xludf.DUMMYFUNCTION("""COMPUTED_VALUE"""),71300.0)</f>
        <v>71300</v>
      </c>
      <c r="D2363" s="1">
        <f>IFERROR(__xludf.DUMMYFUNCTION("""COMPUTED_VALUE"""),69500.0)</f>
        <v>69500</v>
      </c>
      <c r="E2363" s="1">
        <f>IFERROR(__xludf.DUMMYFUNCTION("""COMPUTED_VALUE"""),70800.0)</f>
        <v>70800</v>
      </c>
      <c r="F2363" s="1">
        <f>IFERROR(__xludf.DUMMYFUNCTION("""COMPUTED_VALUE"""),729434.0)</f>
        <v>729434</v>
      </c>
    </row>
    <row r="2364">
      <c r="A2364" s="2">
        <f>IFERROR(__xludf.DUMMYFUNCTION("""COMPUTED_VALUE"""),44056.64583333333)</f>
        <v>44056.64583</v>
      </c>
      <c r="B2364" s="1">
        <f>IFERROR(__xludf.DUMMYFUNCTION("""COMPUTED_VALUE"""),71800.0)</f>
        <v>71800</v>
      </c>
      <c r="C2364" s="1">
        <f>IFERROR(__xludf.DUMMYFUNCTION("""COMPUTED_VALUE"""),73000.0)</f>
        <v>73000</v>
      </c>
      <c r="D2364" s="1">
        <f>IFERROR(__xludf.DUMMYFUNCTION("""COMPUTED_VALUE"""),71300.0)</f>
        <v>71300</v>
      </c>
      <c r="E2364" s="1">
        <f>IFERROR(__xludf.DUMMYFUNCTION("""COMPUTED_VALUE"""),72100.0)</f>
        <v>72100</v>
      </c>
      <c r="F2364" s="1">
        <f>IFERROR(__xludf.DUMMYFUNCTION("""COMPUTED_VALUE"""),1117859.0)</f>
        <v>1117859</v>
      </c>
    </row>
    <row r="2365">
      <c r="A2365" s="2">
        <f>IFERROR(__xludf.DUMMYFUNCTION("""COMPUTED_VALUE"""),44057.64583333333)</f>
        <v>44057.64583</v>
      </c>
      <c r="B2365" s="1">
        <f>IFERROR(__xludf.DUMMYFUNCTION("""COMPUTED_VALUE"""),72200.0)</f>
        <v>72200</v>
      </c>
      <c r="C2365" s="1">
        <f>IFERROR(__xludf.DUMMYFUNCTION("""COMPUTED_VALUE"""),73200.0)</f>
        <v>73200</v>
      </c>
      <c r="D2365" s="1">
        <f>IFERROR(__xludf.DUMMYFUNCTION("""COMPUTED_VALUE"""),71600.0)</f>
        <v>71600</v>
      </c>
      <c r="E2365" s="1">
        <f>IFERROR(__xludf.DUMMYFUNCTION("""COMPUTED_VALUE"""),72500.0)</f>
        <v>72500</v>
      </c>
      <c r="F2365" s="1">
        <f>IFERROR(__xludf.DUMMYFUNCTION("""COMPUTED_VALUE"""),825802.0)</f>
        <v>825802</v>
      </c>
    </row>
    <row r="2366">
      <c r="A2366" s="2">
        <f>IFERROR(__xludf.DUMMYFUNCTION("""COMPUTED_VALUE"""),44061.64583333333)</f>
        <v>44061.64583</v>
      </c>
      <c r="B2366" s="1">
        <f>IFERROR(__xludf.DUMMYFUNCTION("""COMPUTED_VALUE"""),74300.0)</f>
        <v>74300</v>
      </c>
      <c r="C2366" s="1">
        <f>IFERROR(__xludf.DUMMYFUNCTION("""COMPUTED_VALUE"""),77900.0)</f>
        <v>77900</v>
      </c>
      <c r="D2366" s="1">
        <f>IFERROR(__xludf.DUMMYFUNCTION("""COMPUTED_VALUE"""),73500.0)</f>
        <v>73500</v>
      </c>
      <c r="E2366" s="1">
        <f>IFERROR(__xludf.DUMMYFUNCTION("""COMPUTED_VALUE"""),75600.0)</f>
        <v>75600</v>
      </c>
      <c r="F2366" s="1">
        <f>IFERROR(__xludf.DUMMYFUNCTION("""COMPUTED_VALUE"""),3032037.0)</f>
        <v>3032037</v>
      </c>
    </row>
    <row r="2367">
      <c r="A2367" s="2">
        <f>IFERROR(__xludf.DUMMYFUNCTION("""COMPUTED_VALUE"""),44062.64583333333)</f>
        <v>44062.64583</v>
      </c>
      <c r="B2367" s="1">
        <f>IFERROR(__xludf.DUMMYFUNCTION("""COMPUTED_VALUE"""),76900.0)</f>
        <v>76900</v>
      </c>
      <c r="C2367" s="1">
        <f>IFERROR(__xludf.DUMMYFUNCTION("""COMPUTED_VALUE"""),77000.0)</f>
        <v>77000</v>
      </c>
      <c r="D2367" s="1">
        <f>IFERROR(__xludf.DUMMYFUNCTION("""COMPUTED_VALUE"""),74400.0)</f>
        <v>74400</v>
      </c>
      <c r="E2367" s="1">
        <f>IFERROR(__xludf.DUMMYFUNCTION("""COMPUTED_VALUE"""),75300.0)</f>
        <v>75300</v>
      </c>
      <c r="F2367" s="1">
        <f>IFERROR(__xludf.DUMMYFUNCTION("""COMPUTED_VALUE"""),1359266.0)</f>
        <v>1359266</v>
      </c>
    </row>
    <row r="2368">
      <c r="A2368" s="2">
        <f>IFERROR(__xludf.DUMMYFUNCTION("""COMPUTED_VALUE"""),44063.64583333333)</f>
        <v>44063.64583</v>
      </c>
      <c r="B2368" s="1">
        <f>IFERROR(__xludf.DUMMYFUNCTION("""COMPUTED_VALUE"""),75200.0)</f>
        <v>75200</v>
      </c>
      <c r="C2368" s="1">
        <f>IFERROR(__xludf.DUMMYFUNCTION("""COMPUTED_VALUE"""),76600.0)</f>
        <v>76600</v>
      </c>
      <c r="D2368" s="1">
        <f>IFERROR(__xludf.DUMMYFUNCTION("""COMPUTED_VALUE"""),71900.0)</f>
        <v>71900</v>
      </c>
      <c r="E2368" s="1">
        <f>IFERROR(__xludf.DUMMYFUNCTION("""COMPUTED_VALUE"""),72900.0)</f>
        <v>72900</v>
      </c>
      <c r="F2368" s="1">
        <f>IFERROR(__xludf.DUMMYFUNCTION("""COMPUTED_VALUE"""),1686740.0)</f>
        <v>1686740</v>
      </c>
    </row>
    <row r="2369">
      <c r="A2369" s="2">
        <f>IFERROR(__xludf.DUMMYFUNCTION("""COMPUTED_VALUE"""),44064.64583333333)</f>
        <v>44064.64583</v>
      </c>
      <c r="B2369" s="1">
        <f>IFERROR(__xludf.DUMMYFUNCTION("""COMPUTED_VALUE"""),74000.0)</f>
        <v>74000</v>
      </c>
      <c r="C2369" s="1">
        <f>IFERROR(__xludf.DUMMYFUNCTION("""COMPUTED_VALUE"""),74700.0)</f>
        <v>74700</v>
      </c>
      <c r="D2369" s="1">
        <f>IFERROR(__xludf.DUMMYFUNCTION("""COMPUTED_VALUE"""),72400.0)</f>
        <v>72400</v>
      </c>
      <c r="E2369" s="1">
        <f>IFERROR(__xludf.DUMMYFUNCTION("""COMPUTED_VALUE"""),74000.0)</f>
        <v>74000</v>
      </c>
      <c r="F2369" s="1">
        <f>IFERROR(__xludf.DUMMYFUNCTION("""COMPUTED_VALUE"""),1021460.0)</f>
        <v>1021460</v>
      </c>
    </row>
    <row r="2370">
      <c r="A2370" s="2">
        <f>IFERROR(__xludf.DUMMYFUNCTION("""COMPUTED_VALUE"""),44067.64583333333)</f>
        <v>44067.64583</v>
      </c>
      <c r="B2370" s="1">
        <f>IFERROR(__xludf.DUMMYFUNCTION("""COMPUTED_VALUE"""),74900.0)</f>
        <v>74900</v>
      </c>
      <c r="C2370" s="1">
        <f>IFERROR(__xludf.DUMMYFUNCTION("""COMPUTED_VALUE"""),76500.0)</f>
        <v>76500</v>
      </c>
      <c r="D2370" s="1">
        <f>IFERROR(__xludf.DUMMYFUNCTION("""COMPUTED_VALUE"""),73500.0)</f>
        <v>73500</v>
      </c>
      <c r="E2370" s="1">
        <f>IFERROR(__xludf.DUMMYFUNCTION("""COMPUTED_VALUE"""),76000.0)</f>
        <v>76000</v>
      </c>
      <c r="F2370" s="1">
        <f>IFERROR(__xludf.DUMMYFUNCTION("""COMPUTED_VALUE"""),969648.0)</f>
        <v>969648</v>
      </c>
    </row>
    <row r="2371">
      <c r="A2371" s="2">
        <f>IFERROR(__xludf.DUMMYFUNCTION("""COMPUTED_VALUE"""),44068.64583333333)</f>
        <v>44068.64583</v>
      </c>
      <c r="B2371" s="1">
        <f>IFERROR(__xludf.DUMMYFUNCTION("""COMPUTED_VALUE"""),76900.0)</f>
        <v>76900</v>
      </c>
      <c r="C2371" s="1">
        <f>IFERROR(__xludf.DUMMYFUNCTION("""COMPUTED_VALUE"""),77000.0)</f>
        <v>77000</v>
      </c>
      <c r="D2371" s="1">
        <f>IFERROR(__xludf.DUMMYFUNCTION("""COMPUTED_VALUE"""),75400.0)</f>
        <v>75400</v>
      </c>
      <c r="E2371" s="1">
        <f>IFERROR(__xludf.DUMMYFUNCTION("""COMPUTED_VALUE"""),76200.0)</f>
        <v>76200</v>
      </c>
      <c r="F2371" s="1">
        <f>IFERROR(__xludf.DUMMYFUNCTION("""COMPUTED_VALUE"""),887733.0)</f>
        <v>887733</v>
      </c>
    </row>
    <row r="2372">
      <c r="A2372" s="2">
        <f>IFERROR(__xludf.DUMMYFUNCTION("""COMPUTED_VALUE"""),44069.64583333333)</f>
        <v>44069.64583</v>
      </c>
      <c r="B2372" s="1">
        <f>IFERROR(__xludf.DUMMYFUNCTION("""COMPUTED_VALUE"""),76100.0)</f>
        <v>76100</v>
      </c>
      <c r="C2372" s="1">
        <f>IFERROR(__xludf.DUMMYFUNCTION("""COMPUTED_VALUE"""),78800.0)</f>
        <v>78800</v>
      </c>
      <c r="D2372" s="1">
        <f>IFERROR(__xludf.DUMMYFUNCTION("""COMPUTED_VALUE"""),75600.0)</f>
        <v>75600</v>
      </c>
      <c r="E2372" s="1">
        <f>IFERROR(__xludf.DUMMYFUNCTION("""COMPUTED_VALUE"""),78400.0)</f>
        <v>78400</v>
      </c>
      <c r="F2372" s="1">
        <f>IFERROR(__xludf.DUMMYFUNCTION("""COMPUTED_VALUE"""),1351029.0)</f>
        <v>1351029</v>
      </c>
    </row>
    <row r="2373">
      <c r="A2373" s="2">
        <f>IFERROR(__xludf.DUMMYFUNCTION("""COMPUTED_VALUE"""),44070.64583333333)</f>
        <v>44070.64583</v>
      </c>
      <c r="B2373" s="1">
        <f>IFERROR(__xludf.DUMMYFUNCTION("""COMPUTED_VALUE"""),79300.0)</f>
        <v>79300</v>
      </c>
      <c r="C2373" s="1">
        <f>IFERROR(__xludf.DUMMYFUNCTION("""COMPUTED_VALUE"""),82600.0)</f>
        <v>82600</v>
      </c>
      <c r="D2373" s="1">
        <f>IFERROR(__xludf.DUMMYFUNCTION("""COMPUTED_VALUE"""),79200.0)</f>
        <v>79200</v>
      </c>
      <c r="E2373" s="1">
        <f>IFERROR(__xludf.DUMMYFUNCTION("""COMPUTED_VALUE"""),82100.0)</f>
        <v>82100</v>
      </c>
      <c r="F2373" s="1">
        <f>IFERROR(__xludf.DUMMYFUNCTION("""COMPUTED_VALUE"""),1981840.0)</f>
        <v>1981840</v>
      </c>
    </row>
    <row r="2374">
      <c r="A2374" s="2">
        <f>IFERROR(__xludf.DUMMYFUNCTION("""COMPUTED_VALUE"""),44071.64583333333)</f>
        <v>44071.64583</v>
      </c>
      <c r="B2374" s="1">
        <f>IFERROR(__xludf.DUMMYFUNCTION("""COMPUTED_VALUE"""),82700.0)</f>
        <v>82700</v>
      </c>
      <c r="C2374" s="1">
        <f>IFERROR(__xludf.DUMMYFUNCTION("""COMPUTED_VALUE"""),83200.0)</f>
        <v>83200</v>
      </c>
      <c r="D2374" s="1">
        <f>IFERROR(__xludf.DUMMYFUNCTION("""COMPUTED_VALUE"""),80000.0)</f>
        <v>80000</v>
      </c>
      <c r="E2374" s="1">
        <f>IFERROR(__xludf.DUMMYFUNCTION("""COMPUTED_VALUE"""),81100.0)</f>
        <v>81100</v>
      </c>
      <c r="F2374" s="1">
        <f>IFERROR(__xludf.DUMMYFUNCTION("""COMPUTED_VALUE"""),1506996.0)</f>
        <v>1506996</v>
      </c>
    </row>
    <row r="2375">
      <c r="A2375" s="2">
        <f>IFERROR(__xludf.DUMMYFUNCTION("""COMPUTED_VALUE"""),44074.64583333333)</f>
        <v>44074.64583</v>
      </c>
      <c r="B2375" s="1">
        <f>IFERROR(__xludf.DUMMYFUNCTION("""COMPUTED_VALUE"""),82100.0)</f>
        <v>82100</v>
      </c>
      <c r="C2375" s="1">
        <f>IFERROR(__xludf.DUMMYFUNCTION("""COMPUTED_VALUE"""),84100.0)</f>
        <v>84100</v>
      </c>
      <c r="D2375" s="1">
        <f>IFERROR(__xludf.DUMMYFUNCTION("""COMPUTED_VALUE"""),80200.0)</f>
        <v>80200</v>
      </c>
      <c r="E2375" s="1">
        <f>IFERROR(__xludf.DUMMYFUNCTION("""COMPUTED_VALUE"""),81400.0)</f>
        <v>81400</v>
      </c>
      <c r="F2375" s="1">
        <f>IFERROR(__xludf.DUMMYFUNCTION("""COMPUTED_VALUE"""),1629751.0)</f>
        <v>1629751</v>
      </c>
    </row>
    <row r="2376">
      <c r="A2376" s="2">
        <f>IFERROR(__xludf.DUMMYFUNCTION("""COMPUTED_VALUE"""),44075.64583333333)</f>
        <v>44075.64583</v>
      </c>
      <c r="B2376" s="1">
        <f>IFERROR(__xludf.DUMMYFUNCTION("""COMPUTED_VALUE"""),82700.0)</f>
        <v>82700</v>
      </c>
      <c r="C2376" s="1">
        <f>IFERROR(__xludf.DUMMYFUNCTION("""COMPUTED_VALUE"""),83200.0)</f>
        <v>83200</v>
      </c>
      <c r="D2376" s="1">
        <f>IFERROR(__xludf.DUMMYFUNCTION("""COMPUTED_VALUE"""),80000.0)</f>
        <v>80000</v>
      </c>
      <c r="E2376" s="1">
        <f>IFERROR(__xludf.DUMMYFUNCTION("""COMPUTED_VALUE"""),80300.0)</f>
        <v>80300</v>
      </c>
      <c r="F2376" s="1">
        <f>IFERROR(__xludf.DUMMYFUNCTION("""COMPUTED_VALUE"""),1100736.0)</f>
        <v>1100736</v>
      </c>
    </row>
    <row r="2377">
      <c r="A2377" s="2">
        <f>IFERROR(__xludf.DUMMYFUNCTION("""COMPUTED_VALUE"""),44076.64583333333)</f>
        <v>44076.64583</v>
      </c>
      <c r="B2377" s="1">
        <f>IFERROR(__xludf.DUMMYFUNCTION("""COMPUTED_VALUE"""),81100.0)</f>
        <v>81100</v>
      </c>
      <c r="C2377" s="1">
        <f>IFERROR(__xludf.DUMMYFUNCTION("""COMPUTED_VALUE"""),82500.0)</f>
        <v>82500</v>
      </c>
      <c r="D2377" s="1">
        <f>IFERROR(__xludf.DUMMYFUNCTION("""COMPUTED_VALUE"""),80300.0)</f>
        <v>80300</v>
      </c>
      <c r="E2377" s="1">
        <f>IFERROR(__xludf.DUMMYFUNCTION("""COMPUTED_VALUE"""),82400.0)</f>
        <v>82400</v>
      </c>
      <c r="F2377" s="1">
        <f>IFERROR(__xludf.DUMMYFUNCTION("""COMPUTED_VALUE"""),921655.0)</f>
        <v>921655</v>
      </c>
    </row>
    <row r="2378">
      <c r="A2378" s="2">
        <f>IFERROR(__xludf.DUMMYFUNCTION("""COMPUTED_VALUE"""),44077.64583333333)</f>
        <v>44077.64583</v>
      </c>
      <c r="B2378" s="1">
        <f>IFERROR(__xludf.DUMMYFUNCTION("""COMPUTED_VALUE"""),83100.0)</f>
        <v>83100</v>
      </c>
      <c r="C2378" s="1">
        <f>IFERROR(__xludf.DUMMYFUNCTION("""COMPUTED_VALUE"""),83200.0)</f>
        <v>83200</v>
      </c>
      <c r="D2378" s="1">
        <f>IFERROR(__xludf.DUMMYFUNCTION("""COMPUTED_VALUE"""),80800.0)</f>
        <v>80800</v>
      </c>
      <c r="E2378" s="1">
        <f>IFERROR(__xludf.DUMMYFUNCTION("""COMPUTED_VALUE"""),82000.0)</f>
        <v>82000</v>
      </c>
      <c r="F2378" s="1">
        <f>IFERROR(__xludf.DUMMYFUNCTION("""COMPUTED_VALUE"""),739215.0)</f>
        <v>739215</v>
      </c>
    </row>
    <row r="2379">
      <c r="A2379" s="2">
        <f>IFERROR(__xludf.DUMMYFUNCTION("""COMPUTED_VALUE"""),44078.64583333333)</f>
        <v>44078.64583</v>
      </c>
      <c r="B2379" s="1">
        <f>IFERROR(__xludf.DUMMYFUNCTION("""COMPUTED_VALUE"""),78000.0)</f>
        <v>78000</v>
      </c>
      <c r="C2379" s="1">
        <f>IFERROR(__xludf.DUMMYFUNCTION("""COMPUTED_VALUE"""),80900.0)</f>
        <v>80900</v>
      </c>
      <c r="D2379" s="1">
        <f>IFERROR(__xludf.DUMMYFUNCTION("""COMPUTED_VALUE"""),77900.0)</f>
        <v>77900</v>
      </c>
      <c r="E2379" s="1">
        <f>IFERROR(__xludf.DUMMYFUNCTION("""COMPUTED_VALUE"""),80400.0)</f>
        <v>80400</v>
      </c>
      <c r="F2379" s="1">
        <f>IFERROR(__xludf.DUMMYFUNCTION("""COMPUTED_VALUE"""),1168529.0)</f>
        <v>1168529</v>
      </c>
    </row>
    <row r="2380">
      <c r="A2380" s="2">
        <f>IFERROR(__xludf.DUMMYFUNCTION("""COMPUTED_VALUE"""),44081.64583333333)</f>
        <v>44081.64583</v>
      </c>
      <c r="B2380" s="1">
        <f>IFERROR(__xludf.DUMMYFUNCTION("""COMPUTED_VALUE"""),80300.0)</f>
        <v>80300</v>
      </c>
      <c r="C2380" s="1">
        <f>IFERROR(__xludf.DUMMYFUNCTION("""COMPUTED_VALUE"""),80300.0)</f>
        <v>80300</v>
      </c>
      <c r="D2380" s="1">
        <f>IFERROR(__xludf.DUMMYFUNCTION("""COMPUTED_VALUE"""),78200.0)</f>
        <v>78200</v>
      </c>
      <c r="E2380" s="1">
        <f>IFERROR(__xludf.DUMMYFUNCTION("""COMPUTED_VALUE"""),78400.0)</f>
        <v>78400</v>
      </c>
      <c r="F2380" s="1">
        <f>IFERROR(__xludf.DUMMYFUNCTION("""COMPUTED_VALUE"""),928939.0)</f>
        <v>928939</v>
      </c>
    </row>
    <row r="2381">
      <c r="A2381" s="2">
        <f>IFERROR(__xludf.DUMMYFUNCTION("""COMPUTED_VALUE"""),44082.64583333333)</f>
        <v>44082.64583</v>
      </c>
      <c r="B2381" s="1">
        <f>IFERROR(__xludf.DUMMYFUNCTION("""COMPUTED_VALUE"""),78700.0)</f>
        <v>78700</v>
      </c>
      <c r="C2381" s="1">
        <f>IFERROR(__xludf.DUMMYFUNCTION("""COMPUTED_VALUE"""),79700.0)</f>
        <v>79700</v>
      </c>
      <c r="D2381" s="1">
        <f>IFERROR(__xludf.DUMMYFUNCTION("""COMPUTED_VALUE"""),76100.0)</f>
        <v>76100</v>
      </c>
      <c r="E2381" s="1">
        <f>IFERROR(__xludf.DUMMYFUNCTION("""COMPUTED_VALUE"""),78000.0)</f>
        <v>78000</v>
      </c>
      <c r="F2381" s="1">
        <f>IFERROR(__xludf.DUMMYFUNCTION("""COMPUTED_VALUE"""),1020539.0)</f>
        <v>1020539</v>
      </c>
    </row>
    <row r="2382">
      <c r="A2382" s="2">
        <f>IFERROR(__xludf.DUMMYFUNCTION("""COMPUTED_VALUE"""),44083.64583333333)</f>
        <v>44083.64583</v>
      </c>
      <c r="B2382" s="1">
        <f>IFERROR(__xludf.DUMMYFUNCTION("""COMPUTED_VALUE"""),76300.0)</f>
        <v>76300</v>
      </c>
      <c r="C2382" s="1">
        <f>IFERROR(__xludf.DUMMYFUNCTION("""COMPUTED_VALUE"""),77600.0)</f>
        <v>77600</v>
      </c>
      <c r="D2382" s="1">
        <f>IFERROR(__xludf.DUMMYFUNCTION("""COMPUTED_VALUE"""),75800.0)</f>
        <v>75800</v>
      </c>
      <c r="E2382" s="1">
        <f>IFERROR(__xludf.DUMMYFUNCTION("""COMPUTED_VALUE"""),76800.0)</f>
        <v>76800</v>
      </c>
      <c r="F2382" s="1">
        <f>IFERROR(__xludf.DUMMYFUNCTION("""COMPUTED_VALUE"""),935573.0)</f>
        <v>935573</v>
      </c>
    </row>
    <row r="2383">
      <c r="A2383" s="2">
        <f>IFERROR(__xludf.DUMMYFUNCTION("""COMPUTED_VALUE"""),44084.64583333333)</f>
        <v>44084.64583</v>
      </c>
      <c r="B2383" s="1">
        <f>IFERROR(__xludf.DUMMYFUNCTION("""COMPUTED_VALUE"""),78400.0)</f>
        <v>78400</v>
      </c>
      <c r="C2383" s="1">
        <f>IFERROR(__xludf.DUMMYFUNCTION("""COMPUTED_VALUE"""),79300.0)</f>
        <v>79300</v>
      </c>
      <c r="D2383" s="1">
        <f>IFERROR(__xludf.DUMMYFUNCTION("""COMPUTED_VALUE"""),76800.0)</f>
        <v>76800</v>
      </c>
      <c r="E2383" s="1">
        <f>IFERROR(__xludf.DUMMYFUNCTION("""COMPUTED_VALUE"""),77100.0)</f>
        <v>77100</v>
      </c>
      <c r="F2383" s="1">
        <f>IFERROR(__xludf.DUMMYFUNCTION("""COMPUTED_VALUE"""),936708.0)</f>
        <v>936708</v>
      </c>
    </row>
    <row r="2384">
      <c r="A2384" s="2">
        <f>IFERROR(__xludf.DUMMYFUNCTION("""COMPUTED_VALUE"""),44085.64583333333)</f>
        <v>44085.64583</v>
      </c>
      <c r="B2384" s="1">
        <f>IFERROR(__xludf.DUMMYFUNCTION("""COMPUTED_VALUE"""),76400.0)</f>
        <v>76400</v>
      </c>
      <c r="C2384" s="1">
        <f>IFERROR(__xludf.DUMMYFUNCTION("""COMPUTED_VALUE"""),76800.0)</f>
        <v>76800</v>
      </c>
      <c r="D2384" s="1">
        <f>IFERROR(__xludf.DUMMYFUNCTION("""COMPUTED_VALUE"""),75100.0)</f>
        <v>75100</v>
      </c>
      <c r="E2384" s="1">
        <f>IFERROR(__xludf.DUMMYFUNCTION("""COMPUTED_VALUE"""),75800.0)</f>
        <v>75800</v>
      </c>
      <c r="F2384" s="1">
        <f>IFERROR(__xludf.DUMMYFUNCTION("""COMPUTED_VALUE"""),792840.0)</f>
        <v>792840</v>
      </c>
    </row>
    <row r="2385">
      <c r="A2385" s="2">
        <f>IFERROR(__xludf.DUMMYFUNCTION("""COMPUTED_VALUE"""),44088.64583333333)</f>
        <v>44088.64583</v>
      </c>
      <c r="B2385" s="1">
        <f>IFERROR(__xludf.DUMMYFUNCTION("""COMPUTED_VALUE"""),75400.0)</f>
        <v>75400</v>
      </c>
      <c r="C2385" s="1">
        <f>IFERROR(__xludf.DUMMYFUNCTION("""COMPUTED_VALUE"""),75600.0)</f>
        <v>75600</v>
      </c>
      <c r="D2385" s="1">
        <f>IFERROR(__xludf.DUMMYFUNCTION("""COMPUTED_VALUE"""),73800.0)</f>
        <v>73800</v>
      </c>
      <c r="E2385" s="1">
        <f>IFERROR(__xludf.DUMMYFUNCTION("""COMPUTED_VALUE"""),74700.0)</f>
        <v>74700</v>
      </c>
      <c r="F2385" s="1">
        <f>IFERROR(__xludf.DUMMYFUNCTION("""COMPUTED_VALUE"""),830231.0)</f>
        <v>830231</v>
      </c>
    </row>
    <row r="2386">
      <c r="A2386" s="2">
        <f>IFERROR(__xludf.DUMMYFUNCTION("""COMPUTED_VALUE"""),44089.64583333333)</f>
        <v>44089.64583</v>
      </c>
      <c r="B2386" s="1">
        <f>IFERROR(__xludf.DUMMYFUNCTION("""COMPUTED_VALUE"""),74200.0)</f>
        <v>74200</v>
      </c>
      <c r="C2386" s="1">
        <f>IFERROR(__xludf.DUMMYFUNCTION("""COMPUTED_VALUE"""),77000.0)</f>
        <v>77000</v>
      </c>
      <c r="D2386" s="1">
        <f>IFERROR(__xludf.DUMMYFUNCTION("""COMPUTED_VALUE"""),73800.0)</f>
        <v>73800</v>
      </c>
      <c r="E2386" s="1">
        <f>IFERROR(__xludf.DUMMYFUNCTION("""COMPUTED_VALUE"""),76200.0)</f>
        <v>76200</v>
      </c>
      <c r="F2386" s="1">
        <f>IFERROR(__xludf.DUMMYFUNCTION("""COMPUTED_VALUE"""),860038.0)</f>
        <v>860038</v>
      </c>
    </row>
    <row r="2387">
      <c r="A2387" s="2">
        <f>IFERROR(__xludf.DUMMYFUNCTION("""COMPUTED_VALUE"""),44090.64583333333)</f>
        <v>44090.64583</v>
      </c>
      <c r="B2387" s="1">
        <f>IFERROR(__xludf.DUMMYFUNCTION("""COMPUTED_VALUE"""),76800.0)</f>
        <v>76800</v>
      </c>
      <c r="C2387" s="1">
        <f>IFERROR(__xludf.DUMMYFUNCTION("""COMPUTED_VALUE"""),76900.0)</f>
        <v>76900</v>
      </c>
      <c r="D2387" s="1">
        <f>IFERROR(__xludf.DUMMYFUNCTION("""COMPUTED_VALUE"""),75400.0)</f>
        <v>75400</v>
      </c>
      <c r="E2387" s="1">
        <f>IFERROR(__xludf.DUMMYFUNCTION("""COMPUTED_VALUE"""),75400.0)</f>
        <v>75400</v>
      </c>
      <c r="F2387" s="1">
        <f>IFERROR(__xludf.DUMMYFUNCTION("""COMPUTED_VALUE"""),485743.0)</f>
        <v>485743</v>
      </c>
    </row>
    <row r="2388">
      <c r="A2388" s="2">
        <f>IFERROR(__xludf.DUMMYFUNCTION("""COMPUTED_VALUE"""),44091.64583333333)</f>
        <v>44091.64583</v>
      </c>
      <c r="B2388" s="1">
        <f>IFERROR(__xludf.DUMMYFUNCTION("""COMPUTED_VALUE"""),74700.0)</f>
        <v>74700</v>
      </c>
      <c r="C2388" s="1">
        <f>IFERROR(__xludf.DUMMYFUNCTION("""COMPUTED_VALUE"""),74800.0)</f>
        <v>74800</v>
      </c>
      <c r="D2388" s="1">
        <f>IFERROR(__xludf.DUMMYFUNCTION("""COMPUTED_VALUE"""),73800.0)</f>
        <v>73800</v>
      </c>
      <c r="E2388" s="1">
        <f>IFERROR(__xludf.DUMMYFUNCTION("""COMPUTED_VALUE"""),74200.0)</f>
        <v>74200</v>
      </c>
      <c r="F2388" s="1">
        <f>IFERROR(__xludf.DUMMYFUNCTION("""COMPUTED_VALUE"""),617702.0)</f>
        <v>617702</v>
      </c>
    </row>
    <row r="2389">
      <c r="A2389" s="2">
        <f>IFERROR(__xludf.DUMMYFUNCTION("""COMPUTED_VALUE"""),44092.64583333333)</f>
        <v>44092.64583</v>
      </c>
      <c r="B2389" s="1">
        <f>IFERROR(__xludf.DUMMYFUNCTION("""COMPUTED_VALUE"""),73800.0)</f>
        <v>73800</v>
      </c>
      <c r="C2389" s="1">
        <f>IFERROR(__xludf.DUMMYFUNCTION("""COMPUTED_VALUE"""),75400.0)</f>
        <v>75400</v>
      </c>
      <c r="D2389" s="1">
        <f>IFERROR(__xludf.DUMMYFUNCTION("""COMPUTED_VALUE"""),73200.0)</f>
        <v>73200</v>
      </c>
      <c r="E2389" s="1">
        <f>IFERROR(__xludf.DUMMYFUNCTION("""COMPUTED_VALUE"""),74600.0)</f>
        <v>74600</v>
      </c>
      <c r="F2389" s="1">
        <f>IFERROR(__xludf.DUMMYFUNCTION("""COMPUTED_VALUE"""),495271.0)</f>
        <v>495271</v>
      </c>
    </row>
    <row r="2390">
      <c r="A2390" s="2">
        <f>IFERROR(__xludf.DUMMYFUNCTION("""COMPUTED_VALUE"""),44095.64583333333)</f>
        <v>44095.64583</v>
      </c>
      <c r="B2390" s="1">
        <f>IFERROR(__xludf.DUMMYFUNCTION("""COMPUTED_VALUE"""),74300.0)</f>
        <v>74300</v>
      </c>
      <c r="C2390" s="1">
        <f>IFERROR(__xludf.DUMMYFUNCTION("""COMPUTED_VALUE"""),74800.0)</f>
        <v>74800</v>
      </c>
      <c r="D2390" s="1">
        <f>IFERROR(__xludf.DUMMYFUNCTION("""COMPUTED_VALUE"""),72800.0)</f>
        <v>72800</v>
      </c>
      <c r="E2390" s="1">
        <f>IFERROR(__xludf.DUMMYFUNCTION("""COMPUTED_VALUE"""),72900.0)</f>
        <v>72900</v>
      </c>
      <c r="F2390" s="1">
        <f>IFERROR(__xludf.DUMMYFUNCTION("""COMPUTED_VALUE"""),530255.0)</f>
        <v>530255</v>
      </c>
    </row>
    <row r="2391">
      <c r="A2391" s="2">
        <f>IFERROR(__xludf.DUMMYFUNCTION("""COMPUTED_VALUE"""),44096.64583333333)</f>
        <v>44096.64583</v>
      </c>
      <c r="B2391" s="1">
        <f>IFERROR(__xludf.DUMMYFUNCTION("""COMPUTED_VALUE"""),72200.0)</f>
        <v>72200</v>
      </c>
      <c r="C2391" s="1">
        <f>IFERROR(__xludf.DUMMYFUNCTION("""COMPUTED_VALUE"""),73800.0)</f>
        <v>73800</v>
      </c>
      <c r="D2391" s="1">
        <f>IFERROR(__xludf.DUMMYFUNCTION("""COMPUTED_VALUE"""),70200.0)</f>
        <v>70200</v>
      </c>
      <c r="E2391" s="1">
        <f>IFERROR(__xludf.DUMMYFUNCTION("""COMPUTED_VALUE"""),70600.0)</f>
        <v>70600</v>
      </c>
      <c r="F2391" s="1">
        <f>IFERROR(__xludf.DUMMYFUNCTION("""COMPUTED_VALUE"""),880318.0)</f>
        <v>880318</v>
      </c>
    </row>
    <row r="2392">
      <c r="A2392" s="2">
        <f>IFERROR(__xludf.DUMMYFUNCTION("""COMPUTED_VALUE"""),44097.64583333333)</f>
        <v>44097.64583</v>
      </c>
      <c r="B2392" s="1">
        <f>IFERROR(__xludf.DUMMYFUNCTION("""COMPUTED_VALUE"""),71700.0)</f>
        <v>71700</v>
      </c>
      <c r="C2392" s="1">
        <f>IFERROR(__xludf.DUMMYFUNCTION("""COMPUTED_VALUE"""),73400.0)</f>
        <v>73400</v>
      </c>
      <c r="D2392" s="1">
        <f>IFERROR(__xludf.DUMMYFUNCTION("""COMPUTED_VALUE"""),70600.0)</f>
        <v>70600</v>
      </c>
      <c r="E2392" s="1">
        <f>IFERROR(__xludf.DUMMYFUNCTION("""COMPUTED_VALUE"""),73100.0)</f>
        <v>73100</v>
      </c>
      <c r="F2392" s="1">
        <f>IFERROR(__xludf.DUMMYFUNCTION("""COMPUTED_VALUE"""),930394.0)</f>
        <v>930394</v>
      </c>
    </row>
    <row r="2393">
      <c r="A2393" s="2">
        <f>IFERROR(__xludf.DUMMYFUNCTION("""COMPUTED_VALUE"""),44098.64583333333)</f>
        <v>44098.64583</v>
      </c>
      <c r="B2393" s="1">
        <f>IFERROR(__xludf.DUMMYFUNCTION("""COMPUTED_VALUE"""),72200.0)</f>
        <v>72200</v>
      </c>
      <c r="C2393" s="1">
        <f>IFERROR(__xludf.DUMMYFUNCTION("""COMPUTED_VALUE"""),72300.0)</f>
        <v>72300</v>
      </c>
      <c r="D2393" s="1">
        <f>IFERROR(__xludf.DUMMYFUNCTION("""COMPUTED_VALUE"""),70200.0)</f>
        <v>70200</v>
      </c>
      <c r="E2393" s="1">
        <f>IFERROR(__xludf.DUMMYFUNCTION("""COMPUTED_VALUE"""),70400.0)</f>
        <v>70400</v>
      </c>
      <c r="F2393" s="1">
        <f>IFERROR(__xludf.DUMMYFUNCTION("""COMPUTED_VALUE"""),763638.0)</f>
        <v>763638</v>
      </c>
    </row>
    <row r="2394">
      <c r="A2394" s="2">
        <f>IFERROR(__xludf.DUMMYFUNCTION("""COMPUTED_VALUE"""),44099.64583333333)</f>
        <v>44099.64583</v>
      </c>
      <c r="B2394" s="1">
        <f>IFERROR(__xludf.DUMMYFUNCTION("""COMPUTED_VALUE"""),71200.0)</f>
        <v>71200</v>
      </c>
      <c r="C2394" s="1">
        <f>IFERROR(__xludf.DUMMYFUNCTION("""COMPUTED_VALUE"""),71600.0)</f>
        <v>71600</v>
      </c>
      <c r="D2394" s="1">
        <f>IFERROR(__xludf.DUMMYFUNCTION("""COMPUTED_VALUE"""),69300.0)</f>
        <v>69300</v>
      </c>
      <c r="E2394" s="1">
        <f>IFERROR(__xludf.DUMMYFUNCTION("""COMPUTED_VALUE"""),70300.0)</f>
        <v>70300</v>
      </c>
      <c r="F2394" s="1">
        <f>IFERROR(__xludf.DUMMYFUNCTION("""COMPUTED_VALUE"""),449701.0)</f>
        <v>449701</v>
      </c>
    </row>
    <row r="2395">
      <c r="A2395" s="2">
        <f>IFERROR(__xludf.DUMMYFUNCTION("""COMPUTED_VALUE"""),44102.64583333333)</f>
        <v>44102.64583</v>
      </c>
      <c r="B2395" s="1">
        <f>IFERROR(__xludf.DUMMYFUNCTION("""COMPUTED_VALUE"""),71300.0)</f>
        <v>71300</v>
      </c>
      <c r="C2395" s="1">
        <f>IFERROR(__xludf.DUMMYFUNCTION("""COMPUTED_VALUE"""),74400.0)</f>
        <v>74400</v>
      </c>
      <c r="D2395" s="1">
        <f>IFERROR(__xludf.DUMMYFUNCTION("""COMPUTED_VALUE"""),70800.0)</f>
        <v>70800</v>
      </c>
      <c r="E2395" s="1">
        <f>IFERROR(__xludf.DUMMYFUNCTION("""COMPUTED_VALUE"""),73800.0)</f>
        <v>73800</v>
      </c>
      <c r="F2395" s="1">
        <f>IFERROR(__xludf.DUMMYFUNCTION("""COMPUTED_VALUE"""),674705.0)</f>
        <v>674705</v>
      </c>
    </row>
    <row r="2396">
      <c r="A2396" s="2">
        <f>IFERROR(__xludf.DUMMYFUNCTION("""COMPUTED_VALUE"""),44103.64583333333)</f>
        <v>44103.64583</v>
      </c>
      <c r="B2396" s="1">
        <f>IFERROR(__xludf.DUMMYFUNCTION("""COMPUTED_VALUE"""),74900.0)</f>
        <v>74900</v>
      </c>
      <c r="C2396" s="1">
        <f>IFERROR(__xludf.DUMMYFUNCTION("""COMPUTED_VALUE"""),75000.0)</f>
        <v>75000</v>
      </c>
      <c r="D2396" s="1">
        <f>IFERROR(__xludf.DUMMYFUNCTION("""COMPUTED_VALUE"""),72800.0)</f>
        <v>72800</v>
      </c>
      <c r="E2396" s="1">
        <f>IFERROR(__xludf.DUMMYFUNCTION("""COMPUTED_VALUE"""),72900.0)</f>
        <v>72900</v>
      </c>
      <c r="F2396" s="1">
        <f>IFERROR(__xludf.DUMMYFUNCTION("""COMPUTED_VALUE"""),612054.0)</f>
        <v>612054</v>
      </c>
    </row>
    <row r="2397">
      <c r="A2397" s="2">
        <f>IFERROR(__xludf.DUMMYFUNCTION("""COMPUTED_VALUE"""),44109.64583333333)</f>
        <v>44109.64583</v>
      </c>
      <c r="B2397" s="1">
        <f>IFERROR(__xludf.DUMMYFUNCTION("""COMPUTED_VALUE"""),72100.0)</f>
        <v>72100</v>
      </c>
      <c r="C2397" s="1">
        <f>IFERROR(__xludf.DUMMYFUNCTION("""COMPUTED_VALUE"""),74100.0)</f>
        <v>74100</v>
      </c>
      <c r="D2397" s="1">
        <f>IFERROR(__xludf.DUMMYFUNCTION("""COMPUTED_VALUE"""),71600.0)</f>
        <v>71600</v>
      </c>
      <c r="E2397" s="1">
        <f>IFERROR(__xludf.DUMMYFUNCTION("""COMPUTED_VALUE"""),74100.0)</f>
        <v>74100</v>
      </c>
      <c r="F2397" s="1">
        <f>IFERROR(__xludf.DUMMYFUNCTION("""COMPUTED_VALUE"""),522228.0)</f>
        <v>522228</v>
      </c>
    </row>
    <row r="2398">
      <c r="A2398" s="2">
        <f>IFERROR(__xludf.DUMMYFUNCTION("""COMPUTED_VALUE"""),44110.64583333333)</f>
        <v>44110.64583</v>
      </c>
      <c r="B2398" s="1">
        <f>IFERROR(__xludf.DUMMYFUNCTION("""COMPUTED_VALUE"""),74700.0)</f>
        <v>74700</v>
      </c>
      <c r="C2398" s="1">
        <f>IFERROR(__xludf.DUMMYFUNCTION("""COMPUTED_VALUE"""),76700.0)</f>
        <v>76700</v>
      </c>
      <c r="D2398" s="1">
        <f>IFERROR(__xludf.DUMMYFUNCTION("""COMPUTED_VALUE"""),74000.0)</f>
        <v>74000</v>
      </c>
      <c r="E2398" s="1">
        <f>IFERROR(__xludf.DUMMYFUNCTION("""COMPUTED_VALUE"""),76300.0)</f>
        <v>76300</v>
      </c>
      <c r="F2398" s="1">
        <f>IFERROR(__xludf.DUMMYFUNCTION("""COMPUTED_VALUE"""),765339.0)</f>
        <v>765339</v>
      </c>
    </row>
    <row r="2399">
      <c r="A2399" s="2">
        <f>IFERROR(__xludf.DUMMYFUNCTION("""COMPUTED_VALUE"""),44111.64583333333)</f>
        <v>44111.64583</v>
      </c>
      <c r="B2399" s="1">
        <f>IFERROR(__xludf.DUMMYFUNCTION("""COMPUTED_VALUE"""),75600.0)</f>
        <v>75600</v>
      </c>
      <c r="C2399" s="1">
        <f>IFERROR(__xludf.DUMMYFUNCTION("""COMPUTED_VALUE"""),76300.0)</f>
        <v>76300</v>
      </c>
      <c r="D2399" s="1">
        <f>IFERROR(__xludf.DUMMYFUNCTION("""COMPUTED_VALUE"""),75200.0)</f>
        <v>75200</v>
      </c>
      <c r="E2399" s="1">
        <f>IFERROR(__xludf.DUMMYFUNCTION("""COMPUTED_VALUE"""),76100.0)</f>
        <v>76100</v>
      </c>
      <c r="F2399" s="1">
        <f>IFERROR(__xludf.DUMMYFUNCTION("""COMPUTED_VALUE"""),398285.0)</f>
        <v>398285</v>
      </c>
    </row>
    <row r="2400">
      <c r="A2400" s="2">
        <f>IFERROR(__xludf.DUMMYFUNCTION("""COMPUTED_VALUE"""),44112.64583333333)</f>
        <v>44112.64583</v>
      </c>
      <c r="B2400" s="1">
        <f>IFERROR(__xludf.DUMMYFUNCTION("""COMPUTED_VALUE"""),76700.0)</f>
        <v>76700</v>
      </c>
      <c r="C2400" s="1">
        <f>IFERROR(__xludf.DUMMYFUNCTION("""COMPUTED_VALUE"""),77400.0)</f>
        <v>77400</v>
      </c>
      <c r="D2400" s="1">
        <f>IFERROR(__xludf.DUMMYFUNCTION("""COMPUTED_VALUE"""),75800.0)</f>
        <v>75800</v>
      </c>
      <c r="E2400" s="1">
        <f>IFERROR(__xludf.DUMMYFUNCTION("""COMPUTED_VALUE"""),75800.0)</f>
        <v>75800</v>
      </c>
      <c r="F2400" s="1">
        <f>IFERROR(__xludf.DUMMYFUNCTION("""COMPUTED_VALUE"""),624658.0)</f>
        <v>624658</v>
      </c>
    </row>
    <row r="2401">
      <c r="A2401" s="2">
        <f>IFERROR(__xludf.DUMMYFUNCTION("""COMPUTED_VALUE"""),44116.64583333333)</f>
        <v>44116.64583</v>
      </c>
      <c r="B2401" s="1">
        <f>IFERROR(__xludf.DUMMYFUNCTION("""COMPUTED_VALUE"""),76600.0)</f>
        <v>76600</v>
      </c>
      <c r="C2401" s="1">
        <f>IFERROR(__xludf.DUMMYFUNCTION("""COMPUTED_VALUE"""),76600.0)</f>
        <v>76600</v>
      </c>
      <c r="D2401" s="1">
        <f>IFERROR(__xludf.DUMMYFUNCTION("""COMPUTED_VALUE"""),74200.0)</f>
        <v>74200</v>
      </c>
      <c r="E2401" s="1">
        <f>IFERROR(__xludf.DUMMYFUNCTION("""COMPUTED_VALUE"""),74300.0)</f>
        <v>74300</v>
      </c>
      <c r="F2401" s="1">
        <f>IFERROR(__xludf.DUMMYFUNCTION("""COMPUTED_VALUE"""),471624.0)</f>
        <v>471624</v>
      </c>
    </row>
    <row r="2402">
      <c r="A2402" s="2">
        <f>IFERROR(__xludf.DUMMYFUNCTION("""COMPUTED_VALUE"""),44117.64583333333)</f>
        <v>44117.64583</v>
      </c>
      <c r="B2402" s="1">
        <f>IFERROR(__xludf.DUMMYFUNCTION("""COMPUTED_VALUE"""),74800.0)</f>
        <v>74800</v>
      </c>
      <c r="C2402" s="1">
        <f>IFERROR(__xludf.DUMMYFUNCTION("""COMPUTED_VALUE"""),75400.0)</f>
        <v>75400</v>
      </c>
      <c r="D2402" s="1">
        <f>IFERROR(__xludf.DUMMYFUNCTION("""COMPUTED_VALUE"""),74300.0)</f>
        <v>74300</v>
      </c>
      <c r="E2402" s="1">
        <f>IFERROR(__xludf.DUMMYFUNCTION("""COMPUTED_VALUE"""),74400.0)</f>
        <v>74400</v>
      </c>
      <c r="F2402" s="1">
        <f>IFERROR(__xludf.DUMMYFUNCTION("""COMPUTED_VALUE"""),302317.0)</f>
        <v>302317</v>
      </c>
    </row>
    <row r="2403">
      <c r="A2403" s="2">
        <f>IFERROR(__xludf.DUMMYFUNCTION("""COMPUTED_VALUE"""),44118.64583333333)</f>
        <v>44118.64583</v>
      </c>
      <c r="B2403" s="1">
        <f>IFERROR(__xludf.DUMMYFUNCTION("""COMPUTED_VALUE"""),74000.0)</f>
        <v>74000</v>
      </c>
      <c r="C2403" s="1">
        <f>IFERROR(__xludf.DUMMYFUNCTION("""COMPUTED_VALUE"""),75000.0)</f>
        <v>75000</v>
      </c>
      <c r="D2403" s="1">
        <f>IFERROR(__xludf.DUMMYFUNCTION("""COMPUTED_VALUE"""),73200.0)</f>
        <v>73200</v>
      </c>
      <c r="E2403" s="1">
        <f>IFERROR(__xludf.DUMMYFUNCTION("""COMPUTED_VALUE"""),73700.0)</f>
        <v>73700</v>
      </c>
      <c r="F2403" s="1">
        <f>IFERROR(__xludf.DUMMYFUNCTION("""COMPUTED_VALUE"""),333008.0)</f>
        <v>333008</v>
      </c>
    </row>
    <row r="2404">
      <c r="A2404" s="2">
        <f>IFERROR(__xludf.DUMMYFUNCTION("""COMPUTED_VALUE"""),44119.64583333333)</f>
        <v>44119.64583</v>
      </c>
      <c r="B2404" s="1">
        <f>IFERROR(__xludf.DUMMYFUNCTION("""COMPUTED_VALUE"""),73600.0)</f>
        <v>73600</v>
      </c>
      <c r="C2404" s="1">
        <f>IFERROR(__xludf.DUMMYFUNCTION("""COMPUTED_VALUE"""),73700.0)</f>
        <v>73700</v>
      </c>
      <c r="D2404" s="1">
        <f>IFERROR(__xludf.DUMMYFUNCTION("""COMPUTED_VALUE"""),72000.0)</f>
        <v>72000</v>
      </c>
      <c r="E2404" s="1">
        <f>IFERROR(__xludf.DUMMYFUNCTION("""COMPUTED_VALUE"""),72400.0)</f>
        <v>72400</v>
      </c>
      <c r="F2404" s="1">
        <f>IFERROR(__xludf.DUMMYFUNCTION("""COMPUTED_VALUE"""),422566.0)</f>
        <v>422566</v>
      </c>
    </row>
    <row r="2405">
      <c r="A2405" s="2">
        <f>IFERROR(__xludf.DUMMYFUNCTION("""COMPUTED_VALUE"""),44120.64583333333)</f>
        <v>44120.64583</v>
      </c>
      <c r="B2405" s="1">
        <f>IFERROR(__xludf.DUMMYFUNCTION("""COMPUTED_VALUE"""),72200.0)</f>
        <v>72200</v>
      </c>
      <c r="C2405" s="1">
        <f>IFERROR(__xludf.DUMMYFUNCTION("""COMPUTED_VALUE"""),72400.0)</f>
        <v>72400</v>
      </c>
      <c r="D2405" s="1">
        <f>IFERROR(__xludf.DUMMYFUNCTION("""COMPUTED_VALUE"""),71000.0)</f>
        <v>71000</v>
      </c>
      <c r="E2405" s="1">
        <f>IFERROR(__xludf.DUMMYFUNCTION("""COMPUTED_VALUE"""),71500.0)</f>
        <v>71500</v>
      </c>
      <c r="F2405" s="1">
        <f>IFERROR(__xludf.DUMMYFUNCTION("""COMPUTED_VALUE"""),400405.0)</f>
        <v>400405</v>
      </c>
    </row>
    <row r="2406">
      <c r="A2406" s="2">
        <f>IFERROR(__xludf.DUMMYFUNCTION("""COMPUTED_VALUE"""),44123.64583333333)</f>
        <v>44123.64583</v>
      </c>
      <c r="B2406" s="1">
        <f>IFERROR(__xludf.DUMMYFUNCTION("""COMPUTED_VALUE"""),71600.0)</f>
        <v>71600</v>
      </c>
      <c r="C2406" s="1">
        <f>IFERROR(__xludf.DUMMYFUNCTION("""COMPUTED_VALUE"""),72500.0)</f>
        <v>72500</v>
      </c>
      <c r="D2406" s="1">
        <f>IFERROR(__xludf.DUMMYFUNCTION("""COMPUTED_VALUE"""),70400.0)</f>
        <v>70400</v>
      </c>
      <c r="E2406" s="1">
        <f>IFERROR(__xludf.DUMMYFUNCTION("""COMPUTED_VALUE"""),70600.0)</f>
        <v>70600</v>
      </c>
      <c r="F2406" s="1">
        <f>IFERROR(__xludf.DUMMYFUNCTION("""COMPUTED_VALUE"""),362402.0)</f>
        <v>362402</v>
      </c>
    </row>
    <row r="2407">
      <c r="A2407" s="2">
        <f>IFERROR(__xludf.DUMMYFUNCTION("""COMPUTED_VALUE"""),44124.64583333333)</f>
        <v>44124.64583</v>
      </c>
      <c r="B2407" s="1">
        <f>IFERROR(__xludf.DUMMYFUNCTION("""COMPUTED_VALUE"""),69600.0)</f>
        <v>69600</v>
      </c>
      <c r="C2407" s="1">
        <f>IFERROR(__xludf.DUMMYFUNCTION("""COMPUTED_VALUE"""),70600.0)</f>
        <v>70600</v>
      </c>
      <c r="D2407" s="1">
        <f>IFERROR(__xludf.DUMMYFUNCTION("""COMPUTED_VALUE"""),68000.0)</f>
        <v>68000</v>
      </c>
      <c r="E2407" s="1">
        <f>IFERROR(__xludf.DUMMYFUNCTION("""COMPUTED_VALUE"""),70500.0)</f>
        <v>70500</v>
      </c>
      <c r="F2407" s="1">
        <f>IFERROR(__xludf.DUMMYFUNCTION("""COMPUTED_VALUE"""),759973.0)</f>
        <v>759973</v>
      </c>
    </row>
    <row r="2408">
      <c r="A2408" s="2">
        <f>IFERROR(__xludf.DUMMYFUNCTION("""COMPUTED_VALUE"""),44125.64583333333)</f>
        <v>44125.64583</v>
      </c>
      <c r="B2408" s="1">
        <f>IFERROR(__xludf.DUMMYFUNCTION("""COMPUTED_VALUE"""),70200.0)</f>
        <v>70200</v>
      </c>
      <c r="C2408" s="1">
        <f>IFERROR(__xludf.DUMMYFUNCTION("""COMPUTED_VALUE"""),72200.0)</f>
        <v>72200</v>
      </c>
      <c r="D2408" s="1">
        <f>IFERROR(__xludf.DUMMYFUNCTION("""COMPUTED_VALUE"""),70200.0)</f>
        <v>70200</v>
      </c>
      <c r="E2408" s="1">
        <f>IFERROR(__xludf.DUMMYFUNCTION("""COMPUTED_VALUE"""),70700.0)</f>
        <v>70700</v>
      </c>
      <c r="F2408" s="1">
        <f>IFERROR(__xludf.DUMMYFUNCTION("""COMPUTED_VALUE"""),516282.0)</f>
        <v>516282</v>
      </c>
    </row>
    <row r="2409">
      <c r="A2409" s="2">
        <f>IFERROR(__xludf.DUMMYFUNCTION("""COMPUTED_VALUE"""),44126.64583333333)</f>
        <v>44126.64583</v>
      </c>
      <c r="B2409" s="1">
        <f>IFERROR(__xludf.DUMMYFUNCTION("""COMPUTED_VALUE"""),70300.0)</f>
        <v>70300</v>
      </c>
      <c r="C2409" s="1">
        <f>IFERROR(__xludf.DUMMYFUNCTION("""COMPUTED_VALUE"""),70400.0)</f>
        <v>70400</v>
      </c>
      <c r="D2409" s="1">
        <f>IFERROR(__xludf.DUMMYFUNCTION("""COMPUTED_VALUE"""),69100.0)</f>
        <v>69100</v>
      </c>
      <c r="E2409" s="1">
        <f>IFERROR(__xludf.DUMMYFUNCTION("""COMPUTED_VALUE"""),69800.0)</f>
        <v>69800</v>
      </c>
      <c r="F2409" s="1">
        <f>IFERROR(__xludf.DUMMYFUNCTION("""COMPUTED_VALUE"""),376380.0)</f>
        <v>376380</v>
      </c>
    </row>
    <row r="2410">
      <c r="A2410" s="2">
        <f>IFERROR(__xludf.DUMMYFUNCTION("""COMPUTED_VALUE"""),44127.64583333333)</f>
        <v>44127.64583</v>
      </c>
      <c r="B2410" s="1">
        <f>IFERROR(__xludf.DUMMYFUNCTION("""COMPUTED_VALUE"""),69700.0)</f>
        <v>69700</v>
      </c>
      <c r="C2410" s="1">
        <f>IFERROR(__xludf.DUMMYFUNCTION("""COMPUTED_VALUE"""),70000.0)</f>
        <v>70000</v>
      </c>
      <c r="D2410" s="1">
        <f>IFERROR(__xludf.DUMMYFUNCTION("""COMPUTED_VALUE"""),68000.0)</f>
        <v>68000</v>
      </c>
      <c r="E2410" s="1">
        <f>IFERROR(__xludf.DUMMYFUNCTION("""COMPUTED_VALUE"""),68000.0)</f>
        <v>68000</v>
      </c>
      <c r="F2410" s="1">
        <f>IFERROR(__xludf.DUMMYFUNCTION("""COMPUTED_VALUE"""),622592.0)</f>
        <v>622592</v>
      </c>
    </row>
    <row r="2411">
      <c r="A2411" s="2">
        <f>IFERROR(__xludf.DUMMYFUNCTION("""COMPUTED_VALUE"""),44130.64583333333)</f>
        <v>44130.64583</v>
      </c>
      <c r="B2411" s="1">
        <f>IFERROR(__xludf.DUMMYFUNCTION("""COMPUTED_VALUE"""),67400.0)</f>
        <v>67400</v>
      </c>
      <c r="C2411" s="1">
        <f>IFERROR(__xludf.DUMMYFUNCTION("""COMPUTED_VALUE"""),68200.0)</f>
        <v>68200</v>
      </c>
      <c r="D2411" s="1">
        <f>IFERROR(__xludf.DUMMYFUNCTION("""COMPUTED_VALUE"""),65600.0)</f>
        <v>65600</v>
      </c>
      <c r="E2411" s="1">
        <f>IFERROR(__xludf.DUMMYFUNCTION("""COMPUTED_VALUE"""),65900.0)</f>
        <v>65900</v>
      </c>
      <c r="F2411" s="1">
        <f>IFERROR(__xludf.DUMMYFUNCTION("""COMPUTED_VALUE"""),714722.0)</f>
        <v>714722</v>
      </c>
    </row>
    <row r="2412">
      <c r="A2412" s="2">
        <f>IFERROR(__xludf.DUMMYFUNCTION("""COMPUTED_VALUE"""),44131.64583333333)</f>
        <v>44131.64583</v>
      </c>
      <c r="B2412" s="1">
        <f>IFERROR(__xludf.DUMMYFUNCTION("""COMPUTED_VALUE"""),64900.0)</f>
        <v>64900</v>
      </c>
      <c r="C2412" s="1">
        <f>IFERROR(__xludf.DUMMYFUNCTION("""COMPUTED_VALUE"""),68700.0)</f>
        <v>68700</v>
      </c>
      <c r="D2412" s="1">
        <f>IFERROR(__xludf.DUMMYFUNCTION("""COMPUTED_VALUE"""),64900.0)</f>
        <v>64900</v>
      </c>
      <c r="E2412" s="1">
        <f>IFERROR(__xludf.DUMMYFUNCTION("""COMPUTED_VALUE"""),66800.0)</f>
        <v>66800</v>
      </c>
      <c r="F2412" s="1">
        <f>IFERROR(__xludf.DUMMYFUNCTION("""COMPUTED_VALUE"""),812610.0)</f>
        <v>812610</v>
      </c>
    </row>
    <row r="2413">
      <c r="A2413" s="2">
        <f>IFERROR(__xludf.DUMMYFUNCTION("""COMPUTED_VALUE"""),44132.64583333333)</f>
        <v>44132.64583</v>
      </c>
      <c r="B2413" s="1">
        <f>IFERROR(__xludf.DUMMYFUNCTION("""COMPUTED_VALUE"""),67100.0)</f>
        <v>67100</v>
      </c>
      <c r="C2413" s="1">
        <f>IFERROR(__xludf.DUMMYFUNCTION("""COMPUTED_VALUE"""),69300.0)</f>
        <v>69300</v>
      </c>
      <c r="D2413" s="1">
        <f>IFERROR(__xludf.DUMMYFUNCTION("""COMPUTED_VALUE"""),67000.0)</f>
        <v>67000</v>
      </c>
      <c r="E2413" s="1">
        <f>IFERROR(__xludf.DUMMYFUNCTION("""COMPUTED_VALUE"""),69300.0)</f>
        <v>69300</v>
      </c>
      <c r="F2413" s="1">
        <f>IFERROR(__xludf.DUMMYFUNCTION("""COMPUTED_VALUE"""),629567.0)</f>
        <v>629567</v>
      </c>
    </row>
    <row r="2414">
      <c r="A2414" s="2">
        <f>IFERROR(__xludf.DUMMYFUNCTION("""COMPUTED_VALUE"""),44133.64583333333)</f>
        <v>44133.64583</v>
      </c>
      <c r="B2414" s="1">
        <f>IFERROR(__xludf.DUMMYFUNCTION("""COMPUTED_VALUE"""),68400.0)</f>
        <v>68400</v>
      </c>
      <c r="C2414" s="1">
        <f>IFERROR(__xludf.DUMMYFUNCTION("""COMPUTED_VALUE"""),69100.0)</f>
        <v>69100</v>
      </c>
      <c r="D2414" s="1">
        <f>IFERROR(__xludf.DUMMYFUNCTION("""COMPUTED_VALUE"""),67700.0)</f>
        <v>67700</v>
      </c>
      <c r="E2414" s="1">
        <f>IFERROR(__xludf.DUMMYFUNCTION("""COMPUTED_VALUE"""),68600.0)</f>
        <v>68600</v>
      </c>
      <c r="F2414" s="1">
        <f>IFERROR(__xludf.DUMMYFUNCTION("""COMPUTED_VALUE"""),491546.0)</f>
        <v>491546</v>
      </c>
    </row>
    <row r="2415">
      <c r="A2415" s="2">
        <f>IFERROR(__xludf.DUMMYFUNCTION("""COMPUTED_VALUE"""),44134.64583333333)</f>
        <v>44134.64583</v>
      </c>
      <c r="B2415" s="1">
        <f>IFERROR(__xludf.DUMMYFUNCTION("""COMPUTED_VALUE"""),68600.0)</f>
        <v>68600</v>
      </c>
      <c r="C2415" s="1">
        <f>IFERROR(__xludf.DUMMYFUNCTION("""COMPUTED_VALUE"""),68800.0)</f>
        <v>68800</v>
      </c>
      <c r="D2415" s="1">
        <f>IFERROR(__xludf.DUMMYFUNCTION("""COMPUTED_VALUE"""),66000.0)</f>
        <v>66000</v>
      </c>
      <c r="E2415" s="1">
        <f>IFERROR(__xludf.DUMMYFUNCTION("""COMPUTED_VALUE"""),66000.0)</f>
        <v>66000</v>
      </c>
      <c r="F2415" s="1">
        <f>IFERROR(__xludf.DUMMYFUNCTION("""COMPUTED_VALUE"""),553748.0)</f>
        <v>553748</v>
      </c>
    </row>
    <row r="2416">
      <c r="A2416" s="2">
        <f>IFERROR(__xludf.DUMMYFUNCTION("""COMPUTED_VALUE"""),44137.64583333333)</f>
        <v>44137.64583</v>
      </c>
      <c r="B2416" s="1">
        <f>IFERROR(__xludf.DUMMYFUNCTION("""COMPUTED_VALUE"""),66100.0)</f>
        <v>66100</v>
      </c>
      <c r="C2416" s="1">
        <f>IFERROR(__xludf.DUMMYFUNCTION("""COMPUTED_VALUE"""),67100.0)</f>
        <v>67100</v>
      </c>
      <c r="D2416" s="1">
        <f>IFERROR(__xludf.DUMMYFUNCTION("""COMPUTED_VALUE"""),65600.0)</f>
        <v>65600</v>
      </c>
      <c r="E2416" s="1">
        <f>IFERROR(__xludf.DUMMYFUNCTION("""COMPUTED_VALUE"""),66900.0)</f>
        <v>66900</v>
      </c>
      <c r="F2416" s="1">
        <f>IFERROR(__xludf.DUMMYFUNCTION("""COMPUTED_VALUE"""),319856.0)</f>
        <v>319856</v>
      </c>
    </row>
    <row r="2417">
      <c r="A2417" s="2">
        <f>IFERROR(__xludf.DUMMYFUNCTION("""COMPUTED_VALUE"""),44138.64583333333)</f>
        <v>44138.64583</v>
      </c>
      <c r="B2417" s="1">
        <f>IFERROR(__xludf.DUMMYFUNCTION("""COMPUTED_VALUE"""),66900.0)</f>
        <v>66900</v>
      </c>
      <c r="C2417" s="1">
        <f>IFERROR(__xludf.DUMMYFUNCTION("""COMPUTED_VALUE"""),67800.0)</f>
        <v>67800</v>
      </c>
      <c r="D2417" s="1">
        <f>IFERROR(__xludf.DUMMYFUNCTION("""COMPUTED_VALUE"""),66400.0)</f>
        <v>66400</v>
      </c>
      <c r="E2417" s="1">
        <f>IFERROR(__xludf.DUMMYFUNCTION("""COMPUTED_VALUE"""),67300.0)</f>
        <v>67300</v>
      </c>
      <c r="F2417" s="1">
        <f>IFERROR(__xludf.DUMMYFUNCTION("""COMPUTED_VALUE"""),403786.0)</f>
        <v>403786</v>
      </c>
    </row>
    <row r="2418">
      <c r="A2418" s="2">
        <f>IFERROR(__xludf.DUMMYFUNCTION("""COMPUTED_VALUE"""),44139.64583333333)</f>
        <v>44139.64583</v>
      </c>
      <c r="B2418" s="1">
        <f>IFERROR(__xludf.DUMMYFUNCTION("""COMPUTED_VALUE"""),68100.0)</f>
        <v>68100</v>
      </c>
      <c r="C2418" s="1">
        <f>IFERROR(__xludf.DUMMYFUNCTION("""COMPUTED_VALUE"""),72200.0)</f>
        <v>72200</v>
      </c>
      <c r="D2418" s="1">
        <f>IFERROR(__xludf.DUMMYFUNCTION("""COMPUTED_VALUE"""),68000.0)</f>
        <v>68000</v>
      </c>
      <c r="E2418" s="1">
        <f>IFERROR(__xludf.DUMMYFUNCTION("""COMPUTED_VALUE"""),71900.0)</f>
        <v>71900</v>
      </c>
      <c r="F2418" s="1">
        <f>IFERROR(__xludf.DUMMYFUNCTION("""COMPUTED_VALUE"""),1431026.0)</f>
        <v>1431026</v>
      </c>
    </row>
    <row r="2419">
      <c r="A2419" s="2">
        <f>IFERROR(__xludf.DUMMYFUNCTION("""COMPUTED_VALUE"""),44140.64583333333)</f>
        <v>44140.64583</v>
      </c>
      <c r="B2419" s="1">
        <f>IFERROR(__xludf.DUMMYFUNCTION("""COMPUTED_VALUE"""),71800.0)</f>
        <v>71800</v>
      </c>
      <c r="C2419" s="1">
        <f>IFERROR(__xludf.DUMMYFUNCTION("""COMPUTED_VALUE"""),73700.0)</f>
        <v>73700</v>
      </c>
      <c r="D2419" s="1">
        <f>IFERROR(__xludf.DUMMYFUNCTION("""COMPUTED_VALUE"""),70600.0)</f>
        <v>70600</v>
      </c>
      <c r="E2419" s="1">
        <f>IFERROR(__xludf.DUMMYFUNCTION("""COMPUTED_VALUE"""),72600.0)</f>
        <v>72600</v>
      </c>
      <c r="F2419" s="1">
        <f>IFERROR(__xludf.DUMMYFUNCTION("""COMPUTED_VALUE"""),1061367.0)</f>
        <v>1061367</v>
      </c>
    </row>
    <row r="2420">
      <c r="A2420" s="2">
        <f>IFERROR(__xludf.DUMMYFUNCTION("""COMPUTED_VALUE"""),44141.64583333333)</f>
        <v>44141.64583</v>
      </c>
      <c r="B2420" s="1">
        <f>IFERROR(__xludf.DUMMYFUNCTION("""COMPUTED_VALUE"""),73400.0)</f>
        <v>73400</v>
      </c>
      <c r="C2420" s="1">
        <f>IFERROR(__xludf.DUMMYFUNCTION("""COMPUTED_VALUE"""),76100.0)</f>
        <v>76100</v>
      </c>
      <c r="D2420" s="1">
        <f>IFERROR(__xludf.DUMMYFUNCTION("""COMPUTED_VALUE"""),73100.0)</f>
        <v>73100</v>
      </c>
      <c r="E2420" s="1">
        <f>IFERROR(__xludf.DUMMYFUNCTION("""COMPUTED_VALUE"""),74100.0)</f>
        <v>74100</v>
      </c>
      <c r="F2420" s="1">
        <f>IFERROR(__xludf.DUMMYFUNCTION("""COMPUTED_VALUE"""),1315572.0)</f>
        <v>1315572</v>
      </c>
    </row>
    <row r="2421">
      <c r="A2421" s="2">
        <f>IFERROR(__xludf.DUMMYFUNCTION("""COMPUTED_VALUE"""),44144.64583333333)</f>
        <v>44144.64583</v>
      </c>
      <c r="B2421" s="1">
        <f>IFERROR(__xludf.DUMMYFUNCTION("""COMPUTED_VALUE"""),75000.0)</f>
        <v>75000</v>
      </c>
      <c r="C2421" s="1">
        <f>IFERROR(__xludf.DUMMYFUNCTION("""COMPUTED_VALUE"""),75200.0)</f>
        <v>75200</v>
      </c>
      <c r="D2421" s="1">
        <f>IFERROR(__xludf.DUMMYFUNCTION("""COMPUTED_VALUE"""),73500.0)</f>
        <v>73500</v>
      </c>
      <c r="E2421" s="1">
        <f>IFERROR(__xludf.DUMMYFUNCTION("""COMPUTED_VALUE"""),74300.0)</f>
        <v>74300</v>
      </c>
      <c r="F2421" s="1">
        <f>IFERROR(__xludf.DUMMYFUNCTION("""COMPUTED_VALUE"""),593735.0)</f>
        <v>593735</v>
      </c>
    </row>
    <row r="2422">
      <c r="A2422" s="2">
        <f>IFERROR(__xludf.DUMMYFUNCTION("""COMPUTED_VALUE"""),44145.64583333333)</f>
        <v>44145.64583</v>
      </c>
      <c r="B2422" s="1">
        <f>IFERROR(__xludf.DUMMYFUNCTION("""COMPUTED_VALUE"""),71500.0)</f>
        <v>71500</v>
      </c>
      <c r="C2422" s="1">
        <f>IFERROR(__xludf.DUMMYFUNCTION("""COMPUTED_VALUE"""),72300.0)</f>
        <v>72300</v>
      </c>
      <c r="D2422" s="1">
        <f>IFERROR(__xludf.DUMMYFUNCTION("""COMPUTED_VALUE"""),70800.0)</f>
        <v>70800</v>
      </c>
      <c r="E2422" s="1">
        <f>IFERROR(__xludf.DUMMYFUNCTION("""COMPUTED_VALUE"""),71200.0)</f>
        <v>71200</v>
      </c>
      <c r="F2422" s="1">
        <f>IFERROR(__xludf.DUMMYFUNCTION("""COMPUTED_VALUE"""),1105100.0)</f>
        <v>1105100</v>
      </c>
    </row>
    <row r="2423">
      <c r="A2423" s="2">
        <f>IFERROR(__xludf.DUMMYFUNCTION("""COMPUTED_VALUE"""),44146.64583333333)</f>
        <v>44146.64583</v>
      </c>
      <c r="B2423" s="1">
        <f>IFERROR(__xludf.DUMMYFUNCTION("""COMPUTED_VALUE"""),70300.0)</f>
        <v>70300</v>
      </c>
      <c r="C2423" s="1">
        <f>IFERROR(__xludf.DUMMYFUNCTION("""COMPUTED_VALUE"""),71700.0)</f>
        <v>71700</v>
      </c>
      <c r="D2423" s="1">
        <f>IFERROR(__xludf.DUMMYFUNCTION("""COMPUTED_VALUE"""),69500.0)</f>
        <v>69500</v>
      </c>
      <c r="E2423" s="1">
        <f>IFERROR(__xludf.DUMMYFUNCTION("""COMPUTED_VALUE"""),71100.0)</f>
        <v>71100</v>
      </c>
      <c r="F2423" s="1">
        <f>IFERROR(__xludf.DUMMYFUNCTION("""COMPUTED_VALUE"""),713843.0)</f>
        <v>713843</v>
      </c>
    </row>
    <row r="2424">
      <c r="A2424" s="2">
        <f>IFERROR(__xludf.DUMMYFUNCTION("""COMPUTED_VALUE"""),44147.64583333333)</f>
        <v>44147.64583</v>
      </c>
      <c r="B2424" s="1">
        <f>IFERROR(__xludf.DUMMYFUNCTION("""COMPUTED_VALUE"""),72000.0)</f>
        <v>72000</v>
      </c>
      <c r="C2424" s="1">
        <f>IFERROR(__xludf.DUMMYFUNCTION("""COMPUTED_VALUE"""),72900.0)</f>
        <v>72900</v>
      </c>
      <c r="D2424" s="1">
        <f>IFERROR(__xludf.DUMMYFUNCTION("""COMPUTED_VALUE"""),71000.0)</f>
        <v>71000</v>
      </c>
      <c r="E2424" s="1">
        <f>IFERROR(__xludf.DUMMYFUNCTION("""COMPUTED_VALUE"""),71500.0)</f>
        <v>71500</v>
      </c>
      <c r="F2424" s="1">
        <f>IFERROR(__xludf.DUMMYFUNCTION("""COMPUTED_VALUE"""),555279.0)</f>
        <v>555279</v>
      </c>
    </row>
    <row r="2425">
      <c r="A2425" s="2">
        <f>IFERROR(__xludf.DUMMYFUNCTION("""COMPUTED_VALUE"""),44148.64583333333)</f>
        <v>44148.64583</v>
      </c>
      <c r="B2425" s="1">
        <f>IFERROR(__xludf.DUMMYFUNCTION("""COMPUTED_VALUE"""),71000.0)</f>
        <v>71000</v>
      </c>
      <c r="C2425" s="1">
        <f>IFERROR(__xludf.DUMMYFUNCTION("""COMPUTED_VALUE"""),73200.0)</f>
        <v>73200</v>
      </c>
      <c r="D2425" s="1">
        <f>IFERROR(__xludf.DUMMYFUNCTION("""COMPUTED_VALUE"""),71000.0)</f>
        <v>71000</v>
      </c>
      <c r="E2425" s="1">
        <f>IFERROR(__xludf.DUMMYFUNCTION("""COMPUTED_VALUE"""),73100.0)</f>
        <v>73100</v>
      </c>
      <c r="F2425" s="1">
        <f>IFERROR(__xludf.DUMMYFUNCTION("""COMPUTED_VALUE"""),538206.0)</f>
        <v>538206</v>
      </c>
    </row>
    <row r="2426">
      <c r="A2426" s="2">
        <f>IFERROR(__xludf.DUMMYFUNCTION("""COMPUTED_VALUE"""),44151.64583333333)</f>
        <v>44151.64583</v>
      </c>
      <c r="B2426" s="1">
        <f>IFERROR(__xludf.DUMMYFUNCTION("""COMPUTED_VALUE"""),74200.0)</f>
        <v>74200</v>
      </c>
      <c r="C2426" s="1">
        <f>IFERROR(__xludf.DUMMYFUNCTION("""COMPUTED_VALUE"""),74300.0)</f>
        <v>74300</v>
      </c>
      <c r="D2426" s="1">
        <f>IFERROR(__xludf.DUMMYFUNCTION("""COMPUTED_VALUE"""),71900.0)</f>
        <v>71900</v>
      </c>
      <c r="E2426" s="1">
        <f>IFERROR(__xludf.DUMMYFUNCTION("""COMPUTED_VALUE"""),72400.0)</f>
        <v>72400</v>
      </c>
      <c r="F2426" s="1">
        <f>IFERROR(__xludf.DUMMYFUNCTION("""COMPUTED_VALUE"""),557987.0)</f>
        <v>557987</v>
      </c>
    </row>
    <row r="2427">
      <c r="A2427" s="2">
        <f>IFERROR(__xludf.DUMMYFUNCTION("""COMPUTED_VALUE"""),44152.64583333333)</f>
        <v>44152.64583</v>
      </c>
      <c r="B2427" s="1">
        <f>IFERROR(__xludf.DUMMYFUNCTION("""COMPUTED_VALUE"""),71600.0)</f>
        <v>71600</v>
      </c>
      <c r="C2427" s="1">
        <f>IFERROR(__xludf.DUMMYFUNCTION("""COMPUTED_VALUE"""),73000.0)</f>
        <v>73000</v>
      </c>
      <c r="D2427" s="1">
        <f>IFERROR(__xludf.DUMMYFUNCTION("""COMPUTED_VALUE"""),71200.0)</f>
        <v>71200</v>
      </c>
      <c r="E2427" s="1">
        <f>IFERROR(__xludf.DUMMYFUNCTION("""COMPUTED_VALUE"""),72400.0)</f>
        <v>72400</v>
      </c>
      <c r="F2427" s="1">
        <f>IFERROR(__xludf.DUMMYFUNCTION("""COMPUTED_VALUE"""),452275.0)</f>
        <v>452275</v>
      </c>
    </row>
    <row r="2428">
      <c r="A2428" s="2">
        <f>IFERROR(__xludf.DUMMYFUNCTION("""COMPUTED_VALUE"""),44153.64583333333)</f>
        <v>44153.64583</v>
      </c>
      <c r="B2428" s="1">
        <f>IFERROR(__xludf.DUMMYFUNCTION("""COMPUTED_VALUE"""),72000.0)</f>
        <v>72000</v>
      </c>
      <c r="C2428" s="1">
        <f>IFERROR(__xludf.DUMMYFUNCTION("""COMPUTED_VALUE"""),73700.0)</f>
        <v>73700</v>
      </c>
      <c r="D2428" s="1">
        <f>IFERROR(__xludf.DUMMYFUNCTION("""COMPUTED_VALUE"""),71900.0)</f>
        <v>71900</v>
      </c>
      <c r="E2428" s="1">
        <f>IFERROR(__xludf.DUMMYFUNCTION("""COMPUTED_VALUE"""),73100.0)</f>
        <v>73100</v>
      </c>
      <c r="F2428" s="1">
        <f>IFERROR(__xludf.DUMMYFUNCTION("""COMPUTED_VALUE"""),484493.0)</f>
        <v>484493</v>
      </c>
    </row>
    <row r="2429">
      <c r="A2429" s="2">
        <f>IFERROR(__xludf.DUMMYFUNCTION("""COMPUTED_VALUE"""),44154.64583333333)</f>
        <v>44154.64583</v>
      </c>
      <c r="B2429" s="1">
        <f>IFERROR(__xludf.DUMMYFUNCTION("""COMPUTED_VALUE"""),73500.0)</f>
        <v>73500</v>
      </c>
      <c r="C2429" s="1">
        <f>IFERROR(__xludf.DUMMYFUNCTION("""COMPUTED_VALUE"""),74300.0)</f>
        <v>74300</v>
      </c>
      <c r="D2429" s="1">
        <f>IFERROR(__xludf.DUMMYFUNCTION("""COMPUTED_VALUE"""),73100.0)</f>
        <v>73100</v>
      </c>
      <c r="E2429" s="1">
        <f>IFERROR(__xludf.DUMMYFUNCTION("""COMPUTED_VALUE"""),73100.0)</f>
        <v>73100</v>
      </c>
      <c r="F2429" s="1">
        <f>IFERROR(__xludf.DUMMYFUNCTION("""COMPUTED_VALUE"""),430120.0)</f>
        <v>430120</v>
      </c>
    </row>
    <row r="2430">
      <c r="A2430" s="2">
        <f>IFERROR(__xludf.DUMMYFUNCTION("""COMPUTED_VALUE"""),44155.64583333333)</f>
        <v>44155.64583</v>
      </c>
      <c r="B2430" s="1">
        <f>IFERROR(__xludf.DUMMYFUNCTION("""COMPUTED_VALUE"""),73300.0)</f>
        <v>73300</v>
      </c>
      <c r="C2430" s="1">
        <f>IFERROR(__xludf.DUMMYFUNCTION("""COMPUTED_VALUE"""),73600.0)</f>
        <v>73600</v>
      </c>
      <c r="D2430" s="1">
        <f>IFERROR(__xludf.DUMMYFUNCTION("""COMPUTED_VALUE"""),72400.0)</f>
        <v>72400</v>
      </c>
      <c r="E2430" s="1">
        <f>IFERROR(__xludf.DUMMYFUNCTION("""COMPUTED_VALUE"""),73100.0)</f>
        <v>73100</v>
      </c>
      <c r="F2430" s="1">
        <f>IFERROR(__xludf.DUMMYFUNCTION("""COMPUTED_VALUE"""),267266.0)</f>
        <v>267266</v>
      </c>
    </row>
    <row r="2431">
      <c r="A2431" s="2">
        <f>IFERROR(__xludf.DUMMYFUNCTION("""COMPUTED_VALUE"""),44158.64583333333)</f>
        <v>44158.64583</v>
      </c>
      <c r="B2431" s="1">
        <f>IFERROR(__xludf.DUMMYFUNCTION("""COMPUTED_VALUE"""),73700.0)</f>
        <v>73700</v>
      </c>
      <c r="C2431" s="1">
        <f>IFERROR(__xludf.DUMMYFUNCTION("""COMPUTED_VALUE"""),73800.0)</f>
        <v>73800</v>
      </c>
      <c r="D2431" s="1">
        <f>IFERROR(__xludf.DUMMYFUNCTION("""COMPUTED_VALUE"""),73000.0)</f>
        <v>73000</v>
      </c>
      <c r="E2431" s="1">
        <f>IFERROR(__xludf.DUMMYFUNCTION("""COMPUTED_VALUE"""),73400.0)</f>
        <v>73400</v>
      </c>
      <c r="F2431" s="1">
        <f>IFERROR(__xludf.DUMMYFUNCTION("""COMPUTED_VALUE"""),363196.0)</f>
        <v>363196</v>
      </c>
    </row>
    <row r="2432">
      <c r="A2432" s="2">
        <f>IFERROR(__xludf.DUMMYFUNCTION("""COMPUTED_VALUE"""),44159.64583333333)</f>
        <v>44159.64583</v>
      </c>
      <c r="B2432" s="1">
        <f>IFERROR(__xludf.DUMMYFUNCTION("""COMPUTED_VALUE"""),73300.0)</f>
        <v>73300</v>
      </c>
      <c r="C2432" s="1">
        <f>IFERROR(__xludf.DUMMYFUNCTION("""COMPUTED_VALUE"""),75400.0)</f>
        <v>75400</v>
      </c>
      <c r="D2432" s="1">
        <f>IFERROR(__xludf.DUMMYFUNCTION("""COMPUTED_VALUE"""),73300.0)</f>
        <v>73300</v>
      </c>
      <c r="E2432" s="1">
        <f>IFERROR(__xludf.DUMMYFUNCTION("""COMPUTED_VALUE"""),74600.0)</f>
        <v>74600</v>
      </c>
      <c r="F2432" s="1">
        <f>IFERROR(__xludf.DUMMYFUNCTION("""COMPUTED_VALUE"""),649755.0)</f>
        <v>649755</v>
      </c>
    </row>
    <row r="2433">
      <c r="A2433" s="2">
        <f>IFERROR(__xludf.DUMMYFUNCTION("""COMPUTED_VALUE"""),44160.64583333333)</f>
        <v>44160.64583</v>
      </c>
      <c r="B2433" s="1">
        <f>IFERROR(__xludf.DUMMYFUNCTION("""COMPUTED_VALUE"""),75500.0)</f>
        <v>75500</v>
      </c>
      <c r="C2433" s="1">
        <f>IFERROR(__xludf.DUMMYFUNCTION("""COMPUTED_VALUE"""),75500.0)</f>
        <v>75500</v>
      </c>
      <c r="D2433" s="1">
        <f>IFERROR(__xludf.DUMMYFUNCTION("""COMPUTED_VALUE"""),73200.0)</f>
        <v>73200</v>
      </c>
      <c r="E2433" s="1">
        <f>IFERROR(__xludf.DUMMYFUNCTION("""COMPUTED_VALUE"""),73400.0)</f>
        <v>73400</v>
      </c>
      <c r="F2433" s="1">
        <f>IFERROR(__xludf.DUMMYFUNCTION("""COMPUTED_VALUE"""),703279.0)</f>
        <v>703279</v>
      </c>
    </row>
    <row r="2434">
      <c r="A2434" s="2">
        <f>IFERROR(__xludf.DUMMYFUNCTION("""COMPUTED_VALUE"""),44161.64583333333)</f>
        <v>44161.64583</v>
      </c>
      <c r="B2434" s="1">
        <f>IFERROR(__xludf.DUMMYFUNCTION("""COMPUTED_VALUE"""),73500.0)</f>
        <v>73500</v>
      </c>
      <c r="C2434" s="1">
        <f>IFERROR(__xludf.DUMMYFUNCTION("""COMPUTED_VALUE"""),74900.0)</f>
        <v>74900</v>
      </c>
      <c r="D2434" s="1">
        <f>IFERROR(__xludf.DUMMYFUNCTION("""COMPUTED_VALUE"""),73300.0)</f>
        <v>73300</v>
      </c>
      <c r="E2434" s="1">
        <f>IFERROR(__xludf.DUMMYFUNCTION("""COMPUTED_VALUE"""),74800.0)</f>
        <v>74800</v>
      </c>
      <c r="F2434" s="1">
        <f>IFERROR(__xludf.DUMMYFUNCTION("""COMPUTED_VALUE"""),539570.0)</f>
        <v>539570</v>
      </c>
    </row>
    <row r="2435">
      <c r="A2435" s="2">
        <f>IFERROR(__xludf.DUMMYFUNCTION("""COMPUTED_VALUE"""),44162.64583333333)</f>
        <v>44162.64583</v>
      </c>
      <c r="B2435" s="1">
        <f>IFERROR(__xludf.DUMMYFUNCTION("""COMPUTED_VALUE"""),75100.0)</f>
        <v>75100</v>
      </c>
      <c r="C2435" s="1">
        <f>IFERROR(__xludf.DUMMYFUNCTION("""COMPUTED_VALUE"""),75500.0)</f>
        <v>75500</v>
      </c>
      <c r="D2435" s="1">
        <f>IFERROR(__xludf.DUMMYFUNCTION("""COMPUTED_VALUE"""),74200.0)</f>
        <v>74200</v>
      </c>
      <c r="E2435" s="1">
        <f>IFERROR(__xludf.DUMMYFUNCTION("""COMPUTED_VALUE"""),74600.0)</f>
        <v>74600</v>
      </c>
      <c r="F2435" s="1">
        <f>IFERROR(__xludf.DUMMYFUNCTION("""COMPUTED_VALUE"""),335836.0)</f>
        <v>335836</v>
      </c>
    </row>
    <row r="2436">
      <c r="A2436" s="2">
        <f>IFERROR(__xludf.DUMMYFUNCTION("""COMPUTED_VALUE"""),44165.64583333333)</f>
        <v>44165.64583</v>
      </c>
      <c r="B2436" s="1">
        <f>IFERROR(__xludf.DUMMYFUNCTION("""COMPUTED_VALUE"""),74600.0)</f>
        <v>74600</v>
      </c>
      <c r="C2436" s="1">
        <f>IFERROR(__xludf.DUMMYFUNCTION("""COMPUTED_VALUE"""),74800.0)</f>
        <v>74800</v>
      </c>
      <c r="D2436" s="1">
        <f>IFERROR(__xludf.DUMMYFUNCTION("""COMPUTED_VALUE"""),73600.0)</f>
        <v>73600</v>
      </c>
      <c r="E2436" s="1">
        <f>IFERROR(__xludf.DUMMYFUNCTION("""COMPUTED_VALUE"""),73600.0)</f>
        <v>73600</v>
      </c>
      <c r="F2436" s="1">
        <f>IFERROR(__xludf.DUMMYFUNCTION("""COMPUTED_VALUE"""),544990.0)</f>
        <v>544990</v>
      </c>
    </row>
    <row r="2437">
      <c r="A2437" s="2">
        <f>IFERROR(__xludf.DUMMYFUNCTION("""COMPUTED_VALUE"""),44166.64583333333)</f>
        <v>44166.64583</v>
      </c>
      <c r="B2437" s="1">
        <f>IFERROR(__xludf.DUMMYFUNCTION("""COMPUTED_VALUE"""),73900.0)</f>
        <v>73900</v>
      </c>
      <c r="C2437" s="1">
        <f>IFERROR(__xludf.DUMMYFUNCTION("""COMPUTED_VALUE"""),75000.0)</f>
        <v>75000</v>
      </c>
      <c r="D2437" s="1">
        <f>IFERROR(__xludf.DUMMYFUNCTION("""COMPUTED_VALUE"""),73800.0)</f>
        <v>73800</v>
      </c>
      <c r="E2437" s="1">
        <f>IFERROR(__xludf.DUMMYFUNCTION("""COMPUTED_VALUE"""),74900.0)</f>
        <v>74900</v>
      </c>
      <c r="F2437" s="1">
        <f>IFERROR(__xludf.DUMMYFUNCTION("""COMPUTED_VALUE"""),452723.0)</f>
        <v>452723</v>
      </c>
    </row>
    <row r="2438">
      <c r="A2438" s="2">
        <f>IFERROR(__xludf.DUMMYFUNCTION("""COMPUTED_VALUE"""),44167.64583333333)</f>
        <v>44167.64583</v>
      </c>
      <c r="B2438" s="1">
        <f>IFERROR(__xludf.DUMMYFUNCTION("""COMPUTED_VALUE"""),75100.0)</f>
        <v>75100</v>
      </c>
      <c r="C2438" s="1">
        <f>IFERROR(__xludf.DUMMYFUNCTION("""COMPUTED_VALUE"""),75100.0)</f>
        <v>75100</v>
      </c>
      <c r="D2438" s="1">
        <f>IFERROR(__xludf.DUMMYFUNCTION("""COMPUTED_VALUE"""),74200.0)</f>
        <v>74200</v>
      </c>
      <c r="E2438" s="1">
        <f>IFERROR(__xludf.DUMMYFUNCTION("""COMPUTED_VALUE"""),74600.0)</f>
        <v>74600</v>
      </c>
      <c r="F2438" s="1">
        <f>IFERROR(__xludf.DUMMYFUNCTION("""COMPUTED_VALUE"""),440500.0)</f>
        <v>440500</v>
      </c>
    </row>
    <row r="2439">
      <c r="A2439" s="2">
        <f>IFERROR(__xludf.DUMMYFUNCTION("""COMPUTED_VALUE"""),44168.64583333333)</f>
        <v>44168.64583</v>
      </c>
      <c r="B2439" s="1">
        <f>IFERROR(__xludf.DUMMYFUNCTION("""COMPUTED_VALUE"""),74600.0)</f>
        <v>74600</v>
      </c>
      <c r="C2439" s="1">
        <f>IFERROR(__xludf.DUMMYFUNCTION("""COMPUTED_VALUE"""),74800.0)</f>
        <v>74800</v>
      </c>
      <c r="D2439" s="1">
        <f>IFERROR(__xludf.DUMMYFUNCTION("""COMPUTED_VALUE"""),73800.0)</f>
        <v>73800</v>
      </c>
      <c r="E2439" s="1">
        <f>IFERROR(__xludf.DUMMYFUNCTION("""COMPUTED_VALUE"""),74800.0)</f>
        <v>74800</v>
      </c>
      <c r="F2439" s="1">
        <f>IFERROR(__xludf.DUMMYFUNCTION("""COMPUTED_VALUE"""),464371.0)</f>
        <v>464371</v>
      </c>
    </row>
    <row r="2440">
      <c r="A2440" s="2">
        <f>IFERROR(__xludf.DUMMYFUNCTION("""COMPUTED_VALUE"""),44169.64583333333)</f>
        <v>44169.64583</v>
      </c>
      <c r="B2440" s="1">
        <f>IFERROR(__xludf.DUMMYFUNCTION("""COMPUTED_VALUE"""),74800.0)</f>
        <v>74800</v>
      </c>
      <c r="C2440" s="1">
        <f>IFERROR(__xludf.DUMMYFUNCTION("""COMPUTED_VALUE"""),78500.0)</f>
        <v>78500</v>
      </c>
      <c r="D2440" s="1">
        <f>IFERROR(__xludf.DUMMYFUNCTION("""COMPUTED_VALUE"""),74200.0)</f>
        <v>74200</v>
      </c>
      <c r="E2440" s="1">
        <f>IFERROR(__xludf.DUMMYFUNCTION("""COMPUTED_VALUE"""),77900.0)</f>
        <v>77900</v>
      </c>
      <c r="F2440" s="1">
        <f>IFERROR(__xludf.DUMMYFUNCTION("""COMPUTED_VALUE"""),1561745.0)</f>
        <v>1561745</v>
      </c>
    </row>
    <row r="2441">
      <c r="A2441" s="2">
        <f>IFERROR(__xludf.DUMMYFUNCTION("""COMPUTED_VALUE"""),44172.64583333333)</f>
        <v>44172.64583</v>
      </c>
      <c r="B2441" s="1">
        <f>IFERROR(__xludf.DUMMYFUNCTION("""COMPUTED_VALUE"""),79000.0)</f>
        <v>79000</v>
      </c>
      <c r="C2441" s="1">
        <f>IFERROR(__xludf.DUMMYFUNCTION("""COMPUTED_VALUE"""),79000.0)</f>
        <v>79000</v>
      </c>
      <c r="D2441" s="1">
        <f>IFERROR(__xludf.DUMMYFUNCTION("""COMPUTED_VALUE"""),76100.0)</f>
        <v>76100</v>
      </c>
      <c r="E2441" s="1">
        <f>IFERROR(__xludf.DUMMYFUNCTION("""COMPUTED_VALUE"""),77000.0)</f>
        <v>77000</v>
      </c>
      <c r="F2441" s="1">
        <f>IFERROR(__xludf.DUMMYFUNCTION("""COMPUTED_VALUE"""),894743.0)</f>
        <v>894743</v>
      </c>
    </row>
    <row r="2442">
      <c r="A2442" s="2">
        <f>IFERROR(__xludf.DUMMYFUNCTION("""COMPUTED_VALUE"""),44173.64583333333)</f>
        <v>44173.64583</v>
      </c>
      <c r="B2442" s="1">
        <f>IFERROR(__xludf.DUMMYFUNCTION("""COMPUTED_VALUE"""),77500.0)</f>
        <v>77500</v>
      </c>
      <c r="C2442" s="1">
        <f>IFERROR(__xludf.DUMMYFUNCTION("""COMPUTED_VALUE"""),77600.0)</f>
        <v>77600</v>
      </c>
      <c r="D2442" s="1">
        <f>IFERROR(__xludf.DUMMYFUNCTION("""COMPUTED_VALUE"""),74800.0)</f>
        <v>74800</v>
      </c>
      <c r="E2442" s="1">
        <f>IFERROR(__xludf.DUMMYFUNCTION("""COMPUTED_VALUE"""),74900.0)</f>
        <v>74900</v>
      </c>
      <c r="F2442" s="1">
        <f>IFERROR(__xludf.DUMMYFUNCTION("""COMPUTED_VALUE"""),768600.0)</f>
        <v>768600</v>
      </c>
    </row>
    <row r="2443">
      <c r="A2443" s="2">
        <f>IFERROR(__xludf.DUMMYFUNCTION("""COMPUTED_VALUE"""),44174.64583333333)</f>
        <v>44174.64583</v>
      </c>
      <c r="B2443" s="1">
        <f>IFERROR(__xludf.DUMMYFUNCTION("""COMPUTED_VALUE"""),75000.0)</f>
        <v>75000</v>
      </c>
      <c r="C2443" s="1">
        <f>IFERROR(__xludf.DUMMYFUNCTION("""COMPUTED_VALUE"""),75600.0)</f>
        <v>75600</v>
      </c>
      <c r="D2443" s="1">
        <f>IFERROR(__xludf.DUMMYFUNCTION("""COMPUTED_VALUE"""),74600.0)</f>
        <v>74600</v>
      </c>
      <c r="E2443" s="1">
        <f>IFERROR(__xludf.DUMMYFUNCTION("""COMPUTED_VALUE"""),75000.0)</f>
        <v>75000</v>
      </c>
      <c r="F2443" s="1">
        <f>IFERROR(__xludf.DUMMYFUNCTION("""COMPUTED_VALUE"""),579905.0)</f>
        <v>579905</v>
      </c>
    </row>
    <row r="2444">
      <c r="A2444" s="2">
        <f>IFERROR(__xludf.DUMMYFUNCTION("""COMPUTED_VALUE"""),44175.64583333333)</f>
        <v>44175.64583</v>
      </c>
      <c r="B2444" s="1">
        <f>IFERROR(__xludf.DUMMYFUNCTION("""COMPUTED_VALUE"""),74200.0)</f>
        <v>74200</v>
      </c>
      <c r="C2444" s="1">
        <f>IFERROR(__xludf.DUMMYFUNCTION("""COMPUTED_VALUE"""),75600.0)</f>
        <v>75600</v>
      </c>
      <c r="D2444" s="1">
        <f>IFERROR(__xludf.DUMMYFUNCTION("""COMPUTED_VALUE"""),73500.0)</f>
        <v>73500</v>
      </c>
      <c r="E2444" s="1">
        <f>IFERROR(__xludf.DUMMYFUNCTION("""COMPUTED_VALUE"""),74100.0)</f>
        <v>74100</v>
      </c>
      <c r="F2444" s="1">
        <f>IFERROR(__xludf.DUMMYFUNCTION("""COMPUTED_VALUE"""),818557.0)</f>
        <v>818557</v>
      </c>
    </row>
    <row r="2445">
      <c r="A2445" s="2">
        <f>IFERROR(__xludf.DUMMYFUNCTION("""COMPUTED_VALUE"""),44176.64583333333)</f>
        <v>44176.64583</v>
      </c>
      <c r="B2445" s="1">
        <f>IFERROR(__xludf.DUMMYFUNCTION("""COMPUTED_VALUE"""),74800.0)</f>
        <v>74800</v>
      </c>
      <c r="C2445" s="1">
        <f>IFERROR(__xludf.DUMMYFUNCTION("""COMPUTED_VALUE"""),76000.0)</f>
        <v>76000</v>
      </c>
      <c r="D2445" s="1">
        <f>IFERROR(__xludf.DUMMYFUNCTION("""COMPUTED_VALUE"""),74600.0)</f>
        <v>74600</v>
      </c>
      <c r="E2445" s="1">
        <f>IFERROR(__xludf.DUMMYFUNCTION("""COMPUTED_VALUE"""),74900.0)</f>
        <v>74900</v>
      </c>
      <c r="F2445" s="1">
        <f>IFERROR(__xludf.DUMMYFUNCTION("""COMPUTED_VALUE"""),438405.0)</f>
        <v>438405</v>
      </c>
    </row>
    <row r="2446">
      <c r="A2446" s="2">
        <f>IFERROR(__xludf.DUMMYFUNCTION("""COMPUTED_VALUE"""),44179.64583333333)</f>
        <v>44179.64583</v>
      </c>
      <c r="B2446" s="1">
        <f>IFERROR(__xludf.DUMMYFUNCTION("""COMPUTED_VALUE"""),75300.0)</f>
        <v>75300</v>
      </c>
      <c r="C2446" s="1">
        <f>IFERROR(__xludf.DUMMYFUNCTION("""COMPUTED_VALUE"""),76200.0)</f>
        <v>76200</v>
      </c>
      <c r="D2446" s="1">
        <f>IFERROR(__xludf.DUMMYFUNCTION("""COMPUTED_VALUE"""),74500.0)</f>
        <v>74500</v>
      </c>
      <c r="E2446" s="1">
        <f>IFERROR(__xludf.DUMMYFUNCTION("""COMPUTED_VALUE"""),74700.0)</f>
        <v>74700</v>
      </c>
      <c r="F2446" s="1">
        <f>IFERROR(__xludf.DUMMYFUNCTION("""COMPUTED_VALUE"""),480288.0)</f>
        <v>480288</v>
      </c>
    </row>
    <row r="2447">
      <c r="A2447" s="2">
        <f>IFERROR(__xludf.DUMMYFUNCTION("""COMPUTED_VALUE"""),44180.64583333333)</f>
        <v>44180.64583</v>
      </c>
      <c r="B2447" s="1">
        <f>IFERROR(__xludf.DUMMYFUNCTION("""COMPUTED_VALUE"""),74700.0)</f>
        <v>74700</v>
      </c>
      <c r="C2447" s="1">
        <f>IFERROR(__xludf.DUMMYFUNCTION("""COMPUTED_VALUE"""),75100.0)</f>
        <v>75100</v>
      </c>
      <c r="D2447" s="1">
        <f>IFERROR(__xludf.DUMMYFUNCTION("""COMPUTED_VALUE"""),73800.0)</f>
        <v>73800</v>
      </c>
      <c r="E2447" s="1">
        <f>IFERROR(__xludf.DUMMYFUNCTION("""COMPUTED_VALUE"""),74200.0)</f>
        <v>74200</v>
      </c>
      <c r="F2447" s="1">
        <f>IFERROR(__xludf.DUMMYFUNCTION("""COMPUTED_VALUE"""),393157.0)</f>
        <v>393157</v>
      </c>
    </row>
    <row r="2448">
      <c r="A2448" s="2">
        <f>IFERROR(__xludf.DUMMYFUNCTION("""COMPUTED_VALUE"""),44181.64583333333)</f>
        <v>44181.64583</v>
      </c>
      <c r="B2448" s="1">
        <f>IFERROR(__xludf.DUMMYFUNCTION("""COMPUTED_VALUE"""),74700.0)</f>
        <v>74700</v>
      </c>
      <c r="C2448" s="1">
        <f>IFERROR(__xludf.DUMMYFUNCTION("""COMPUTED_VALUE"""),75000.0)</f>
        <v>75000</v>
      </c>
      <c r="D2448" s="1">
        <f>IFERROR(__xludf.DUMMYFUNCTION("""COMPUTED_VALUE"""),74200.0)</f>
        <v>74200</v>
      </c>
      <c r="E2448" s="1">
        <f>IFERROR(__xludf.DUMMYFUNCTION("""COMPUTED_VALUE"""),74400.0)</f>
        <v>74400</v>
      </c>
      <c r="F2448" s="1">
        <f>IFERROR(__xludf.DUMMYFUNCTION("""COMPUTED_VALUE"""),269253.0)</f>
        <v>269253</v>
      </c>
    </row>
    <row r="2449">
      <c r="A2449" s="2">
        <f>IFERROR(__xludf.DUMMYFUNCTION("""COMPUTED_VALUE"""),44182.64583333333)</f>
        <v>44182.64583</v>
      </c>
      <c r="B2449" s="1">
        <f>IFERROR(__xludf.DUMMYFUNCTION("""COMPUTED_VALUE"""),74800.0)</f>
        <v>74800</v>
      </c>
      <c r="C2449" s="1">
        <f>IFERROR(__xludf.DUMMYFUNCTION("""COMPUTED_VALUE"""),74800.0)</f>
        <v>74800</v>
      </c>
      <c r="D2449" s="1">
        <f>IFERROR(__xludf.DUMMYFUNCTION("""COMPUTED_VALUE"""),73700.0)</f>
        <v>73700</v>
      </c>
      <c r="E2449" s="1">
        <f>IFERROR(__xludf.DUMMYFUNCTION("""COMPUTED_VALUE"""),73800.0)</f>
        <v>73800</v>
      </c>
      <c r="F2449" s="1">
        <f>IFERROR(__xludf.DUMMYFUNCTION("""COMPUTED_VALUE"""),455131.0)</f>
        <v>455131</v>
      </c>
    </row>
    <row r="2450">
      <c r="A2450" s="2">
        <f>IFERROR(__xludf.DUMMYFUNCTION("""COMPUTED_VALUE"""),44183.64583333333)</f>
        <v>44183.64583</v>
      </c>
      <c r="B2450" s="1">
        <f>IFERROR(__xludf.DUMMYFUNCTION("""COMPUTED_VALUE"""),73800.0)</f>
        <v>73800</v>
      </c>
      <c r="C2450" s="1">
        <f>IFERROR(__xludf.DUMMYFUNCTION("""COMPUTED_VALUE"""),73900.0)</f>
        <v>73900</v>
      </c>
      <c r="D2450" s="1">
        <f>IFERROR(__xludf.DUMMYFUNCTION("""COMPUTED_VALUE"""),73100.0)</f>
        <v>73100</v>
      </c>
      <c r="E2450" s="1">
        <f>IFERROR(__xludf.DUMMYFUNCTION("""COMPUTED_VALUE"""),73400.0)</f>
        <v>73400</v>
      </c>
      <c r="F2450" s="1">
        <f>IFERROR(__xludf.DUMMYFUNCTION("""COMPUTED_VALUE"""),427433.0)</f>
        <v>427433</v>
      </c>
    </row>
    <row r="2451">
      <c r="A2451" s="2">
        <f>IFERROR(__xludf.DUMMYFUNCTION("""COMPUTED_VALUE"""),44186.64583333333)</f>
        <v>44186.64583</v>
      </c>
      <c r="B2451" s="1">
        <f>IFERROR(__xludf.DUMMYFUNCTION("""COMPUTED_VALUE"""),73400.0)</f>
        <v>73400</v>
      </c>
      <c r="C2451" s="1">
        <f>IFERROR(__xludf.DUMMYFUNCTION("""COMPUTED_VALUE"""),76000.0)</f>
        <v>76000</v>
      </c>
      <c r="D2451" s="1">
        <f>IFERROR(__xludf.DUMMYFUNCTION("""COMPUTED_VALUE"""),73400.0)</f>
        <v>73400</v>
      </c>
      <c r="E2451" s="1">
        <f>IFERROR(__xludf.DUMMYFUNCTION("""COMPUTED_VALUE"""),75900.0)</f>
        <v>75900</v>
      </c>
      <c r="F2451" s="1">
        <f>IFERROR(__xludf.DUMMYFUNCTION("""COMPUTED_VALUE"""),819879.0)</f>
        <v>819879</v>
      </c>
    </row>
    <row r="2452">
      <c r="A2452" s="2">
        <f>IFERROR(__xludf.DUMMYFUNCTION("""COMPUTED_VALUE"""),44187.64583333333)</f>
        <v>44187.64583</v>
      </c>
      <c r="B2452" s="1">
        <f>IFERROR(__xludf.DUMMYFUNCTION("""COMPUTED_VALUE"""),76000.0)</f>
        <v>76000</v>
      </c>
      <c r="C2452" s="1">
        <f>IFERROR(__xludf.DUMMYFUNCTION("""COMPUTED_VALUE"""),77900.0)</f>
        <v>77900</v>
      </c>
      <c r="D2452" s="1">
        <f>IFERROR(__xludf.DUMMYFUNCTION("""COMPUTED_VALUE"""),75100.0)</f>
        <v>75100</v>
      </c>
      <c r="E2452" s="1">
        <f>IFERROR(__xludf.DUMMYFUNCTION("""COMPUTED_VALUE"""),75200.0)</f>
        <v>75200</v>
      </c>
      <c r="F2452" s="1">
        <f>IFERROR(__xludf.DUMMYFUNCTION("""COMPUTED_VALUE"""),876516.0)</f>
        <v>876516</v>
      </c>
    </row>
    <row r="2453">
      <c r="A2453" s="2">
        <f>IFERROR(__xludf.DUMMYFUNCTION("""COMPUTED_VALUE"""),44188.64583333333)</f>
        <v>44188.64583</v>
      </c>
      <c r="B2453" s="1">
        <f>IFERROR(__xludf.DUMMYFUNCTION("""COMPUTED_VALUE"""),76200.0)</f>
        <v>76200</v>
      </c>
      <c r="C2453" s="1">
        <f>IFERROR(__xludf.DUMMYFUNCTION("""COMPUTED_VALUE"""),77100.0)</f>
        <v>77100</v>
      </c>
      <c r="D2453" s="1">
        <f>IFERROR(__xludf.DUMMYFUNCTION("""COMPUTED_VALUE"""),75400.0)</f>
        <v>75400</v>
      </c>
      <c r="E2453" s="1">
        <f>IFERROR(__xludf.DUMMYFUNCTION("""COMPUTED_VALUE"""),75500.0)</f>
        <v>75500</v>
      </c>
      <c r="F2453" s="1">
        <f>IFERROR(__xludf.DUMMYFUNCTION("""COMPUTED_VALUE"""),629952.0)</f>
        <v>629952</v>
      </c>
    </row>
    <row r="2454">
      <c r="A2454" s="2">
        <f>IFERROR(__xludf.DUMMYFUNCTION("""COMPUTED_VALUE"""),44189.64583333333)</f>
        <v>44189.64583</v>
      </c>
      <c r="B2454" s="1">
        <f>IFERROR(__xludf.DUMMYFUNCTION("""COMPUTED_VALUE"""),75700.0)</f>
        <v>75700</v>
      </c>
      <c r="C2454" s="1">
        <f>IFERROR(__xludf.DUMMYFUNCTION("""COMPUTED_VALUE"""),76000.0)</f>
        <v>76000</v>
      </c>
      <c r="D2454" s="1">
        <f>IFERROR(__xludf.DUMMYFUNCTION("""COMPUTED_VALUE"""),74400.0)</f>
        <v>74400</v>
      </c>
      <c r="E2454" s="1">
        <f>IFERROR(__xludf.DUMMYFUNCTION("""COMPUTED_VALUE"""),74800.0)</f>
        <v>74800</v>
      </c>
      <c r="F2454" s="1">
        <f>IFERROR(__xludf.DUMMYFUNCTION("""COMPUTED_VALUE"""),465132.0)</f>
        <v>465132</v>
      </c>
    </row>
    <row r="2455">
      <c r="A2455" s="2">
        <f>IFERROR(__xludf.DUMMYFUNCTION("""COMPUTED_VALUE"""),44193.64583333333)</f>
        <v>44193.64583</v>
      </c>
      <c r="B2455" s="1">
        <f>IFERROR(__xludf.DUMMYFUNCTION("""COMPUTED_VALUE"""),74900.0)</f>
        <v>74900</v>
      </c>
      <c r="C2455" s="1">
        <f>IFERROR(__xludf.DUMMYFUNCTION("""COMPUTED_VALUE"""),75400.0)</f>
        <v>75400</v>
      </c>
      <c r="D2455" s="1">
        <f>IFERROR(__xludf.DUMMYFUNCTION("""COMPUTED_VALUE"""),73900.0)</f>
        <v>73900</v>
      </c>
      <c r="E2455" s="1">
        <f>IFERROR(__xludf.DUMMYFUNCTION("""COMPUTED_VALUE"""),74600.0)</f>
        <v>74600</v>
      </c>
      <c r="F2455" s="1">
        <f>IFERROR(__xludf.DUMMYFUNCTION("""COMPUTED_VALUE"""),646464.0)</f>
        <v>646464</v>
      </c>
    </row>
    <row r="2456">
      <c r="A2456" s="2">
        <f>IFERROR(__xludf.DUMMYFUNCTION("""COMPUTED_VALUE"""),44194.64583333333)</f>
        <v>44194.64583</v>
      </c>
      <c r="B2456" s="1">
        <f>IFERROR(__xludf.DUMMYFUNCTION("""COMPUTED_VALUE"""),76200.0)</f>
        <v>76200</v>
      </c>
      <c r="C2456" s="1">
        <f>IFERROR(__xludf.DUMMYFUNCTION("""COMPUTED_VALUE"""),77100.0)</f>
        <v>77100</v>
      </c>
      <c r="D2456" s="1">
        <f>IFERROR(__xludf.DUMMYFUNCTION("""COMPUTED_VALUE"""),75600.0)</f>
        <v>75600</v>
      </c>
      <c r="E2456" s="1">
        <f>IFERROR(__xludf.DUMMYFUNCTION("""COMPUTED_VALUE"""),76900.0)</f>
        <v>76900</v>
      </c>
      <c r="F2456" s="1">
        <f>IFERROR(__xludf.DUMMYFUNCTION("""COMPUTED_VALUE"""),857404.0)</f>
        <v>857404</v>
      </c>
    </row>
    <row r="2457">
      <c r="A2457" s="2">
        <f>IFERROR(__xludf.DUMMYFUNCTION("""COMPUTED_VALUE"""),44195.64583333333)</f>
        <v>44195.64583</v>
      </c>
      <c r="B2457" s="1">
        <f>IFERROR(__xludf.DUMMYFUNCTION("""COMPUTED_VALUE"""),76900.0)</f>
        <v>76900</v>
      </c>
      <c r="C2457" s="1">
        <f>IFERROR(__xludf.DUMMYFUNCTION("""COMPUTED_VALUE"""),78800.0)</f>
        <v>78800</v>
      </c>
      <c r="D2457" s="1">
        <f>IFERROR(__xludf.DUMMYFUNCTION("""COMPUTED_VALUE"""),76700.0)</f>
        <v>76700</v>
      </c>
      <c r="E2457" s="1">
        <f>IFERROR(__xludf.DUMMYFUNCTION("""COMPUTED_VALUE"""),77900.0)</f>
        <v>77900</v>
      </c>
      <c r="F2457" s="1">
        <f>IFERROR(__xludf.DUMMYFUNCTION("""COMPUTED_VALUE"""),813142.0)</f>
        <v>813142</v>
      </c>
    </row>
    <row r="2458">
      <c r="A2458" s="2">
        <f>IFERROR(__xludf.DUMMYFUNCTION("""COMPUTED_VALUE"""),44200.64583333333)</f>
        <v>44200.64583</v>
      </c>
      <c r="B2458" s="1">
        <f>IFERROR(__xludf.DUMMYFUNCTION("""COMPUTED_VALUE"""),78400.0)</f>
        <v>78400</v>
      </c>
      <c r="C2458" s="1">
        <f>IFERROR(__xludf.DUMMYFUNCTION("""COMPUTED_VALUE"""),79300.0)</f>
        <v>79300</v>
      </c>
      <c r="D2458" s="1">
        <f>IFERROR(__xludf.DUMMYFUNCTION("""COMPUTED_VALUE"""),77100.0)</f>
        <v>77100</v>
      </c>
      <c r="E2458" s="1">
        <f>IFERROR(__xludf.DUMMYFUNCTION("""COMPUTED_VALUE"""),79200.0)</f>
        <v>79200</v>
      </c>
      <c r="F2458" s="1">
        <f>IFERROR(__xludf.DUMMYFUNCTION("""COMPUTED_VALUE"""),853740.0)</f>
        <v>853740</v>
      </c>
    </row>
    <row r="2459">
      <c r="A2459" s="2">
        <f>IFERROR(__xludf.DUMMYFUNCTION("""COMPUTED_VALUE"""),44201.64583333333)</f>
        <v>44201.64583</v>
      </c>
      <c r="B2459" s="1">
        <f>IFERROR(__xludf.DUMMYFUNCTION("""COMPUTED_VALUE"""),78600.0)</f>
        <v>78600</v>
      </c>
      <c r="C2459" s="1">
        <f>IFERROR(__xludf.DUMMYFUNCTION("""COMPUTED_VALUE"""),79100.0)</f>
        <v>79100</v>
      </c>
      <c r="D2459" s="1">
        <f>IFERROR(__xludf.DUMMYFUNCTION("""COMPUTED_VALUE"""),77400.0)</f>
        <v>77400</v>
      </c>
      <c r="E2459" s="1">
        <f>IFERROR(__xludf.DUMMYFUNCTION("""COMPUTED_VALUE"""),78600.0)</f>
        <v>78600</v>
      </c>
      <c r="F2459" s="1">
        <f>IFERROR(__xludf.DUMMYFUNCTION("""COMPUTED_VALUE"""),748559.0)</f>
        <v>748559</v>
      </c>
    </row>
    <row r="2460">
      <c r="A2460" s="2">
        <f>IFERROR(__xludf.DUMMYFUNCTION("""COMPUTED_VALUE"""),44202.64583333333)</f>
        <v>44202.64583</v>
      </c>
      <c r="B2460" s="1">
        <f>IFERROR(__xludf.DUMMYFUNCTION("""COMPUTED_VALUE"""),79000.0)</f>
        <v>79000</v>
      </c>
      <c r="C2460" s="1">
        <f>IFERROR(__xludf.DUMMYFUNCTION("""COMPUTED_VALUE"""),82000.0)</f>
        <v>82000</v>
      </c>
      <c r="D2460" s="1">
        <f>IFERROR(__xludf.DUMMYFUNCTION("""COMPUTED_VALUE"""),78900.0)</f>
        <v>78900</v>
      </c>
      <c r="E2460" s="1">
        <f>IFERROR(__xludf.DUMMYFUNCTION("""COMPUTED_VALUE"""),79100.0)</f>
        <v>79100</v>
      </c>
      <c r="F2460" s="1">
        <f>IFERROR(__xludf.DUMMYFUNCTION("""COMPUTED_VALUE"""),1435715.0)</f>
        <v>1435715</v>
      </c>
    </row>
    <row r="2461">
      <c r="A2461" s="2">
        <f>IFERROR(__xludf.DUMMYFUNCTION("""COMPUTED_VALUE"""),44203.64583333333)</f>
        <v>44203.64583</v>
      </c>
      <c r="B2461" s="1">
        <f>IFERROR(__xludf.DUMMYFUNCTION("""COMPUTED_VALUE"""),80400.0)</f>
        <v>80400</v>
      </c>
      <c r="C2461" s="1">
        <f>IFERROR(__xludf.DUMMYFUNCTION("""COMPUTED_VALUE"""),80700.0)</f>
        <v>80700</v>
      </c>
      <c r="D2461" s="1">
        <f>IFERROR(__xludf.DUMMYFUNCTION("""COMPUTED_VALUE"""),78600.0)</f>
        <v>78600</v>
      </c>
      <c r="E2461" s="1">
        <f>IFERROR(__xludf.DUMMYFUNCTION("""COMPUTED_VALUE"""),80500.0)</f>
        <v>80500</v>
      </c>
      <c r="F2461" s="1">
        <f>IFERROR(__xludf.DUMMYFUNCTION("""COMPUTED_VALUE"""),775191.0)</f>
        <v>775191</v>
      </c>
    </row>
    <row r="2462">
      <c r="A2462" s="2">
        <f>IFERROR(__xludf.DUMMYFUNCTION("""COMPUTED_VALUE"""),44204.64583333333)</f>
        <v>44204.64583</v>
      </c>
      <c r="B2462" s="1">
        <f>IFERROR(__xludf.DUMMYFUNCTION("""COMPUTED_VALUE"""),82600.0)</f>
        <v>82600</v>
      </c>
      <c r="C2462" s="1">
        <f>IFERROR(__xludf.DUMMYFUNCTION("""COMPUTED_VALUE"""),87200.0)</f>
        <v>87200</v>
      </c>
      <c r="D2462" s="1">
        <f>IFERROR(__xludf.DUMMYFUNCTION("""COMPUTED_VALUE"""),80900.0)</f>
        <v>80900</v>
      </c>
      <c r="E2462" s="1">
        <f>IFERROR(__xludf.DUMMYFUNCTION("""COMPUTED_VALUE"""),86800.0)</f>
        <v>86800</v>
      </c>
      <c r="F2462" s="1">
        <f>IFERROR(__xludf.DUMMYFUNCTION("""COMPUTED_VALUE"""),2466715.0)</f>
        <v>2466715</v>
      </c>
    </row>
    <row r="2463">
      <c r="A2463" s="2">
        <f>IFERROR(__xludf.DUMMYFUNCTION("""COMPUTED_VALUE"""),44207.64583333333)</f>
        <v>44207.64583</v>
      </c>
      <c r="B2463" s="1">
        <f>IFERROR(__xludf.DUMMYFUNCTION("""COMPUTED_VALUE"""),88200.0)</f>
        <v>88200</v>
      </c>
      <c r="C2463" s="1">
        <f>IFERROR(__xludf.DUMMYFUNCTION("""COMPUTED_VALUE"""),92600.0)</f>
        <v>92600</v>
      </c>
      <c r="D2463" s="1">
        <f>IFERROR(__xludf.DUMMYFUNCTION("""COMPUTED_VALUE"""),85800.0)</f>
        <v>85800</v>
      </c>
      <c r="E2463" s="1">
        <f>IFERROR(__xludf.DUMMYFUNCTION("""COMPUTED_VALUE"""),90600.0)</f>
        <v>90600</v>
      </c>
      <c r="F2463" s="1">
        <f>IFERROR(__xludf.DUMMYFUNCTION("""COMPUTED_VALUE"""),3157747.0)</f>
        <v>3157747</v>
      </c>
    </row>
    <row r="2464">
      <c r="A2464" s="2">
        <f>IFERROR(__xludf.DUMMYFUNCTION("""COMPUTED_VALUE"""),44208.64583333333)</f>
        <v>44208.64583</v>
      </c>
      <c r="B2464" s="1">
        <f>IFERROR(__xludf.DUMMYFUNCTION("""COMPUTED_VALUE"""),89200.0)</f>
        <v>89200</v>
      </c>
      <c r="C2464" s="1">
        <f>IFERROR(__xludf.DUMMYFUNCTION("""COMPUTED_VALUE"""),92000.0)</f>
        <v>92000</v>
      </c>
      <c r="D2464" s="1">
        <f>IFERROR(__xludf.DUMMYFUNCTION("""COMPUTED_VALUE"""),86600.0)</f>
        <v>86600</v>
      </c>
      <c r="E2464" s="1">
        <f>IFERROR(__xludf.DUMMYFUNCTION("""COMPUTED_VALUE"""),91500.0)</f>
        <v>91500</v>
      </c>
      <c r="F2464" s="1">
        <f>IFERROR(__xludf.DUMMYFUNCTION("""COMPUTED_VALUE"""),1577872.0)</f>
        <v>1577872</v>
      </c>
    </row>
    <row r="2465">
      <c r="A2465" s="2">
        <f>IFERROR(__xludf.DUMMYFUNCTION("""COMPUTED_VALUE"""),44209.64583333333)</f>
        <v>44209.64583</v>
      </c>
      <c r="B2465" s="1">
        <f>IFERROR(__xludf.DUMMYFUNCTION("""COMPUTED_VALUE"""),91700.0)</f>
        <v>91700</v>
      </c>
      <c r="C2465" s="1">
        <f>IFERROR(__xludf.DUMMYFUNCTION("""COMPUTED_VALUE"""),92400.0)</f>
        <v>92400</v>
      </c>
      <c r="D2465" s="1">
        <f>IFERROR(__xludf.DUMMYFUNCTION("""COMPUTED_VALUE"""),89900.0)</f>
        <v>89900</v>
      </c>
      <c r="E2465" s="1">
        <f>IFERROR(__xludf.DUMMYFUNCTION("""COMPUTED_VALUE"""),90900.0)</f>
        <v>90900</v>
      </c>
      <c r="F2465" s="1">
        <f>IFERROR(__xludf.DUMMYFUNCTION("""COMPUTED_VALUE"""),806402.0)</f>
        <v>806402</v>
      </c>
    </row>
    <row r="2466">
      <c r="A2466" s="2">
        <f>IFERROR(__xludf.DUMMYFUNCTION("""COMPUTED_VALUE"""),44210.64583333333)</f>
        <v>44210.64583</v>
      </c>
      <c r="B2466" s="1">
        <f>IFERROR(__xludf.DUMMYFUNCTION("""COMPUTED_VALUE"""),90800.0)</f>
        <v>90800</v>
      </c>
      <c r="C2466" s="1">
        <f>IFERROR(__xludf.DUMMYFUNCTION("""COMPUTED_VALUE"""),92600.0)</f>
        <v>92600</v>
      </c>
      <c r="D2466" s="1">
        <f>IFERROR(__xludf.DUMMYFUNCTION("""COMPUTED_VALUE"""),90000.0)</f>
        <v>90000</v>
      </c>
      <c r="E2466" s="1">
        <f>IFERROR(__xludf.DUMMYFUNCTION("""COMPUTED_VALUE"""),90300.0)</f>
        <v>90300</v>
      </c>
      <c r="F2466" s="1">
        <f>IFERROR(__xludf.DUMMYFUNCTION("""COMPUTED_VALUE"""),802076.0)</f>
        <v>802076</v>
      </c>
    </row>
    <row r="2467">
      <c r="A2467" s="2">
        <f>IFERROR(__xludf.DUMMYFUNCTION("""COMPUTED_VALUE"""),44211.64583333333)</f>
        <v>44211.64583</v>
      </c>
      <c r="B2467" s="1">
        <f>IFERROR(__xludf.DUMMYFUNCTION("""COMPUTED_VALUE"""),90400.0)</f>
        <v>90400</v>
      </c>
      <c r="C2467" s="1">
        <f>IFERROR(__xludf.DUMMYFUNCTION("""COMPUTED_VALUE"""),91800.0)</f>
        <v>91800</v>
      </c>
      <c r="D2467" s="1">
        <f>IFERROR(__xludf.DUMMYFUNCTION("""COMPUTED_VALUE"""),87300.0)</f>
        <v>87300</v>
      </c>
      <c r="E2467" s="1">
        <f>IFERROR(__xludf.DUMMYFUNCTION("""COMPUTED_VALUE"""),87500.0)</f>
        <v>87500</v>
      </c>
      <c r="F2467" s="1">
        <f>IFERROR(__xludf.DUMMYFUNCTION("""COMPUTED_VALUE"""),995726.0)</f>
        <v>995726</v>
      </c>
    </row>
    <row r="2468">
      <c r="A2468" s="2">
        <f>IFERROR(__xludf.DUMMYFUNCTION("""COMPUTED_VALUE"""),44214.64583333333)</f>
        <v>44214.64583</v>
      </c>
      <c r="B2468" s="1">
        <f>IFERROR(__xludf.DUMMYFUNCTION("""COMPUTED_VALUE"""),86700.0)</f>
        <v>86700</v>
      </c>
      <c r="C2468" s="1">
        <f>IFERROR(__xludf.DUMMYFUNCTION("""COMPUTED_VALUE"""),88300.0)</f>
        <v>88300</v>
      </c>
      <c r="D2468" s="1">
        <f>IFERROR(__xludf.DUMMYFUNCTION("""COMPUTED_VALUE"""),85400.0)</f>
        <v>85400</v>
      </c>
      <c r="E2468" s="1">
        <f>IFERROR(__xludf.DUMMYFUNCTION("""COMPUTED_VALUE"""),85500.0)</f>
        <v>85500</v>
      </c>
      <c r="F2468" s="1">
        <f>IFERROR(__xludf.DUMMYFUNCTION("""COMPUTED_VALUE"""),839984.0)</f>
        <v>839984</v>
      </c>
    </row>
    <row r="2469">
      <c r="A2469" s="2">
        <f>IFERROR(__xludf.DUMMYFUNCTION("""COMPUTED_VALUE"""),44215.64583333333)</f>
        <v>44215.64583</v>
      </c>
      <c r="B2469" s="1">
        <f>IFERROR(__xludf.DUMMYFUNCTION("""COMPUTED_VALUE"""),85600.0)</f>
        <v>85600</v>
      </c>
      <c r="C2469" s="1">
        <f>IFERROR(__xludf.DUMMYFUNCTION("""COMPUTED_VALUE"""),88900.0)</f>
        <v>88900</v>
      </c>
      <c r="D2469" s="1">
        <f>IFERROR(__xludf.DUMMYFUNCTION("""COMPUTED_VALUE"""),85600.0)</f>
        <v>85600</v>
      </c>
      <c r="E2469" s="1">
        <f>IFERROR(__xludf.DUMMYFUNCTION("""COMPUTED_VALUE"""),88000.0)</f>
        <v>88000</v>
      </c>
      <c r="F2469" s="1">
        <f>IFERROR(__xludf.DUMMYFUNCTION("""COMPUTED_VALUE"""),583997.0)</f>
        <v>583997</v>
      </c>
    </row>
    <row r="2470">
      <c r="A2470" s="2">
        <f>IFERROR(__xludf.DUMMYFUNCTION("""COMPUTED_VALUE"""),44216.64583333333)</f>
        <v>44216.64583</v>
      </c>
      <c r="B2470" s="1">
        <f>IFERROR(__xludf.DUMMYFUNCTION("""COMPUTED_VALUE"""),89600.0)</f>
        <v>89600</v>
      </c>
      <c r="C2470" s="1">
        <f>IFERROR(__xludf.DUMMYFUNCTION("""COMPUTED_VALUE"""),90000.0)</f>
        <v>90000</v>
      </c>
      <c r="D2470" s="1">
        <f>IFERROR(__xludf.DUMMYFUNCTION("""COMPUTED_VALUE"""),87400.0)</f>
        <v>87400</v>
      </c>
      <c r="E2470" s="1">
        <f>IFERROR(__xludf.DUMMYFUNCTION("""COMPUTED_VALUE"""),88800.0)</f>
        <v>88800</v>
      </c>
      <c r="F2470" s="1">
        <f>IFERROR(__xludf.DUMMYFUNCTION("""COMPUTED_VALUE"""),596340.0)</f>
        <v>596340</v>
      </c>
    </row>
    <row r="2471">
      <c r="A2471" s="2">
        <f>IFERROR(__xludf.DUMMYFUNCTION("""COMPUTED_VALUE"""),44217.64583333333)</f>
        <v>44217.64583</v>
      </c>
      <c r="B2471" s="1">
        <f>IFERROR(__xludf.DUMMYFUNCTION("""COMPUTED_VALUE"""),90500.0)</f>
        <v>90500</v>
      </c>
      <c r="C2471" s="1">
        <f>IFERROR(__xludf.DUMMYFUNCTION("""COMPUTED_VALUE"""),92200.0)</f>
        <v>92200</v>
      </c>
      <c r="D2471" s="1">
        <f>IFERROR(__xludf.DUMMYFUNCTION("""COMPUTED_VALUE"""),90400.0)</f>
        <v>90400</v>
      </c>
      <c r="E2471" s="1">
        <f>IFERROR(__xludf.DUMMYFUNCTION("""COMPUTED_VALUE"""),90800.0)</f>
        <v>90800</v>
      </c>
      <c r="F2471" s="1">
        <f>IFERROR(__xludf.DUMMYFUNCTION("""COMPUTED_VALUE"""),679093.0)</f>
        <v>679093</v>
      </c>
    </row>
    <row r="2472">
      <c r="A2472" s="2">
        <f>IFERROR(__xludf.DUMMYFUNCTION("""COMPUTED_VALUE"""),44218.64583333333)</f>
        <v>44218.64583</v>
      </c>
      <c r="B2472" s="1">
        <f>IFERROR(__xludf.DUMMYFUNCTION("""COMPUTED_VALUE"""),91200.0)</f>
        <v>91200</v>
      </c>
      <c r="C2472" s="1">
        <f>IFERROR(__xludf.DUMMYFUNCTION("""COMPUTED_VALUE"""),95200.0)</f>
        <v>95200</v>
      </c>
      <c r="D2472" s="1">
        <f>IFERROR(__xludf.DUMMYFUNCTION("""COMPUTED_VALUE"""),90500.0)</f>
        <v>90500</v>
      </c>
      <c r="E2472" s="1">
        <f>IFERROR(__xludf.DUMMYFUNCTION("""COMPUTED_VALUE"""),92600.0)</f>
        <v>92600</v>
      </c>
      <c r="F2472" s="1">
        <f>IFERROR(__xludf.DUMMYFUNCTION("""COMPUTED_VALUE"""),1162395.0)</f>
        <v>1162395</v>
      </c>
    </row>
    <row r="2473">
      <c r="A2473" s="2">
        <f>IFERROR(__xludf.DUMMYFUNCTION("""COMPUTED_VALUE"""),44221.64583333333)</f>
        <v>44221.64583</v>
      </c>
      <c r="B2473" s="1">
        <f>IFERROR(__xludf.DUMMYFUNCTION("""COMPUTED_VALUE"""),94400.0)</f>
        <v>94400</v>
      </c>
      <c r="C2473" s="1">
        <f>IFERROR(__xludf.DUMMYFUNCTION("""COMPUTED_VALUE"""),95100.0)</f>
        <v>95100</v>
      </c>
      <c r="D2473" s="1">
        <f>IFERROR(__xludf.DUMMYFUNCTION("""COMPUTED_VALUE"""),92000.0)</f>
        <v>92000</v>
      </c>
      <c r="E2473" s="1">
        <f>IFERROR(__xludf.DUMMYFUNCTION("""COMPUTED_VALUE"""),94700.0)</f>
        <v>94700</v>
      </c>
      <c r="F2473" s="1">
        <f>IFERROR(__xludf.DUMMYFUNCTION("""COMPUTED_VALUE"""),720170.0)</f>
        <v>720170</v>
      </c>
    </row>
    <row r="2474">
      <c r="A2474" s="2">
        <f>IFERROR(__xludf.DUMMYFUNCTION("""COMPUTED_VALUE"""),44222.64583333333)</f>
        <v>44222.64583</v>
      </c>
      <c r="B2474" s="1">
        <f>IFERROR(__xludf.DUMMYFUNCTION("""COMPUTED_VALUE"""),95800.0)</f>
        <v>95800</v>
      </c>
      <c r="C2474" s="1">
        <f>IFERROR(__xludf.DUMMYFUNCTION("""COMPUTED_VALUE"""),95800.0)</f>
        <v>95800</v>
      </c>
      <c r="D2474" s="1">
        <f>IFERROR(__xludf.DUMMYFUNCTION("""COMPUTED_VALUE"""),92100.0)</f>
        <v>92100</v>
      </c>
      <c r="E2474" s="1">
        <f>IFERROR(__xludf.DUMMYFUNCTION("""COMPUTED_VALUE"""),92200.0)</f>
        <v>92200</v>
      </c>
      <c r="F2474" s="1">
        <f>IFERROR(__xludf.DUMMYFUNCTION("""COMPUTED_VALUE"""),812266.0)</f>
        <v>812266</v>
      </c>
    </row>
    <row r="2475">
      <c r="A2475" s="2">
        <f>IFERROR(__xludf.DUMMYFUNCTION("""COMPUTED_VALUE"""),44223.64583333333)</f>
        <v>44223.64583</v>
      </c>
      <c r="B2475" s="1">
        <f>IFERROR(__xludf.DUMMYFUNCTION("""COMPUTED_VALUE"""),92600.0)</f>
        <v>92600</v>
      </c>
      <c r="C2475" s="1">
        <f>IFERROR(__xludf.DUMMYFUNCTION("""COMPUTED_VALUE"""),95400.0)</f>
        <v>95400</v>
      </c>
      <c r="D2475" s="1">
        <f>IFERROR(__xludf.DUMMYFUNCTION("""COMPUTED_VALUE"""),92200.0)</f>
        <v>92200</v>
      </c>
      <c r="E2475" s="1">
        <f>IFERROR(__xludf.DUMMYFUNCTION("""COMPUTED_VALUE"""),93000.0)</f>
        <v>93000</v>
      </c>
      <c r="F2475" s="1">
        <f>IFERROR(__xludf.DUMMYFUNCTION("""COMPUTED_VALUE"""),719814.0)</f>
        <v>719814</v>
      </c>
    </row>
    <row r="2476">
      <c r="A2476" s="2">
        <f>IFERROR(__xludf.DUMMYFUNCTION("""COMPUTED_VALUE"""),44224.64583333333)</f>
        <v>44224.64583</v>
      </c>
      <c r="B2476" s="1">
        <f>IFERROR(__xludf.DUMMYFUNCTION("""COMPUTED_VALUE"""),90800.0)</f>
        <v>90800</v>
      </c>
      <c r="C2476" s="1">
        <f>IFERROR(__xludf.DUMMYFUNCTION("""COMPUTED_VALUE"""),93700.0)</f>
        <v>93700</v>
      </c>
      <c r="D2476" s="1">
        <f>IFERROR(__xludf.DUMMYFUNCTION("""COMPUTED_VALUE"""),90400.0)</f>
        <v>90400</v>
      </c>
      <c r="E2476" s="1">
        <f>IFERROR(__xludf.DUMMYFUNCTION("""COMPUTED_VALUE"""),91600.0)</f>
        <v>91600</v>
      </c>
      <c r="F2476" s="1">
        <f>IFERROR(__xludf.DUMMYFUNCTION("""COMPUTED_VALUE"""),921812.0)</f>
        <v>921812</v>
      </c>
    </row>
    <row r="2477">
      <c r="A2477" s="2">
        <f>IFERROR(__xludf.DUMMYFUNCTION("""COMPUTED_VALUE"""),44225.64583333333)</f>
        <v>44225.64583</v>
      </c>
      <c r="B2477" s="1">
        <f>IFERROR(__xludf.DUMMYFUNCTION("""COMPUTED_VALUE"""),92000.0)</f>
        <v>92000</v>
      </c>
      <c r="C2477" s="1">
        <f>IFERROR(__xludf.DUMMYFUNCTION("""COMPUTED_VALUE"""),92100.0)</f>
        <v>92100</v>
      </c>
      <c r="D2477" s="1">
        <f>IFERROR(__xludf.DUMMYFUNCTION("""COMPUTED_VALUE"""),87200.0)</f>
        <v>87200</v>
      </c>
      <c r="E2477" s="1">
        <f>IFERROR(__xludf.DUMMYFUNCTION("""COMPUTED_VALUE"""),88200.0)</f>
        <v>88200</v>
      </c>
      <c r="F2477" s="1">
        <f>IFERROR(__xludf.DUMMYFUNCTION("""COMPUTED_VALUE"""),1070093.0)</f>
        <v>1070093</v>
      </c>
    </row>
    <row r="2478">
      <c r="A2478" s="2">
        <f>IFERROR(__xludf.DUMMYFUNCTION("""COMPUTED_VALUE"""),44228.64583333333)</f>
        <v>44228.64583</v>
      </c>
      <c r="B2478" s="1">
        <f>IFERROR(__xludf.DUMMYFUNCTION("""COMPUTED_VALUE"""),87200.0)</f>
        <v>87200</v>
      </c>
      <c r="C2478" s="1">
        <f>IFERROR(__xludf.DUMMYFUNCTION("""COMPUTED_VALUE"""),88600.0)</f>
        <v>88600</v>
      </c>
      <c r="D2478" s="1">
        <f>IFERROR(__xludf.DUMMYFUNCTION("""COMPUTED_VALUE"""),85000.0)</f>
        <v>85000</v>
      </c>
      <c r="E2478" s="1">
        <f>IFERROR(__xludf.DUMMYFUNCTION("""COMPUTED_VALUE"""),88300.0)</f>
        <v>88300</v>
      </c>
      <c r="F2478" s="1">
        <f>IFERROR(__xludf.DUMMYFUNCTION("""COMPUTED_VALUE"""),910101.0)</f>
        <v>910101</v>
      </c>
    </row>
    <row r="2479">
      <c r="A2479" s="2">
        <f>IFERROR(__xludf.DUMMYFUNCTION("""COMPUTED_VALUE"""),44229.64583333333)</f>
        <v>44229.64583</v>
      </c>
      <c r="B2479" s="1">
        <f>IFERROR(__xludf.DUMMYFUNCTION("""COMPUTED_VALUE"""),90000.0)</f>
        <v>90000</v>
      </c>
      <c r="C2479" s="1">
        <f>IFERROR(__xludf.DUMMYFUNCTION("""COMPUTED_VALUE"""),91400.0)</f>
        <v>91400</v>
      </c>
      <c r="D2479" s="1">
        <f>IFERROR(__xludf.DUMMYFUNCTION("""COMPUTED_VALUE"""),88700.0)</f>
        <v>88700</v>
      </c>
      <c r="E2479" s="1">
        <f>IFERROR(__xludf.DUMMYFUNCTION("""COMPUTED_VALUE"""),89100.0)</f>
        <v>89100</v>
      </c>
      <c r="F2479" s="1">
        <f>IFERROR(__xludf.DUMMYFUNCTION("""COMPUTED_VALUE"""),662905.0)</f>
        <v>662905</v>
      </c>
    </row>
    <row r="2480">
      <c r="A2480" s="2">
        <f>IFERROR(__xludf.DUMMYFUNCTION("""COMPUTED_VALUE"""),44230.64583333333)</f>
        <v>44230.64583</v>
      </c>
      <c r="B2480" s="1">
        <f>IFERROR(__xludf.DUMMYFUNCTION("""COMPUTED_VALUE"""),90100.0)</f>
        <v>90100</v>
      </c>
      <c r="C2480" s="1">
        <f>IFERROR(__xludf.DUMMYFUNCTION("""COMPUTED_VALUE"""),92400.0)</f>
        <v>92400</v>
      </c>
      <c r="D2480" s="1">
        <f>IFERROR(__xludf.DUMMYFUNCTION("""COMPUTED_VALUE"""),89400.0)</f>
        <v>89400</v>
      </c>
      <c r="E2480" s="1">
        <f>IFERROR(__xludf.DUMMYFUNCTION("""COMPUTED_VALUE"""),92400.0)</f>
        <v>92400</v>
      </c>
      <c r="F2480" s="1">
        <f>IFERROR(__xludf.DUMMYFUNCTION("""COMPUTED_VALUE"""),758097.0)</f>
        <v>758097</v>
      </c>
    </row>
    <row r="2481">
      <c r="A2481" s="2">
        <f>IFERROR(__xludf.DUMMYFUNCTION("""COMPUTED_VALUE"""),44231.64583333333)</f>
        <v>44231.64583</v>
      </c>
      <c r="B2481" s="1">
        <f>IFERROR(__xludf.DUMMYFUNCTION("""COMPUTED_VALUE"""),92600.0)</f>
        <v>92600</v>
      </c>
      <c r="C2481" s="1">
        <f>IFERROR(__xludf.DUMMYFUNCTION("""COMPUTED_VALUE"""),92600.0)</f>
        <v>92600</v>
      </c>
      <c r="D2481" s="1">
        <f>IFERROR(__xludf.DUMMYFUNCTION("""COMPUTED_VALUE"""),89800.0)</f>
        <v>89800</v>
      </c>
      <c r="E2481" s="1">
        <f>IFERROR(__xludf.DUMMYFUNCTION("""COMPUTED_VALUE"""),90900.0)</f>
        <v>90900</v>
      </c>
      <c r="F2481" s="1">
        <f>IFERROR(__xludf.DUMMYFUNCTION("""COMPUTED_VALUE"""),516837.0)</f>
        <v>516837</v>
      </c>
    </row>
    <row r="2482">
      <c r="A2482" s="2">
        <f>IFERROR(__xludf.DUMMYFUNCTION("""COMPUTED_VALUE"""),44232.64583333333)</f>
        <v>44232.64583</v>
      </c>
      <c r="B2482" s="1">
        <f>IFERROR(__xludf.DUMMYFUNCTION("""COMPUTED_VALUE"""),91400.0)</f>
        <v>91400</v>
      </c>
      <c r="C2482" s="1">
        <f>IFERROR(__xludf.DUMMYFUNCTION("""COMPUTED_VALUE"""),92200.0)</f>
        <v>92200</v>
      </c>
      <c r="D2482" s="1">
        <f>IFERROR(__xludf.DUMMYFUNCTION("""COMPUTED_VALUE"""),89500.0)</f>
        <v>89500</v>
      </c>
      <c r="E2482" s="1">
        <f>IFERROR(__xludf.DUMMYFUNCTION("""COMPUTED_VALUE"""),91000.0)</f>
        <v>91000</v>
      </c>
      <c r="F2482" s="1">
        <f>IFERROR(__xludf.DUMMYFUNCTION("""COMPUTED_VALUE"""),408416.0)</f>
        <v>408416</v>
      </c>
    </row>
    <row r="2483">
      <c r="A2483" s="2">
        <f>IFERROR(__xludf.DUMMYFUNCTION("""COMPUTED_VALUE"""),44235.64583333333)</f>
        <v>44235.64583</v>
      </c>
      <c r="B2483" s="1">
        <f>IFERROR(__xludf.DUMMYFUNCTION("""COMPUTED_VALUE"""),91000.0)</f>
        <v>91000</v>
      </c>
      <c r="C2483" s="1">
        <f>IFERROR(__xludf.DUMMYFUNCTION("""COMPUTED_VALUE"""),92400.0)</f>
        <v>92400</v>
      </c>
      <c r="D2483" s="1">
        <f>IFERROR(__xludf.DUMMYFUNCTION("""COMPUTED_VALUE"""),90000.0)</f>
        <v>90000</v>
      </c>
      <c r="E2483" s="1">
        <f>IFERROR(__xludf.DUMMYFUNCTION("""COMPUTED_VALUE"""),91400.0)</f>
        <v>91400</v>
      </c>
      <c r="F2483" s="1">
        <f>IFERROR(__xludf.DUMMYFUNCTION("""COMPUTED_VALUE"""),516115.0)</f>
        <v>516115</v>
      </c>
    </row>
    <row r="2484">
      <c r="A2484" s="2">
        <f>IFERROR(__xludf.DUMMYFUNCTION("""COMPUTED_VALUE"""),44236.64583333333)</f>
        <v>44236.64583</v>
      </c>
      <c r="B2484" s="1">
        <f>IFERROR(__xludf.DUMMYFUNCTION("""COMPUTED_VALUE"""),92000.0)</f>
        <v>92000</v>
      </c>
      <c r="C2484" s="1">
        <f>IFERROR(__xludf.DUMMYFUNCTION("""COMPUTED_VALUE"""),93500.0)</f>
        <v>93500</v>
      </c>
      <c r="D2484" s="1">
        <f>IFERROR(__xludf.DUMMYFUNCTION("""COMPUTED_VALUE"""),90500.0)</f>
        <v>90500</v>
      </c>
      <c r="E2484" s="1">
        <f>IFERROR(__xludf.DUMMYFUNCTION("""COMPUTED_VALUE"""),92200.0)</f>
        <v>92200</v>
      </c>
      <c r="F2484" s="1">
        <f>IFERROR(__xludf.DUMMYFUNCTION("""COMPUTED_VALUE"""),735565.0)</f>
        <v>735565</v>
      </c>
    </row>
    <row r="2485">
      <c r="A2485" s="2">
        <f>IFERROR(__xludf.DUMMYFUNCTION("""COMPUTED_VALUE"""),44237.64583333333)</f>
        <v>44237.64583</v>
      </c>
      <c r="B2485" s="1">
        <f>IFERROR(__xludf.DUMMYFUNCTION("""COMPUTED_VALUE"""),93200.0)</f>
        <v>93200</v>
      </c>
      <c r="C2485" s="1">
        <f>IFERROR(__xludf.DUMMYFUNCTION("""COMPUTED_VALUE"""),98100.0)</f>
        <v>98100</v>
      </c>
      <c r="D2485" s="1">
        <f>IFERROR(__xludf.DUMMYFUNCTION("""COMPUTED_VALUE"""),93200.0)</f>
        <v>93200</v>
      </c>
      <c r="E2485" s="1">
        <f>IFERROR(__xludf.DUMMYFUNCTION("""COMPUTED_VALUE"""),97900.0)</f>
        <v>97900</v>
      </c>
      <c r="F2485" s="1">
        <f>IFERROR(__xludf.DUMMYFUNCTION("""COMPUTED_VALUE"""),1814483.0)</f>
        <v>1814483</v>
      </c>
    </row>
    <row r="2486">
      <c r="A2486" s="2">
        <f>IFERROR(__xludf.DUMMYFUNCTION("""COMPUTED_VALUE"""),44242.64583333333)</f>
        <v>44242.64583</v>
      </c>
      <c r="B2486" s="1">
        <f>IFERROR(__xludf.DUMMYFUNCTION("""COMPUTED_VALUE"""),99800.0)</f>
        <v>99800</v>
      </c>
      <c r="C2486" s="1">
        <f>IFERROR(__xludf.DUMMYFUNCTION("""COMPUTED_VALUE"""),101000.0)</f>
        <v>101000</v>
      </c>
      <c r="D2486" s="1">
        <f>IFERROR(__xludf.DUMMYFUNCTION("""COMPUTED_VALUE"""),98400.0)</f>
        <v>98400</v>
      </c>
      <c r="E2486" s="1">
        <f>IFERROR(__xludf.DUMMYFUNCTION("""COMPUTED_VALUE"""),100400.0)</f>
        <v>100400</v>
      </c>
      <c r="F2486" s="1">
        <f>IFERROR(__xludf.DUMMYFUNCTION("""COMPUTED_VALUE"""),1052548.0)</f>
        <v>1052548</v>
      </c>
    </row>
    <row r="2487">
      <c r="A2487" s="2">
        <f>IFERROR(__xludf.DUMMYFUNCTION("""COMPUTED_VALUE"""),44243.64583333333)</f>
        <v>44243.64583</v>
      </c>
      <c r="B2487" s="1">
        <f>IFERROR(__xludf.DUMMYFUNCTION("""COMPUTED_VALUE"""),100800.0)</f>
        <v>100800</v>
      </c>
      <c r="C2487" s="1">
        <f>IFERROR(__xludf.DUMMYFUNCTION("""COMPUTED_VALUE"""),103800.0)</f>
        <v>103800</v>
      </c>
      <c r="D2487" s="1">
        <f>IFERROR(__xludf.DUMMYFUNCTION("""COMPUTED_VALUE"""),99900.0)</f>
        <v>99900</v>
      </c>
      <c r="E2487" s="1">
        <f>IFERROR(__xludf.DUMMYFUNCTION("""COMPUTED_VALUE"""),102800.0)</f>
        <v>102800</v>
      </c>
      <c r="F2487" s="1">
        <f>IFERROR(__xludf.DUMMYFUNCTION("""COMPUTED_VALUE"""),1076048.0)</f>
        <v>1076048</v>
      </c>
    </row>
    <row r="2488">
      <c r="A2488" s="2">
        <f>IFERROR(__xludf.DUMMYFUNCTION("""COMPUTED_VALUE"""),44244.64583333333)</f>
        <v>44244.64583</v>
      </c>
      <c r="B2488" s="1">
        <f>IFERROR(__xludf.DUMMYFUNCTION("""COMPUTED_VALUE"""),103000.0)</f>
        <v>103000</v>
      </c>
      <c r="C2488" s="1">
        <f>IFERROR(__xludf.DUMMYFUNCTION("""COMPUTED_VALUE"""),103000.0)</f>
        <v>103000</v>
      </c>
      <c r="D2488" s="1">
        <f>IFERROR(__xludf.DUMMYFUNCTION("""COMPUTED_VALUE"""),100600.0)</f>
        <v>100600</v>
      </c>
      <c r="E2488" s="1">
        <f>IFERROR(__xludf.DUMMYFUNCTION("""COMPUTED_VALUE"""),101800.0)</f>
        <v>101800</v>
      </c>
      <c r="F2488" s="1">
        <f>IFERROR(__xludf.DUMMYFUNCTION("""COMPUTED_VALUE"""),562572.0)</f>
        <v>562572</v>
      </c>
    </row>
    <row r="2489">
      <c r="A2489" s="2">
        <f>IFERROR(__xludf.DUMMYFUNCTION("""COMPUTED_VALUE"""),44245.64583333333)</f>
        <v>44245.64583</v>
      </c>
      <c r="B2489" s="1">
        <f>IFERROR(__xludf.DUMMYFUNCTION("""COMPUTED_VALUE"""),101200.0)</f>
        <v>101200</v>
      </c>
      <c r="C2489" s="1">
        <f>IFERROR(__xludf.DUMMYFUNCTION("""COMPUTED_VALUE"""),103400.0)</f>
        <v>103400</v>
      </c>
      <c r="D2489" s="1">
        <f>IFERROR(__xludf.DUMMYFUNCTION("""COMPUTED_VALUE"""),100200.0)</f>
        <v>100200</v>
      </c>
      <c r="E2489" s="1">
        <f>IFERROR(__xludf.DUMMYFUNCTION("""COMPUTED_VALUE"""),100200.0)</f>
        <v>100200</v>
      </c>
      <c r="F2489" s="1">
        <f>IFERROR(__xludf.DUMMYFUNCTION("""COMPUTED_VALUE"""),466922.0)</f>
        <v>466922</v>
      </c>
    </row>
    <row r="2490">
      <c r="A2490" s="2">
        <f>IFERROR(__xludf.DUMMYFUNCTION("""COMPUTED_VALUE"""),44246.64583333333)</f>
        <v>44246.64583</v>
      </c>
      <c r="B2490" s="1">
        <f>IFERROR(__xludf.DUMMYFUNCTION("""COMPUTED_VALUE"""),99400.0)</f>
        <v>99400</v>
      </c>
      <c r="C2490" s="1">
        <f>IFERROR(__xludf.DUMMYFUNCTION("""COMPUTED_VALUE"""),101200.0)</f>
        <v>101200</v>
      </c>
      <c r="D2490" s="1">
        <f>IFERROR(__xludf.DUMMYFUNCTION("""COMPUTED_VALUE"""),98000.0)</f>
        <v>98000</v>
      </c>
      <c r="E2490" s="1">
        <f>IFERROR(__xludf.DUMMYFUNCTION("""COMPUTED_VALUE"""),100800.0)</f>
        <v>100800</v>
      </c>
      <c r="F2490" s="1">
        <f>IFERROR(__xludf.DUMMYFUNCTION("""COMPUTED_VALUE"""),695664.0)</f>
        <v>695664</v>
      </c>
    </row>
    <row r="2491">
      <c r="A2491" s="2">
        <f>IFERROR(__xludf.DUMMYFUNCTION("""COMPUTED_VALUE"""),44249.64583333333)</f>
        <v>44249.64583</v>
      </c>
      <c r="B2491" s="1">
        <f>IFERROR(__xludf.DUMMYFUNCTION("""COMPUTED_VALUE"""),101000.0)</f>
        <v>101000</v>
      </c>
      <c r="C2491" s="1">
        <f>IFERROR(__xludf.DUMMYFUNCTION("""COMPUTED_VALUE"""),102000.0)</f>
        <v>102000</v>
      </c>
      <c r="D2491" s="1">
        <f>IFERROR(__xludf.DUMMYFUNCTION("""COMPUTED_VALUE"""),98000.0)</f>
        <v>98000</v>
      </c>
      <c r="E2491" s="1">
        <f>IFERROR(__xludf.DUMMYFUNCTION("""COMPUTED_VALUE"""),98100.0)</f>
        <v>98100</v>
      </c>
      <c r="F2491" s="1">
        <f>IFERROR(__xludf.DUMMYFUNCTION("""COMPUTED_VALUE"""),640993.0)</f>
        <v>640993</v>
      </c>
    </row>
    <row r="2492">
      <c r="A2492" s="2">
        <f>IFERROR(__xludf.DUMMYFUNCTION("""COMPUTED_VALUE"""),44250.64583333333)</f>
        <v>44250.64583</v>
      </c>
      <c r="B2492" s="1">
        <f>IFERROR(__xludf.DUMMYFUNCTION("""COMPUTED_VALUE"""),96300.0)</f>
        <v>96300</v>
      </c>
      <c r="C2492" s="1">
        <f>IFERROR(__xludf.DUMMYFUNCTION("""COMPUTED_VALUE"""),98500.0)</f>
        <v>98500</v>
      </c>
      <c r="D2492" s="1">
        <f>IFERROR(__xludf.DUMMYFUNCTION("""COMPUTED_VALUE"""),95400.0)</f>
        <v>95400</v>
      </c>
      <c r="E2492" s="1">
        <f>IFERROR(__xludf.DUMMYFUNCTION("""COMPUTED_VALUE"""),97400.0)</f>
        <v>97400</v>
      </c>
      <c r="F2492" s="1">
        <f>IFERROR(__xludf.DUMMYFUNCTION("""COMPUTED_VALUE"""),665417.0)</f>
        <v>665417</v>
      </c>
    </row>
    <row r="2493">
      <c r="A2493" s="2">
        <f>IFERROR(__xludf.DUMMYFUNCTION("""COMPUTED_VALUE"""),44251.64583333333)</f>
        <v>44251.64583</v>
      </c>
      <c r="B2493" s="1">
        <f>IFERROR(__xludf.DUMMYFUNCTION("""COMPUTED_VALUE"""),97400.0)</f>
        <v>97400</v>
      </c>
      <c r="C2493" s="1">
        <f>IFERROR(__xludf.DUMMYFUNCTION("""COMPUTED_VALUE"""),98500.0)</f>
        <v>98500</v>
      </c>
      <c r="D2493" s="1">
        <f>IFERROR(__xludf.DUMMYFUNCTION("""COMPUTED_VALUE"""),94500.0)</f>
        <v>94500</v>
      </c>
      <c r="E2493" s="1">
        <f>IFERROR(__xludf.DUMMYFUNCTION("""COMPUTED_VALUE"""),94700.0)</f>
        <v>94700</v>
      </c>
      <c r="F2493" s="1">
        <f>IFERROR(__xludf.DUMMYFUNCTION("""COMPUTED_VALUE"""),667209.0)</f>
        <v>667209</v>
      </c>
    </row>
    <row r="2494">
      <c r="A2494" s="2">
        <f>IFERROR(__xludf.DUMMYFUNCTION("""COMPUTED_VALUE"""),44252.64583333333)</f>
        <v>44252.64583</v>
      </c>
      <c r="B2494" s="1">
        <f>IFERROR(__xludf.DUMMYFUNCTION("""COMPUTED_VALUE"""),95600.0)</f>
        <v>95600</v>
      </c>
      <c r="C2494" s="1">
        <f>IFERROR(__xludf.DUMMYFUNCTION("""COMPUTED_VALUE"""),96900.0)</f>
        <v>96900</v>
      </c>
      <c r="D2494" s="1">
        <f>IFERROR(__xludf.DUMMYFUNCTION("""COMPUTED_VALUE"""),94700.0)</f>
        <v>94700</v>
      </c>
      <c r="E2494" s="1">
        <f>IFERROR(__xludf.DUMMYFUNCTION("""COMPUTED_VALUE"""),96900.0)</f>
        <v>96900</v>
      </c>
      <c r="F2494" s="1">
        <f>IFERROR(__xludf.DUMMYFUNCTION("""COMPUTED_VALUE"""),562549.0)</f>
        <v>562549</v>
      </c>
    </row>
    <row r="2495">
      <c r="A2495" s="2">
        <f>IFERROR(__xludf.DUMMYFUNCTION("""COMPUTED_VALUE"""),44253.64583333333)</f>
        <v>44253.64583</v>
      </c>
      <c r="B2495" s="1">
        <f>IFERROR(__xludf.DUMMYFUNCTION("""COMPUTED_VALUE"""),99500.0)</f>
        <v>99500</v>
      </c>
      <c r="C2495" s="1">
        <f>IFERROR(__xludf.DUMMYFUNCTION("""COMPUTED_VALUE"""),100400.0)</f>
        <v>100400</v>
      </c>
      <c r="D2495" s="1">
        <f>IFERROR(__xludf.DUMMYFUNCTION("""COMPUTED_VALUE"""),96100.0)</f>
        <v>96100</v>
      </c>
      <c r="E2495" s="1">
        <f>IFERROR(__xludf.DUMMYFUNCTION("""COMPUTED_VALUE"""),97600.0)</f>
        <v>97600</v>
      </c>
      <c r="F2495" s="1">
        <f>IFERROR(__xludf.DUMMYFUNCTION("""COMPUTED_VALUE"""),1617276.0)</f>
        <v>1617276</v>
      </c>
    </row>
    <row r="2496">
      <c r="A2496" s="2">
        <f>IFERROR(__xludf.DUMMYFUNCTION("""COMPUTED_VALUE"""),44257.64583333333)</f>
        <v>44257.64583</v>
      </c>
      <c r="B2496" s="1">
        <f>IFERROR(__xludf.DUMMYFUNCTION("""COMPUTED_VALUE"""),99800.0)</f>
        <v>99800</v>
      </c>
      <c r="C2496" s="1">
        <f>IFERROR(__xludf.DUMMYFUNCTION("""COMPUTED_VALUE"""),100800.0)</f>
        <v>100800</v>
      </c>
      <c r="D2496" s="1">
        <f>IFERROR(__xludf.DUMMYFUNCTION("""COMPUTED_VALUE"""),98000.0)</f>
        <v>98000</v>
      </c>
      <c r="E2496" s="1">
        <f>IFERROR(__xludf.DUMMYFUNCTION("""COMPUTED_VALUE"""),98300.0)</f>
        <v>98300</v>
      </c>
      <c r="F2496" s="1">
        <f>IFERROR(__xludf.DUMMYFUNCTION("""COMPUTED_VALUE"""),922034.0)</f>
        <v>922034</v>
      </c>
    </row>
    <row r="2497">
      <c r="A2497" s="2">
        <f>IFERROR(__xludf.DUMMYFUNCTION("""COMPUTED_VALUE"""),44258.64583333333)</f>
        <v>44258.64583</v>
      </c>
      <c r="B2497" s="1">
        <f>IFERROR(__xludf.DUMMYFUNCTION("""COMPUTED_VALUE"""),98100.0)</f>
        <v>98100</v>
      </c>
      <c r="C2497" s="1">
        <f>IFERROR(__xludf.DUMMYFUNCTION("""COMPUTED_VALUE"""),99000.0)</f>
        <v>99000</v>
      </c>
      <c r="D2497" s="1">
        <f>IFERROR(__xludf.DUMMYFUNCTION("""COMPUTED_VALUE"""),97600.0)</f>
        <v>97600</v>
      </c>
      <c r="E2497" s="1">
        <f>IFERROR(__xludf.DUMMYFUNCTION("""COMPUTED_VALUE"""),98700.0)</f>
        <v>98700</v>
      </c>
      <c r="F2497" s="1">
        <f>IFERROR(__xludf.DUMMYFUNCTION("""COMPUTED_VALUE"""),528321.0)</f>
        <v>528321</v>
      </c>
    </row>
    <row r="2498">
      <c r="A2498" s="2">
        <f>IFERROR(__xludf.DUMMYFUNCTION("""COMPUTED_VALUE"""),44259.64583333333)</f>
        <v>44259.64583</v>
      </c>
      <c r="B2498" s="1">
        <f>IFERROR(__xludf.DUMMYFUNCTION("""COMPUTED_VALUE"""),97500.0)</f>
        <v>97500</v>
      </c>
      <c r="C2498" s="1">
        <f>IFERROR(__xludf.DUMMYFUNCTION("""COMPUTED_VALUE"""),98000.0)</f>
        <v>98000</v>
      </c>
      <c r="D2498" s="1">
        <f>IFERROR(__xludf.DUMMYFUNCTION("""COMPUTED_VALUE"""),96200.0)</f>
        <v>96200</v>
      </c>
      <c r="E2498" s="1">
        <f>IFERROR(__xludf.DUMMYFUNCTION("""COMPUTED_VALUE"""),96400.0)</f>
        <v>96400</v>
      </c>
      <c r="F2498" s="1">
        <f>IFERROR(__xludf.DUMMYFUNCTION("""COMPUTED_VALUE"""),694890.0)</f>
        <v>694890</v>
      </c>
    </row>
    <row r="2499">
      <c r="A2499" s="2">
        <f>IFERROR(__xludf.DUMMYFUNCTION("""COMPUTED_VALUE"""),44260.64583333333)</f>
        <v>44260.64583</v>
      </c>
      <c r="B2499" s="1">
        <f>IFERROR(__xludf.DUMMYFUNCTION("""COMPUTED_VALUE"""),93800.0)</f>
        <v>93800</v>
      </c>
      <c r="C2499" s="1">
        <f>IFERROR(__xludf.DUMMYFUNCTION("""COMPUTED_VALUE"""),94800.0)</f>
        <v>94800</v>
      </c>
      <c r="D2499" s="1">
        <f>IFERROR(__xludf.DUMMYFUNCTION("""COMPUTED_VALUE"""),92600.0)</f>
        <v>92600</v>
      </c>
      <c r="E2499" s="1">
        <f>IFERROR(__xludf.DUMMYFUNCTION("""COMPUTED_VALUE"""),94200.0)</f>
        <v>94200</v>
      </c>
      <c r="F2499" s="1">
        <f>IFERROR(__xludf.DUMMYFUNCTION("""COMPUTED_VALUE"""),712633.0)</f>
        <v>712633</v>
      </c>
    </row>
    <row r="2500">
      <c r="A2500" s="2">
        <f>IFERROR(__xludf.DUMMYFUNCTION("""COMPUTED_VALUE"""),44263.64583333333)</f>
        <v>44263.64583</v>
      </c>
      <c r="B2500" s="1">
        <f>IFERROR(__xludf.DUMMYFUNCTION("""COMPUTED_VALUE"""),94400.0)</f>
        <v>94400</v>
      </c>
      <c r="C2500" s="1">
        <f>IFERROR(__xludf.DUMMYFUNCTION("""COMPUTED_VALUE"""),94900.0)</f>
        <v>94900</v>
      </c>
      <c r="D2500" s="1">
        <f>IFERROR(__xludf.DUMMYFUNCTION("""COMPUTED_VALUE"""),90800.0)</f>
        <v>90800</v>
      </c>
      <c r="E2500" s="1">
        <f>IFERROR(__xludf.DUMMYFUNCTION("""COMPUTED_VALUE"""),90800.0)</f>
        <v>90800</v>
      </c>
      <c r="F2500" s="1">
        <f>IFERROR(__xludf.DUMMYFUNCTION("""COMPUTED_VALUE"""),681524.0)</f>
        <v>681524</v>
      </c>
    </row>
    <row r="2501">
      <c r="A2501" s="2">
        <f>IFERROR(__xludf.DUMMYFUNCTION("""COMPUTED_VALUE"""),44264.64583333333)</f>
        <v>44264.64583</v>
      </c>
      <c r="B2501" s="1">
        <f>IFERROR(__xludf.DUMMYFUNCTION("""COMPUTED_VALUE"""),89700.0)</f>
        <v>89700</v>
      </c>
      <c r="C2501" s="1">
        <f>IFERROR(__xludf.DUMMYFUNCTION("""COMPUTED_VALUE"""),90300.0)</f>
        <v>90300</v>
      </c>
      <c r="D2501" s="1">
        <f>IFERROR(__xludf.DUMMYFUNCTION("""COMPUTED_VALUE"""),86900.0)</f>
        <v>86900</v>
      </c>
      <c r="E2501" s="1">
        <f>IFERROR(__xludf.DUMMYFUNCTION("""COMPUTED_VALUE"""),88200.0)</f>
        <v>88200</v>
      </c>
      <c r="F2501" s="1">
        <f>IFERROR(__xludf.DUMMYFUNCTION("""COMPUTED_VALUE"""),1068670.0)</f>
        <v>1068670</v>
      </c>
    </row>
    <row r="2502">
      <c r="A2502" s="2">
        <f>IFERROR(__xludf.DUMMYFUNCTION("""COMPUTED_VALUE"""),44265.64583333333)</f>
        <v>44265.64583</v>
      </c>
      <c r="B2502" s="1">
        <f>IFERROR(__xludf.DUMMYFUNCTION("""COMPUTED_VALUE"""),90500.0)</f>
        <v>90500</v>
      </c>
      <c r="C2502" s="1">
        <f>IFERROR(__xludf.DUMMYFUNCTION("""COMPUTED_VALUE"""),92900.0)</f>
        <v>92900</v>
      </c>
      <c r="D2502" s="1">
        <f>IFERROR(__xludf.DUMMYFUNCTION("""COMPUTED_VALUE"""),89800.0)</f>
        <v>89800</v>
      </c>
      <c r="E2502" s="1">
        <f>IFERROR(__xludf.DUMMYFUNCTION("""COMPUTED_VALUE"""),92000.0)</f>
        <v>92000</v>
      </c>
      <c r="F2502" s="1">
        <f>IFERROR(__xludf.DUMMYFUNCTION("""COMPUTED_VALUE"""),899669.0)</f>
        <v>899669</v>
      </c>
    </row>
    <row r="2503">
      <c r="A2503" s="2">
        <f>IFERROR(__xludf.DUMMYFUNCTION("""COMPUTED_VALUE"""),44266.64583333333)</f>
        <v>44266.64583</v>
      </c>
      <c r="B2503" s="1">
        <f>IFERROR(__xludf.DUMMYFUNCTION("""COMPUTED_VALUE"""),92100.0)</f>
        <v>92100</v>
      </c>
      <c r="C2503" s="1">
        <f>IFERROR(__xludf.DUMMYFUNCTION("""COMPUTED_VALUE"""),96900.0)</f>
        <v>96900</v>
      </c>
      <c r="D2503" s="1">
        <f>IFERROR(__xludf.DUMMYFUNCTION("""COMPUTED_VALUE"""),91400.0)</f>
        <v>91400</v>
      </c>
      <c r="E2503" s="1">
        <f>IFERROR(__xludf.DUMMYFUNCTION("""COMPUTED_VALUE"""),95800.0)</f>
        <v>95800</v>
      </c>
      <c r="F2503" s="1">
        <f>IFERROR(__xludf.DUMMYFUNCTION("""COMPUTED_VALUE"""),928091.0)</f>
        <v>928091</v>
      </c>
    </row>
    <row r="2504">
      <c r="A2504" s="2">
        <f>IFERROR(__xludf.DUMMYFUNCTION("""COMPUTED_VALUE"""),44267.64583333333)</f>
        <v>44267.64583</v>
      </c>
      <c r="B2504" s="1">
        <f>IFERROR(__xludf.DUMMYFUNCTION("""COMPUTED_VALUE"""),97800.0)</f>
        <v>97800</v>
      </c>
      <c r="C2504" s="1">
        <f>IFERROR(__xludf.DUMMYFUNCTION("""COMPUTED_VALUE"""),98000.0)</f>
        <v>98000</v>
      </c>
      <c r="D2504" s="1">
        <f>IFERROR(__xludf.DUMMYFUNCTION("""COMPUTED_VALUE"""),95400.0)</f>
        <v>95400</v>
      </c>
      <c r="E2504" s="1">
        <f>IFERROR(__xludf.DUMMYFUNCTION("""COMPUTED_VALUE"""),96200.0)</f>
        <v>96200</v>
      </c>
      <c r="F2504" s="1">
        <f>IFERROR(__xludf.DUMMYFUNCTION("""COMPUTED_VALUE"""),435063.0)</f>
        <v>435063</v>
      </c>
    </row>
    <row r="2505">
      <c r="A2505" s="2">
        <f>IFERROR(__xludf.DUMMYFUNCTION("""COMPUTED_VALUE"""),44270.64583333333)</f>
        <v>44270.64583</v>
      </c>
      <c r="B2505" s="1">
        <f>IFERROR(__xludf.DUMMYFUNCTION("""COMPUTED_VALUE"""),96000.0)</f>
        <v>96000</v>
      </c>
      <c r="C2505" s="1">
        <f>IFERROR(__xludf.DUMMYFUNCTION("""COMPUTED_VALUE"""),96400.0)</f>
        <v>96400</v>
      </c>
      <c r="D2505" s="1">
        <f>IFERROR(__xludf.DUMMYFUNCTION("""COMPUTED_VALUE"""),94400.0)</f>
        <v>94400</v>
      </c>
      <c r="E2505" s="1">
        <f>IFERROR(__xludf.DUMMYFUNCTION("""COMPUTED_VALUE"""),95800.0)</f>
        <v>95800</v>
      </c>
      <c r="F2505" s="1">
        <f>IFERROR(__xludf.DUMMYFUNCTION("""COMPUTED_VALUE"""),345981.0)</f>
        <v>345981</v>
      </c>
    </row>
    <row r="2506">
      <c r="A2506" s="2">
        <f>IFERROR(__xludf.DUMMYFUNCTION("""COMPUTED_VALUE"""),44271.64583333333)</f>
        <v>44271.64583</v>
      </c>
      <c r="B2506" s="1">
        <f>IFERROR(__xludf.DUMMYFUNCTION("""COMPUTED_VALUE"""),96200.0)</f>
        <v>96200</v>
      </c>
      <c r="C2506" s="1">
        <f>IFERROR(__xludf.DUMMYFUNCTION("""COMPUTED_VALUE"""),97000.0)</f>
        <v>97000</v>
      </c>
      <c r="D2506" s="1">
        <f>IFERROR(__xludf.DUMMYFUNCTION("""COMPUTED_VALUE"""),95600.0)</f>
        <v>95600</v>
      </c>
      <c r="E2506" s="1">
        <f>IFERROR(__xludf.DUMMYFUNCTION("""COMPUTED_VALUE"""),95800.0)</f>
        <v>95800</v>
      </c>
      <c r="F2506" s="1">
        <f>IFERROR(__xludf.DUMMYFUNCTION("""COMPUTED_VALUE"""),270853.0)</f>
        <v>270853</v>
      </c>
    </row>
    <row r="2507">
      <c r="A2507" s="2">
        <f>IFERROR(__xludf.DUMMYFUNCTION("""COMPUTED_VALUE"""),44272.64583333333)</f>
        <v>44272.64583</v>
      </c>
      <c r="B2507" s="1">
        <f>IFERROR(__xludf.DUMMYFUNCTION("""COMPUTED_VALUE"""),95800.0)</f>
        <v>95800</v>
      </c>
      <c r="C2507" s="1">
        <f>IFERROR(__xludf.DUMMYFUNCTION("""COMPUTED_VALUE"""),98200.0)</f>
        <v>98200</v>
      </c>
      <c r="D2507" s="1">
        <f>IFERROR(__xludf.DUMMYFUNCTION("""COMPUTED_VALUE"""),95600.0)</f>
        <v>95600</v>
      </c>
      <c r="E2507" s="1">
        <f>IFERROR(__xludf.DUMMYFUNCTION("""COMPUTED_VALUE"""),97000.0)</f>
        <v>97000</v>
      </c>
      <c r="F2507" s="1">
        <f>IFERROR(__xludf.DUMMYFUNCTION("""COMPUTED_VALUE"""),403953.0)</f>
        <v>403953</v>
      </c>
    </row>
    <row r="2508">
      <c r="A2508" s="2">
        <f>IFERROR(__xludf.DUMMYFUNCTION("""COMPUTED_VALUE"""),44273.64583333333)</f>
        <v>44273.64583</v>
      </c>
      <c r="B2508" s="1">
        <f>IFERROR(__xludf.DUMMYFUNCTION("""COMPUTED_VALUE"""),97700.0)</f>
        <v>97700</v>
      </c>
      <c r="C2508" s="1">
        <f>IFERROR(__xludf.DUMMYFUNCTION("""COMPUTED_VALUE"""),100800.0)</f>
        <v>100800</v>
      </c>
      <c r="D2508" s="1">
        <f>IFERROR(__xludf.DUMMYFUNCTION("""COMPUTED_VALUE"""),97200.0)</f>
        <v>97200</v>
      </c>
      <c r="E2508" s="1">
        <f>IFERROR(__xludf.DUMMYFUNCTION("""COMPUTED_VALUE"""),99600.0)</f>
        <v>99600</v>
      </c>
      <c r="F2508" s="1">
        <f>IFERROR(__xludf.DUMMYFUNCTION("""COMPUTED_VALUE"""),771697.0)</f>
        <v>771697</v>
      </c>
    </row>
    <row r="2509">
      <c r="A2509" s="2">
        <f>IFERROR(__xludf.DUMMYFUNCTION("""COMPUTED_VALUE"""),44274.64583333333)</f>
        <v>44274.64583</v>
      </c>
      <c r="B2509" s="1">
        <f>IFERROR(__xludf.DUMMYFUNCTION("""COMPUTED_VALUE"""),97700.0)</f>
        <v>97700</v>
      </c>
      <c r="C2509" s="1">
        <f>IFERROR(__xludf.DUMMYFUNCTION("""COMPUTED_VALUE"""),99400.0)</f>
        <v>99400</v>
      </c>
      <c r="D2509" s="1">
        <f>IFERROR(__xludf.DUMMYFUNCTION("""COMPUTED_VALUE"""),96800.0)</f>
        <v>96800</v>
      </c>
      <c r="E2509" s="1">
        <f>IFERROR(__xludf.DUMMYFUNCTION("""COMPUTED_VALUE"""),98500.0)</f>
        <v>98500</v>
      </c>
      <c r="F2509" s="1">
        <f>IFERROR(__xludf.DUMMYFUNCTION("""COMPUTED_VALUE"""),516981.0)</f>
        <v>516981</v>
      </c>
    </row>
    <row r="2510">
      <c r="A2510" s="2">
        <f>IFERROR(__xludf.DUMMYFUNCTION("""COMPUTED_VALUE"""),44277.64583333333)</f>
        <v>44277.64583</v>
      </c>
      <c r="B2510" s="1">
        <f>IFERROR(__xludf.DUMMYFUNCTION("""COMPUTED_VALUE"""),98600.0)</f>
        <v>98600</v>
      </c>
      <c r="C2510" s="1">
        <f>IFERROR(__xludf.DUMMYFUNCTION("""COMPUTED_VALUE"""),99300.0)</f>
        <v>99300</v>
      </c>
      <c r="D2510" s="1">
        <f>IFERROR(__xludf.DUMMYFUNCTION("""COMPUTED_VALUE"""),97600.0)</f>
        <v>97600</v>
      </c>
      <c r="E2510" s="1">
        <f>IFERROR(__xludf.DUMMYFUNCTION("""COMPUTED_VALUE"""),98800.0)</f>
        <v>98800</v>
      </c>
      <c r="F2510" s="1">
        <f>IFERROR(__xludf.DUMMYFUNCTION("""COMPUTED_VALUE"""),315035.0)</f>
        <v>315035</v>
      </c>
    </row>
    <row r="2511">
      <c r="A2511" s="2">
        <f>IFERROR(__xludf.DUMMYFUNCTION("""COMPUTED_VALUE"""),44278.64583333333)</f>
        <v>44278.64583</v>
      </c>
      <c r="B2511" s="1">
        <f>IFERROR(__xludf.DUMMYFUNCTION("""COMPUTED_VALUE"""),99200.0)</f>
        <v>99200</v>
      </c>
      <c r="C2511" s="1">
        <f>IFERROR(__xludf.DUMMYFUNCTION("""COMPUTED_VALUE"""),100600.0)</f>
        <v>100600</v>
      </c>
      <c r="D2511" s="1">
        <f>IFERROR(__xludf.DUMMYFUNCTION("""COMPUTED_VALUE"""),97100.0)</f>
        <v>97100</v>
      </c>
      <c r="E2511" s="1">
        <f>IFERROR(__xludf.DUMMYFUNCTION("""COMPUTED_VALUE"""),98100.0)</f>
        <v>98100</v>
      </c>
      <c r="F2511" s="1">
        <f>IFERROR(__xludf.DUMMYFUNCTION("""COMPUTED_VALUE"""),379964.0)</f>
        <v>379964</v>
      </c>
    </row>
    <row r="2512">
      <c r="A2512" s="2">
        <f>IFERROR(__xludf.DUMMYFUNCTION("""COMPUTED_VALUE"""),44279.64583333333)</f>
        <v>44279.64583</v>
      </c>
      <c r="B2512" s="1">
        <f>IFERROR(__xludf.DUMMYFUNCTION("""COMPUTED_VALUE"""),97300.0)</f>
        <v>97300</v>
      </c>
      <c r="C2512" s="1">
        <f>IFERROR(__xludf.DUMMYFUNCTION("""COMPUTED_VALUE"""),98400.0)</f>
        <v>98400</v>
      </c>
      <c r="D2512" s="1">
        <f>IFERROR(__xludf.DUMMYFUNCTION("""COMPUTED_VALUE"""),96400.0)</f>
        <v>96400</v>
      </c>
      <c r="E2512" s="1">
        <f>IFERROR(__xludf.DUMMYFUNCTION("""COMPUTED_VALUE"""),98400.0)</f>
        <v>98400</v>
      </c>
      <c r="F2512" s="1">
        <f>IFERROR(__xludf.DUMMYFUNCTION("""COMPUTED_VALUE"""),288563.0)</f>
        <v>288563</v>
      </c>
    </row>
    <row r="2513">
      <c r="A2513" s="2">
        <f>IFERROR(__xludf.DUMMYFUNCTION("""COMPUTED_VALUE"""),44280.64583333333)</f>
        <v>44280.64583</v>
      </c>
      <c r="B2513" s="1">
        <f>IFERROR(__xludf.DUMMYFUNCTION("""COMPUTED_VALUE"""),98000.0)</f>
        <v>98000</v>
      </c>
      <c r="C2513" s="1">
        <f>IFERROR(__xludf.DUMMYFUNCTION("""COMPUTED_VALUE"""),98200.0)</f>
        <v>98200</v>
      </c>
      <c r="D2513" s="1">
        <f>IFERROR(__xludf.DUMMYFUNCTION("""COMPUTED_VALUE"""),96400.0)</f>
        <v>96400</v>
      </c>
      <c r="E2513" s="1">
        <f>IFERROR(__xludf.DUMMYFUNCTION("""COMPUTED_VALUE"""),97000.0)</f>
        <v>97000</v>
      </c>
      <c r="F2513" s="1">
        <f>IFERROR(__xludf.DUMMYFUNCTION("""COMPUTED_VALUE"""),388531.0)</f>
        <v>388531</v>
      </c>
    </row>
    <row r="2514">
      <c r="A2514" s="2">
        <f>IFERROR(__xludf.DUMMYFUNCTION("""COMPUTED_VALUE"""),44281.64583333333)</f>
        <v>44281.64583</v>
      </c>
      <c r="B2514" s="1">
        <f>IFERROR(__xludf.DUMMYFUNCTION("""COMPUTED_VALUE"""),97600.0)</f>
        <v>97600</v>
      </c>
      <c r="C2514" s="1">
        <f>IFERROR(__xludf.DUMMYFUNCTION("""COMPUTED_VALUE"""),99000.0)</f>
        <v>99000</v>
      </c>
      <c r="D2514" s="1">
        <f>IFERROR(__xludf.DUMMYFUNCTION("""COMPUTED_VALUE"""),97200.0)</f>
        <v>97200</v>
      </c>
      <c r="E2514" s="1">
        <f>IFERROR(__xludf.DUMMYFUNCTION("""COMPUTED_VALUE"""),99000.0)</f>
        <v>99000</v>
      </c>
      <c r="F2514" s="1">
        <f>IFERROR(__xludf.DUMMYFUNCTION("""COMPUTED_VALUE"""),384547.0)</f>
        <v>384547</v>
      </c>
    </row>
    <row r="2515">
      <c r="A2515" s="2">
        <f>IFERROR(__xludf.DUMMYFUNCTION("""COMPUTED_VALUE"""),44284.64583333333)</f>
        <v>44284.64583</v>
      </c>
      <c r="B2515" s="1">
        <f>IFERROR(__xludf.DUMMYFUNCTION("""COMPUTED_VALUE"""),99200.0)</f>
        <v>99200</v>
      </c>
      <c r="C2515" s="1">
        <f>IFERROR(__xludf.DUMMYFUNCTION("""COMPUTED_VALUE"""),99300.0)</f>
        <v>99300</v>
      </c>
      <c r="D2515" s="1">
        <f>IFERROR(__xludf.DUMMYFUNCTION("""COMPUTED_VALUE"""),97000.0)</f>
        <v>97000</v>
      </c>
      <c r="E2515" s="1">
        <f>IFERROR(__xludf.DUMMYFUNCTION("""COMPUTED_VALUE"""),97500.0)</f>
        <v>97500</v>
      </c>
      <c r="F2515" s="1">
        <f>IFERROR(__xludf.DUMMYFUNCTION("""COMPUTED_VALUE"""),349113.0)</f>
        <v>349113</v>
      </c>
    </row>
    <row r="2516">
      <c r="A2516" s="2">
        <f>IFERROR(__xludf.DUMMYFUNCTION("""COMPUTED_VALUE"""),44285.64583333333)</f>
        <v>44285.64583</v>
      </c>
      <c r="B2516" s="1">
        <f>IFERROR(__xludf.DUMMYFUNCTION("""COMPUTED_VALUE"""),98000.0)</f>
        <v>98000</v>
      </c>
      <c r="C2516" s="1">
        <f>IFERROR(__xludf.DUMMYFUNCTION("""COMPUTED_VALUE"""),99400.0)</f>
        <v>99400</v>
      </c>
      <c r="D2516" s="1">
        <f>IFERROR(__xludf.DUMMYFUNCTION("""COMPUTED_VALUE"""),97900.0)</f>
        <v>97900</v>
      </c>
      <c r="E2516" s="1">
        <f>IFERROR(__xludf.DUMMYFUNCTION("""COMPUTED_VALUE"""),98700.0)</f>
        <v>98700</v>
      </c>
      <c r="F2516" s="1">
        <f>IFERROR(__xludf.DUMMYFUNCTION("""COMPUTED_VALUE"""),311073.0)</f>
        <v>311073</v>
      </c>
    </row>
    <row r="2517">
      <c r="A2517" s="2">
        <f>IFERROR(__xludf.DUMMYFUNCTION("""COMPUTED_VALUE"""),44286.64583333333)</f>
        <v>44286.64583</v>
      </c>
      <c r="B2517" s="1">
        <f>IFERROR(__xludf.DUMMYFUNCTION("""COMPUTED_VALUE"""),98800.0)</f>
        <v>98800</v>
      </c>
      <c r="C2517" s="1">
        <f>IFERROR(__xludf.DUMMYFUNCTION("""COMPUTED_VALUE"""),101000.0)</f>
        <v>101000</v>
      </c>
      <c r="D2517" s="1">
        <f>IFERROR(__xludf.DUMMYFUNCTION("""COMPUTED_VALUE"""),98200.0)</f>
        <v>98200</v>
      </c>
      <c r="E2517" s="1">
        <f>IFERROR(__xludf.DUMMYFUNCTION("""COMPUTED_VALUE"""),99600.0)</f>
        <v>99600</v>
      </c>
      <c r="F2517" s="1">
        <f>IFERROR(__xludf.DUMMYFUNCTION("""COMPUTED_VALUE"""),503036.0)</f>
        <v>503036</v>
      </c>
    </row>
    <row r="2518">
      <c r="A2518" s="2">
        <f>IFERROR(__xludf.DUMMYFUNCTION("""COMPUTED_VALUE"""),44287.64583333333)</f>
        <v>44287.64583</v>
      </c>
      <c r="B2518" s="1">
        <f>IFERROR(__xludf.DUMMYFUNCTION("""COMPUTED_VALUE"""),100000.0)</f>
        <v>100000</v>
      </c>
      <c r="C2518" s="1">
        <f>IFERROR(__xludf.DUMMYFUNCTION("""COMPUTED_VALUE"""),100800.0)</f>
        <v>100800</v>
      </c>
      <c r="D2518" s="1">
        <f>IFERROR(__xludf.DUMMYFUNCTION("""COMPUTED_VALUE"""),98400.0)</f>
        <v>98400</v>
      </c>
      <c r="E2518" s="1">
        <f>IFERROR(__xludf.DUMMYFUNCTION("""COMPUTED_VALUE"""),99800.0)</f>
        <v>99800</v>
      </c>
      <c r="F2518" s="1">
        <f>IFERROR(__xludf.DUMMYFUNCTION("""COMPUTED_VALUE"""),412423.0)</f>
        <v>412423</v>
      </c>
    </row>
    <row r="2519">
      <c r="A2519" s="2">
        <f>IFERROR(__xludf.DUMMYFUNCTION("""COMPUTED_VALUE"""),44288.64583333333)</f>
        <v>44288.64583</v>
      </c>
      <c r="B2519" s="1">
        <f>IFERROR(__xludf.DUMMYFUNCTION("""COMPUTED_VALUE"""),101600.0)</f>
        <v>101600</v>
      </c>
      <c r="C2519" s="1">
        <f>IFERROR(__xludf.DUMMYFUNCTION("""COMPUTED_VALUE"""),101600.0)</f>
        <v>101600</v>
      </c>
      <c r="D2519" s="1">
        <f>IFERROR(__xludf.DUMMYFUNCTION("""COMPUTED_VALUE"""),99800.0)</f>
        <v>99800</v>
      </c>
      <c r="E2519" s="1">
        <f>IFERROR(__xludf.DUMMYFUNCTION("""COMPUTED_VALUE"""),100200.0)</f>
        <v>100200</v>
      </c>
      <c r="F2519" s="1">
        <f>IFERROR(__xludf.DUMMYFUNCTION("""COMPUTED_VALUE"""),298641.0)</f>
        <v>298641</v>
      </c>
    </row>
    <row r="2520">
      <c r="A2520" s="2">
        <f>IFERROR(__xludf.DUMMYFUNCTION("""COMPUTED_VALUE"""),44291.64583333333)</f>
        <v>44291.64583</v>
      </c>
      <c r="B2520" s="1">
        <f>IFERROR(__xludf.DUMMYFUNCTION("""COMPUTED_VALUE"""),100600.0)</f>
        <v>100600</v>
      </c>
      <c r="C2520" s="1">
        <f>IFERROR(__xludf.DUMMYFUNCTION("""COMPUTED_VALUE"""),101000.0)</f>
        <v>101000</v>
      </c>
      <c r="D2520" s="1">
        <f>IFERROR(__xludf.DUMMYFUNCTION("""COMPUTED_VALUE"""),100000.0)</f>
        <v>100000</v>
      </c>
      <c r="E2520" s="1">
        <f>IFERROR(__xludf.DUMMYFUNCTION("""COMPUTED_VALUE"""),100400.0)</f>
        <v>100400</v>
      </c>
      <c r="F2520" s="1">
        <f>IFERROR(__xludf.DUMMYFUNCTION("""COMPUTED_VALUE"""),310400.0)</f>
        <v>310400</v>
      </c>
    </row>
    <row r="2521">
      <c r="A2521" s="2">
        <f>IFERROR(__xludf.DUMMYFUNCTION("""COMPUTED_VALUE"""),44292.64583333333)</f>
        <v>44292.64583</v>
      </c>
      <c r="B2521" s="1">
        <f>IFERROR(__xludf.DUMMYFUNCTION("""COMPUTED_VALUE"""),101200.0)</f>
        <v>101200</v>
      </c>
      <c r="C2521" s="1">
        <f>IFERROR(__xludf.DUMMYFUNCTION("""COMPUTED_VALUE"""),109000.0)</f>
        <v>109000</v>
      </c>
      <c r="D2521" s="1">
        <f>IFERROR(__xludf.DUMMYFUNCTION("""COMPUTED_VALUE"""),101000.0)</f>
        <v>101000</v>
      </c>
      <c r="E2521" s="1">
        <f>IFERROR(__xludf.DUMMYFUNCTION("""COMPUTED_VALUE"""),108800.0)</f>
        <v>108800</v>
      </c>
      <c r="F2521" s="1">
        <f>IFERROR(__xludf.DUMMYFUNCTION("""COMPUTED_VALUE"""),1724958.0)</f>
        <v>1724958</v>
      </c>
    </row>
    <row r="2522">
      <c r="A2522" s="2">
        <f>IFERROR(__xludf.DUMMYFUNCTION("""COMPUTED_VALUE"""),44293.64583333333)</f>
        <v>44293.64583</v>
      </c>
      <c r="B2522" s="1">
        <f>IFERROR(__xludf.DUMMYFUNCTION("""COMPUTED_VALUE"""),108800.0)</f>
        <v>108800</v>
      </c>
      <c r="C2522" s="1">
        <f>IFERROR(__xludf.DUMMYFUNCTION("""COMPUTED_VALUE"""),108800.0)</f>
        <v>108800</v>
      </c>
      <c r="D2522" s="1">
        <f>IFERROR(__xludf.DUMMYFUNCTION("""COMPUTED_VALUE"""),105200.0)</f>
        <v>105200</v>
      </c>
      <c r="E2522" s="1">
        <f>IFERROR(__xludf.DUMMYFUNCTION("""COMPUTED_VALUE"""),108400.0)</f>
        <v>108400</v>
      </c>
      <c r="F2522" s="1">
        <f>IFERROR(__xludf.DUMMYFUNCTION("""COMPUTED_VALUE"""),820896.0)</f>
        <v>820896</v>
      </c>
    </row>
    <row r="2523">
      <c r="A2523" s="2">
        <f>IFERROR(__xludf.DUMMYFUNCTION("""COMPUTED_VALUE"""),44294.64583333333)</f>
        <v>44294.64583</v>
      </c>
      <c r="B2523" s="1">
        <f>IFERROR(__xludf.DUMMYFUNCTION("""COMPUTED_VALUE"""),107800.0)</f>
        <v>107800</v>
      </c>
      <c r="C2523" s="1">
        <f>IFERROR(__xludf.DUMMYFUNCTION("""COMPUTED_VALUE"""),112200.0)</f>
        <v>112200</v>
      </c>
      <c r="D2523" s="1">
        <f>IFERROR(__xludf.DUMMYFUNCTION("""COMPUTED_VALUE"""),106800.0)</f>
        <v>106800</v>
      </c>
      <c r="E2523" s="1">
        <f>IFERROR(__xludf.DUMMYFUNCTION("""COMPUTED_VALUE"""),109600.0)</f>
        <v>109600</v>
      </c>
      <c r="F2523" s="1">
        <f>IFERROR(__xludf.DUMMYFUNCTION("""COMPUTED_VALUE"""),912514.0)</f>
        <v>912514</v>
      </c>
    </row>
    <row r="2524">
      <c r="A2524" s="2">
        <f>IFERROR(__xludf.DUMMYFUNCTION("""COMPUTED_VALUE"""),44295.64583333333)</f>
        <v>44295.64583</v>
      </c>
      <c r="B2524" s="1">
        <f>IFERROR(__xludf.DUMMYFUNCTION("""COMPUTED_VALUE"""),110800.0)</f>
        <v>110800</v>
      </c>
      <c r="C2524" s="1">
        <f>IFERROR(__xludf.DUMMYFUNCTION("""COMPUTED_VALUE"""),112200.0)</f>
        <v>112200</v>
      </c>
      <c r="D2524" s="1">
        <f>IFERROR(__xludf.DUMMYFUNCTION("""COMPUTED_VALUE"""),110200.0)</f>
        <v>110200</v>
      </c>
      <c r="E2524" s="1">
        <f>IFERROR(__xludf.DUMMYFUNCTION("""COMPUTED_VALUE"""),111600.0)</f>
        <v>111600</v>
      </c>
      <c r="F2524" s="1">
        <f>IFERROR(__xludf.DUMMYFUNCTION("""COMPUTED_VALUE"""),788839.0)</f>
        <v>788839</v>
      </c>
    </row>
    <row r="2525">
      <c r="A2525" s="2">
        <f>IFERROR(__xludf.DUMMYFUNCTION("""COMPUTED_VALUE"""),44301.64583333333)</f>
        <v>44301.64583</v>
      </c>
      <c r="B2525" s="1">
        <f>IFERROR(__xludf.DUMMYFUNCTION("""COMPUTED_VALUE"""),120500.0)</f>
        <v>120500</v>
      </c>
      <c r="C2525" s="1">
        <f>IFERROR(__xludf.DUMMYFUNCTION("""COMPUTED_VALUE"""),132500.0)</f>
        <v>132500</v>
      </c>
      <c r="D2525" s="1">
        <f>IFERROR(__xludf.DUMMYFUNCTION("""COMPUTED_VALUE"""),118000.0)</f>
        <v>118000</v>
      </c>
      <c r="E2525" s="1">
        <f>IFERROR(__xludf.DUMMYFUNCTION("""COMPUTED_VALUE"""),120500.0)</f>
        <v>120500</v>
      </c>
      <c r="F2525" s="1">
        <f>IFERROR(__xludf.DUMMYFUNCTION("""COMPUTED_VALUE"""),1.7115015E7)</f>
        <v>17115015</v>
      </c>
    </row>
    <row r="2526">
      <c r="A2526" s="2">
        <f>IFERROR(__xludf.DUMMYFUNCTION("""COMPUTED_VALUE"""),44302.64583333333)</f>
        <v>44302.64583</v>
      </c>
      <c r="B2526" s="1">
        <f>IFERROR(__xludf.DUMMYFUNCTION("""COMPUTED_VALUE"""),115500.0)</f>
        <v>115500</v>
      </c>
      <c r="C2526" s="1">
        <f>IFERROR(__xludf.DUMMYFUNCTION("""COMPUTED_VALUE"""),120500.0)</f>
        <v>120500</v>
      </c>
      <c r="D2526" s="1">
        <f>IFERROR(__xludf.DUMMYFUNCTION("""COMPUTED_VALUE"""),115500.0)</f>
        <v>115500</v>
      </c>
      <c r="E2526" s="1">
        <f>IFERROR(__xludf.DUMMYFUNCTION("""COMPUTED_VALUE"""),119000.0)</f>
        <v>119000</v>
      </c>
      <c r="F2526" s="1">
        <f>IFERROR(__xludf.DUMMYFUNCTION("""COMPUTED_VALUE"""),1.3709555E7)</f>
        <v>13709555</v>
      </c>
    </row>
    <row r="2527">
      <c r="A2527" s="2">
        <f>IFERROR(__xludf.DUMMYFUNCTION("""COMPUTED_VALUE"""),44305.64583333333)</f>
        <v>44305.64583</v>
      </c>
      <c r="B2527" s="1">
        <f>IFERROR(__xludf.DUMMYFUNCTION("""COMPUTED_VALUE"""),120000.0)</f>
        <v>120000</v>
      </c>
      <c r="C2527" s="1">
        <f>IFERROR(__xludf.DUMMYFUNCTION("""COMPUTED_VALUE"""),122000.0)</f>
        <v>122000</v>
      </c>
      <c r="D2527" s="1">
        <f>IFERROR(__xludf.DUMMYFUNCTION("""COMPUTED_VALUE"""),117500.0)</f>
        <v>117500</v>
      </c>
      <c r="E2527" s="1">
        <f>IFERROR(__xludf.DUMMYFUNCTION("""COMPUTED_VALUE"""),119000.0)</f>
        <v>119000</v>
      </c>
      <c r="F2527" s="1">
        <f>IFERROR(__xludf.DUMMYFUNCTION("""COMPUTED_VALUE"""),5441693.0)</f>
        <v>5441693</v>
      </c>
    </row>
    <row r="2528">
      <c r="A2528" s="2">
        <f>IFERROR(__xludf.DUMMYFUNCTION("""COMPUTED_VALUE"""),44306.64583333333)</f>
        <v>44306.64583</v>
      </c>
      <c r="B2528" s="1">
        <f>IFERROR(__xludf.DUMMYFUNCTION("""COMPUTED_VALUE"""),119000.0)</f>
        <v>119000</v>
      </c>
      <c r="C2528" s="1">
        <f>IFERROR(__xludf.DUMMYFUNCTION("""COMPUTED_VALUE"""),121000.0)</f>
        <v>121000</v>
      </c>
      <c r="D2528" s="1">
        <f>IFERROR(__xludf.DUMMYFUNCTION("""COMPUTED_VALUE"""),118000.0)</f>
        <v>118000</v>
      </c>
      <c r="E2528" s="1">
        <f>IFERROR(__xludf.DUMMYFUNCTION("""COMPUTED_VALUE"""),119500.0)</f>
        <v>119500</v>
      </c>
      <c r="F2528" s="1">
        <f>IFERROR(__xludf.DUMMYFUNCTION("""COMPUTED_VALUE"""),2952174.0)</f>
        <v>2952174</v>
      </c>
    </row>
    <row r="2529">
      <c r="A2529" s="2">
        <f>IFERROR(__xludf.DUMMYFUNCTION("""COMPUTED_VALUE"""),44307.64583333333)</f>
        <v>44307.64583</v>
      </c>
      <c r="B2529" s="1">
        <f>IFERROR(__xludf.DUMMYFUNCTION("""COMPUTED_VALUE"""),119500.0)</f>
        <v>119500</v>
      </c>
      <c r="C2529" s="1">
        <f>IFERROR(__xludf.DUMMYFUNCTION("""COMPUTED_VALUE"""),119500.0)</f>
        <v>119500</v>
      </c>
      <c r="D2529" s="1">
        <f>IFERROR(__xludf.DUMMYFUNCTION("""COMPUTED_VALUE"""),117000.0)</f>
        <v>117000</v>
      </c>
      <c r="E2529" s="1">
        <f>IFERROR(__xludf.DUMMYFUNCTION("""COMPUTED_VALUE"""),118000.0)</f>
        <v>118000</v>
      </c>
      <c r="F2529" s="1">
        <f>IFERROR(__xludf.DUMMYFUNCTION("""COMPUTED_VALUE"""),4461636.0)</f>
        <v>4461636</v>
      </c>
    </row>
    <row r="2530">
      <c r="A2530" s="2">
        <f>IFERROR(__xludf.DUMMYFUNCTION("""COMPUTED_VALUE"""),44308.64583333333)</f>
        <v>44308.64583</v>
      </c>
      <c r="B2530" s="1">
        <f>IFERROR(__xludf.DUMMYFUNCTION("""COMPUTED_VALUE"""),118000.0)</f>
        <v>118000</v>
      </c>
      <c r="C2530" s="1">
        <f>IFERROR(__xludf.DUMMYFUNCTION("""COMPUTED_VALUE"""),119500.0)</f>
        <v>119500</v>
      </c>
      <c r="D2530" s="1">
        <f>IFERROR(__xludf.DUMMYFUNCTION("""COMPUTED_VALUE"""),117500.0)</f>
        <v>117500</v>
      </c>
      <c r="E2530" s="1">
        <f>IFERROR(__xludf.DUMMYFUNCTION("""COMPUTED_VALUE"""),117500.0)</f>
        <v>117500</v>
      </c>
      <c r="F2530" s="1">
        <f>IFERROR(__xludf.DUMMYFUNCTION("""COMPUTED_VALUE"""),2279180.0)</f>
        <v>2279180</v>
      </c>
    </row>
    <row r="2531">
      <c r="A2531" s="2">
        <f>IFERROR(__xludf.DUMMYFUNCTION("""COMPUTED_VALUE"""),44309.64583333333)</f>
        <v>44309.64583</v>
      </c>
      <c r="B2531" s="1">
        <f>IFERROR(__xludf.DUMMYFUNCTION("""COMPUTED_VALUE"""),116500.0)</f>
        <v>116500</v>
      </c>
      <c r="C2531" s="1">
        <f>IFERROR(__xludf.DUMMYFUNCTION("""COMPUTED_VALUE"""),118500.0)</f>
        <v>118500</v>
      </c>
      <c r="D2531" s="1">
        <f>IFERROR(__xludf.DUMMYFUNCTION("""COMPUTED_VALUE"""),114500.0)</f>
        <v>114500</v>
      </c>
      <c r="E2531" s="1">
        <f>IFERROR(__xludf.DUMMYFUNCTION("""COMPUTED_VALUE"""),117500.0)</f>
        <v>117500</v>
      </c>
      <c r="F2531" s="1">
        <f>IFERROR(__xludf.DUMMYFUNCTION("""COMPUTED_VALUE"""),2473720.0)</f>
        <v>2473720</v>
      </c>
    </row>
    <row r="2532">
      <c r="A2532" s="2">
        <f>IFERROR(__xludf.DUMMYFUNCTION("""COMPUTED_VALUE"""),44312.64583333333)</f>
        <v>44312.64583</v>
      </c>
      <c r="B2532" s="1">
        <f>IFERROR(__xludf.DUMMYFUNCTION("""COMPUTED_VALUE"""),118000.0)</f>
        <v>118000</v>
      </c>
      <c r="C2532" s="1">
        <f>IFERROR(__xludf.DUMMYFUNCTION("""COMPUTED_VALUE"""),118000.0)</f>
        <v>118000</v>
      </c>
      <c r="D2532" s="1">
        <f>IFERROR(__xludf.DUMMYFUNCTION("""COMPUTED_VALUE"""),117500.0)</f>
        <v>117500</v>
      </c>
      <c r="E2532" s="1">
        <f>IFERROR(__xludf.DUMMYFUNCTION("""COMPUTED_VALUE"""),118000.0)</f>
        <v>118000</v>
      </c>
      <c r="F2532" s="1">
        <f>IFERROR(__xludf.DUMMYFUNCTION("""COMPUTED_VALUE"""),1729458.0)</f>
        <v>1729458</v>
      </c>
    </row>
    <row r="2533">
      <c r="A2533" s="2">
        <f>IFERROR(__xludf.DUMMYFUNCTION("""COMPUTED_VALUE"""),44313.64583333333)</f>
        <v>44313.64583</v>
      </c>
      <c r="B2533" s="1">
        <f>IFERROR(__xludf.DUMMYFUNCTION("""COMPUTED_VALUE"""),118500.0)</f>
        <v>118500</v>
      </c>
      <c r="C2533" s="1">
        <f>IFERROR(__xludf.DUMMYFUNCTION("""COMPUTED_VALUE"""),124500.0)</f>
        <v>124500</v>
      </c>
      <c r="D2533" s="1">
        <f>IFERROR(__xludf.DUMMYFUNCTION("""COMPUTED_VALUE"""),118500.0)</f>
        <v>118500</v>
      </c>
      <c r="E2533" s="1">
        <f>IFERROR(__xludf.DUMMYFUNCTION("""COMPUTED_VALUE"""),121500.0)</f>
        <v>121500</v>
      </c>
      <c r="F2533" s="1">
        <f>IFERROR(__xludf.DUMMYFUNCTION("""COMPUTED_VALUE"""),5332544.0)</f>
        <v>5332544</v>
      </c>
    </row>
    <row r="2534">
      <c r="A2534" s="2">
        <f>IFERROR(__xludf.DUMMYFUNCTION("""COMPUTED_VALUE"""),44314.64583333333)</f>
        <v>44314.64583</v>
      </c>
      <c r="B2534" s="1">
        <f>IFERROR(__xludf.DUMMYFUNCTION("""COMPUTED_VALUE"""),121500.0)</f>
        <v>121500</v>
      </c>
      <c r="C2534" s="1">
        <f>IFERROR(__xludf.DUMMYFUNCTION("""COMPUTED_VALUE"""),122000.0)</f>
        <v>122000</v>
      </c>
      <c r="D2534" s="1">
        <f>IFERROR(__xludf.DUMMYFUNCTION("""COMPUTED_VALUE"""),119000.0)</f>
        <v>119000</v>
      </c>
      <c r="E2534" s="1">
        <f>IFERROR(__xludf.DUMMYFUNCTION("""COMPUTED_VALUE"""),119500.0)</f>
        <v>119500</v>
      </c>
      <c r="F2534" s="1">
        <f>IFERROR(__xludf.DUMMYFUNCTION("""COMPUTED_VALUE"""),2276272.0)</f>
        <v>2276272</v>
      </c>
    </row>
    <row r="2535">
      <c r="A2535" s="2">
        <f>IFERROR(__xludf.DUMMYFUNCTION("""COMPUTED_VALUE"""),44315.64583333333)</f>
        <v>44315.64583</v>
      </c>
      <c r="B2535" s="1">
        <f>IFERROR(__xludf.DUMMYFUNCTION("""COMPUTED_VALUE"""),120000.0)</f>
        <v>120000</v>
      </c>
      <c r="C2535" s="1">
        <f>IFERROR(__xludf.DUMMYFUNCTION("""COMPUTED_VALUE"""),120500.0)</f>
        <v>120500</v>
      </c>
      <c r="D2535" s="1">
        <f>IFERROR(__xludf.DUMMYFUNCTION("""COMPUTED_VALUE"""),115500.0)</f>
        <v>115500</v>
      </c>
      <c r="E2535" s="1">
        <f>IFERROR(__xludf.DUMMYFUNCTION("""COMPUTED_VALUE"""),117000.0)</f>
        <v>117000</v>
      </c>
      <c r="F2535" s="1">
        <f>IFERROR(__xludf.DUMMYFUNCTION("""COMPUTED_VALUE"""),3445462.0)</f>
        <v>3445462</v>
      </c>
    </row>
    <row r="2536">
      <c r="A2536" s="2">
        <f>IFERROR(__xludf.DUMMYFUNCTION("""COMPUTED_VALUE"""),44316.64583333333)</f>
        <v>44316.64583</v>
      </c>
      <c r="B2536" s="1">
        <f>IFERROR(__xludf.DUMMYFUNCTION("""COMPUTED_VALUE"""),117000.0)</f>
        <v>117000</v>
      </c>
      <c r="C2536" s="1">
        <f>IFERROR(__xludf.DUMMYFUNCTION("""COMPUTED_VALUE"""),117000.0)</f>
        <v>117000</v>
      </c>
      <c r="D2536" s="1">
        <f>IFERROR(__xludf.DUMMYFUNCTION("""COMPUTED_VALUE"""),113000.0)</f>
        <v>113000</v>
      </c>
      <c r="E2536" s="1">
        <f>IFERROR(__xludf.DUMMYFUNCTION("""COMPUTED_VALUE"""),113500.0)</f>
        <v>113500</v>
      </c>
      <c r="F2536" s="1">
        <f>IFERROR(__xludf.DUMMYFUNCTION("""COMPUTED_VALUE"""),4405688.0)</f>
        <v>4405688</v>
      </c>
    </row>
    <row r="2537">
      <c r="A2537" s="2">
        <f>IFERROR(__xludf.DUMMYFUNCTION("""COMPUTED_VALUE"""),44319.64583333333)</f>
        <v>44319.64583</v>
      </c>
      <c r="B2537" s="1">
        <f>IFERROR(__xludf.DUMMYFUNCTION("""COMPUTED_VALUE"""),112500.0)</f>
        <v>112500</v>
      </c>
      <c r="C2537" s="1">
        <f>IFERROR(__xludf.DUMMYFUNCTION("""COMPUTED_VALUE"""),116000.0)</f>
        <v>116000</v>
      </c>
      <c r="D2537" s="1">
        <f>IFERROR(__xludf.DUMMYFUNCTION("""COMPUTED_VALUE"""),110000.0)</f>
        <v>110000</v>
      </c>
      <c r="E2537" s="1">
        <f>IFERROR(__xludf.DUMMYFUNCTION("""COMPUTED_VALUE"""),114500.0)</f>
        <v>114500</v>
      </c>
      <c r="F2537" s="1">
        <f>IFERROR(__xludf.DUMMYFUNCTION("""COMPUTED_VALUE"""),2832622.0)</f>
        <v>2832622</v>
      </c>
    </row>
    <row r="2538">
      <c r="A2538" s="2">
        <f>IFERROR(__xludf.DUMMYFUNCTION("""COMPUTED_VALUE"""),44320.64583333333)</f>
        <v>44320.64583</v>
      </c>
      <c r="B2538" s="1">
        <f>IFERROR(__xludf.DUMMYFUNCTION("""COMPUTED_VALUE"""),113500.0)</f>
        <v>113500</v>
      </c>
      <c r="C2538" s="1">
        <f>IFERROR(__xludf.DUMMYFUNCTION("""COMPUTED_VALUE"""),116000.0)</f>
        <v>116000</v>
      </c>
      <c r="D2538" s="1">
        <f>IFERROR(__xludf.DUMMYFUNCTION("""COMPUTED_VALUE"""),112000.0)</f>
        <v>112000</v>
      </c>
      <c r="E2538" s="1">
        <f>IFERROR(__xludf.DUMMYFUNCTION("""COMPUTED_VALUE"""),115500.0)</f>
        <v>115500</v>
      </c>
      <c r="F2538" s="1">
        <f>IFERROR(__xludf.DUMMYFUNCTION("""COMPUTED_VALUE"""),2228466.0)</f>
        <v>2228466</v>
      </c>
    </row>
    <row r="2539">
      <c r="A2539" s="2">
        <f>IFERROR(__xludf.DUMMYFUNCTION("""COMPUTED_VALUE"""),44322.64583333333)</f>
        <v>44322.64583</v>
      </c>
      <c r="B2539" s="1">
        <f>IFERROR(__xludf.DUMMYFUNCTION("""COMPUTED_VALUE"""),115000.0)</f>
        <v>115000</v>
      </c>
      <c r="C2539" s="1">
        <f>IFERROR(__xludf.DUMMYFUNCTION("""COMPUTED_VALUE"""),117500.0)</f>
        <v>117500</v>
      </c>
      <c r="D2539" s="1">
        <f>IFERROR(__xludf.DUMMYFUNCTION("""COMPUTED_VALUE"""),113500.0)</f>
        <v>113500</v>
      </c>
      <c r="E2539" s="1">
        <f>IFERROR(__xludf.DUMMYFUNCTION("""COMPUTED_VALUE"""),115000.0)</f>
        <v>115000</v>
      </c>
      <c r="F2539" s="1">
        <f>IFERROR(__xludf.DUMMYFUNCTION("""COMPUTED_VALUE"""),3234424.0)</f>
        <v>3234424</v>
      </c>
    </row>
    <row r="2540">
      <c r="A2540" s="2">
        <f>IFERROR(__xludf.DUMMYFUNCTION("""COMPUTED_VALUE"""),44323.64583333333)</f>
        <v>44323.64583</v>
      </c>
      <c r="B2540" s="1">
        <f>IFERROR(__xludf.DUMMYFUNCTION("""COMPUTED_VALUE"""),115500.0)</f>
        <v>115500</v>
      </c>
      <c r="C2540" s="1">
        <f>IFERROR(__xludf.DUMMYFUNCTION("""COMPUTED_VALUE"""),117000.0)</f>
        <v>117000</v>
      </c>
      <c r="D2540" s="1">
        <f>IFERROR(__xludf.DUMMYFUNCTION("""COMPUTED_VALUE"""),114000.0)</f>
        <v>114000</v>
      </c>
      <c r="E2540" s="1">
        <f>IFERROR(__xludf.DUMMYFUNCTION("""COMPUTED_VALUE"""),114500.0)</f>
        <v>114500</v>
      </c>
      <c r="F2540" s="1">
        <f>IFERROR(__xludf.DUMMYFUNCTION("""COMPUTED_VALUE"""),2040844.0)</f>
        <v>2040844</v>
      </c>
    </row>
    <row r="2541">
      <c r="A2541" s="2">
        <f>IFERROR(__xludf.DUMMYFUNCTION("""COMPUTED_VALUE"""),44326.64583333333)</f>
        <v>44326.64583</v>
      </c>
      <c r="B2541" s="1">
        <f>IFERROR(__xludf.DUMMYFUNCTION("""COMPUTED_VALUE"""),115500.0)</f>
        <v>115500</v>
      </c>
      <c r="C2541" s="1">
        <f>IFERROR(__xludf.DUMMYFUNCTION("""COMPUTED_VALUE"""),116500.0)</f>
        <v>116500</v>
      </c>
      <c r="D2541" s="1">
        <f>IFERROR(__xludf.DUMMYFUNCTION("""COMPUTED_VALUE"""),114500.0)</f>
        <v>114500</v>
      </c>
      <c r="E2541" s="1">
        <f>IFERROR(__xludf.DUMMYFUNCTION("""COMPUTED_VALUE"""),116000.0)</f>
        <v>116000</v>
      </c>
      <c r="F2541" s="1">
        <f>IFERROR(__xludf.DUMMYFUNCTION("""COMPUTED_VALUE"""),1898994.0)</f>
        <v>1898994</v>
      </c>
    </row>
    <row r="2542">
      <c r="A2542" s="2">
        <f>IFERROR(__xludf.DUMMYFUNCTION("""COMPUTED_VALUE"""),44327.64583333333)</f>
        <v>44327.64583</v>
      </c>
      <c r="B2542" s="1">
        <f>IFERROR(__xludf.DUMMYFUNCTION("""COMPUTED_VALUE"""),115000.0)</f>
        <v>115000</v>
      </c>
      <c r="C2542" s="1">
        <f>IFERROR(__xludf.DUMMYFUNCTION("""COMPUTED_VALUE"""),117000.0)</f>
        <v>117000</v>
      </c>
      <c r="D2542" s="1">
        <f>IFERROR(__xludf.DUMMYFUNCTION("""COMPUTED_VALUE"""),114500.0)</f>
        <v>114500</v>
      </c>
      <c r="E2542" s="1">
        <f>IFERROR(__xludf.DUMMYFUNCTION("""COMPUTED_VALUE"""),114500.0)</f>
        <v>114500</v>
      </c>
      <c r="F2542" s="1">
        <f>IFERROR(__xludf.DUMMYFUNCTION("""COMPUTED_VALUE"""),1875600.0)</f>
        <v>1875600</v>
      </c>
    </row>
    <row r="2543">
      <c r="A2543" s="2">
        <f>IFERROR(__xludf.DUMMYFUNCTION("""COMPUTED_VALUE"""),44328.64583333333)</f>
        <v>44328.64583</v>
      </c>
      <c r="B2543" s="1">
        <f>IFERROR(__xludf.DUMMYFUNCTION("""COMPUTED_VALUE"""),115000.0)</f>
        <v>115000</v>
      </c>
      <c r="C2543" s="1">
        <f>IFERROR(__xludf.DUMMYFUNCTION("""COMPUTED_VALUE"""),115500.0)</f>
        <v>115500</v>
      </c>
      <c r="D2543" s="1">
        <f>IFERROR(__xludf.DUMMYFUNCTION("""COMPUTED_VALUE"""),112000.0)</f>
        <v>112000</v>
      </c>
      <c r="E2543" s="1">
        <f>IFERROR(__xludf.DUMMYFUNCTION("""COMPUTED_VALUE"""),113000.0)</f>
        <v>113000</v>
      </c>
      <c r="F2543" s="1">
        <f>IFERROR(__xludf.DUMMYFUNCTION("""COMPUTED_VALUE"""),2558482.0)</f>
        <v>2558482</v>
      </c>
    </row>
    <row r="2544">
      <c r="A2544" s="2">
        <f>IFERROR(__xludf.DUMMYFUNCTION("""COMPUTED_VALUE"""),44329.64583333333)</f>
        <v>44329.64583</v>
      </c>
      <c r="B2544" s="1">
        <f>IFERROR(__xludf.DUMMYFUNCTION("""COMPUTED_VALUE"""),109000.0)</f>
        <v>109000</v>
      </c>
      <c r="C2544" s="1">
        <f>IFERROR(__xludf.DUMMYFUNCTION("""COMPUTED_VALUE"""),111000.0)</f>
        <v>111000</v>
      </c>
      <c r="D2544" s="1">
        <f>IFERROR(__xludf.DUMMYFUNCTION("""COMPUTED_VALUE"""),108000.0)</f>
        <v>108000</v>
      </c>
      <c r="E2544" s="1">
        <f>IFERROR(__xludf.DUMMYFUNCTION("""COMPUTED_VALUE"""),109500.0)</f>
        <v>109500</v>
      </c>
      <c r="F2544" s="1">
        <f>IFERROR(__xludf.DUMMYFUNCTION("""COMPUTED_VALUE"""),4201490.0)</f>
        <v>4201490</v>
      </c>
    </row>
    <row r="2545">
      <c r="A2545" s="2">
        <f>IFERROR(__xludf.DUMMYFUNCTION("""COMPUTED_VALUE"""),44330.64583333333)</f>
        <v>44330.64583</v>
      </c>
      <c r="B2545" s="1">
        <f>IFERROR(__xludf.DUMMYFUNCTION("""COMPUTED_VALUE"""),109500.0)</f>
        <v>109500</v>
      </c>
      <c r="C2545" s="1">
        <f>IFERROR(__xludf.DUMMYFUNCTION("""COMPUTED_VALUE"""),111500.0)</f>
        <v>111500</v>
      </c>
      <c r="D2545" s="1">
        <f>IFERROR(__xludf.DUMMYFUNCTION("""COMPUTED_VALUE"""),108000.0)</f>
        <v>108000</v>
      </c>
      <c r="E2545" s="1">
        <f>IFERROR(__xludf.DUMMYFUNCTION("""COMPUTED_VALUE"""),109000.0)</f>
        <v>109000</v>
      </c>
      <c r="F2545" s="1">
        <f>IFERROR(__xludf.DUMMYFUNCTION("""COMPUTED_VALUE"""),2276082.0)</f>
        <v>2276082</v>
      </c>
    </row>
    <row r="2546">
      <c r="A2546" s="2">
        <f>IFERROR(__xludf.DUMMYFUNCTION("""COMPUTED_VALUE"""),44333.64583333333)</f>
        <v>44333.64583</v>
      </c>
      <c r="B2546" s="1">
        <f>IFERROR(__xludf.DUMMYFUNCTION("""COMPUTED_VALUE"""),109000.0)</f>
        <v>109000</v>
      </c>
      <c r="C2546" s="1">
        <f>IFERROR(__xludf.DUMMYFUNCTION("""COMPUTED_VALUE"""),111000.0)</f>
        <v>111000</v>
      </c>
      <c r="D2546" s="1">
        <f>IFERROR(__xludf.DUMMYFUNCTION("""COMPUTED_VALUE"""),109000.0)</f>
        <v>109000</v>
      </c>
      <c r="E2546" s="1">
        <f>IFERROR(__xludf.DUMMYFUNCTION("""COMPUTED_VALUE"""),110500.0)</f>
        <v>110500</v>
      </c>
      <c r="F2546" s="1">
        <f>IFERROR(__xludf.DUMMYFUNCTION("""COMPUTED_VALUE"""),1656454.0)</f>
        <v>1656454</v>
      </c>
    </row>
    <row r="2547">
      <c r="A2547" s="2">
        <f>IFERROR(__xludf.DUMMYFUNCTION("""COMPUTED_VALUE"""),44334.64583333333)</f>
        <v>44334.64583</v>
      </c>
      <c r="B2547" s="1">
        <f>IFERROR(__xludf.DUMMYFUNCTION("""COMPUTED_VALUE"""),111500.0)</f>
        <v>111500</v>
      </c>
      <c r="C2547" s="1">
        <f>IFERROR(__xludf.DUMMYFUNCTION("""COMPUTED_VALUE"""),114500.0)</f>
        <v>114500</v>
      </c>
      <c r="D2547" s="1">
        <f>IFERROR(__xludf.DUMMYFUNCTION("""COMPUTED_VALUE"""),111000.0)</f>
        <v>111000</v>
      </c>
      <c r="E2547" s="1">
        <f>IFERROR(__xludf.DUMMYFUNCTION("""COMPUTED_VALUE"""),113000.0)</f>
        <v>113000</v>
      </c>
      <c r="F2547" s="1">
        <f>IFERROR(__xludf.DUMMYFUNCTION("""COMPUTED_VALUE"""),1585701.0)</f>
        <v>1585701</v>
      </c>
    </row>
    <row r="2548">
      <c r="A2548" s="2">
        <f>IFERROR(__xludf.DUMMYFUNCTION("""COMPUTED_VALUE"""),44336.64583333333)</f>
        <v>44336.64583</v>
      </c>
      <c r="B2548" s="1">
        <f>IFERROR(__xludf.DUMMYFUNCTION("""COMPUTED_VALUE"""),112500.0)</f>
        <v>112500</v>
      </c>
      <c r="C2548" s="1">
        <f>IFERROR(__xludf.DUMMYFUNCTION("""COMPUTED_VALUE"""),115500.0)</f>
        <v>115500</v>
      </c>
      <c r="D2548" s="1">
        <f>IFERROR(__xludf.DUMMYFUNCTION("""COMPUTED_VALUE"""),112000.0)</f>
        <v>112000</v>
      </c>
      <c r="E2548" s="1">
        <f>IFERROR(__xludf.DUMMYFUNCTION("""COMPUTED_VALUE"""),113500.0)</f>
        <v>113500</v>
      </c>
      <c r="F2548" s="1">
        <f>IFERROR(__xludf.DUMMYFUNCTION("""COMPUTED_VALUE"""),2135101.0)</f>
        <v>2135101</v>
      </c>
    </row>
    <row r="2549">
      <c r="A2549" s="2">
        <f>IFERROR(__xludf.DUMMYFUNCTION("""COMPUTED_VALUE"""),44337.64583333333)</f>
        <v>44337.64583</v>
      </c>
      <c r="B2549" s="1">
        <f>IFERROR(__xludf.DUMMYFUNCTION("""COMPUTED_VALUE"""),116000.0)</f>
        <v>116000</v>
      </c>
      <c r="C2549" s="1">
        <f>IFERROR(__xludf.DUMMYFUNCTION("""COMPUTED_VALUE"""),119000.0)</f>
        <v>119000</v>
      </c>
      <c r="D2549" s="1">
        <f>IFERROR(__xludf.DUMMYFUNCTION("""COMPUTED_VALUE"""),114500.0)</f>
        <v>114500</v>
      </c>
      <c r="E2549" s="1">
        <f>IFERROR(__xludf.DUMMYFUNCTION("""COMPUTED_VALUE"""),117000.0)</f>
        <v>117000</v>
      </c>
      <c r="F2549" s="1">
        <f>IFERROR(__xludf.DUMMYFUNCTION("""COMPUTED_VALUE"""),3018548.0)</f>
        <v>3018548</v>
      </c>
    </row>
    <row r="2550">
      <c r="A2550" s="2">
        <f>IFERROR(__xludf.DUMMYFUNCTION("""COMPUTED_VALUE"""),44340.64583333333)</f>
        <v>44340.64583</v>
      </c>
      <c r="B2550" s="1">
        <f>IFERROR(__xludf.DUMMYFUNCTION("""COMPUTED_VALUE"""),116500.0)</f>
        <v>116500</v>
      </c>
      <c r="C2550" s="1">
        <f>IFERROR(__xludf.DUMMYFUNCTION("""COMPUTED_VALUE"""),118000.0)</f>
        <v>118000</v>
      </c>
      <c r="D2550" s="1">
        <f>IFERROR(__xludf.DUMMYFUNCTION("""COMPUTED_VALUE"""),115500.0)</f>
        <v>115500</v>
      </c>
      <c r="E2550" s="1">
        <f>IFERROR(__xludf.DUMMYFUNCTION("""COMPUTED_VALUE"""),116500.0)</f>
        <v>116500</v>
      </c>
      <c r="F2550" s="1">
        <f>IFERROR(__xludf.DUMMYFUNCTION("""COMPUTED_VALUE"""),1715308.0)</f>
        <v>1715308</v>
      </c>
    </row>
    <row r="2551">
      <c r="A2551" s="2">
        <f>IFERROR(__xludf.DUMMYFUNCTION("""COMPUTED_VALUE"""),44341.64583333333)</f>
        <v>44341.64583</v>
      </c>
      <c r="B2551" s="1">
        <f>IFERROR(__xludf.DUMMYFUNCTION("""COMPUTED_VALUE"""),117000.0)</f>
        <v>117000</v>
      </c>
      <c r="C2551" s="1">
        <f>IFERROR(__xludf.DUMMYFUNCTION("""COMPUTED_VALUE"""),118000.0)</f>
        <v>118000</v>
      </c>
      <c r="D2551" s="1">
        <f>IFERROR(__xludf.DUMMYFUNCTION("""COMPUTED_VALUE"""),116000.0)</f>
        <v>116000</v>
      </c>
      <c r="E2551" s="1">
        <f>IFERROR(__xludf.DUMMYFUNCTION("""COMPUTED_VALUE"""),118000.0)</f>
        <v>118000</v>
      </c>
      <c r="F2551" s="1">
        <f>IFERROR(__xludf.DUMMYFUNCTION("""COMPUTED_VALUE"""),1777001.0)</f>
        <v>1777001</v>
      </c>
    </row>
    <row r="2552">
      <c r="A2552" s="2">
        <f>IFERROR(__xludf.DUMMYFUNCTION("""COMPUTED_VALUE"""),44342.64583333333)</f>
        <v>44342.64583</v>
      </c>
      <c r="B2552" s="1">
        <f>IFERROR(__xludf.DUMMYFUNCTION("""COMPUTED_VALUE"""),118500.0)</f>
        <v>118500</v>
      </c>
      <c r="C2552" s="1">
        <f>IFERROR(__xludf.DUMMYFUNCTION("""COMPUTED_VALUE"""),120000.0)</f>
        <v>120000</v>
      </c>
      <c r="D2552" s="1">
        <f>IFERROR(__xludf.DUMMYFUNCTION("""COMPUTED_VALUE"""),117500.0)</f>
        <v>117500</v>
      </c>
      <c r="E2552" s="1">
        <f>IFERROR(__xludf.DUMMYFUNCTION("""COMPUTED_VALUE"""),119500.0)</f>
        <v>119500</v>
      </c>
      <c r="F2552" s="1">
        <f>IFERROR(__xludf.DUMMYFUNCTION("""COMPUTED_VALUE"""),2308405.0)</f>
        <v>2308405</v>
      </c>
    </row>
    <row r="2553">
      <c r="A2553" s="2">
        <f>IFERROR(__xludf.DUMMYFUNCTION("""COMPUTED_VALUE"""),44343.64583333333)</f>
        <v>44343.64583</v>
      </c>
      <c r="B2553" s="1">
        <f>IFERROR(__xludf.DUMMYFUNCTION("""COMPUTED_VALUE"""),120000.0)</f>
        <v>120000</v>
      </c>
      <c r="C2553" s="1">
        <f>IFERROR(__xludf.DUMMYFUNCTION("""COMPUTED_VALUE"""),125000.0)</f>
        <v>125000</v>
      </c>
      <c r="D2553" s="1">
        <f>IFERROR(__xludf.DUMMYFUNCTION("""COMPUTED_VALUE"""),119500.0)</f>
        <v>119500</v>
      </c>
      <c r="E2553" s="1">
        <f>IFERROR(__xludf.DUMMYFUNCTION("""COMPUTED_VALUE"""),125000.0)</f>
        <v>125000</v>
      </c>
      <c r="F2553" s="1">
        <f>IFERROR(__xludf.DUMMYFUNCTION("""COMPUTED_VALUE"""),7398732.0)</f>
        <v>7398732</v>
      </c>
    </row>
    <row r="2554">
      <c r="A2554" s="2">
        <f>IFERROR(__xludf.DUMMYFUNCTION("""COMPUTED_VALUE"""),44344.64583333333)</f>
        <v>44344.64583</v>
      </c>
      <c r="B2554" s="1">
        <f>IFERROR(__xludf.DUMMYFUNCTION("""COMPUTED_VALUE"""),125000.0)</f>
        <v>125000</v>
      </c>
      <c r="C2554" s="1">
        <f>IFERROR(__xludf.DUMMYFUNCTION("""COMPUTED_VALUE"""),125500.0)</f>
        <v>125500</v>
      </c>
      <c r="D2554" s="1">
        <f>IFERROR(__xludf.DUMMYFUNCTION("""COMPUTED_VALUE"""),120500.0)</f>
        <v>120500</v>
      </c>
      <c r="E2554" s="1">
        <f>IFERROR(__xludf.DUMMYFUNCTION("""COMPUTED_VALUE"""),122000.0)</f>
        <v>122000</v>
      </c>
      <c r="F2554" s="1">
        <f>IFERROR(__xludf.DUMMYFUNCTION("""COMPUTED_VALUE"""),3685820.0)</f>
        <v>3685820</v>
      </c>
    </row>
    <row r="2555">
      <c r="A2555" s="2">
        <f>IFERROR(__xludf.DUMMYFUNCTION("""COMPUTED_VALUE"""),44347.64583333333)</f>
        <v>44347.64583</v>
      </c>
      <c r="B2555" s="1">
        <f>IFERROR(__xludf.DUMMYFUNCTION("""COMPUTED_VALUE"""),122000.0)</f>
        <v>122000</v>
      </c>
      <c r="C2555" s="1">
        <f>IFERROR(__xludf.DUMMYFUNCTION("""COMPUTED_VALUE"""),123000.0)</f>
        <v>123000</v>
      </c>
      <c r="D2555" s="1">
        <f>IFERROR(__xludf.DUMMYFUNCTION("""COMPUTED_VALUE"""),120500.0)</f>
        <v>120500</v>
      </c>
      <c r="E2555" s="1">
        <f>IFERROR(__xludf.DUMMYFUNCTION("""COMPUTED_VALUE"""),123000.0)</f>
        <v>123000</v>
      </c>
      <c r="F2555" s="1">
        <f>IFERROR(__xludf.DUMMYFUNCTION("""COMPUTED_VALUE"""),2299358.0)</f>
        <v>2299358</v>
      </c>
    </row>
    <row r="2556">
      <c r="A2556" s="2">
        <f>IFERROR(__xludf.DUMMYFUNCTION("""COMPUTED_VALUE"""),44348.64583333333)</f>
        <v>44348.64583</v>
      </c>
      <c r="B2556" s="1">
        <f>IFERROR(__xludf.DUMMYFUNCTION("""COMPUTED_VALUE"""),123500.0)</f>
        <v>123500</v>
      </c>
      <c r="C2556" s="1">
        <f>IFERROR(__xludf.DUMMYFUNCTION("""COMPUTED_VALUE"""),127000.0)</f>
        <v>127000</v>
      </c>
      <c r="D2556" s="1">
        <f>IFERROR(__xludf.DUMMYFUNCTION("""COMPUTED_VALUE"""),123000.0)</f>
        <v>123000</v>
      </c>
      <c r="E2556" s="1">
        <f>IFERROR(__xludf.DUMMYFUNCTION("""COMPUTED_VALUE"""),127000.0)</f>
        <v>127000</v>
      </c>
      <c r="F2556" s="1">
        <f>IFERROR(__xludf.DUMMYFUNCTION("""COMPUTED_VALUE"""),3573808.0)</f>
        <v>3573808</v>
      </c>
    </row>
    <row r="2557">
      <c r="A2557" s="2">
        <f>IFERROR(__xludf.DUMMYFUNCTION("""COMPUTED_VALUE"""),44349.64583333333)</f>
        <v>44349.64583</v>
      </c>
      <c r="B2557" s="1">
        <f>IFERROR(__xludf.DUMMYFUNCTION("""COMPUTED_VALUE"""),128000.0)</f>
        <v>128000</v>
      </c>
      <c r="C2557" s="1">
        <f>IFERROR(__xludf.DUMMYFUNCTION("""COMPUTED_VALUE"""),129500.0)</f>
        <v>129500</v>
      </c>
      <c r="D2557" s="1">
        <f>IFERROR(__xludf.DUMMYFUNCTION("""COMPUTED_VALUE"""),126000.0)</f>
        <v>126000</v>
      </c>
      <c r="E2557" s="1">
        <f>IFERROR(__xludf.DUMMYFUNCTION("""COMPUTED_VALUE"""),127000.0)</f>
        <v>127000</v>
      </c>
      <c r="F2557" s="1">
        <f>IFERROR(__xludf.DUMMYFUNCTION("""COMPUTED_VALUE"""),2597446.0)</f>
        <v>2597446</v>
      </c>
    </row>
    <row r="2558">
      <c r="A2558" s="2">
        <f>IFERROR(__xludf.DUMMYFUNCTION("""COMPUTED_VALUE"""),44350.64583333333)</f>
        <v>44350.64583</v>
      </c>
      <c r="B2558" s="1">
        <f>IFERROR(__xludf.DUMMYFUNCTION("""COMPUTED_VALUE"""),127500.0)</f>
        <v>127500</v>
      </c>
      <c r="C2558" s="1">
        <f>IFERROR(__xludf.DUMMYFUNCTION("""COMPUTED_VALUE"""),128500.0)</f>
        <v>128500</v>
      </c>
      <c r="D2558" s="1">
        <f>IFERROR(__xludf.DUMMYFUNCTION("""COMPUTED_VALUE"""),126000.0)</f>
        <v>126000</v>
      </c>
      <c r="E2558" s="1">
        <f>IFERROR(__xludf.DUMMYFUNCTION("""COMPUTED_VALUE"""),126500.0)</f>
        <v>126500</v>
      </c>
      <c r="F2558" s="1">
        <f>IFERROR(__xludf.DUMMYFUNCTION("""COMPUTED_VALUE"""),1737466.0)</f>
        <v>1737466</v>
      </c>
    </row>
    <row r="2559">
      <c r="A2559" s="2">
        <f>IFERROR(__xludf.DUMMYFUNCTION("""COMPUTED_VALUE"""),44351.64583333333)</f>
        <v>44351.64583</v>
      </c>
      <c r="B2559" s="1">
        <f>IFERROR(__xludf.DUMMYFUNCTION("""COMPUTED_VALUE"""),126000.0)</f>
        <v>126000</v>
      </c>
      <c r="C2559" s="1">
        <f>IFERROR(__xludf.DUMMYFUNCTION("""COMPUTED_VALUE"""),126000.0)</f>
        <v>126000</v>
      </c>
      <c r="D2559" s="1">
        <f>IFERROR(__xludf.DUMMYFUNCTION("""COMPUTED_VALUE"""),123000.0)</f>
        <v>123000</v>
      </c>
      <c r="E2559" s="1">
        <f>IFERROR(__xludf.DUMMYFUNCTION("""COMPUTED_VALUE"""),124000.0)</f>
        <v>124000</v>
      </c>
      <c r="F2559" s="1">
        <f>IFERROR(__xludf.DUMMYFUNCTION("""COMPUTED_VALUE"""),2668254.0)</f>
        <v>2668254</v>
      </c>
    </row>
    <row r="2560">
      <c r="A2560" s="2">
        <f>IFERROR(__xludf.DUMMYFUNCTION("""COMPUTED_VALUE"""),44354.64583333333)</f>
        <v>44354.64583</v>
      </c>
      <c r="B2560" s="1">
        <f>IFERROR(__xludf.DUMMYFUNCTION("""COMPUTED_VALUE"""),125000.0)</f>
        <v>125000</v>
      </c>
      <c r="C2560" s="1">
        <f>IFERROR(__xludf.DUMMYFUNCTION("""COMPUTED_VALUE"""),127000.0)</f>
        <v>127000</v>
      </c>
      <c r="D2560" s="1">
        <f>IFERROR(__xludf.DUMMYFUNCTION("""COMPUTED_VALUE"""),125000.0)</f>
        <v>125000</v>
      </c>
      <c r="E2560" s="1">
        <f>IFERROR(__xludf.DUMMYFUNCTION("""COMPUTED_VALUE"""),126000.0)</f>
        <v>126000</v>
      </c>
      <c r="F2560" s="1">
        <f>IFERROR(__xludf.DUMMYFUNCTION("""COMPUTED_VALUE"""),1905198.0)</f>
        <v>1905198</v>
      </c>
    </row>
    <row r="2561">
      <c r="A2561" s="2">
        <f>IFERROR(__xludf.DUMMYFUNCTION("""COMPUTED_VALUE"""),44355.64583333333)</f>
        <v>44355.64583</v>
      </c>
      <c r="B2561" s="1">
        <f>IFERROR(__xludf.DUMMYFUNCTION("""COMPUTED_VALUE"""),127000.0)</f>
        <v>127000</v>
      </c>
      <c r="C2561" s="1">
        <f>IFERROR(__xludf.DUMMYFUNCTION("""COMPUTED_VALUE"""),128500.0)</f>
        <v>128500</v>
      </c>
      <c r="D2561" s="1">
        <f>IFERROR(__xludf.DUMMYFUNCTION("""COMPUTED_VALUE"""),126500.0)</f>
        <v>126500</v>
      </c>
      <c r="E2561" s="1">
        <f>IFERROR(__xludf.DUMMYFUNCTION("""COMPUTED_VALUE"""),128500.0)</f>
        <v>128500</v>
      </c>
      <c r="F2561" s="1">
        <f>IFERROR(__xludf.DUMMYFUNCTION("""COMPUTED_VALUE"""),2248373.0)</f>
        <v>2248373</v>
      </c>
    </row>
    <row r="2562">
      <c r="A2562" s="2">
        <f>IFERROR(__xludf.DUMMYFUNCTION("""COMPUTED_VALUE"""),44356.64583333333)</f>
        <v>44356.64583</v>
      </c>
      <c r="B2562" s="1">
        <f>IFERROR(__xludf.DUMMYFUNCTION("""COMPUTED_VALUE"""),128500.0)</f>
        <v>128500</v>
      </c>
      <c r="C2562" s="1">
        <f>IFERROR(__xludf.DUMMYFUNCTION("""COMPUTED_VALUE"""),130000.0)</f>
        <v>130000</v>
      </c>
      <c r="D2562" s="1">
        <f>IFERROR(__xludf.DUMMYFUNCTION("""COMPUTED_VALUE"""),128500.0)</f>
        <v>128500</v>
      </c>
      <c r="E2562" s="1">
        <f>IFERROR(__xludf.DUMMYFUNCTION("""COMPUTED_VALUE"""),129000.0)</f>
        <v>129000</v>
      </c>
      <c r="F2562" s="1">
        <f>IFERROR(__xludf.DUMMYFUNCTION("""COMPUTED_VALUE"""),1936747.0)</f>
        <v>1936747</v>
      </c>
    </row>
    <row r="2563">
      <c r="A2563" s="2">
        <f>IFERROR(__xludf.DUMMYFUNCTION("""COMPUTED_VALUE"""),44357.64583333333)</f>
        <v>44357.64583</v>
      </c>
      <c r="B2563" s="1">
        <f>IFERROR(__xludf.DUMMYFUNCTION("""COMPUTED_VALUE"""),130000.0)</f>
        <v>130000</v>
      </c>
      <c r="C2563" s="1">
        <f>IFERROR(__xludf.DUMMYFUNCTION("""COMPUTED_VALUE"""),135000.0)</f>
        <v>135000</v>
      </c>
      <c r="D2563" s="1">
        <f>IFERROR(__xludf.DUMMYFUNCTION("""COMPUTED_VALUE"""),129500.0)</f>
        <v>129500</v>
      </c>
      <c r="E2563" s="1">
        <f>IFERROR(__xludf.DUMMYFUNCTION("""COMPUTED_VALUE"""),133500.0)</f>
        <v>133500</v>
      </c>
      <c r="F2563" s="1">
        <f>IFERROR(__xludf.DUMMYFUNCTION("""COMPUTED_VALUE"""),5564011.0)</f>
        <v>5564011</v>
      </c>
    </row>
    <row r="2564">
      <c r="A2564" s="2">
        <f>IFERROR(__xludf.DUMMYFUNCTION("""COMPUTED_VALUE"""),44358.64583333333)</f>
        <v>44358.64583</v>
      </c>
      <c r="B2564" s="1">
        <f>IFERROR(__xludf.DUMMYFUNCTION("""COMPUTED_VALUE"""),134500.0)</f>
        <v>134500</v>
      </c>
      <c r="C2564" s="1">
        <f>IFERROR(__xludf.DUMMYFUNCTION("""COMPUTED_VALUE"""),136500.0)</f>
        <v>136500</v>
      </c>
      <c r="D2564" s="1">
        <f>IFERROR(__xludf.DUMMYFUNCTION("""COMPUTED_VALUE"""),132000.0)</f>
        <v>132000</v>
      </c>
      <c r="E2564" s="1">
        <f>IFERROR(__xludf.DUMMYFUNCTION("""COMPUTED_VALUE"""),135500.0)</f>
        <v>135500</v>
      </c>
      <c r="F2564" s="1">
        <f>IFERROR(__xludf.DUMMYFUNCTION("""COMPUTED_VALUE"""),3674400.0)</f>
        <v>3674400</v>
      </c>
    </row>
    <row r="2565">
      <c r="A2565" s="2">
        <f>IFERROR(__xludf.DUMMYFUNCTION("""COMPUTED_VALUE"""),44361.64583333333)</f>
        <v>44361.64583</v>
      </c>
      <c r="B2565" s="1">
        <f>IFERROR(__xludf.DUMMYFUNCTION("""COMPUTED_VALUE"""),136000.0)</f>
        <v>136000</v>
      </c>
      <c r="C2565" s="1">
        <f>IFERROR(__xludf.DUMMYFUNCTION("""COMPUTED_VALUE"""),143000.0)</f>
        <v>143000</v>
      </c>
      <c r="D2565" s="1">
        <f>IFERROR(__xludf.DUMMYFUNCTION("""COMPUTED_VALUE"""),136000.0)</f>
        <v>136000</v>
      </c>
      <c r="E2565" s="1">
        <f>IFERROR(__xludf.DUMMYFUNCTION("""COMPUTED_VALUE"""),142500.0)</f>
        <v>142500</v>
      </c>
      <c r="F2565" s="1">
        <f>IFERROR(__xludf.DUMMYFUNCTION("""COMPUTED_VALUE"""),6240394.0)</f>
        <v>6240394</v>
      </c>
    </row>
    <row r="2566">
      <c r="A2566" s="2">
        <f>IFERROR(__xludf.DUMMYFUNCTION("""COMPUTED_VALUE"""),44362.64583333333)</f>
        <v>44362.64583</v>
      </c>
      <c r="B2566" s="1">
        <f>IFERROR(__xludf.DUMMYFUNCTION("""COMPUTED_VALUE"""),143500.0)</f>
        <v>143500</v>
      </c>
      <c r="C2566" s="1">
        <f>IFERROR(__xludf.DUMMYFUNCTION("""COMPUTED_VALUE"""),144500.0)</f>
        <v>144500</v>
      </c>
      <c r="D2566" s="1">
        <f>IFERROR(__xludf.DUMMYFUNCTION("""COMPUTED_VALUE"""),140500.0)</f>
        <v>140500</v>
      </c>
      <c r="E2566" s="1">
        <f>IFERROR(__xludf.DUMMYFUNCTION("""COMPUTED_VALUE"""),144500.0)</f>
        <v>144500</v>
      </c>
      <c r="F2566" s="1">
        <f>IFERROR(__xludf.DUMMYFUNCTION("""COMPUTED_VALUE"""),4950329.0)</f>
        <v>4950329</v>
      </c>
    </row>
    <row r="2567">
      <c r="A2567" s="2">
        <f>IFERROR(__xludf.DUMMYFUNCTION("""COMPUTED_VALUE"""),44363.64583333333)</f>
        <v>44363.64583</v>
      </c>
      <c r="B2567" s="1">
        <f>IFERROR(__xludf.DUMMYFUNCTION("""COMPUTED_VALUE"""),144000.0)</f>
        <v>144000</v>
      </c>
      <c r="C2567" s="1">
        <f>IFERROR(__xludf.DUMMYFUNCTION("""COMPUTED_VALUE"""),146000.0)</f>
        <v>146000</v>
      </c>
      <c r="D2567" s="1">
        <f>IFERROR(__xludf.DUMMYFUNCTION("""COMPUTED_VALUE"""),142500.0)</f>
        <v>142500</v>
      </c>
      <c r="E2567" s="1">
        <f>IFERROR(__xludf.DUMMYFUNCTION("""COMPUTED_VALUE"""),143000.0)</f>
        <v>143000</v>
      </c>
      <c r="F2567" s="1">
        <f>IFERROR(__xludf.DUMMYFUNCTION("""COMPUTED_VALUE"""),4996272.0)</f>
        <v>4996272</v>
      </c>
    </row>
    <row r="2568">
      <c r="A2568" s="2">
        <f>IFERROR(__xludf.DUMMYFUNCTION("""COMPUTED_VALUE"""),44364.64583333333)</f>
        <v>44364.64583</v>
      </c>
      <c r="B2568" s="1">
        <f>IFERROR(__xludf.DUMMYFUNCTION("""COMPUTED_VALUE"""),142000.0)</f>
        <v>142000</v>
      </c>
      <c r="C2568" s="1">
        <f>IFERROR(__xludf.DUMMYFUNCTION("""COMPUTED_VALUE"""),149500.0)</f>
        <v>149500</v>
      </c>
      <c r="D2568" s="1">
        <f>IFERROR(__xludf.DUMMYFUNCTION("""COMPUTED_VALUE"""),140500.0)</f>
        <v>140500</v>
      </c>
      <c r="E2568" s="1">
        <f>IFERROR(__xludf.DUMMYFUNCTION("""COMPUTED_VALUE"""),148000.0)</f>
        <v>148000</v>
      </c>
      <c r="F2568" s="1">
        <f>IFERROR(__xludf.DUMMYFUNCTION("""COMPUTED_VALUE"""),5408889.0)</f>
        <v>5408889</v>
      </c>
    </row>
    <row r="2569">
      <c r="A2569" s="2">
        <f>IFERROR(__xludf.DUMMYFUNCTION("""COMPUTED_VALUE"""),44365.64583333333)</f>
        <v>44365.64583</v>
      </c>
      <c r="B2569" s="1">
        <f>IFERROR(__xludf.DUMMYFUNCTION("""COMPUTED_VALUE"""),150000.0)</f>
        <v>150000</v>
      </c>
      <c r="C2569" s="1">
        <f>IFERROR(__xludf.DUMMYFUNCTION("""COMPUTED_VALUE"""),157500.0)</f>
        <v>157500</v>
      </c>
      <c r="D2569" s="1">
        <f>IFERROR(__xludf.DUMMYFUNCTION("""COMPUTED_VALUE"""),149500.0)</f>
        <v>149500</v>
      </c>
      <c r="E2569" s="1">
        <f>IFERROR(__xludf.DUMMYFUNCTION("""COMPUTED_VALUE"""),155000.0)</f>
        <v>155000</v>
      </c>
      <c r="F2569" s="1">
        <f>IFERROR(__xludf.DUMMYFUNCTION("""COMPUTED_VALUE"""),7706345.0)</f>
        <v>7706345</v>
      </c>
    </row>
    <row r="2570">
      <c r="A2570" s="2">
        <f>IFERROR(__xludf.DUMMYFUNCTION("""COMPUTED_VALUE"""),44368.64583333333)</f>
        <v>44368.64583</v>
      </c>
      <c r="B2570" s="1">
        <f>IFERROR(__xludf.DUMMYFUNCTION("""COMPUTED_VALUE"""),155500.0)</f>
        <v>155500</v>
      </c>
      <c r="C2570" s="1">
        <f>IFERROR(__xludf.DUMMYFUNCTION("""COMPUTED_VALUE"""),159500.0)</f>
        <v>159500</v>
      </c>
      <c r="D2570" s="1">
        <f>IFERROR(__xludf.DUMMYFUNCTION("""COMPUTED_VALUE"""),152000.0)</f>
        <v>152000</v>
      </c>
      <c r="E2570" s="1">
        <f>IFERROR(__xludf.DUMMYFUNCTION("""COMPUTED_VALUE"""),155000.0)</f>
        <v>155000</v>
      </c>
      <c r="F2570" s="1">
        <f>IFERROR(__xludf.DUMMYFUNCTION("""COMPUTED_VALUE"""),8324948.0)</f>
        <v>8324948</v>
      </c>
    </row>
    <row r="2571">
      <c r="A2571" s="2">
        <f>IFERROR(__xludf.DUMMYFUNCTION("""COMPUTED_VALUE"""),44369.64583333333)</f>
        <v>44369.64583</v>
      </c>
      <c r="B2571" s="1">
        <f>IFERROR(__xludf.DUMMYFUNCTION("""COMPUTED_VALUE"""),158000.0)</f>
        <v>158000</v>
      </c>
      <c r="C2571" s="1">
        <f>IFERROR(__xludf.DUMMYFUNCTION("""COMPUTED_VALUE"""),159000.0)</f>
        <v>159000</v>
      </c>
      <c r="D2571" s="1">
        <f>IFERROR(__xludf.DUMMYFUNCTION("""COMPUTED_VALUE"""),155500.0)</f>
        <v>155500</v>
      </c>
      <c r="E2571" s="1">
        <f>IFERROR(__xludf.DUMMYFUNCTION("""COMPUTED_VALUE"""),159000.0)</f>
        <v>159000</v>
      </c>
      <c r="F2571" s="1">
        <f>IFERROR(__xludf.DUMMYFUNCTION("""COMPUTED_VALUE"""),4662042.0)</f>
        <v>4662042</v>
      </c>
    </row>
    <row r="2572">
      <c r="A2572" s="2">
        <f>IFERROR(__xludf.DUMMYFUNCTION("""COMPUTED_VALUE"""),44370.64583333333)</f>
        <v>44370.64583</v>
      </c>
      <c r="B2572" s="1">
        <f>IFERROR(__xludf.DUMMYFUNCTION("""COMPUTED_VALUE"""),162500.0)</f>
        <v>162500</v>
      </c>
      <c r="C2572" s="1">
        <f>IFERROR(__xludf.DUMMYFUNCTION("""COMPUTED_VALUE"""),170000.0)</f>
        <v>170000</v>
      </c>
      <c r="D2572" s="1">
        <f>IFERROR(__xludf.DUMMYFUNCTION("""COMPUTED_VALUE"""),161000.0)</f>
        <v>161000</v>
      </c>
      <c r="E2572" s="1">
        <f>IFERROR(__xludf.DUMMYFUNCTION("""COMPUTED_VALUE"""),169500.0)</f>
        <v>169500</v>
      </c>
      <c r="F2572" s="1">
        <f>IFERROR(__xludf.DUMMYFUNCTION("""COMPUTED_VALUE"""),9078797.0)</f>
        <v>9078797</v>
      </c>
    </row>
    <row r="2573">
      <c r="A2573" s="2">
        <f>IFERROR(__xludf.DUMMYFUNCTION("""COMPUTED_VALUE"""),44371.64583333333)</f>
        <v>44371.64583</v>
      </c>
      <c r="B2573" s="1">
        <f>IFERROR(__xludf.DUMMYFUNCTION("""COMPUTED_VALUE"""),172000.0)</f>
        <v>172000</v>
      </c>
      <c r="C2573" s="1">
        <f>IFERROR(__xludf.DUMMYFUNCTION("""COMPUTED_VALUE"""),173000.0)</f>
        <v>173000</v>
      </c>
      <c r="D2573" s="1">
        <f>IFERROR(__xludf.DUMMYFUNCTION("""COMPUTED_VALUE"""),155500.0)</f>
        <v>155500</v>
      </c>
      <c r="E2573" s="1">
        <f>IFERROR(__xludf.DUMMYFUNCTION("""COMPUTED_VALUE"""),157000.0)</f>
        <v>157000</v>
      </c>
      <c r="F2573" s="1">
        <f>IFERROR(__xludf.DUMMYFUNCTION("""COMPUTED_VALUE"""),1.8408195E7)</f>
        <v>18408195</v>
      </c>
    </row>
    <row r="2574">
      <c r="A2574" s="2">
        <f>IFERROR(__xludf.DUMMYFUNCTION("""COMPUTED_VALUE"""),44372.64583333333)</f>
        <v>44372.64583</v>
      </c>
      <c r="B2574" s="1">
        <f>IFERROR(__xludf.DUMMYFUNCTION("""COMPUTED_VALUE"""),155000.0)</f>
        <v>155000</v>
      </c>
      <c r="C2574" s="1">
        <f>IFERROR(__xludf.DUMMYFUNCTION("""COMPUTED_VALUE"""),159500.0)</f>
        <v>159500</v>
      </c>
      <c r="D2574" s="1">
        <f>IFERROR(__xludf.DUMMYFUNCTION("""COMPUTED_VALUE"""),150500.0)</f>
        <v>150500</v>
      </c>
      <c r="E2574" s="1">
        <f>IFERROR(__xludf.DUMMYFUNCTION("""COMPUTED_VALUE"""),154500.0)</f>
        <v>154500</v>
      </c>
      <c r="F2574" s="1">
        <f>IFERROR(__xludf.DUMMYFUNCTION("""COMPUTED_VALUE"""),1.2271446E7)</f>
        <v>12271446</v>
      </c>
    </row>
    <row r="2575">
      <c r="A2575" s="2">
        <f>IFERROR(__xludf.DUMMYFUNCTION("""COMPUTED_VALUE"""),44375.64583333333)</f>
        <v>44375.64583</v>
      </c>
      <c r="B2575" s="1">
        <f>IFERROR(__xludf.DUMMYFUNCTION("""COMPUTED_VALUE"""),154500.0)</f>
        <v>154500</v>
      </c>
      <c r="C2575" s="1">
        <f>IFERROR(__xludf.DUMMYFUNCTION("""COMPUTED_VALUE"""),157500.0)</f>
        <v>157500</v>
      </c>
      <c r="D2575" s="1">
        <f>IFERROR(__xludf.DUMMYFUNCTION("""COMPUTED_VALUE"""),154000.0)</f>
        <v>154000</v>
      </c>
      <c r="E2575" s="1">
        <f>IFERROR(__xludf.DUMMYFUNCTION("""COMPUTED_VALUE"""),155000.0)</f>
        <v>155000</v>
      </c>
      <c r="F2575" s="1">
        <f>IFERROR(__xludf.DUMMYFUNCTION("""COMPUTED_VALUE"""),5141409.0)</f>
        <v>5141409</v>
      </c>
    </row>
    <row r="2576">
      <c r="A2576" s="2">
        <f>IFERROR(__xludf.DUMMYFUNCTION("""COMPUTED_VALUE"""),44376.64583333333)</f>
        <v>44376.64583</v>
      </c>
      <c r="B2576" s="1">
        <f>IFERROR(__xludf.DUMMYFUNCTION("""COMPUTED_VALUE"""),156000.0)</f>
        <v>156000</v>
      </c>
      <c r="C2576" s="1">
        <f>IFERROR(__xludf.DUMMYFUNCTION("""COMPUTED_VALUE"""),158000.0)</f>
        <v>158000</v>
      </c>
      <c r="D2576" s="1">
        <f>IFERROR(__xludf.DUMMYFUNCTION("""COMPUTED_VALUE"""),154500.0)</f>
        <v>154500</v>
      </c>
      <c r="E2576" s="1">
        <f>IFERROR(__xludf.DUMMYFUNCTION("""COMPUTED_VALUE"""),158000.0)</f>
        <v>158000</v>
      </c>
      <c r="F2576" s="1">
        <f>IFERROR(__xludf.DUMMYFUNCTION("""COMPUTED_VALUE"""),3938542.0)</f>
        <v>3938542</v>
      </c>
    </row>
    <row r="2577">
      <c r="A2577" s="2">
        <f>IFERROR(__xludf.DUMMYFUNCTION("""COMPUTED_VALUE"""),44377.64583333333)</f>
        <v>44377.64583</v>
      </c>
      <c r="B2577" s="1">
        <f>IFERROR(__xludf.DUMMYFUNCTION("""COMPUTED_VALUE"""),159000.0)</f>
        <v>159000</v>
      </c>
      <c r="C2577" s="1">
        <f>IFERROR(__xludf.DUMMYFUNCTION("""COMPUTED_VALUE"""),165000.0)</f>
        <v>165000</v>
      </c>
      <c r="D2577" s="1">
        <f>IFERROR(__xludf.DUMMYFUNCTION("""COMPUTED_VALUE"""),157500.0)</f>
        <v>157500</v>
      </c>
      <c r="E2577" s="1">
        <f>IFERROR(__xludf.DUMMYFUNCTION("""COMPUTED_VALUE"""),163000.0)</f>
        <v>163000</v>
      </c>
      <c r="F2577" s="1">
        <f>IFERROR(__xludf.DUMMYFUNCTION("""COMPUTED_VALUE"""),7305590.0)</f>
        <v>7305590</v>
      </c>
    </row>
    <row r="2578">
      <c r="A2578" s="2">
        <f>IFERROR(__xludf.DUMMYFUNCTION("""COMPUTED_VALUE"""),44378.64583333333)</f>
        <v>44378.64583</v>
      </c>
      <c r="B2578" s="1">
        <f>IFERROR(__xludf.DUMMYFUNCTION("""COMPUTED_VALUE"""),164000.0)</f>
        <v>164000</v>
      </c>
      <c r="C2578" s="1">
        <f>IFERROR(__xludf.DUMMYFUNCTION("""COMPUTED_VALUE"""),165500.0)</f>
        <v>165500</v>
      </c>
      <c r="D2578" s="1">
        <f>IFERROR(__xludf.DUMMYFUNCTION("""COMPUTED_VALUE"""),159500.0)</f>
        <v>159500</v>
      </c>
      <c r="E2578" s="1">
        <f>IFERROR(__xludf.DUMMYFUNCTION("""COMPUTED_VALUE"""),160000.0)</f>
        <v>160000</v>
      </c>
      <c r="F2578" s="1">
        <f>IFERROR(__xludf.DUMMYFUNCTION("""COMPUTED_VALUE"""),4630280.0)</f>
        <v>4630280</v>
      </c>
    </row>
    <row r="2579">
      <c r="A2579" s="2">
        <f>IFERROR(__xludf.DUMMYFUNCTION("""COMPUTED_VALUE"""),44379.64583333333)</f>
        <v>44379.64583</v>
      </c>
      <c r="B2579" s="1">
        <f>IFERROR(__xludf.DUMMYFUNCTION("""COMPUTED_VALUE"""),158500.0)</f>
        <v>158500</v>
      </c>
      <c r="C2579" s="1">
        <f>IFERROR(__xludf.DUMMYFUNCTION("""COMPUTED_VALUE"""),161500.0)</f>
        <v>161500</v>
      </c>
      <c r="D2579" s="1">
        <f>IFERROR(__xludf.DUMMYFUNCTION("""COMPUTED_VALUE"""),156000.0)</f>
        <v>156000</v>
      </c>
      <c r="E2579" s="1">
        <f>IFERROR(__xludf.DUMMYFUNCTION("""COMPUTED_VALUE"""),159500.0)</f>
        <v>159500</v>
      </c>
      <c r="F2579" s="1">
        <f>IFERROR(__xludf.DUMMYFUNCTION("""COMPUTED_VALUE"""),4407703.0)</f>
        <v>4407703</v>
      </c>
    </row>
    <row r="2580">
      <c r="A2580" s="2">
        <f>IFERROR(__xludf.DUMMYFUNCTION("""COMPUTED_VALUE"""),44382.64583333333)</f>
        <v>44382.64583</v>
      </c>
      <c r="B2580" s="1">
        <f>IFERROR(__xludf.DUMMYFUNCTION("""COMPUTED_VALUE"""),160500.0)</f>
        <v>160500</v>
      </c>
      <c r="C2580" s="1">
        <f>IFERROR(__xludf.DUMMYFUNCTION("""COMPUTED_VALUE"""),162000.0)</f>
        <v>162000</v>
      </c>
      <c r="D2580" s="1">
        <f>IFERROR(__xludf.DUMMYFUNCTION("""COMPUTED_VALUE"""),156500.0)</f>
        <v>156500</v>
      </c>
      <c r="E2580" s="1">
        <f>IFERROR(__xludf.DUMMYFUNCTION("""COMPUTED_VALUE"""),157000.0)</f>
        <v>157000</v>
      </c>
      <c r="F2580" s="1">
        <f>IFERROR(__xludf.DUMMYFUNCTION("""COMPUTED_VALUE"""),4506967.0)</f>
        <v>4506967</v>
      </c>
    </row>
    <row r="2581">
      <c r="A2581" s="2">
        <f>IFERROR(__xludf.DUMMYFUNCTION("""COMPUTED_VALUE"""),44383.64583333333)</f>
        <v>44383.64583</v>
      </c>
      <c r="B2581" s="1">
        <f>IFERROR(__xludf.DUMMYFUNCTION("""COMPUTED_VALUE"""),157500.0)</f>
        <v>157500</v>
      </c>
      <c r="C2581" s="1">
        <f>IFERROR(__xludf.DUMMYFUNCTION("""COMPUTED_VALUE"""),159000.0)</f>
        <v>159000</v>
      </c>
      <c r="D2581" s="1">
        <f>IFERROR(__xludf.DUMMYFUNCTION("""COMPUTED_VALUE"""),157000.0)</f>
        <v>157000</v>
      </c>
      <c r="E2581" s="1">
        <f>IFERROR(__xludf.DUMMYFUNCTION("""COMPUTED_VALUE"""),157500.0)</f>
        <v>157500</v>
      </c>
      <c r="F2581" s="1">
        <f>IFERROR(__xludf.DUMMYFUNCTION("""COMPUTED_VALUE"""),2045164.0)</f>
        <v>2045164</v>
      </c>
    </row>
    <row r="2582">
      <c r="A2582" s="2">
        <f>IFERROR(__xludf.DUMMYFUNCTION("""COMPUTED_VALUE"""),44384.64583333333)</f>
        <v>44384.64583</v>
      </c>
      <c r="B2582" s="1">
        <f>IFERROR(__xludf.DUMMYFUNCTION("""COMPUTED_VALUE"""),158500.0)</f>
        <v>158500</v>
      </c>
      <c r="C2582" s="1">
        <f>IFERROR(__xludf.DUMMYFUNCTION("""COMPUTED_VALUE"""),163500.0)</f>
        <v>163500</v>
      </c>
      <c r="D2582" s="1">
        <f>IFERROR(__xludf.DUMMYFUNCTION("""COMPUTED_VALUE"""),158500.0)</f>
        <v>158500</v>
      </c>
      <c r="E2582" s="1">
        <f>IFERROR(__xludf.DUMMYFUNCTION("""COMPUTED_VALUE"""),161000.0)</f>
        <v>161000</v>
      </c>
      <c r="F2582" s="1">
        <f>IFERROR(__xludf.DUMMYFUNCTION("""COMPUTED_VALUE"""),4413394.0)</f>
        <v>4413394</v>
      </c>
    </row>
    <row r="2583">
      <c r="A2583" s="2">
        <f>IFERROR(__xludf.DUMMYFUNCTION("""COMPUTED_VALUE"""),44385.64583333333)</f>
        <v>44385.64583</v>
      </c>
      <c r="B2583" s="1">
        <f>IFERROR(__xludf.DUMMYFUNCTION("""COMPUTED_VALUE"""),161500.0)</f>
        <v>161500</v>
      </c>
      <c r="C2583" s="1">
        <f>IFERROR(__xludf.DUMMYFUNCTION("""COMPUTED_VALUE"""),164500.0)</f>
        <v>164500</v>
      </c>
      <c r="D2583" s="1">
        <f>IFERROR(__xludf.DUMMYFUNCTION("""COMPUTED_VALUE"""),161000.0)</f>
        <v>161000</v>
      </c>
      <c r="E2583" s="1">
        <f>IFERROR(__xludf.DUMMYFUNCTION("""COMPUTED_VALUE"""),163000.0)</f>
        <v>163000</v>
      </c>
      <c r="F2583" s="1">
        <f>IFERROR(__xludf.DUMMYFUNCTION("""COMPUTED_VALUE"""),4121257.0)</f>
        <v>4121257</v>
      </c>
    </row>
    <row r="2584">
      <c r="A2584" s="2">
        <f>IFERROR(__xludf.DUMMYFUNCTION("""COMPUTED_VALUE"""),44386.64583333333)</f>
        <v>44386.64583</v>
      </c>
      <c r="B2584" s="1">
        <f>IFERROR(__xludf.DUMMYFUNCTION("""COMPUTED_VALUE"""),161500.0)</f>
        <v>161500</v>
      </c>
      <c r="C2584" s="1">
        <f>IFERROR(__xludf.DUMMYFUNCTION("""COMPUTED_VALUE"""),162000.0)</f>
        <v>162000</v>
      </c>
      <c r="D2584" s="1">
        <f>IFERROR(__xludf.DUMMYFUNCTION("""COMPUTED_VALUE"""),158500.0)</f>
        <v>158500</v>
      </c>
      <c r="E2584" s="1">
        <f>IFERROR(__xludf.DUMMYFUNCTION("""COMPUTED_VALUE"""),160500.0)</f>
        <v>160500</v>
      </c>
      <c r="F2584" s="1">
        <f>IFERROR(__xludf.DUMMYFUNCTION("""COMPUTED_VALUE"""),3795528.0)</f>
        <v>3795528</v>
      </c>
    </row>
    <row r="2585">
      <c r="A2585" s="2">
        <f>IFERROR(__xludf.DUMMYFUNCTION("""COMPUTED_VALUE"""),44389.64583333333)</f>
        <v>44389.64583</v>
      </c>
      <c r="B2585" s="1">
        <f>IFERROR(__xludf.DUMMYFUNCTION("""COMPUTED_VALUE"""),161000.0)</f>
        <v>161000</v>
      </c>
      <c r="C2585" s="1">
        <f>IFERROR(__xludf.DUMMYFUNCTION("""COMPUTED_VALUE"""),162500.0)</f>
        <v>162500</v>
      </c>
      <c r="D2585" s="1">
        <f>IFERROR(__xludf.DUMMYFUNCTION("""COMPUTED_VALUE"""),158000.0)</f>
        <v>158000</v>
      </c>
      <c r="E2585" s="1">
        <f>IFERROR(__xludf.DUMMYFUNCTION("""COMPUTED_VALUE"""),162000.0)</f>
        <v>162000</v>
      </c>
      <c r="F2585" s="1">
        <f>IFERROR(__xludf.DUMMYFUNCTION("""COMPUTED_VALUE"""),3248064.0)</f>
        <v>3248064</v>
      </c>
    </row>
    <row r="2586">
      <c r="A2586" s="2">
        <f>IFERROR(__xludf.DUMMYFUNCTION("""COMPUTED_VALUE"""),44390.64583333333)</f>
        <v>44390.64583</v>
      </c>
      <c r="B2586" s="1">
        <f>IFERROR(__xludf.DUMMYFUNCTION("""COMPUTED_VALUE"""),162500.0)</f>
        <v>162500</v>
      </c>
      <c r="C2586" s="1">
        <f>IFERROR(__xludf.DUMMYFUNCTION("""COMPUTED_VALUE"""),163500.0)</f>
        <v>163500</v>
      </c>
      <c r="D2586" s="1">
        <f>IFERROR(__xludf.DUMMYFUNCTION("""COMPUTED_VALUE"""),160500.0)</f>
        <v>160500</v>
      </c>
      <c r="E2586" s="1">
        <f>IFERROR(__xludf.DUMMYFUNCTION("""COMPUTED_VALUE"""),161000.0)</f>
        <v>161000</v>
      </c>
      <c r="F2586" s="1">
        <f>IFERROR(__xludf.DUMMYFUNCTION("""COMPUTED_VALUE"""),3859736.0)</f>
        <v>3859736</v>
      </c>
    </row>
    <row r="2587">
      <c r="A2587" s="2">
        <f>IFERROR(__xludf.DUMMYFUNCTION("""COMPUTED_VALUE"""),44391.64583333333)</f>
        <v>44391.64583</v>
      </c>
      <c r="B2587" s="1">
        <f>IFERROR(__xludf.DUMMYFUNCTION("""COMPUTED_VALUE"""),161500.0)</f>
        <v>161500</v>
      </c>
      <c r="C2587" s="1">
        <f>IFERROR(__xludf.DUMMYFUNCTION("""COMPUTED_VALUE"""),164500.0)</f>
        <v>164500</v>
      </c>
      <c r="D2587" s="1">
        <f>IFERROR(__xludf.DUMMYFUNCTION("""COMPUTED_VALUE"""),161000.0)</f>
        <v>161000</v>
      </c>
      <c r="E2587" s="1">
        <f>IFERROR(__xludf.DUMMYFUNCTION("""COMPUTED_VALUE"""),162000.0)</f>
        <v>162000</v>
      </c>
      <c r="F2587" s="1">
        <f>IFERROR(__xludf.DUMMYFUNCTION("""COMPUTED_VALUE"""),3352019.0)</f>
        <v>3352019</v>
      </c>
    </row>
    <row r="2588">
      <c r="A2588" s="2">
        <f>IFERROR(__xludf.DUMMYFUNCTION("""COMPUTED_VALUE"""),44392.64583333333)</f>
        <v>44392.64583</v>
      </c>
      <c r="B2588" s="1">
        <f>IFERROR(__xludf.DUMMYFUNCTION("""COMPUTED_VALUE"""),162000.0)</f>
        <v>162000</v>
      </c>
      <c r="C2588" s="1">
        <f>IFERROR(__xludf.DUMMYFUNCTION("""COMPUTED_VALUE"""),162000.0)</f>
        <v>162000</v>
      </c>
      <c r="D2588" s="1">
        <f>IFERROR(__xludf.DUMMYFUNCTION("""COMPUTED_VALUE"""),158500.0)</f>
        <v>158500</v>
      </c>
      <c r="E2588" s="1">
        <f>IFERROR(__xludf.DUMMYFUNCTION("""COMPUTED_VALUE"""),159500.0)</f>
        <v>159500</v>
      </c>
      <c r="F2588" s="1">
        <f>IFERROR(__xludf.DUMMYFUNCTION("""COMPUTED_VALUE"""),3821843.0)</f>
        <v>3821843</v>
      </c>
    </row>
    <row r="2589">
      <c r="A2589" s="2">
        <f>IFERROR(__xludf.DUMMYFUNCTION("""COMPUTED_VALUE"""),44393.64583333333)</f>
        <v>44393.64583</v>
      </c>
      <c r="B2589" s="1">
        <f>IFERROR(__xludf.DUMMYFUNCTION("""COMPUTED_VALUE"""),158500.0)</f>
        <v>158500</v>
      </c>
      <c r="C2589" s="1">
        <f>IFERROR(__xludf.DUMMYFUNCTION("""COMPUTED_VALUE"""),159500.0)</f>
        <v>159500</v>
      </c>
      <c r="D2589" s="1">
        <f>IFERROR(__xludf.DUMMYFUNCTION("""COMPUTED_VALUE"""),157000.0)</f>
        <v>157000</v>
      </c>
      <c r="E2589" s="1">
        <f>IFERROR(__xludf.DUMMYFUNCTION("""COMPUTED_VALUE"""),157000.0)</f>
        <v>157000</v>
      </c>
      <c r="F2589" s="1">
        <f>IFERROR(__xludf.DUMMYFUNCTION("""COMPUTED_VALUE"""),3423188.0)</f>
        <v>3423188</v>
      </c>
    </row>
    <row r="2590">
      <c r="A2590" s="2">
        <f>IFERROR(__xludf.DUMMYFUNCTION("""COMPUTED_VALUE"""),44396.64583333333)</f>
        <v>44396.64583</v>
      </c>
      <c r="B2590" s="1">
        <f>IFERROR(__xludf.DUMMYFUNCTION("""COMPUTED_VALUE"""),155500.0)</f>
        <v>155500</v>
      </c>
      <c r="C2590" s="1">
        <f>IFERROR(__xludf.DUMMYFUNCTION("""COMPUTED_VALUE"""),155500.0)</f>
        <v>155500</v>
      </c>
      <c r="D2590" s="1">
        <f>IFERROR(__xludf.DUMMYFUNCTION("""COMPUTED_VALUE"""),154000.0)</f>
        <v>154000</v>
      </c>
      <c r="E2590" s="1">
        <f>IFERROR(__xludf.DUMMYFUNCTION("""COMPUTED_VALUE"""),154000.0)</f>
        <v>154000</v>
      </c>
      <c r="F2590" s="1">
        <f>IFERROR(__xludf.DUMMYFUNCTION("""COMPUTED_VALUE"""),3475792.0)</f>
        <v>3475792</v>
      </c>
    </row>
    <row r="2591">
      <c r="A2591" s="2">
        <f>IFERROR(__xludf.DUMMYFUNCTION("""COMPUTED_VALUE"""),44397.64583333333)</f>
        <v>44397.64583</v>
      </c>
      <c r="B2591" s="1">
        <f>IFERROR(__xludf.DUMMYFUNCTION("""COMPUTED_VALUE"""),151500.0)</f>
        <v>151500</v>
      </c>
      <c r="C2591" s="1">
        <f>IFERROR(__xludf.DUMMYFUNCTION("""COMPUTED_VALUE"""),153000.0)</f>
        <v>153000</v>
      </c>
      <c r="D2591" s="1">
        <f>IFERROR(__xludf.DUMMYFUNCTION("""COMPUTED_VALUE"""),149000.0)</f>
        <v>149000</v>
      </c>
      <c r="E2591" s="1">
        <f>IFERROR(__xludf.DUMMYFUNCTION("""COMPUTED_VALUE"""),152000.0)</f>
        <v>152000</v>
      </c>
      <c r="F2591" s="1">
        <f>IFERROR(__xludf.DUMMYFUNCTION("""COMPUTED_VALUE"""),6652856.0)</f>
        <v>6652856</v>
      </c>
    </row>
    <row r="2592">
      <c r="A2592" s="2">
        <f>IFERROR(__xludf.DUMMYFUNCTION("""COMPUTED_VALUE"""),44398.64583333333)</f>
        <v>44398.64583</v>
      </c>
      <c r="B2592" s="1">
        <f>IFERROR(__xludf.DUMMYFUNCTION("""COMPUTED_VALUE"""),153000.0)</f>
        <v>153000</v>
      </c>
      <c r="C2592" s="1">
        <f>IFERROR(__xludf.DUMMYFUNCTION("""COMPUTED_VALUE"""),155500.0)</f>
        <v>155500</v>
      </c>
      <c r="D2592" s="1">
        <f>IFERROR(__xludf.DUMMYFUNCTION("""COMPUTED_VALUE"""),144500.0)</f>
        <v>144500</v>
      </c>
      <c r="E2592" s="1">
        <f>IFERROR(__xludf.DUMMYFUNCTION("""COMPUTED_VALUE"""),145000.0)</f>
        <v>145000</v>
      </c>
      <c r="F2592" s="1">
        <f>IFERROR(__xludf.DUMMYFUNCTION("""COMPUTED_VALUE"""),1.0409836E7)</f>
        <v>10409836</v>
      </c>
    </row>
    <row r="2593">
      <c r="A2593" s="2">
        <f>IFERROR(__xludf.DUMMYFUNCTION("""COMPUTED_VALUE"""),44399.64583333333)</f>
        <v>44399.64583</v>
      </c>
      <c r="B2593" s="1">
        <f>IFERROR(__xludf.DUMMYFUNCTION("""COMPUTED_VALUE"""),144500.0)</f>
        <v>144500</v>
      </c>
      <c r="C2593" s="1">
        <f>IFERROR(__xludf.DUMMYFUNCTION("""COMPUTED_VALUE"""),148000.0)</f>
        <v>148000</v>
      </c>
      <c r="D2593" s="1">
        <f>IFERROR(__xludf.DUMMYFUNCTION("""COMPUTED_VALUE"""),142500.0)</f>
        <v>142500</v>
      </c>
      <c r="E2593" s="1">
        <f>IFERROR(__xludf.DUMMYFUNCTION("""COMPUTED_VALUE"""),147500.0)</f>
        <v>147500</v>
      </c>
      <c r="F2593" s="1">
        <f>IFERROR(__xludf.DUMMYFUNCTION("""COMPUTED_VALUE"""),5759268.0)</f>
        <v>5759268</v>
      </c>
    </row>
    <row r="2594">
      <c r="A2594" s="2">
        <f>IFERROR(__xludf.DUMMYFUNCTION("""COMPUTED_VALUE"""),44400.64583333333)</f>
        <v>44400.64583</v>
      </c>
      <c r="B2594" s="1">
        <f>IFERROR(__xludf.DUMMYFUNCTION("""COMPUTED_VALUE"""),148500.0)</f>
        <v>148500</v>
      </c>
      <c r="C2594" s="1">
        <f>IFERROR(__xludf.DUMMYFUNCTION("""COMPUTED_VALUE"""),153500.0)</f>
        <v>153500</v>
      </c>
      <c r="D2594" s="1">
        <f>IFERROR(__xludf.DUMMYFUNCTION("""COMPUTED_VALUE"""),147500.0)</f>
        <v>147500</v>
      </c>
      <c r="E2594" s="1">
        <f>IFERROR(__xludf.DUMMYFUNCTION("""COMPUTED_VALUE"""),149500.0)</f>
        <v>149500</v>
      </c>
      <c r="F2594" s="1">
        <f>IFERROR(__xludf.DUMMYFUNCTION("""COMPUTED_VALUE"""),5249906.0)</f>
        <v>5249906</v>
      </c>
    </row>
    <row r="2595">
      <c r="A2595" s="2">
        <f>IFERROR(__xludf.DUMMYFUNCTION("""COMPUTED_VALUE"""),44403.64583333333)</f>
        <v>44403.64583</v>
      </c>
      <c r="B2595" s="1">
        <f>IFERROR(__xludf.DUMMYFUNCTION("""COMPUTED_VALUE"""),151500.0)</f>
        <v>151500</v>
      </c>
      <c r="C2595" s="1">
        <f>IFERROR(__xludf.DUMMYFUNCTION("""COMPUTED_VALUE"""),153000.0)</f>
        <v>153000</v>
      </c>
      <c r="D2595" s="1">
        <f>IFERROR(__xludf.DUMMYFUNCTION("""COMPUTED_VALUE"""),146500.0)</f>
        <v>146500</v>
      </c>
      <c r="E2595" s="1">
        <f>IFERROR(__xludf.DUMMYFUNCTION("""COMPUTED_VALUE"""),147500.0)</f>
        <v>147500</v>
      </c>
      <c r="F2595" s="1">
        <f>IFERROR(__xludf.DUMMYFUNCTION("""COMPUTED_VALUE"""),4071898.0)</f>
        <v>4071898</v>
      </c>
    </row>
    <row r="2596">
      <c r="A2596" s="2">
        <f>IFERROR(__xludf.DUMMYFUNCTION("""COMPUTED_VALUE"""),44404.64583333333)</f>
        <v>44404.64583</v>
      </c>
      <c r="B2596" s="1">
        <f>IFERROR(__xludf.DUMMYFUNCTION("""COMPUTED_VALUE"""),147500.0)</f>
        <v>147500</v>
      </c>
      <c r="C2596" s="1">
        <f>IFERROR(__xludf.DUMMYFUNCTION("""COMPUTED_VALUE"""),149000.0)</f>
        <v>149000</v>
      </c>
      <c r="D2596" s="1">
        <f>IFERROR(__xludf.DUMMYFUNCTION("""COMPUTED_VALUE"""),145500.0)</f>
        <v>145500</v>
      </c>
      <c r="E2596" s="1">
        <f>IFERROR(__xludf.DUMMYFUNCTION("""COMPUTED_VALUE"""),148000.0)</f>
        <v>148000</v>
      </c>
      <c r="F2596" s="1">
        <f>IFERROR(__xludf.DUMMYFUNCTION("""COMPUTED_VALUE"""),3357695.0)</f>
        <v>3357695</v>
      </c>
    </row>
    <row r="2597">
      <c r="A2597" s="2">
        <f>IFERROR(__xludf.DUMMYFUNCTION("""COMPUTED_VALUE"""),44405.64583333333)</f>
        <v>44405.64583</v>
      </c>
      <c r="B2597" s="1">
        <f>IFERROR(__xludf.DUMMYFUNCTION("""COMPUTED_VALUE"""),147000.0)</f>
        <v>147000</v>
      </c>
      <c r="C2597" s="1">
        <f>IFERROR(__xludf.DUMMYFUNCTION("""COMPUTED_VALUE"""),149500.0)</f>
        <v>149500</v>
      </c>
      <c r="D2597" s="1">
        <f>IFERROR(__xludf.DUMMYFUNCTION("""COMPUTED_VALUE"""),146500.0)</f>
        <v>146500</v>
      </c>
      <c r="E2597" s="1">
        <f>IFERROR(__xludf.DUMMYFUNCTION("""COMPUTED_VALUE"""),148000.0)</f>
        <v>148000</v>
      </c>
      <c r="F2597" s="1">
        <f>IFERROR(__xludf.DUMMYFUNCTION("""COMPUTED_VALUE"""),2716816.0)</f>
        <v>2716816</v>
      </c>
    </row>
    <row r="2598">
      <c r="A2598" s="2">
        <f>IFERROR(__xludf.DUMMYFUNCTION("""COMPUTED_VALUE"""),44406.64583333333)</f>
        <v>44406.64583</v>
      </c>
      <c r="B2598" s="1">
        <f>IFERROR(__xludf.DUMMYFUNCTION("""COMPUTED_VALUE"""),148500.0)</f>
        <v>148500</v>
      </c>
      <c r="C2598" s="1">
        <f>IFERROR(__xludf.DUMMYFUNCTION("""COMPUTED_VALUE"""),149000.0)</f>
        <v>149000</v>
      </c>
      <c r="D2598" s="1">
        <f>IFERROR(__xludf.DUMMYFUNCTION("""COMPUTED_VALUE"""),147500.0)</f>
        <v>147500</v>
      </c>
      <c r="E2598" s="1">
        <f>IFERROR(__xludf.DUMMYFUNCTION("""COMPUTED_VALUE"""),148500.0)</f>
        <v>148500</v>
      </c>
      <c r="F2598" s="1">
        <f>IFERROR(__xludf.DUMMYFUNCTION("""COMPUTED_VALUE"""),1766172.0)</f>
        <v>1766172</v>
      </c>
    </row>
    <row r="2599">
      <c r="A2599" s="2">
        <f>IFERROR(__xludf.DUMMYFUNCTION("""COMPUTED_VALUE"""),44407.64583333333)</f>
        <v>44407.64583</v>
      </c>
      <c r="B2599" s="1">
        <f>IFERROR(__xludf.DUMMYFUNCTION("""COMPUTED_VALUE"""),149000.0)</f>
        <v>149000</v>
      </c>
      <c r="C2599" s="1">
        <f>IFERROR(__xludf.DUMMYFUNCTION("""COMPUTED_VALUE"""),149500.0)</f>
        <v>149500</v>
      </c>
      <c r="D2599" s="1">
        <f>IFERROR(__xludf.DUMMYFUNCTION("""COMPUTED_VALUE"""),147000.0)</f>
        <v>147000</v>
      </c>
      <c r="E2599" s="1">
        <f>IFERROR(__xludf.DUMMYFUNCTION("""COMPUTED_VALUE"""),147000.0)</f>
        <v>147000</v>
      </c>
      <c r="F2599" s="1">
        <f>IFERROR(__xludf.DUMMYFUNCTION("""COMPUTED_VALUE"""),2057332.0)</f>
        <v>2057332</v>
      </c>
    </row>
    <row r="2600">
      <c r="A2600" s="2">
        <f>IFERROR(__xludf.DUMMYFUNCTION("""COMPUTED_VALUE"""),44410.64583333333)</f>
        <v>44410.64583</v>
      </c>
      <c r="B2600" s="1">
        <f>IFERROR(__xludf.DUMMYFUNCTION("""COMPUTED_VALUE"""),147000.0)</f>
        <v>147000</v>
      </c>
      <c r="C2600" s="1">
        <f>IFERROR(__xludf.DUMMYFUNCTION("""COMPUTED_VALUE"""),148500.0)</f>
        <v>148500</v>
      </c>
      <c r="D2600" s="1">
        <f>IFERROR(__xludf.DUMMYFUNCTION("""COMPUTED_VALUE"""),145000.0)</f>
        <v>145000</v>
      </c>
      <c r="E2600" s="1">
        <f>IFERROR(__xludf.DUMMYFUNCTION("""COMPUTED_VALUE"""),146000.0)</f>
        <v>146000</v>
      </c>
      <c r="F2600" s="1">
        <f>IFERROR(__xludf.DUMMYFUNCTION("""COMPUTED_VALUE"""),2172117.0)</f>
        <v>2172117</v>
      </c>
    </row>
    <row r="2601">
      <c r="A2601" s="2">
        <f>IFERROR(__xludf.DUMMYFUNCTION("""COMPUTED_VALUE"""),44411.64583333333)</f>
        <v>44411.64583</v>
      </c>
      <c r="B2601" s="1">
        <f>IFERROR(__xludf.DUMMYFUNCTION("""COMPUTED_VALUE"""),146000.0)</f>
        <v>146000</v>
      </c>
      <c r="C2601" s="1">
        <f>IFERROR(__xludf.DUMMYFUNCTION("""COMPUTED_VALUE"""),146500.0)</f>
        <v>146500</v>
      </c>
      <c r="D2601" s="1">
        <f>IFERROR(__xludf.DUMMYFUNCTION("""COMPUTED_VALUE"""),143000.0)</f>
        <v>143000</v>
      </c>
      <c r="E2601" s="1">
        <f>IFERROR(__xludf.DUMMYFUNCTION("""COMPUTED_VALUE"""),144000.0)</f>
        <v>144000</v>
      </c>
      <c r="F2601" s="1">
        <f>IFERROR(__xludf.DUMMYFUNCTION("""COMPUTED_VALUE"""),2697098.0)</f>
        <v>2697098</v>
      </c>
    </row>
    <row r="2602">
      <c r="A2602" s="2">
        <f>IFERROR(__xludf.DUMMYFUNCTION("""COMPUTED_VALUE"""),44412.64583333333)</f>
        <v>44412.64583</v>
      </c>
      <c r="B2602" s="1">
        <f>IFERROR(__xludf.DUMMYFUNCTION("""COMPUTED_VALUE"""),144500.0)</f>
        <v>144500</v>
      </c>
      <c r="C2602" s="1">
        <f>IFERROR(__xludf.DUMMYFUNCTION("""COMPUTED_VALUE"""),150000.0)</f>
        <v>150000</v>
      </c>
      <c r="D2602" s="1">
        <f>IFERROR(__xludf.DUMMYFUNCTION("""COMPUTED_VALUE"""),144000.0)</f>
        <v>144000</v>
      </c>
      <c r="E2602" s="1">
        <f>IFERROR(__xludf.DUMMYFUNCTION("""COMPUTED_VALUE"""),149500.0)</f>
        <v>149500</v>
      </c>
      <c r="F2602" s="1">
        <f>IFERROR(__xludf.DUMMYFUNCTION("""COMPUTED_VALUE"""),3136752.0)</f>
        <v>3136752</v>
      </c>
    </row>
    <row r="2603">
      <c r="A2603" s="2">
        <f>IFERROR(__xludf.DUMMYFUNCTION("""COMPUTED_VALUE"""),44413.64583333333)</f>
        <v>44413.64583</v>
      </c>
      <c r="B2603" s="1">
        <f>IFERROR(__xludf.DUMMYFUNCTION("""COMPUTED_VALUE"""),150000.0)</f>
        <v>150000</v>
      </c>
      <c r="C2603" s="1">
        <f>IFERROR(__xludf.DUMMYFUNCTION("""COMPUTED_VALUE"""),151500.0)</f>
        <v>151500</v>
      </c>
      <c r="D2603" s="1">
        <f>IFERROR(__xludf.DUMMYFUNCTION("""COMPUTED_VALUE"""),148500.0)</f>
        <v>148500</v>
      </c>
      <c r="E2603" s="1">
        <f>IFERROR(__xludf.DUMMYFUNCTION("""COMPUTED_VALUE"""),149000.0)</f>
        <v>149000</v>
      </c>
      <c r="F2603" s="1">
        <f>IFERROR(__xludf.DUMMYFUNCTION("""COMPUTED_VALUE"""),2254087.0)</f>
        <v>2254087</v>
      </c>
    </row>
    <row r="2604">
      <c r="A2604" s="2">
        <f>IFERROR(__xludf.DUMMYFUNCTION("""COMPUTED_VALUE"""),44414.64583333333)</f>
        <v>44414.64583</v>
      </c>
      <c r="B2604" s="1">
        <f>IFERROR(__xludf.DUMMYFUNCTION("""COMPUTED_VALUE"""),149500.0)</f>
        <v>149500</v>
      </c>
      <c r="C2604" s="1">
        <f>IFERROR(__xludf.DUMMYFUNCTION("""COMPUTED_VALUE"""),149500.0)</f>
        <v>149500</v>
      </c>
      <c r="D2604" s="1">
        <f>IFERROR(__xludf.DUMMYFUNCTION("""COMPUTED_VALUE"""),145000.0)</f>
        <v>145000</v>
      </c>
      <c r="E2604" s="1">
        <f>IFERROR(__xludf.DUMMYFUNCTION("""COMPUTED_VALUE"""),145500.0)</f>
        <v>145500</v>
      </c>
      <c r="F2604" s="1">
        <f>IFERROR(__xludf.DUMMYFUNCTION("""COMPUTED_VALUE"""),4155669.0)</f>
        <v>4155669</v>
      </c>
    </row>
    <row r="2605">
      <c r="A2605" s="2">
        <f>IFERROR(__xludf.DUMMYFUNCTION("""COMPUTED_VALUE"""),44417.64583333333)</f>
        <v>44417.64583</v>
      </c>
      <c r="B2605" s="1">
        <f>IFERROR(__xludf.DUMMYFUNCTION("""COMPUTED_VALUE"""),145500.0)</f>
        <v>145500</v>
      </c>
      <c r="C2605" s="1">
        <f>IFERROR(__xludf.DUMMYFUNCTION("""COMPUTED_VALUE"""),149000.0)</f>
        <v>149000</v>
      </c>
      <c r="D2605" s="1">
        <f>IFERROR(__xludf.DUMMYFUNCTION("""COMPUTED_VALUE"""),144000.0)</f>
        <v>144000</v>
      </c>
      <c r="E2605" s="1">
        <f>IFERROR(__xludf.DUMMYFUNCTION("""COMPUTED_VALUE"""),148000.0)</f>
        <v>148000</v>
      </c>
      <c r="F2605" s="1">
        <f>IFERROR(__xludf.DUMMYFUNCTION("""COMPUTED_VALUE"""),3017396.0)</f>
        <v>3017396</v>
      </c>
    </row>
    <row r="2606">
      <c r="A2606" s="2">
        <f>IFERROR(__xludf.DUMMYFUNCTION("""COMPUTED_VALUE"""),44418.64583333333)</f>
        <v>44418.64583</v>
      </c>
      <c r="B2606" s="1">
        <f>IFERROR(__xludf.DUMMYFUNCTION("""COMPUTED_VALUE"""),148000.0)</f>
        <v>148000</v>
      </c>
      <c r="C2606" s="1">
        <f>IFERROR(__xludf.DUMMYFUNCTION("""COMPUTED_VALUE"""),148500.0)</f>
        <v>148500</v>
      </c>
      <c r="D2606" s="1">
        <f>IFERROR(__xludf.DUMMYFUNCTION("""COMPUTED_VALUE"""),144500.0)</f>
        <v>144500</v>
      </c>
      <c r="E2606" s="1">
        <f>IFERROR(__xludf.DUMMYFUNCTION("""COMPUTED_VALUE"""),146500.0)</f>
        <v>146500</v>
      </c>
      <c r="F2606" s="1">
        <f>IFERROR(__xludf.DUMMYFUNCTION("""COMPUTED_VALUE"""),2074409.0)</f>
        <v>2074409</v>
      </c>
    </row>
    <row r="2607">
      <c r="A2607" s="2">
        <f>IFERROR(__xludf.DUMMYFUNCTION("""COMPUTED_VALUE"""),44419.64583333333)</f>
        <v>44419.64583</v>
      </c>
      <c r="B2607" s="1">
        <f>IFERROR(__xludf.DUMMYFUNCTION("""COMPUTED_VALUE"""),145500.0)</f>
        <v>145500</v>
      </c>
      <c r="C2607" s="1">
        <f>IFERROR(__xludf.DUMMYFUNCTION("""COMPUTED_VALUE"""),147500.0)</f>
        <v>147500</v>
      </c>
      <c r="D2607" s="1">
        <f>IFERROR(__xludf.DUMMYFUNCTION("""COMPUTED_VALUE"""),144000.0)</f>
        <v>144000</v>
      </c>
      <c r="E2607" s="1">
        <f>IFERROR(__xludf.DUMMYFUNCTION("""COMPUTED_VALUE"""),144000.0)</f>
        <v>144000</v>
      </c>
      <c r="F2607" s="1">
        <f>IFERROR(__xludf.DUMMYFUNCTION("""COMPUTED_VALUE"""),1754472.0)</f>
        <v>1754472</v>
      </c>
    </row>
    <row r="2608">
      <c r="A2608" s="2">
        <f>IFERROR(__xludf.DUMMYFUNCTION("""COMPUTED_VALUE"""),44420.64583333333)</f>
        <v>44420.64583</v>
      </c>
      <c r="B2608" s="1">
        <f>IFERROR(__xludf.DUMMYFUNCTION("""COMPUTED_VALUE"""),146000.0)</f>
        <v>146000</v>
      </c>
      <c r="C2608" s="1">
        <f>IFERROR(__xludf.DUMMYFUNCTION("""COMPUTED_VALUE"""),148000.0)</f>
        <v>148000</v>
      </c>
      <c r="D2608" s="1">
        <f>IFERROR(__xludf.DUMMYFUNCTION("""COMPUTED_VALUE"""),144000.0)</f>
        <v>144000</v>
      </c>
      <c r="E2608" s="1">
        <f>IFERROR(__xludf.DUMMYFUNCTION("""COMPUTED_VALUE"""),147500.0)</f>
        <v>147500</v>
      </c>
      <c r="F2608" s="1">
        <f>IFERROR(__xludf.DUMMYFUNCTION("""COMPUTED_VALUE"""),2950088.0)</f>
        <v>2950088</v>
      </c>
    </row>
    <row r="2609">
      <c r="A2609" s="2">
        <f>IFERROR(__xludf.DUMMYFUNCTION("""COMPUTED_VALUE"""),44421.64583333333)</f>
        <v>44421.64583</v>
      </c>
      <c r="B2609" s="1">
        <f>IFERROR(__xludf.DUMMYFUNCTION("""COMPUTED_VALUE"""),147500.0)</f>
        <v>147500</v>
      </c>
      <c r="C2609" s="1">
        <f>IFERROR(__xludf.DUMMYFUNCTION("""COMPUTED_VALUE"""),147500.0)</f>
        <v>147500</v>
      </c>
      <c r="D2609" s="1">
        <f>IFERROR(__xludf.DUMMYFUNCTION("""COMPUTED_VALUE"""),144500.0)</f>
        <v>144500</v>
      </c>
      <c r="E2609" s="1">
        <f>IFERROR(__xludf.DUMMYFUNCTION("""COMPUTED_VALUE"""),146000.0)</f>
        <v>146000</v>
      </c>
      <c r="F2609" s="1">
        <f>IFERROR(__xludf.DUMMYFUNCTION("""COMPUTED_VALUE"""),2285992.0)</f>
        <v>2285992</v>
      </c>
    </row>
    <row r="2610">
      <c r="A2610" s="2">
        <f>IFERROR(__xludf.DUMMYFUNCTION("""COMPUTED_VALUE"""),44425.64583333333)</f>
        <v>44425.64583</v>
      </c>
      <c r="B2610" s="1">
        <f>IFERROR(__xludf.DUMMYFUNCTION("""COMPUTED_VALUE"""),146000.0)</f>
        <v>146000</v>
      </c>
      <c r="C2610" s="1">
        <f>IFERROR(__xludf.DUMMYFUNCTION("""COMPUTED_VALUE"""),147500.0)</f>
        <v>147500</v>
      </c>
      <c r="D2610" s="1">
        <f>IFERROR(__xludf.DUMMYFUNCTION("""COMPUTED_VALUE"""),141000.0)</f>
        <v>141000</v>
      </c>
      <c r="E2610" s="1">
        <f>IFERROR(__xludf.DUMMYFUNCTION("""COMPUTED_VALUE"""),142000.0)</f>
        <v>142000</v>
      </c>
      <c r="F2610" s="1">
        <f>IFERROR(__xludf.DUMMYFUNCTION("""COMPUTED_VALUE"""),3322347.0)</f>
        <v>3322347</v>
      </c>
    </row>
    <row r="2611">
      <c r="A2611" s="2">
        <f>IFERROR(__xludf.DUMMYFUNCTION("""COMPUTED_VALUE"""),44426.64583333333)</f>
        <v>44426.64583</v>
      </c>
      <c r="B2611" s="1">
        <f>IFERROR(__xludf.DUMMYFUNCTION("""COMPUTED_VALUE"""),142000.0)</f>
        <v>142000</v>
      </c>
      <c r="C2611" s="1">
        <f>IFERROR(__xludf.DUMMYFUNCTION("""COMPUTED_VALUE"""),146500.0)</f>
        <v>146500</v>
      </c>
      <c r="D2611" s="1">
        <f>IFERROR(__xludf.DUMMYFUNCTION("""COMPUTED_VALUE"""),141500.0)</f>
        <v>141500</v>
      </c>
      <c r="E2611" s="1">
        <f>IFERROR(__xludf.DUMMYFUNCTION("""COMPUTED_VALUE"""),145500.0)</f>
        <v>145500</v>
      </c>
      <c r="F2611" s="1">
        <f>IFERROR(__xludf.DUMMYFUNCTION("""COMPUTED_VALUE"""),2720552.0)</f>
        <v>2720552</v>
      </c>
    </row>
    <row r="2612">
      <c r="A2612" s="2">
        <f>IFERROR(__xludf.DUMMYFUNCTION("""COMPUTED_VALUE"""),44427.64583333333)</f>
        <v>44427.64583</v>
      </c>
      <c r="B2612" s="1">
        <f>IFERROR(__xludf.DUMMYFUNCTION("""COMPUTED_VALUE"""),144000.0)</f>
        <v>144000</v>
      </c>
      <c r="C2612" s="1">
        <f>IFERROR(__xludf.DUMMYFUNCTION("""COMPUTED_VALUE"""),149000.0)</f>
        <v>149000</v>
      </c>
      <c r="D2612" s="1">
        <f>IFERROR(__xludf.DUMMYFUNCTION("""COMPUTED_VALUE"""),144000.0)</f>
        <v>144000</v>
      </c>
      <c r="E2612" s="1">
        <f>IFERROR(__xludf.DUMMYFUNCTION("""COMPUTED_VALUE"""),146500.0)</f>
        <v>146500</v>
      </c>
      <c r="F2612" s="1">
        <f>IFERROR(__xludf.DUMMYFUNCTION("""COMPUTED_VALUE"""),2813914.0)</f>
        <v>2813914</v>
      </c>
    </row>
    <row r="2613">
      <c r="A2613" s="2">
        <f>IFERROR(__xludf.DUMMYFUNCTION("""COMPUTED_VALUE"""),44428.64583333333)</f>
        <v>44428.64583</v>
      </c>
      <c r="B2613" s="1">
        <f>IFERROR(__xludf.DUMMYFUNCTION("""COMPUTED_VALUE"""),146500.0)</f>
        <v>146500</v>
      </c>
      <c r="C2613" s="1">
        <f>IFERROR(__xludf.DUMMYFUNCTION("""COMPUTED_VALUE"""),149000.0)</f>
        <v>149000</v>
      </c>
      <c r="D2613" s="1">
        <f>IFERROR(__xludf.DUMMYFUNCTION("""COMPUTED_VALUE"""),143000.0)</f>
        <v>143000</v>
      </c>
      <c r="E2613" s="1">
        <f>IFERROR(__xludf.DUMMYFUNCTION("""COMPUTED_VALUE"""),144000.0)</f>
        <v>144000</v>
      </c>
      <c r="F2613" s="1">
        <f>IFERROR(__xludf.DUMMYFUNCTION("""COMPUTED_VALUE"""),2776813.0)</f>
        <v>2776813</v>
      </c>
    </row>
    <row r="2614">
      <c r="A2614" s="2">
        <f>IFERROR(__xludf.DUMMYFUNCTION("""COMPUTED_VALUE"""),44431.64583333333)</f>
        <v>44431.64583</v>
      </c>
      <c r="B2614" s="1">
        <f>IFERROR(__xludf.DUMMYFUNCTION("""COMPUTED_VALUE"""),146000.0)</f>
        <v>146000</v>
      </c>
      <c r="C2614" s="1">
        <f>IFERROR(__xludf.DUMMYFUNCTION("""COMPUTED_VALUE"""),148500.0)</f>
        <v>148500</v>
      </c>
      <c r="D2614" s="1">
        <f>IFERROR(__xludf.DUMMYFUNCTION("""COMPUTED_VALUE"""),144500.0)</f>
        <v>144500</v>
      </c>
      <c r="E2614" s="1">
        <f>IFERROR(__xludf.DUMMYFUNCTION("""COMPUTED_VALUE"""),148500.0)</f>
        <v>148500</v>
      </c>
      <c r="F2614" s="1">
        <f>IFERROR(__xludf.DUMMYFUNCTION("""COMPUTED_VALUE"""),2678395.0)</f>
        <v>2678395</v>
      </c>
    </row>
    <row r="2615">
      <c r="A2615" s="2">
        <f>IFERROR(__xludf.DUMMYFUNCTION("""COMPUTED_VALUE"""),44432.64583333333)</f>
        <v>44432.64583</v>
      </c>
      <c r="B2615" s="1">
        <f>IFERROR(__xludf.DUMMYFUNCTION("""COMPUTED_VALUE"""),150000.0)</f>
        <v>150000</v>
      </c>
      <c r="C2615" s="1">
        <f>IFERROR(__xludf.DUMMYFUNCTION("""COMPUTED_VALUE"""),150500.0)</f>
        <v>150500</v>
      </c>
      <c r="D2615" s="1">
        <f>IFERROR(__xludf.DUMMYFUNCTION("""COMPUTED_VALUE"""),148000.0)</f>
        <v>148000</v>
      </c>
      <c r="E2615" s="1">
        <f>IFERROR(__xludf.DUMMYFUNCTION("""COMPUTED_VALUE"""),149000.0)</f>
        <v>149000</v>
      </c>
      <c r="F2615" s="1">
        <f>IFERROR(__xludf.DUMMYFUNCTION("""COMPUTED_VALUE"""),2032632.0)</f>
        <v>2032632</v>
      </c>
    </row>
    <row r="2616">
      <c r="A2616" s="2">
        <f>IFERROR(__xludf.DUMMYFUNCTION("""COMPUTED_VALUE"""),44433.64583333333)</f>
        <v>44433.64583</v>
      </c>
      <c r="B2616" s="1">
        <f>IFERROR(__xludf.DUMMYFUNCTION("""COMPUTED_VALUE"""),149000.0)</f>
        <v>149000</v>
      </c>
      <c r="C2616" s="1">
        <f>IFERROR(__xludf.DUMMYFUNCTION("""COMPUTED_VALUE"""),153500.0)</f>
        <v>153500</v>
      </c>
      <c r="D2616" s="1">
        <f>IFERROR(__xludf.DUMMYFUNCTION("""COMPUTED_VALUE"""),148500.0)</f>
        <v>148500</v>
      </c>
      <c r="E2616" s="1">
        <f>IFERROR(__xludf.DUMMYFUNCTION("""COMPUTED_VALUE"""),151000.0)</f>
        <v>151000</v>
      </c>
      <c r="F2616" s="1">
        <f>IFERROR(__xludf.DUMMYFUNCTION("""COMPUTED_VALUE"""),2900928.0)</f>
        <v>2900928</v>
      </c>
    </row>
    <row r="2617">
      <c r="A2617" s="2">
        <f>IFERROR(__xludf.DUMMYFUNCTION("""COMPUTED_VALUE"""),44434.64583333333)</f>
        <v>44434.64583</v>
      </c>
      <c r="B2617" s="1">
        <f>IFERROR(__xludf.DUMMYFUNCTION("""COMPUTED_VALUE"""),151500.0)</f>
        <v>151500</v>
      </c>
      <c r="C2617" s="1">
        <f>IFERROR(__xludf.DUMMYFUNCTION("""COMPUTED_VALUE"""),152500.0)</f>
        <v>152500</v>
      </c>
      <c r="D2617" s="1">
        <f>IFERROR(__xludf.DUMMYFUNCTION("""COMPUTED_VALUE"""),147500.0)</f>
        <v>147500</v>
      </c>
      <c r="E2617" s="1">
        <f>IFERROR(__xludf.DUMMYFUNCTION("""COMPUTED_VALUE"""),149500.0)</f>
        <v>149500</v>
      </c>
      <c r="F2617" s="1">
        <f>IFERROR(__xludf.DUMMYFUNCTION("""COMPUTED_VALUE"""),2360164.0)</f>
        <v>2360164</v>
      </c>
    </row>
    <row r="2618">
      <c r="A2618" s="2">
        <f>IFERROR(__xludf.DUMMYFUNCTION("""COMPUTED_VALUE"""),44435.64583333333)</f>
        <v>44435.64583</v>
      </c>
      <c r="B2618" s="1">
        <f>IFERROR(__xludf.DUMMYFUNCTION("""COMPUTED_VALUE"""),149000.0)</f>
        <v>149000</v>
      </c>
      <c r="C2618" s="1">
        <f>IFERROR(__xludf.DUMMYFUNCTION("""COMPUTED_VALUE"""),150000.0)</f>
        <v>150000</v>
      </c>
      <c r="D2618" s="1">
        <f>IFERROR(__xludf.DUMMYFUNCTION("""COMPUTED_VALUE"""),147000.0)</f>
        <v>147000</v>
      </c>
      <c r="E2618" s="1">
        <f>IFERROR(__xludf.DUMMYFUNCTION("""COMPUTED_VALUE"""),150000.0)</f>
        <v>150000</v>
      </c>
      <c r="F2618" s="1">
        <f>IFERROR(__xludf.DUMMYFUNCTION("""COMPUTED_VALUE"""),1430634.0)</f>
        <v>1430634</v>
      </c>
    </row>
    <row r="2619">
      <c r="A2619" s="2">
        <f>IFERROR(__xludf.DUMMYFUNCTION("""COMPUTED_VALUE"""),44438.64583333333)</f>
        <v>44438.64583</v>
      </c>
      <c r="B2619" s="1">
        <f>IFERROR(__xludf.DUMMYFUNCTION("""COMPUTED_VALUE"""),152000.0)</f>
        <v>152000</v>
      </c>
      <c r="C2619" s="1">
        <f>IFERROR(__xludf.DUMMYFUNCTION("""COMPUTED_VALUE"""),153000.0)</f>
        <v>153000</v>
      </c>
      <c r="D2619" s="1">
        <f>IFERROR(__xludf.DUMMYFUNCTION("""COMPUTED_VALUE"""),150500.0)</f>
        <v>150500</v>
      </c>
      <c r="E2619" s="1">
        <f>IFERROR(__xludf.DUMMYFUNCTION("""COMPUTED_VALUE"""),151500.0)</f>
        <v>151500</v>
      </c>
      <c r="F2619" s="1">
        <f>IFERROR(__xludf.DUMMYFUNCTION("""COMPUTED_VALUE"""),1628144.0)</f>
        <v>1628144</v>
      </c>
    </row>
    <row r="2620">
      <c r="A2620" s="2">
        <f>IFERROR(__xludf.DUMMYFUNCTION("""COMPUTED_VALUE"""),44439.64583333333)</f>
        <v>44439.64583</v>
      </c>
      <c r="B2620" s="1">
        <f>IFERROR(__xludf.DUMMYFUNCTION("""COMPUTED_VALUE"""),152500.0)</f>
        <v>152500</v>
      </c>
      <c r="C2620" s="1">
        <f>IFERROR(__xludf.DUMMYFUNCTION("""COMPUTED_VALUE"""),155000.0)</f>
        <v>155000</v>
      </c>
      <c r="D2620" s="1">
        <f>IFERROR(__xludf.DUMMYFUNCTION("""COMPUTED_VALUE"""),151000.0)</f>
        <v>151000</v>
      </c>
      <c r="E2620" s="1">
        <f>IFERROR(__xludf.DUMMYFUNCTION("""COMPUTED_VALUE"""),155000.0)</f>
        <v>155000</v>
      </c>
      <c r="F2620" s="1">
        <f>IFERROR(__xludf.DUMMYFUNCTION("""COMPUTED_VALUE"""),3078357.0)</f>
        <v>3078357</v>
      </c>
    </row>
    <row r="2621">
      <c r="A2621" s="2">
        <f>IFERROR(__xludf.DUMMYFUNCTION("""COMPUTED_VALUE"""),44440.64583333333)</f>
        <v>44440.64583</v>
      </c>
      <c r="B2621" s="1">
        <f>IFERROR(__xludf.DUMMYFUNCTION("""COMPUTED_VALUE"""),155000.0)</f>
        <v>155000</v>
      </c>
      <c r="C2621" s="1">
        <f>IFERROR(__xludf.DUMMYFUNCTION("""COMPUTED_VALUE"""),156000.0)</f>
        <v>156000</v>
      </c>
      <c r="D2621" s="1">
        <f>IFERROR(__xludf.DUMMYFUNCTION("""COMPUTED_VALUE"""),154000.0)</f>
        <v>154000</v>
      </c>
      <c r="E2621" s="1">
        <f>IFERROR(__xludf.DUMMYFUNCTION("""COMPUTED_VALUE"""),154000.0)</f>
        <v>154000</v>
      </c>
      <c r="F2621" s="1">
        <f>IFERROR(__xludf.DUMMYFUNCTION("""COMPUTED_VALUE"""),2011434.0)</f>
        <v>2011434</v>
      </c>
    </row>
    <row r="2622">
      <c r="A2622" s="2">
        <f>IFERROR(__xludf.DUMMYFUNCTION("""COMPUTED_VALUE"""),44441.64583333333)</f>
        <v>44441.64583</v>
      </c>
      <c r="B2622" s="1">
        <f>IFERROR(__xludf.DUMMYFUNCTION("""COMPUTED_VALUE"""),154500.0)</f>
        <v>154500</v>
      </c>
      <c r="C2622" s="1">
        <f>IFERROR(__xludf.DUMMYFUNCTION("""COMPUTED_VALUE"""),156000.0)</f>
        <v>156000</v>
      </c>
      <c r="D2622" s="1">
        <f>IFERROR(__xludf.DUMMYFUNCTION("""COMPUTED_VALUE"""),153500.0)</f>
        <v>153500</v>
      </c>
      <c r="E2622" s="1">
        <f>IFERROR(__xludf.DUMMYFUNCTION("""COMPUTED_VALUE"""),155000.0)</f>
        <v>155000</v>
      </c>
      <c r="F2622" s="1">
        <f>IFERROR(__xludf.DUMMYFUNCTION("""COMPUTED_VALUE"""),1649156.0)</f>
        <v>1649156</v>
      </c>
    </row>
    <row r="2623">
      <c r="A2623" s="2">
        <f>IFERROR(__xludf.DUMMYFUNCTION("""COMPUTED_VALUE"""),44442.64583333333)</f>
        <v>44442.64583</v>
      </c>
      <c r="B2623" s="1">
        <f>IFERROR(__xludf.DUMMYFUNCTION("""COMPUTED_VALUE"""),155500.0)</f>
        <v>155500</v>
      </c>
      <c r="C2623" s="1">
        <f>IFERROR(__xludf.DUMMYFUNCTION("""COMPUTED_VALUE"""),157500.0)</f>
        <v>157500</v>
      </c>
      <c r="D2623" s="1">
        <f>IFERROR(__xludf.DUMMYFUNCTION("""COMPUTED_VALUE"""),154500.0)</f>
        <v>154500</v>
      </c>
      <c r="E2623" s="1">
        <f>IFERROR(__xludf.DUMMYFUNCTION("""COMPUTED_VALUE"""),156500.0)</f>
        <v>156500</v>
      </c>
      <c r="F2623" s="1">
        <f>IFERROR(__xludf.DUMMYFUNCTION("""COMPUTED_VALUE"""),1934669.0)</f>
        <v>1934669</v>
      </c>
    </row>
    <row r="2624">
      <c r="A2624" s="2">
        <f>IFERROR(__xludf.DUMMYFUNCTION("""COMPUTED_VALUE"""),44445.64583333333)</f>
        <v>44445.64583</v>
      </c>
      <c r="B2624" s="1">
        <f>IFERROR(__xludf.DUMMYFUNCTION("""COMPUTED_VALUE"""),156000.0)</f>
        <v>156000</v>
      </c>
      <c r="C2624" s="1">
        <f>IFERROR(__xludf.DUMMYFUNCTION("""COMPUTED_VALUE"""),156500.0)</f>
        <v>156500</v>
      </c>
      <c r="D2624" s="1">
        <f>IFERROR(__xludf.DUMMYFUNCTION("""COMPUTED_VALUE"""),152500.0)</f>
        <v>152500</v>
      </c>
      <c r="E2624" s="1">
        <f>IFERROR(__xludf.DUMMYFUNCTION("""COMPUTED_VALUE"""),155500.0)</f>
        <v>155500</v>
      </c>
      <c r="F2624" s="1">
        <f>IFERROR(__xludf.DUMMYFUNCTION("""COMPUTED_VALUE"""),1883428.0)</f>
        <v>1883428</v>
      </c>
    </row>
    <row r="2625">
      <c r="A2625" s="2">
        <f>IFERROR(__xludf.DUMMYFUNCTION("""COMPUTED_VALUE"""),44446.64583333333)</f>
        <v>44446.64583</v>
      </c>
      <c r="B2625" s="1">
        <f>IFERROR(__xludf.DUMMYFUNCTION("""COMPUTED_VALUE"""),155500.0)</f>
        <v>155500</v>
      </c>
      <c r="C2625" s="1">
        <f>IFERROR(__xludf.DUMMYFUNCTION("""COMPUTED_VALUE"""),156000.0)</f>
        <v>156000</v>
      </c>
      <c r="D2625" s="1">
        <f>IFERROR(__xludf.DUMMYFUNCTION("""COMPUTED_VALUE"""),153500.0)</f>
        <v>153500</v>
      </c>
      <c r="E2625" s="1">
        <f>IFERROR(__xludf.DUMMYFUNCTION("""COMPUTED_VALUE"""),154000.0)</f>
        <v>154000</v>
      </c>
      <c r="F2625" s="1">
        <f>IFERROR(__xludf.DUMMYFUNCTION("""COMPUTED_VALUE"""),1072249.0)</f>
        <v>1072249</v>
      </c>
    </row>
    <row r="2626">
      <c r="A2626" s="2">
        <f>IFERROR(__xludf.DUMMYFUNCTION("""COMPUTED_VALUE"""),44447.64583333333)</f>
        <v>44447.64583</v>
      </c>
      <c r="B2626" s="1">
        <f>IFERROR(__xludf.DUMMYFUNCTION("""COMPUTED_VALUE"""),151500.0)</f>
        <v>151500</v>
      </c>
      <c r="C2626" s="1">
        <f>IFERROR(__xludf.DUMMYFUNCTION("""COMPUTED_VALUE"""),151500.0)</f>
        <v>151500</v>
      </c>
      <c r="D2626" s="1">
        <f>IFERROR(__xludf.DUMMYFUNCTION("""COMPUTED_VALUE"""),136500.0)</f>
        <v>136500</v>
      </c>
      <c r="E2626" s="1">
        <f>IFERROR(__xludf.DUMMYFUNCTION("""COMPUTED_VALUE"""),138500.0)</f>
        <v>138500</v>
      </c>
      <c r="F2626" s="1">
        <f>IFERROR(__xludf.DUMMYFUNCTION("""COMPUTED_VALUE"""),1.6920382E7)</f>
        <v>16920382</v>
      </c>
    </row>
    <row r="2627">
      <c r="A2627" s="2">
        <f>IFERROR(__xludf.DUMMYFUNCTION("""COMPUTED_VALUE"""),44448.64583333333)</f>
        <v>44448.64583</v>
      </c>
      <c r="B2627" s="1">
        <f>IFERROR(__xludf.DUMMYFUNCTION("""COMPUTED_VALUE"""),134000.0)</f>
        <v>134000</v>
      </c>
      <c r="C2627" s="1">
        <f>IFERROR(__xludf.DUMMYFUNCTION("""COMPUTED_VALUE"""),134500.0)</f>
        <v>134500</v>
      </c>
      <c r="D2627" s="1">
        <f>IFERROR(__xludf.DUMMYFUNCTION("""COMPUTED_VALUE"""),128000.0)</f>
        <v>128000</v>
      </c>
      <c r="E2627" s="1">
        <f>IFERROR(__xludf.DUMMYFUNCTION("""COMPUTED_VALUE"""),128500.0)</f>
        <v>128500</v>
      </c>
      <c r="F2627" s="1">
        <f>IFERROR(__xludf.DUMMYFUNCTION("""COMPUTED_VALUE"""),1.4534253E7)</f>
        <v>14534253</v>
      </c>
    </row>
    <row r="2628">
      <c r="A2628" s="2">
        <f>IFERROR(__xludf.DUMMYFUNCTION("""COMPUTED_VALUE"""),44449.64583333333)</f>
        <v>44449.64583</v>
      </c>
      <c r="B2628" s="1">
        <f>IFERROR(__xludf.DUMMYFUNCTION("""COMPUTED_VALUE"""),127000.0)</f>
        <v>127000</v>
      </c>
      <c r="C2628" s="1">
        <f>IFERROR(__xludf.DUMMYFUNCTION("""COMPUTED_VALUE"""),133500.0)</f>
        <v>133500</v>
      </c>
      <c r="D2628" s="1">
        <f>IFERROR(__xludf.DUMMYFUNCTION("""COMPUTED_VALUE"""),126000.0)</f>
        <v>126000</v>
      </c>
      <c r="E2628" s="1">
        <f>IFERROR(__xludf.DUMMYFUNCTION("""COMPUTED_VALUE"""),130000.0)</f>
        <v>130000</v>
      </c>
      <c r="F2628" s="1">
        <f>IFERROR(__xludf.DUMMYFUNCTION("""COMPUTED_VALUE"""),9918050.0)</f>
        <v>9918050</v>
      </c>
    </row>
    <row r="2629">
      <c r="A2629" s="2">
        <f>IFERROR(__xludf.DUMMYFUNCTION("""COMPUTED_VALUE"""),44452.64583333333)</f>
        <v>44452.64583</v>
      </c>
      <c r="B2629" s="1">
        <f>IFERROR(__xludf.DUMMYFUNCTION("""COMPUTED_VALUE"""),126500.0)</f>
        <v>126500</v>
      </c>
      <c r="C2629" s="1">
        <f>IFERROR(__xludf.DUMMYFUNCTION("""COMPUTED_VALUE"""),130000.0)</f>
        <v>130000</v>
      </c>
      <c r="D2629" s="1">
        <f>IFERROR(__xludf.DUMMYFUNCTION("""COMPUTED_VALUE"""),122500.0)</f>
        <v>122500</v>
      </c>
      <c r="E2629" s="1">
        <f>IFERROR(__xludf.DUMMYFUNCTION("""COMPUTED_VALUE"""),124500.0)</f>
        <v>124500</v>
      </c>
      <c r="F2629" s="1">
        <f>IFERROR(__xludf.DUMMYFUNCTION("""COMPUTED_VALUE"""),8675498.0)</f>
        <v>8675498</v>
      </c>
    </row>
    <row r="2630">
      <c r="A2630" s="2">
        <f>IFERROR(__xludf.DUMMYFUNCTION("""COMPUTED_VALUE"""),44453.64583333333)</f>
        <v>44453.64583</v>
      </c>
      <c r="B2630" s="1">
        <f>IFERROR(__xludf.DUMMYFUNCTION("""COMPUTED_VALUE"""),122500.0)</f>
        <v>122500</v>
      </c>
      <c r="C2630" s="1">
        <f>IFERROR(__xludf.DUMMYFUNCTION("""COMPUTED_VALUE"""),126000.0)</f>
        <v>126000</v>
      </c>
      <c r="D2630" s="1">
        <f>IFERROR(__xludf.DUMMYFUNCTION("""COMPUTED_VALUE"""),118000.0)</f>
        <v>118000</v>
      </c>
      <c r="E2630" s="1">
        <f>IFERROR(__xludf.DUMMYFUNCTION("""COMPUTED_VALUE"""),124000.0)</f>
        <v>124000</v>
      </c>
      <c r="F2630" s="1">
        <f>IFERROR(__xludf.DUMMYFUNCTION("""COMPUTED_VALUE"""),1.8895148E7)</f>
        <v>18895148</v>
      </c>
    </row>
    <row r="2631">
      <c r="A2631" s="2">
        <f>IFERROR(__xludf.DUMMYFUNCTION("""COMPUTED_VALUE"""),44454.64583333333)</f>
        <v>44454.64583</v>
      </c>
      <c r="B2631" s="1">
        <f>IFERROR(__xludf.DUMMYFUNCTION("""COMPUTED_VALUE"""),123500.0)</f>
        <v>123500</v>
      </c>
      <c r="C2631" s="1">
        <f>IFERROR(__xludf.DUMMYFUNCTION("""COMPUTED_VALUE"""),127500.0)</f>
        <v>127500</v>
      </c>
      <c r="D2631" s="1">
        <f>IFERROR(__xludf.DUMMYFUNCTION("""COMPUTED_VALUE"""),122000.0)</f>
        <v>122000</v>
      </c>
      <c r="E2631" s="1">
        <f>IFERROR(__xludf.DUMMYFUNCTION("""COMPUTED_VALUE"""),122500.0)</f>
        <v>122500</v>
      </c>
      <c r="F2631" s="1">
        <f>IFERROR(__xludf.DUMMYFUNCTION("""COMPUTED_VALUE"""),9078817.0)</f>
        <v>9078817</v>
      </c>
    </row>
    <row r="2632">
      <c r="A2632" s="2">
        <f>IFERROR(__xludf.DUMMYFUNCTION("""COMPUTED_VALUE"""),44455.64583333333)</f>
        <v>44455.64583</v>
      </c>
      <c r="B2632" s="1">
        <f>IFERROR(__xludf.DUMMYFUNCTION("""COMPUTED_VALUE"""),123000.0)</f>
        <v>123000</v>
      </c>
      <c r="C2632" s="1">
        <f>IFERROR(__xludf.DUMMYFUNCTION("""COMPUTED_VALUE"""),125000.0)</f>
        <v>125000</v>
      </c>
      <c r="D2632" s="1">
        <f>IFERROR(__xludf.DUMMYFUNCTION("""COMPUTED_VALUE"""),121000.0)</f>
        <v>121000</v>
      </c>
      <c r="E2632" s="1">
        <f>IFERROR(__xludf.DUMMYFUNCTION("""COMPUTED_VALUE"""),121500.0)</f>
        <v>121500</v>
      </c>
      <c r="F2632" s="1">
        <f>IFERROR(__xludf.DUMMYFUNCTION("""COMPUTED_VALUE"""),4770936.0)</f>
        <v>4770936</v>
      </c>
    </row>
    <row r="2633">
      <c r="A2633" s="2">
        <f>IFERROR(__xludf.DUMMYFUNCTION("""COMPUTED_VALUE"""),44456.64583333333)</f>
        <v>44456.64583</v>
      </c>
      <c r="B2633" s="1">
        <f>IFERROR(__xludf.DUMMYFUNCTION("""COMPUTED_VALUE"""),121500.0)</f>
        <v>121500</v>
      </c>
      <c r="C2633" s="1">
        <f>IFERROR(__xludf.DUMMYFUNCTION("""COMPUTED_VALUE"""),121500.0)</f>
        <v>121500</v>
      </c>
      <c r="D2633" s="1">
        <f>IFERROR(__xludf.DUMMYFUNCTION("""COMPUTED_VALUE"""),118000.0)</f>
        <v>118000</v>
      </c>
      <c r="E2633" s="1">
        <f>IFERROR(__xludf.DUMMYFUNCTION("""COMPUTED_VALUE"""),119500.0)</f>
        <v>119500</v>
      </c>
      <c r="F2633" s="1">
        <f>IFERROR(__xludf.DUMMYFUNCTION("""COMPUTED_VALUE"""),4807631.0)</f>
        <v>4807631</v>
      </c>
    </row>
    <row r="2634">
      <c r="A2634" s="2">
        <f>IFERROR(__xludf.DUMMYFUNCTION("""COMPUTED_VALUE"""),44462.64583333333)</f>
        <v>44462.64583</v>
      </c>
      <c r="B2634" s="1">
        <f>IFERROR(__xludf.DUMMYFUNCTION("""COMPUTED_VALUE"""),116500.0)</f>
        <v>116500</v>
      </c>
      <c r="C2634" s="1">
        <f>IFERROR(__xludf.DUMMYFUNCTION("""COMPUTED_VALUE"""),118000.0)</f>
        <v>118000</v>
      </c>
      <c r="D2634" s="1">
        <f>IFERROR(__xludf.DUMMYFUNCTION("""COMPUTED_VALUE"""),114000.0)</f>
        <v>114000</v>
      </c>
      <c r="E2634" s="1">
        <f>IFERROR(__xludf.DUMMYFUNCTION("""COMPUTED_VALUE"""),115000.0)</f>
        <v>115000</v>
      </c>
      <c r="F2634" s="1">
        <f>IFERROR(__xludf.DUMMYFUNCTION("""COMPUTED_VALUE"""),6314773.0)</f>
        <v>6314773</v>
      </c>
    </row>
    <row r="2635">
      <c r="A2635" s="2">
        <f>IFERROR(__xludf.DUMMYFUNCTION("""COMPUTED_VALUE"""),44463.64583333333)</f>
        <v>44463.64583</v>
      </c>
      <c r="B2635" s="1">
        <f>IFERROR(__xludf.DUMMYFUNCTION("""COMPUTED_VALUE"""),116000.0)</f>
        <v>116000</v>
      </c>
      <c r="C2635" s="1">
        <f>IFERROR(__xludf.DUMMYFUNCTION("""COMPUTED_VALUE"""),121000.0)</f>
        <v>121000</v>
      </c>
      <c r="D2635" s="1">
        <f>IFERROR(__xludf.DUMMYFUNCTION("""COMPUTED_VALUE"""),116000.0)</f>
        <v>116000</v>
      </c>
      <c r="E2635" s="1">
        <f>IFERROR(__xludf.DUMMYFUNCTION("""COMPUTED_VALUE"""),119500.0)</f>
        <v>119500</v>
      </c>
      <c r="F2635" s="1">
        <f>IFERROR(__xludf.DUMMYFUNCTION("""COMPUTED_VALUE"""),5327603.0)</f>
        <v>5327603</v>
      </c>
    </row>
    <row r="2636">
      <c r="A2636" s="2">
        <f>IFERROR(__xludf.DUMMYFUNCTION("""COMPUTED_VALUE"""),44466.64583333333)</f>
        <v>44466.64583</v>
      </c>
      <c r="B2636" s="1">
        <f>IFERROR(__xludf.DUMMYFUNCTION("""COMPUTED_VALUE"""),120000.0)</f>
        <v>120000</v>
      </c>
      <c r="C2636" s="1">
        <f>IFERROR(__xludf.DUMMYFUNCTION("""COMPUTED_VALUE"""),122500.0)</f>
        <v>122500</v>
      </c>
      <c r="D2636" s="1">
        <f>IFERROR(__xludf.DUMMYFUNCTION("""COMPUTED_VALUE"""),119500.0)</f>
        <v>119500</v>
      </c>
      <c r="E2636" s="1">
        <f>IFERROR(__xludf.DUMMYFUNCTION("""COMPUTED_VALUE"""),120000.0)</f>
        <v>120000</v>
      </c>
      <c r="F2636" s="1">
        <f>IFERROR(__xludf.DUMMYFUNCTION("""COMPUTED_VALUE"""),3635942.0)</f>
        <v>3635942</v>
      </c>
    </row>
    <row r="2637">
      <c r="A2637" s="2">
        <f>IFERROR(__xludf.DUMMYFUNCTION("""COMPUTED_VALUE"""),44467.64583333333)</f>
        <v>44467.64583</v>
      </c>
      <c r="B2637" s="1">
        <f>IFERROR(__xludf.DUMMYFUNCTION("""COMPUTED_VALUE"""),120500.0)</f>
        <v>120500</v>
      </c>
      <c r="C2637" s="1">
        <f>IFERROR(__xludf.DUMMYFUNCTION("""COMPUTED_VALUE"""),121500.0)</f>
        <v>121500</v>
      </c>
      <c r="D2637" s="1">
        <f>IFERROR(__xludf.DUMMYFUNCTION("""COMPUTED_VALUE"""),117500.0)</f>
        <v>117500</v>
      </c>
      <c r="E2637" s="1">
        <f>IFERROR(__xludf.DUMMYFUNCTION("""COMPUTED_VALUE"""),117500.0)</f>
        <v>117500</v>
      </c>
      <c r="F2637" s="1">
        <f>IFERROR(__xludf.DUMMYFUNCTION("""COMPUTED_VALUE"""),3445583.0)</f>
        <v>3445583</v>
      </c>
    </row>
    <row r="2638">
      <c r="A2638" s="2">
        <f>IFERROR(__xludf.DUMMYFUNCTION("""COMPUTED_VALUE"""),44468.64583333333)</f>
        <v>44468.64583</v>
      </c>
      <c r="B2638" s="1">
        <f>IFERROR(__xludf.DUMMYFUNCTION("""COMPUTED_VALUE"""),115000.0)</f>
        <v>115000</v>
      </c>
      <c r="C2638" s="1">
        <f>IFERROR(__xludf.DUMMYFUNCTION("""COMPUTED_VALUE"""),117500.0)</f>
        <v>117500</v>
      </c>
      <c r="D2638" s="1">
        <f>IFERROR(__xludf.DUMMYFUNCTION("""COMPUTED_VALUE"""),114500.0)</f>
        <v>114500</v>
      </c>
      <c r="E2638" s="1">
        <f>IFERROR(__xludf.DUMMYFUNCTION("""COMPUTED_VALUE"""),116500.0)</f>
        <v>116500</v>
      </c>
      <c r="F2638" s="1">
        <f>IFERROR(__xludf.DUMMYFUNCTION("""COMPUTED_VALUE"""),3172350.0)</f>
        <v>3172350</v>
      </c>
    </row>
    <row r="2639">
      <c r="A2639" s="2">
        <f>IFERROR(__xludf.DUMMYFUNCTION("""COMPUTED_VALUE"""),44469.64583333333)</f>
        <v>44469.64583</v>
      </c>
      <c r="B2639" s="1">
        <f>IFERROR(__xludf.DUMMYFUNCTION("""COMPUTED_VALUE"""),115000.0)</f>
        <v>115000</v>
      </c>
      <c r="C2639" s="1">
        <f>IFERROR(__xludf.DUMMYFUNCTION("""COMPUTED_VALUE"""),120500.0)</f>
        <v>120500</v>
      </c>
      <c r="D2639" s="1">
        <f>IFERROR(__xludf.DUMMYFUNCTION("""COMPUTED_VALUE"""),114500.0)</f>
        <v>114500</v>
      </c>
      <c r="E2639" s="1">
        <f>IFERROR(__xludf.DUMMYFUNCTION("""COMPUTED_VALUE"""),118000.0)</f>
        <v>118000</v>
      </c>
      <c r="F2639" s="1">
        <f>IFERROR(__xludf.DUMMYFUNCTION("""COMPUTED_VALUE"""),4649917.0)</f>
        <v>4649917</v>
      </c>
    </row>
    <row r="2640">
      <c r="A2640" s="2">
        <f>IFERROR(__xludf.DUMMYFUNCTION("""COMPUTED_VALUE"""),44470.64583333333)</f>
        <v>44470.64583</v>
      </c>
      <c r="B2640" s="1">
        <f>IFERROR(__xludf.DUMMYFUNCTION("""COMPUTED_VALUE"""),118000.0)</f>
        <v>118000</v>
      </c>
      <c r="C2640" s="1">
        <f>IFERROR(__xludf.DUMMYFUNCTION("""COMPUTED_VALUE"""),120000.0)</f>
        <v>120000</v>
      </c>
      <c r="D2640" s="1">
        <f>IFERROR(__xludf.DUMMYFUNCTION("""COMPUTED_VALUE"""),116000.0)</f>
        <v>116000</v>
      </c>
      <c r="E2640" s="1">
        <f>IFERROR(__xludf.DUMMYFUNCTION("""COMPUTED_VALUE"""),116500.0)</f>
        <v>116500</v>
      </c>
      <c r="F2640" s="1">
        <f>IFERROR(__xludf.DUMMYFUNCTION("""COMPUTED_VALUE"""),2329103.0)</f>
        <v>2329103</v>
      </c>
    </row>
    <row r="2641">
      <c r="A2641" s="2">
        <f>IFERROR(__xludf.DUMMYFUNCTION("""COMPUTED_VALUE"""),44474.64583333333)</f>
        <v>44474.64583</v>
      </c>
      <c r="B2641" s="1">
        <f>IFERROR(__xludf.DUMMYFUNCTION("""COMPUTED_VALUE"""),114500.0)</f>
        <v>114500</v>
      </c>
      <c r="C2641" s="1">
        <f>IFERROR(__xludf.DUMMYFUNCTION("""COMPUTED_VALUE"""),116000.0)</f>
        <v>116000</v>
      </c>
      <c r="D2641" s="1">
        <f>IFERROR(__xludf.DUMMYFUNCTION("""COMPUTED_VALUE"""),110500.0)</f>
        <v>110500</v>
      </c>
      <c r="E2641" s="1">
        <f>IFERROR(__xludf.DUMMYFUNCTION("""COMPUTED_VALUE"""),111000.0)</f>
        <v>111000</v>
      </c>
      <c r="F2641" s="1">
        <f>IFERROR(__xludf.DUMMYFUNCTION("""COMPUTED_VALUE"""),4885065.0)</f>
        <v>4885065</v>
      </c>
    </row>
    <row r="2642">
      <c r="A2642" s="2">
        <f>IFERROR(__xludf.DUMMYFUNCTION("""COMPUTED_VALUE"""),44475.64583333333)</f>
        <v>44475.64583</v>
      </c>
      <c r="B2642" s="1">
        <f>IFERROR(__xludf.DUMMYFUNCTION("""COMPUTED_VALUE"""),112500.0)</f>
        <v>112500</v>
      </c>
      <c r="C2642" s="1">
        <f>IFERROR(__xludf.DUMMYFUNCTION("""COMPUTED_VALUE"""),116000.0)</f>
        <v>116000</v>
      </c>
      <c r="D2642" s="1">
        <f>IFERROR(__xludf.DUMMYFUNCTION("""COMPUTED_VALUE"""),112000.0)</f>
        <v>112000</v>
      </c>
      <c r="E2642" s="1">
        <f>IFERROR(__xludf.DUMMYFUNCTION("""COMPUTED_VALUE"""),113000.0)</f>
        <v>113000</v>
      </c>
      <c r="F2642" s="1">
        <f>IFERROR(__xludf.DUMMYFUNCTION("""COMPUTED_VALUE"""),4610915.0)</f>
        <v>4610915</v>
      </c>
    </row>
    <row r="2643">
      <c r="A2643" s="2">
        <f>IFERROR(__xludf.DUMMYFUNCTION("""COMPUTED_VALUE"""),44476.64583333333)</f>
        <v>44476.64583</v>
      </c>
      <c r="B2643" s="1">
        <f>IFERROR(__xludf.DUMMYFUNCTION("""COMPUTED_VALUE"""),115000.0)</f>
        <v>115000</v>
      </c>
      <c r="C2643" s="1">
        <f>IFERROR(__xludf.DUMMYFUNCTION("""COMPUTED_VALUE"""),119500.0)</f>
        <v>119500</v>
      </c>
      <c r="D2643" s="1">
        <f>IFERROR(__xludf.DUMMYFUNCTION("""COMPUTED_VALUE"""),115000.0)</f>
        <v>115000</v>
      </c>
      <c r="E2643" s="1">
        <f>IFERROR(__xludf.DUMMYFUNCTION("""COMPUTED_VALUE"""),119500.0)</f>
        <v>119500</v>
      </c>
      <c r="F2643" s="1">
        <f>IFERROR(__xludf.DUMMYFUNCTION("""COMPUTED_VALUE"""),5146917.0)</f>
        <v>5146917</v>
      </c>
    </row>
    <row r="2644">
      <c r="A2644" s="2">
        <f>IFERROR(__xludf.DUMMYFUNCTION("""COMPUTED_VALUE"""),44477.64583333333)</f>
        <v>44477.64583</v>
      </c>
      <c r="B2644" s="1">
        <f>IFERROR(__xludf.DUMMYFUNCTION("""COMPUTED_VALUE"""),121500.0)</f>
        <v>121500</v>
      </c>
      <c r="C2644" s="1">
        <f>IFERROR(__xludf.DUMMYFUNCTION("""COMPUTED_VALUE"""),121500.0)</f>
        <v>121500</v>
      </c>
      <c r="D2644" s="1">
        <f>IFERROR(__xludf.DUMMYFUNCTION("""COMPUTED_VALUE"""),117500.0)</f>
        <v>117500</v>
      </c>
      <c r="E2644" s="1">
        <f>IFERROR(__xludf.DUMMYFUNCTION("""COMPUTED_VALUE"""),117500.0)</f>
        <v>117500</v>
      </c>
      <c r="F2644" s="1">
        <f>IFERROR(__xludf.DUMMYFUNCTION("""COMPUTED_VALUE"""),3930836.0)</f>
        <v>3930836</v>
      </c>
    </row>
    <row r="2645">
      <c r="A2645" s="2">
        <f>IFERROR(__xludf.DUMMYFUNCTION("""COMPUTED_VALUE"""),44481.64583333333)</f>
        <v>44481.64583</v>
      </c>
      <c r="B2645" s="1">
        <f>IFERROR(__xludf.DUMMYFUNCTION("""COMPUTED_VALUE"""),117000.0)</f>
        <v>117000</v>
      </c>
      <c r="C2645" s="1">
        <f>IFERROR(__xludf.DUMMYFUNCTION("""COMPUTED_VALUE"""),118500.0)</f>
        <v>118500</v>
      </c>
      <c r="D2645" s="1">
        <f>IFERROR(__xludf.DUMMYFUNCTION("""COMPUTED_VALUE"""),113000.0)</f>
        <v>113000</v>
      </c>
      <c r="E2645" s="1">
        <f>IFERROR(__xludf.DUMMYFUNCTION("""COMPUTED_VALUE"""),113500.0)</f>
        <v>113500</v>
      </c>
      <c r="F2645" s="1">
        <f>IFERROR(__xludf.DUMMYFUNCTION("""COMPUTED_VALUE"""),3810466.0)</f>
        <v>3810466</v>
      </c>
    </row>
    <row r="2646">
      <c r="A2646" s="2">
        <f>IFERROR(__xludf.DUMMYFUNCTION("""COMPUTED_VALUE"""),44482.64583333333)</f>
        <v>44482.64583</v>
      </c>
      <c r="B2646" s="1">
        <f>IFERROR(__xludf.DUMMYFUNCTION("""COMPUTED_VALUE"""),114000.0)</f>
        <v>114000</v>
      </c>
      <c r="C2646" s="1">
        <f>IFERROR(__xludf.DUMMYFUNCTION("""COMPUTED_VALUE"""),118500.0)</f>
        <v>118500</v>
      </c>
      <c r="D2646" s="1">
        <f>IFERROR(__xludf.DUMMYFUNCTION("""COMPUTED_VALUE"""),114000.0)</f>
        <v>114000</v>
      </c>
      <c r="E2646" s="1">
        <f>IFERROR(__xludf.DUMMYFUNCTION("""COMPUTED_VALUE"""),117000.0)</f>
        <v>117000</v>
      </c>
      <c r="F2646" s="1">
        <f>IFERROR(__xludf.DUMMYFUNCTION("""COMPUTED_VALUE"""),2731883.0)</f>
        <v>2731883</v>
      </c>
    </row>
    <row r="2647">
      <c r="A2647" s="2">
        <f>IFERROR(__xludf.DUMMYFUNCTION("""COMPUTED_VALUE"""),44483.64583333333)</f>
        <v>44483.64583</v>
      </c>
      <c r="B2647" s="1">
        <f>IFERROR(__xludf.DUMMYFUNCTION("""COMPUTED_VALUE"""),118500.0)</f>
        <v>118500</v>
      </c>
      <c r="C2647" s="1">
        <f>IFERROR(__xludf.DUMMYFUNCTION("""COMPUTED_VALUE"""),122000.0)</f>
        <v>122000</v>
      </c>
      <c r="D2647" s="1">
        <f>IFERROR(__xludf.DUMMYFUNCTION("""COMPUTED_VALUE"""),118500.0)</f>
        <v>118500</v>
      </c>
      <c r="E2647" s="1">
        <f>IFERROR(__xludf.DUMMYFUNCTION("""COMPUTED_VALUE"""),121500.0)</f>
        <v>121500</v>
      </c>
      <c r="F2647" s="1">
        <f>IFERROR(__xludf.DUMMYFUNCTION("""COMPUTED_VALUE"""),3891958.0)</f>
        <v>3891958</v>
      </c>
    </row>
    <row r="2648">
      <c r="A2648" s="2">
        <f>IFERROR(__xludf.DUMMYFUNCTION("""COMPUTED_VALUE"""),44484.64583333333)</f>
        <v>44484.64583</v>
      </c>
      <c r="B2648" s="1">
        <f>IFERROR(__xludf.DUMMYFUNCTION("""COMPUTED_VALUE"""),123000.0)</f>
        <v>123000</v>
      </c>
      <c r="C2648" s="1">
        <f>IFERROR(__xludf.DUMMYFUNCTION("""COMPUTED_VALUE"""),123500.0)</f>
        <v>123500</v>
      </c>
      <c r="D2648" s="1">
        <f>IFERROR(__xludf.DUMMYFUNCTION("""COMPUTED_VALUE"""),120000.0)</f>
        <v>120000</v>
      </c>
      <c r="E2648" s="1">
        <f>IFERROR(__xludf.DUMMYFUNCTION("""COMPUTED_VALUE"""),122000.0)</f>
        <v>122000</v>
      </c>
      <c r="F2648" s="1">
        <f>IFERROR(__xludf.DUMMYFUNCTION("""COMPUTED_VALUE"""),2331425.0)</f>
        <v>2331425</v>
      </c>
    </row>
    <row r="2649">
      <c r="A2649" s="2">
        <f>IFERROR(__xludf.DUMMYFUNCTION("""COMPUTED_VALUE"""),44487.64583333333)</f>
        <v>44487.64583</v>
      </c>
      <c r="B2649" s="1">
        <f>IFERROR(__xludf.DUMMYFUNCTION("""COMPUTED_VALUE"""),123000.0)</f>
        <v>123000</v>
      </c>
      <c r="C2649" s="1">
        <f>IFERROR(__xludf.DUMMYFUNCTION("""COMPUTED_VALUE"""),123000.0)</f>
        <v>123000</v>
      </c>
      <c r="D2649" s="1">
        <f>IFERROR(__xludf.DUMMYFUNCTION("""COMPUTED_VALUE"""),120500.0)</f>
        <v>120500</v>
      </c>
      <c r="E2649" s="1">
        <f>IFERROR(__xludf.DUMMYFUNCTION("""COMPUTED_VALUE"""),121500.0)</f>
        <v>121500</v>
      </c>
      <c r="F2649" s="1">
        <f>IFERROR(__xludf.DUMMYFUNCTION("""COMPUTED_VALUE"""),1831322.0)</f>
        <v>1831322</v>
      </c>
    </row>
    <row r="2650">
      <c r="A2650" s="2">
        <f>IFERROR(__xludf.DUMMYFUNCTION("""COMPUTED_VALUE"""),44488.64583333333)</f>
        <v>44488.64583</v>
      </c>
      <c r="B2650" s="1">
        <f>IFERROR(__xludf.DUMMYFUNCTION("""COMPUTED_VALUE"""),123000.0)</f>
        <v>123000</v>
      </c>
      <c r="C2650" s="1">
        <f>IFERROR(__xludf.DUMMYFUNCTION("""COMPUTED_VALUE"""),127500.0)</f>
        <v>127500</v>
      </c>
      <c r="D2650" s="1">
        <f>IFERROR(__xludf.DUMMYFUNCTION("""COMPUTED_VALUE"""),121500.0)</f>
        <v>121500</v>
      </c>
      <c r="E2650" s="1">
        <f>IFERROR(__xludf.DUMMYFUNCTION("""COMPUTED_VALUE"""),127500.0)</f>
        <v>127500</v>
      </c>
      <c r="F2650" s="1">
        <f>IFERROR(__xludf.DUMMYFUNCTION("""COMPUTED_VALUE"""),4075027.0)</f>
        <v>4075027</v>
      </c>
    </row>
    <row r="2651">
      <c r="A2651" s="2">
        <f>IFERROR(__xludf.DUMMYFUNCTION("""COMPUTED_VALUE"""),44489.64583333333)</f>
        <v>44489.64583</v>
      </c>
      <c r="B2651" s="1">
        <f>IFERROR(__xludf.DUMMYFUNCTION("""COMPUTED_VALUE"""),129500.0)</f>
        <v>129500</v>
      </c>
      <c r="C2651" s="1">
        <f>IFERROR(__xludf.DUMMYFUNCTION("""COMPUTED_VALUE"""),130500.0)</f>
        <v>130500</v>
      </c>
      <c r="D2651" s="1">
        <f>IFERROR(__xludf.DUMMYFUNCTION("""COMPUTED_VALUE"""),127000.0)</f>
        <v>127000</v>
      </c>
      <c r="E2651" s="1">
        <f>IFERROR(__xludf.DUMMYFUNCTION("""COMPUTED_VALUE"""),128000.0)</f>
        <v>128000</v>
      </c>
      <c r="F2651" s="1">
        <f>IFERROR(__xludf.DUMMYFUNCTION("""COMPUTED_VALUE"""),4959740.0)</f>
        <v>4959740</v>
      </c>
    </row>
    <row r="2652">
      <c r="A2652" s="2">
        <f>IFERROR(__xludf.DUMMYFUNCTION("""COMPUTED_VALUE"""),44490.64583333333)</f>
        <v>44490.64583</v>
      </c>
      <c r="B2652" s="1">
        <f>IFERROR(__xludf.DUMMYFUNCTION("""COMPUTED_VALUE"""),128500.0)</f>
        <v>128500</v>
      </c>
      <c r="C2652" s="1">
        <f>IFERROR(__xludf.DUMMYFUNCTION("""COMPUTED_VALUE"""),130000.0)</f>
        <v>130000</v>
      </c>
      <c r="D2652" s="1">
        <f>IFERROR(__xludf.DUMMYFUNCTION("""COMPUTED_VALUE"""),127500.0)</f>
        <v>127500</v>
      </c>
      <c r="E2652" s="1">
        <f>IFERROR(__xludf.DUMMYFUNCTION("""COMPUTED_VALUE"""),128000.0)</f>
        <v>128000</v>
      </c>
      <c r="F2652" s="1">
        <f>IFERROR(__xludf.DUMMYFUNCTION("""COMPUTED_VALUE"""),2297507.0)</f>
        <v>2297507</v>
      </c>
    </row>
    <row r="2653">
      <c r="A2653" s="2">
        <f>IFERROR(__xludf.DUMMYFUNCTION("""COMPUTED_VALUE"""),44491.64583333333)</f>
        <v>44491.64583</v>
      </c>
      <c r="B2653" s="1">
        <f>IFERROR(__xludf.DUMMYFUNCTION("""COMPUTED_VALUE"""),128000.0)</f>
        <v>128000</v>
      </c>
      <c r="C2653" s="1">
        <f>IFERROR(__xludf.DUMMYFUNCTION("""COMPUTED_VALUE"""),129500.0)</f>
        <v>129500</v>
      </c>
      <c r="D2653" s="1">
        <f>IFERROR(__xludf.DUMMYFUNCTION("""COMPUTED_VALUE"""),125500.0)</f>
        <v>125500</v>
      </c>
      <c r="E2653" s="1">
        <f>IFERROR(__xludf.DUMMYFUNCTION("""COMPUTED_VALUE"""),127500.0)</f>
        <v>127500</v>
      </c>
      <c r="F2653" s="1">
        <f>IFERROR(__xludf.DUMMYFUNCTION("""COMPUTED_VALUE"""),1985417.0)</f>
        <v>1985417</v>
      </c>
    </row>
    <row r="2654">
      <c r="A2654" s="2">
        <f>IFERROR(__xludf.DUMMYFUNCTION("""COMPUTED_VALUE"""),44494.64583333333)</f>
        <v>44494.64583</v>
      </c>
      <c r="B2654" s="1">
        <f>IFERROR(__xludf.DUMMYFUNCTION("""COMPUTED_VALUE"""),126500.0)</f>
        <v>126500</v>
      </c>
      <c r="C2654" s="1">
        <f>IFERROR(__xludf.DUMMYFUNCTION("""COMPUTED_VALUE"""),127500.0)</f>
        <v>127500</v>
      </c>
      <c r="D2654" s="1">
        <f>IFERROR(__xludf.DUMMYFUNCTION("""COMPUTED_VALUE"""),123500.0)</f>
        <v>123500</v>
      </c>
      <c r="E2654" s="1">
        <f>IFERROR(__xludf.DUMMYFUNCTION("""COMPUTED_VALUE"""),126000.0)</f>
        <v>126000</v>
      </c>
      <c r="F2654" s="1">
        <f>IFERROR(__xludf.DUMMYFUNCTION("""COMPUTED_VALUE"""),2309608.0)</f>
        <v>2309608</v>
      </c>
    </row>
    <row r="2655">
      <c r="A2655" s="2">
        <f>IFERROR(__xludf.DUMMYFUNCTION("""COMPUTED_VALUE"""),44495.64583333333)</f>
        <v>44495.64583</v>
      </c>
      <c r="B2655" s="1">
        <f>IFERROR(__xludf.DUMMYFUNCTION("""COMPUTED_VALUE"""),126000.0)</f>
        <v>126000</v>
      </c>
      <c r="C2655" s="1">
        <f>IFERROR(__xludf.DUMMYFUNCTION("""COMPUTED_VALUE"""),128000.0)</f>
        <v>128000</v>
      </c>
      <c r="D2655" s="1">
        <f>IFERROR(__xludf.DUMMYFUNCTION("""COMPUTED_VALUE"""),126000.0)</f>
        <v>126000</v>
      </c>
      <c r="E2655" s="1">
        <f>IFERROR(__xludf.DUMMYFUNCTION("""COMPUTED_VALUE"""),127500.0)</f>
        <v>127500</v>
      </c>
      <c r="F2655" s="1">
        <f>IFERROR(__xludf.DUMMYFUNCTION("""COMPUTED_VALUE"""),1265299.0)</f>
        <v>1265299</v>
      </c>
    </row>
    <row r="2656">
      <c r="A2656" s="2">
        <f>IFERROR(__xludf.DUMMYFUNCTION("""COMPUTED_VALUE"""),44496.64583333333)</f>
        <v>44496.64583</v>
      </c>
      <c r="B2656" s="1">
        <f>IFERROR(__xludf.DUMMYFUNCTION("""COMPUTED_VALUE"""),128000.0)</f>
        <v>128000</v>
      </c>
      <c r="C2656" s="1">
        <f>IFERROR(__xludf.DUMMYFUNCTION("""COMPUTED_VALUE"""),129000.0)</f>
        <v>129000</v>
      </c>
      <c r="D2656" s="1">
        <f>IFERROR(__xludf.DUMMYFUNCTION("""COMPUTED_VALUE"""),126500.0)</f>
        <v>126500</v>
      </c>
      <c r="E2656" s="1">
        <f>IFERROR(__xludf.DUMMYFUNCTION("""COMPUTED_VALUE"""),128500.0)</f>
        <v>128500</v>
      </c>
      <c r="F2656" s="1">
        <f>IFERROR(__xludf.DUMMYFUNCTION("""COMPUTED_VALUE"""),1449071.0)</f>
        <v>1449071</v>
      </c>
    </row>
    <row r="2657">
      <c r="A2657" s="2">
        <f>IFERROR(__xludf.DUMMYFUNCTION("""COMPUTED_VALUE"""),44497.64583333333)</f>
        <v>44497.64583</v>
      </c>
      <c r="B2657" s="1">
        <f>IFERROR(__xludf.DUMMYFUNCTION("""COMPUTED_VALUE"""),129000.0)</f>
        <v>129000</v>
      </c>
      <c r="C2657" s="1">
        <f>IFERROR(__xludf.DUMMYFUNCTION("""COMPUTED_VALUE"""),130000.0)</f>
        <v>130000</v>
      </c>
      <c r="D2657" s="1">
        <f>IFERROR(__xludf.DUMMYFUNCTION("""COMPUTED_VALUE"""),125000.0)</f>
        <v>125000</v>
      </c>
      <c r="E2657" s="1">
        <f>IFERROR(__xludf.DUMMYFUNCTION("""COMPUTED_VALUE"""),125500.0)</f>
        <v>125500</v>
      </c>
      <c r="F2657" s="1">
        <f>IFERROR(__xludf.DUMMYFUNCTION("""COMPUTED_VALUE"""),1783396.0)</f>
        <v>1783396</v>
      </c>
    </row>
    <row r="2658">
      <c r="A2658" s="2">
        <f>IFERROR(__xludf.DUMMYFUNCTION("""COMPUTED_VALUE"""),44498.64583333333)</f>
        <v>44498.64583</v>
      </c>
      <c r="B2658" s="1">
        <f>IFERROR(__xludf.DUMMYFUNCTION("""COMPUTED_VALUE"""),125500.0)</f>
        <v>125500</v>
      </c>
      <c r="C2658" s="1">
        <f>IFERROR(__xludf.DUMMYFUNCTION("""COMPUTED_VALUE"""),126500.0)</f>
        <v>126500</v>
      </c>
      <c r="D2658" s="1">
        <f>IFERROR(__xludf.DUMMYFUNCTION("""COMPUTED_VALUE"""),123000.0)</f>
        <v>123000</v>
      </c>
      <c r="E2658" s="1">
        <f>IFERROR(__xludf.DUMMYFUNCTION("""COMPUTED_VALUE"""),125500.0)</f>
        <v>125500</v>
      </c>
      <c r="F2658" s="1">
        <f>IFERROR(__xludf.DUMMYFUNCTION("""COMPUTED_VALUE"""),1891355.0)</f>
        <v>1891355</v>
      </c>
    </row>
    <row r="2659">
      <c r="A2659" s="2">
        <f>IFERROR(__xludf.DUMMYFUNCTION("""COMPUTED_VALUE"""),44501.64583333333)</f>
        <v>44501.64583</v>
      </c>
      <c r="B2659" s="1">
        <f>IFERROR(__xludf.DUMMYFUNCTION("""COMPUTED_VALUE"""),126000.0)</f>
        <v>126000</v>
      </c>
      <c r="C2659" s="1">
        <f>IFERROR(__xludf.DUMMYFUNCTION("""COMPUTED_VALUE"""),127000.0)</f>
        <v>127000</v>
      </c>
      <c r="D2659" s="1">
        <f>IFERROR(__xludf.DUMMYFUNCTION("""COMPUTED_VALUE"""),125000.0)</f>
        <v>125000</v>
      </c>
      <c r="E2659" s="1">
        <f>IFERROR(__xludf.DUMMYFUNCTION("""COMPUTED_VALUE"""),125500.0)</f>
        <v>125500</v>
      </c>
      <c r="F2659" s="1">
        <f>IFERROR(__xludf.DUMMYFUNCTION("""COMPUTED_VALUE"""),1081519.0)</f>
        <v>1081519</v>
      </c>
    </row>
    <row r="2660">
      <c r="A2660" s="2">
        <f>IFERROR(__xludf.DUMMYFUNCTION("""COMPUTED_VALUE"""),44502.64583333333)</f>
        <v>44502.64583</v>
      </c>
      <c r="B2660" s="1">
        <f>IFERROR(__xludf.DUMMYFUNCTION("""COMPUTED_VALUE"""),126000.0)</f>
        <v>126000</v>
      </c>
      <c r="C2660" s="1">
        <f>IFERROR(__xludf.DUMMYFUNCTION("""COMPUTED_VALUE"""),128500.0)</f>
        <v>128500</v>
      </c>
      <c r="D2660" s="1">
        <f>IFERROR(__xludf.DUMMYFUNCTION("""COMPUTED_VALUE"""),126000.0)</f>
        <v>126000</v>
      </c>
      <c r="E2660" s="1">
        <f>IFERROR(__xludf.DUMMYFUNCTION("""COMPUTED_VALUE"""),128000.0)</f>
        <v>128000</v>
      </c>
      <c r="F2660" s="1">
        <f>IFERROR(__xludf.DUMMYFUNCTION("""COMPUTED_VALUE"""),1642378.0)</f>
        <v>1642378</v>
      </c>
    </row>
    <row r="2661">
      <c r="A2661" s="2">
        <f>IFERROR(__xludf.DUMMYFUNCTION("""COMPUTED_VALUE"""),44503.64583333333)</f>
        <v>44503.64583</v>
      </c>
      <c r="B2661" s="1">
        <f>IFERROR(__xludf.DUMMYFUNCTION("""COMPUTED_VALUE"""),128000.0)</f>
        <v>128000</v>
      </c>
      <c r="C2661" s="1">
        <f>IFERROR(__xludf.DUMMYFUNCTION("""COMPUTED_VALUE"""),128500.0)</f>
        <v>128500</v>
      </c>
      <c r="D2661" s="1">
        <f>IFERROR(__xludf.DUMMYFUNCTION("""COMPUTED_VALUE"""),123500.0)</f>
        <v>123500</v>
      </c>
      <c r="E2661" s="1">
        <f>IFERROR(__xludf.DUMMYFUNCTION("""COMPUTED_VALUE"""),124500.0)</f>
        <v>124500</v>
      </c>
      <c r="F2661" s="1">
        <f>IFERROR(__xludf.DUMMYFUNCTION("""COMPUTED_VALUE"""),2937805.0)</f>
        <v>2937805</v>
      </c>
    </row>
    <row r="2662">
      <c r="A2662" s="2">
        <f>IFERROR(__xludf.DUMMYFUNCTION("""COMPUTED_VALUE"""),44504.64583333333)</f>
        <v>44504.64583</v>
      </c>
      <c r="B2662" s="1">
        <f>IFERROR(__xludf.DUMMYFUNCTION("""COMPUTED_VALUE"""),126000.0)</f>
        <v>126000</v>
      </c>
      <c r="C2662" s="1">
        <f>IFERROR(__xludf.DUMMYFUNCTION("""COMPUTED_VALUE"""),130500.0)</f>
        <v>130500</v>
      </c>
      <c r="D2662" s="1">
        <f>IFERROR(__xludf.DUMMYFUNCTION("""COMPUTED_VALUE"""),125500.0)</f>
        <v>125500</v>
      </c>
      <c r="E2662" s="1">
        <f>IFERROR(__xludf.DUMMYFUNCTION("""COMPUTED_VALUE"""),130000.0)</f>
        <v>130000</v>
      </c>
      <c r="F2662" s="1">
        <f>IFERROR(__xludf.DUMMYFUNCTION("""COMPUTED_VALUE"""),6001098.0)</f>
        <v>6001098</v>
      </c>
    </row>
    <row r="2663">
      <c r="A2663" s="2">
        <f>IFERROR(__xludf.DUMMYFUNCTION("""COMPUTED_VALUE"""),44505.64583333333)</f>
        <v>44505.64583</v>
      </c>
      <c r="B2663" s="1">
        <f>IFERROR(__xludf.DUMMYFUNCTION("""COMPUTED_VALUE"""),131000.0)</f>
        <v>131000</v>
      </c>
      <c r="C2663" s="1">
        <f>IFERROR(__xludf.DUMMYFUNCTION("""COMPUTED_VALUE"""),131000.0)</f>
        <v>131000</v>
      </c>
      <c r="D2663" s="1">
        <f>IFERROR(__xludf.DUMMYFUNCTION("""COMPUTED_VALUE"""),126500.0)</f>
        <v>126500</v>
      </c>
      <c r="E2663" s="1">
        <f>IFERROR(__xludf.DUMMYFUNCTION("""COMPUTED_VALUE"""),128500.0)</f>
        <v>128500</v>
      </c>
      <c r="F2663" s="1">
        <f>IFERROR(__xludf.DUMMYFUNCTION("""COMPUTED_VALUE"""),2810726.0)</f>
        <v>2810726</v>
      </c>
    </row>
    <row r="2664">
      <c r="A2664" s="2">
        <f>IFERROR(__xludf.DUMMYFUNCTION("""COMPUTED_VALUE"""),44508.64583333333)</f>
        <v>44508.64583</v>
      </c>
      <c r="B2664" s="1">
        <f>IFERROR(__xludf.DUMMYFUNCTION("""COMPUTED_VALUE"""),128500.0)</f>
        <v>128500</v>
      </c>
      <c r="C2664" s="1">
        <f>IFERROR(__xludf.DUMMYFUNCTION("""COMPUTED_VALUE"""),128500.0)</f>
        <v>128500</v>
      </c>
      <c r="D2664" s="1">
        <f>IFERROR(__xludf.DUMMYFUNCTION("""COMPUTED_VALUE"""),123000.0)</f>
        <v>123000</v>
      </c>
      <c r="E2664" s="1">
        <f>IFERROR(__xludf.DUMMYFUNCTION("""COMPUTED_VALUE"""),125000.0)</f>
        <v>125000</v>
      </c>
      <c r="F2664" s="1">
        <f>IFERROR(__xludf.DUMMYFUNCTION("""COMPUTED_VALUE"""),4026899.0)</f>
        <v>4026899</v>
      </c>
    </row>
    <row r="2665">
      <c r="A2665" s="2">
        <f>IFERROR(__xludf.DUMMYFUNCTION("""COMPUTED_VALUE"""),44509.64583333333)</f>
        <v>44509.64583</v>
      </c>
      <c r="B2665" s="1">
        <f>IFERROR(__xludf.DUMMYFUNCTION("""COMPUTED_VALUE"""),124500.0)</f>
        <v>124500</v>
      </c>
      <c r="C2665" s="1">
        <f>IFERROR(__xludf.DUMMYFUNCTION("""COMPUTED_VALUE"""),127000.0)</f>
        <v>127000</v>
      </c>
      <c r="D2665" s="1">
        <f>IFERROR(__xludf.DUMMYFUNCTION("""COMPUTED_VALUE"""),124500.0)</f>
        <v>124500</v>
      </c>
      <c r="E2665" s="1">
        <f>IFERROR(__xludf.DUMMYFUNCTION("""COMPUTED_VALUE"""),125500.0)</f>
        <v>125500</v>
      </c>
      <c r="F2665" s="1">
        <f>IFERROR(__xludf.DUMMYFUNCTION("""COMPUTED_VALUE"""),1990889.0)</f>
        <v>1990889</v>
      </c>
    </row>
    <row r="2666">
      <c r="A2666" s="2">
        <f>IFERROR(__xludf.DUMMYFUNCTION("""COMPUTED_VALUE"""),44510.64583333333)</f>
        <v>44510.64583</v>
      </c>
      <c r="B2666" s="1">
        <f>IFERROR(__xludf.DUMMYFUNCTION("""COMPUTED_VALUE"""),125500.0)</f>
        <v>125500</v>
      </c>
      <c r="C2666" s="1">
        <f>IFERROR(__xludf.DUMMYFUNCTION("""COMPUTED_VALUE"""),127500.0)</f>
        <v>127500</v>
      </c>
      <c r="D2666" s="1">
        <f>IFERROR(__xludf.DUMMYFUNCTION("""COMPUTED_VALUE"""),123500.0)</f>
        <v>123500</v>
      </c>
      <c r="E2666" s="1">
        <f>IFERROR(__xludf.DUMMYFUNCTION("""COMPUTED_VALUE"""),124000.0)</f>
        <v>124000</v>
      </c>
      <c r="F2666" s="1">
        <f>IFERROR(__xludf.DUMMYFUNCTION("""COMPUTED_VALUE"""),1598893.0)</f>
        <v>1598893</v>
      </c>
    </row>
    <row r="2667">
      <c r="A2667" s="2">
        <f>IFERROR(__xludf.DUMMYFUNCTION("""COMPUTED_VALUE"""),44511.64583333333)</f>
        <v>44511.64583</v>
      </c>
      <c r="B2667" s="1">
        <f>IFERROR(__xludf.DUMMYFUNCTION("""COMPUTED_VALUE"""),123000.0)</f>
        <v>123000</v>
      </c>
      <c r="C2667" s="1">
        <f>IFERROR(__xludf.DUMMYFUNCTION("""COMPUTED_VALUE"""),125500.0)</f>
        <v>125500</v>
      </c>
      <c r="D2667" s="1">
        <f>IFERROR(__xludf.DUMMYFUNCTION("""COMPUTED_VALUE"""),121500.0)</f>
        <v>121500</v>
      </c>
      <c r="E2667" s="1">
        <f>IFERROR(__xludf.DUMMYFUNCTION("""COMPUTED_VALUE"""),125500.0)</f>
        <v>125500</v>
      </c>
      <c r="F2667" s="1">
        <f>IFERROR(__xludf.DUMMYFUNCTION("""COMPUTED_VALUE"""),1955371.0)</f>
        <v>1955371</v>
      </c>
    </row>
    <row r="2668">
      <c r="A2668" s="2">
        <f>IFERROR(__xludf.DUMMYFUNCTION("""COMPUTED_VALUE"""),44512.64583333333)</f>
        <v>44512.64583</v>
      </c>
      <c r="B2668" s="1">
        <f>IFERROR(__xludf.DUMMYFUNCTION("""COMPUTED_VALUE"""),126000.0)</f>
        <v>126000</v>
      </c>
      <c r="C2668" s="1">
        <f>IFERROR(__xludf.DUMMYFUNCTION("""COMPUTED_VALUE"""),128000.0)</f>
        <v>128000</v>
      </c>
      <c r="D2668" s="1">
        <f>IFERROR(__xludf.DUMMYFUNCTION("""COMPUTED_VALUE"""),124500.0)</f>
        <v>124500</v>
      </c>
      <c r="E2668" s="1">
        <f>IFERROR(__xludf.DUMMYFUNCTION("""COMPUTED_VALUE"""),127000.0)</f>
        <v>127000</v>
      </c>
      <c r="F2668" s="1">
        <f>IFERROR(__xludf.DUMMYFUNCTION("""COMPUTED_VALUE"""),2100660.0)</f>
        <v>2100660</v>
      </c>
    </row>
    <row r="2669">
      <c r="A2669" s="2">
        <f>IFERROR(__xludf.DUMMYFUNCTION("""COMPUTED_VALUE"""),44515.64583333333)</f>
        <v>44515.64583</v>
      </c>
      <c r="B2669" s="1">
        <f>IFERROR(__xludf.DUMMYFUNCTION("""COMPUTED_VALUE"""),127000.0)</f>
        <v>127000</v>
      </c>
      <c r="C2669" s="1">
        <f>IFERROR(__xludf.DUMMYFUNCTION("""COMPUTED_VALUE"""),129500.0)</f>
        <v>129500</v>
      </c>
      <c r="D2669" s="1">
        <f>IFERROR(__xludf.DUMMYFUNCTION("""COMPUTED_VALUE"""),127000.0)</f>
        <v>127000</v>
      </c>
      <c r="E2669" s="1">
        <f>IFERROR(__xludf.DUMMYFUNCTION("""COMPUTED_VALUE"""),129000.0)</f>
        <v>129000</v>
      </c>
      <c r="F2669" s="1">
        <f>IFERROR(__xludf.DUMMYFUNCTION("""COMPUTED_VALUE"""),1714170.0)</f>
        <v>1714170</v>
      </c>
    </row>
    <row r="2670">
      <c r="A2670" s="2">
        <f>IFERROR(__xludf.DUMMYFUNCTION("""COMPUTED_VALUE"""),44516.64583333333)</f>
        <v>44516.64583</v>
      </c>
      <c r="B2670" s="1">
        <f>IFERROR(__xludf.DUMMYFUNCTION("""COMPUTED_VALUE"""),129000.0)</f>
        <v>129000</v>
      </c>
      <c r="C2670" s="1">
        <f>IFERROR(__xludf.DUMMYFUNCTION("""COMPUTED_VALUE"""),130000.0)</f>
        <v>130000</v>
      </c>
      <c r="D2670" s="1">
        <f>IFERROR(__xludf.DUMMYFUNCTION("""COMPUTED_VALUE"""),127000.0)</f>
        <v>127000</v>
      </c>
      <c r="E2670" s="1">
        <f>IFERROR(__xludf.DUMMYFUNCTION("""COMPUTED_VALUE"""),127500.0)</f>
        <v>127500</v>
      </c>
      <c r="F2670" s="1">
        <f>IFERROR(__xludf.DUMMYFUNCTION("""COMPUTED_VALUE"""),1591390.0)</f>
        <v>1591390</v>
      </c>
    </row>
    <row r="2671">
      <c r="A2671" s="2">
        <f>IFERROR(__xludf.DUMMYFUNCTION("""COMPUTED_VALUE"""),44517.64583333333)</f>
        <v>44517.64583</v>
      </c>
      <c r="B2671" s="1">
        <f>IFERROR(__xludf.DUMMYFUNCTION("""COMPUTED_VALUE"""),128000.0)</f>
        <v>128000</v>
      </c>
      <c r="C2671" s="1">
        <f>IFERROR(__xludf.DUMMYFUNCTION("""COMPUTED_VALUE"""),129000.0)</f>
        <v>129000</v>
      </c>
      <c r="D2671" s="1">
        <f>IFERROR(__xludf.DUMMYFUNCTION("""COMPUTED_VALUE"""),125000.0)</f>
        <v>125000</v>
      </c>
      <c r="E2671" s="1">
        <f>IFERROR(__xludf.DUMMYFUNCTION("""COMPUTED_VALUE"""),125000.0)</f>
        <v>125000</v>
      </c>
      <c r="F2671" s="1">
        <f>IFERROR(__xludf.DUMMYFUNCTION("""COMPUTED_VALUE"""),1675657.0)</f>
        <v>1675657</v>
      </c>
    </row>
    <row r="2672">
      <c r="A2672" s="2">
        <f>IFERROR(__xludf.DUMMYFUNCTION("""COMPUTED_VALUE"""),44518.64583333333)</f>
        <v>44518.64583</v>
      </c>
      <c r="B2672" s="1">
        <f>IFERROR(__xludf.DUMMYFUNCTION("""COMPUTED_VALUE"""),125000.0)</f>
        <v>125000</v>
      </c>
      <c r="C2672" s="1">
        <f>IFERROR(__xludf.DUMMYFUNCTION("""COMPUTED_VALUE"""),126000.0)</f>
        <v>126000</v>
      </c>
      <c r="D2672" s="1">
        <f>IFERROR(__xludf.DUMMYFUNCTION("""COMPUTED_VALUE"""),123000.0)</f>
        <v>123000</v>
      </c>
      <c r="E2672" s="1">
        <f>IFERROR(__xludf.DUMMYFUNCTION("""COMPUTED_VALUE"""),124500.0)</f>
        <v>124500</v>
      </c>
      <c r="F2672" s="1">
        <f>IFERROR(__xludf.DUMMYFUNCTION("""COMPUTED_VALUE"""),1543924.0)</f>
        <v>1543924</v>
      </c>
    </row>
    <row r="2673">
      <c r="A2673" s="2">
        <f>IFERROR(__xludf.DUMMYFUNCTION("""COMPUTED_VALUE"""),44519.64583333333)</f>
        <v>44519.64583</v>
      </c>
      <c r="B2673" s="1">
        <f>IFERROR(__xludf.DUMMYFUNCTION("""COMPUTED_VALUE"""),125000.0)</f>
        <v>125000</v>
      </c>
      <c r="C2673" s="1">
        <f>IFERROR(__xludf.DUMMYFUNCTION("""COMPUTED_VALUE"""),127500.0)</f>
        <v>127500</v>
      </c>
      <c r="D2673" s="1">
        <f>IFERROR(__xludf.DUMMYFUNCTION("""COMPUTED_VALUE"""),124500.0)</f>
        <v>124500</v>
      </c>
      <c r="E2673" s="1">
        <f>IFERROR(__xludf.DUMMYFUNCTION("""COMPUTED_VALUE"""),127000.0)</f>
        <v>127000</v>
      </c>
      <c r="F2673" s="1">
        <f>IFERROR(__xludf.DUMMYFUNCTION("""COMPUTED_VALUE"""),1512294.0)</f>
        <v>1512294</v>
      </c>
    </row>
    <row r="2674">
      <c r="A2674" s="2">
        <f>IFERROR(__xludf.DUMMYFUNCTION("""COMPUTED_VALUE"""),44522.64583333333)</f>
        <v>44522.64583</v>
      </c>
      <c r="B2674" s="1">
        <f>IFERROR(__xludf.DUMMYFUNCTION("""COMPUTED_VALUE"""),127000.0)</f>
        <v>127000</v>
      </c>
      <c r="C2674" s="1">
        <f>IFERROR(__xludf.DUMMYFUNCTION("""COMPUTED_VALUE"""),129000.0)</f>
        <v>129000</v>
      </c>
      <c r="D2674" s="1">
        <f>IFERROR(__xludf.DUMMYFUNCTION("""COMPUTED_VALUE"""),125500.0)</f>
        <v>125500</v>
      </c>
      <c r="E2674" s="1">
        <f>IFERROR(__xludf.DUMMYFUNCTION("""COMPUTED_VALUE"""),128500.0)</f>
        <v>128500</v>
      </c>
      <c r="F2674" s="1">
        <f>IFERROR(__xludf.DUMMYFUNCTION("""COMPUTED_VALUE"""),2213290.0)</f>
        <v>2213290</v>
      </c>
    </row>
    <row r="2675">
      <c r="A2675" s="2">
        <f>IFERROR(__xludf.DUMMYFUNCTION("""COMPUTED_VALUE"""),44523.64583333333)</f>
        <v>44523.64583</v>
      </c>
      <c r="B2675" s="1">
        <f>IFERROR(__xludf.DUMMYFUNCTION("""COMPUTED_VALUE"""),127500.0)</f>
        <v>127500</v>
      </c>
      <c r="C2675" s="1">
        <f>IFERROR(__xludf.DUMMYFUNCTION("""COMPUTED_VALUE"""),128000.0)</f>
        <v>128000</v>
      </c>
      <c r="D2675" s="1">
        <f>IFERROR(__xludf.DUMMYFUNCTION("""COMPUTED_VALUE"""),124000.0)</f>
        <v>124000</v>
      </c>
      <c r="E2675" s="1">
        <f>IFERROR(__xludf.DUMMYFUNCTION("""COMPUTED_VALUE"""),124500.0)</f>
        <v>124500</v>
      </c>
      <c r="F2675" s="1">
        <f>IFERROR(__xludf.DUMMYFUNCTION("""COMPUTED_VALUE"""),1981200.0)</f>
        <v>1981200</v>
      </c>
    </row>
    <row r="2676">
      <c r="A2676" s="2">
        <f>IFERROR(__xludf.DUMMYFUNCTION("""COMPUTED_VALUE"""),44524.64583333333)</f>
        <v>44524.64583</v>
      </c>
      <c r="B2676" s="1">
        <f>IFERROR(__xludf.DUMMYFUNCTION("""COMPUTED_VALUE"""),124500.0)</f>
        <v>124500</v>
      </c>
      <c r="C2676" s="1">
        <f>IFERROR(__xludf.DUMMYFUNCTION("""COMPUTED_VALUE"""),125500.0)</f>
        <v>125500</v>
      </c>
      <c r="D2676" s="1">
        <f>IFERROR(__xludf.DUMMYFUNCTION("""COMPUTED_VALUE"""),123500.0)</f>
        <v>123500</v>
      </c>
      <c r="E2676" s="1">
        <f>IFERROR(__xludf.DUMMYFUNCTION("""COMPUTED_VALUE"""),124500.0)</f>
        <v>124500</v>
      </c>
      <c r="F2676" s="1">
        <f>IFERROR(__xludf.DUMMYFUNCTION("""COMPUTED_VALUE"""),1589036.0)</f>
        <v>1589036</v>
      </c>
    </row>
    <row r="2677">
      <c r="A2677" s="2">
        <f>IFERROR(__xludf.DUMMYFUNCTION("""COMPUTED_VALUE"""),44525.64583333333)</f>
        <v>44525.64583</v>
      </c>
      <c r="B2677" s="1">
        <f>IFERROR(__xludf.DUMMYFUNCTION("""COMPUTED_VALUE"""),125000.0)</f>
        <v>125000</v>
      </c>
      <c r="C2677" s="1">
        <f>IFERROR(__xludf.DUMMYFUNCTION("""COMPUTED_VALUE"""),128500.0)</f>
        <v>128500</v>
      </c>
      <c r="D2677" s="1">
        <f>IFERROR(__xludf.DUMMYFUNCTION("""COMPUTED_VALUE"""),124500.0)</f>
        <v>124500</v>
      </c>
      <c r="E2677" s="1">
        <f>IFERROR(__xludf.DUMMYFUNCTION("""COMPUTED_VALUE"""),128000.0)</f>
        <v>128000</v>
      </c>
      <c r="F2677" s="1">
        <f>IFERROR(__xludf.DUMMYFUNCTION("""COMPUTED_VALUE"""),2906344.0)</f>
        <v>2906344</v>
      </c>
    </row>
    <row r="2678">
      <c r="A2678" s="2">
        <f>IFERROR(__xludf.DUMMYFUNCTION("""COMPUTED_VALUE"""),44526.64583333333)</f>
        <v>44526.64583</v>
      </c>
      <c r="B2678" s="1">
        <f>IFERROR(__xludf.DUMMYFUNCTION("""COMPUTED_VALUE"""),127500.0)</f>
        <v>127500</v>
      </c>
      <c r="C2678" s="1">
        <f>IFERROR(__xludf.DUMMYFUNCTION("""COMPUTED_VALUE"""),128500.0)</f>
        <v>128500</v>
      </c>
      <c r="D2678" s="1">
        <f>IFERROR(__xludf.DUMMYFUNCTION("""COMPUTED_VALUE"""),125000.0)</f>
        <v>125000</v>
      </c>
      <c r="E2678" s="1">
        <f>IFERROR(__xludf.DUMMYFUNCTION("""COMPUTED_VALUE"""),125500.0)</f>
        <v>125500</v>
      </c>
      <c r="F2678" s="1">
        <f>IFERROR(__xludf.DUMMYFUNCTION("""COMPUTED_VALUE"""),1679040.0)</f>
        <v>1679040</v>
      </c>
    </row>
    <row r="2679">
      <c r="A2679" s="2">
        <f>IFERROR(__xludf.DUMMYFUNCTION("""COMPUTED_VALUE"""),44529.64583333333)</f>
        <v>44529.64583</v>
      </c>
      <c r="B2679" s="1">
        <f>IFERROR(__xludf.DUMMYFUNCTION("""COMPUTED_VALUE"""),123000.0)</f>
        <v>123000</v>
      </c>
      <c r="C2679" s="1">
        <f>IFERROR(__xludf.DUMMYFUNCTION("""COMPUTED_VALUE"""),125500.0)</f>
        <v>125500</v>
      </c>
      <c r="D2679" s="1">
        <f>IFERROR(__xludf.DUMMYFUNCTION("""COMPUTED_VALUE"""),122000.0)</f>
        <v>122000</v>
      </c>
      <c r="E2679" s="1">
        <f>IFERROR(__xludf.DUMMYFUNCTION("""COMPUTED_VALUE"""),123000.0)</f>
        <v>123000</v>
      </c>
      <c r="F2679" s="1">
        <f>IFERROR(__xludf.DUMMYFUNCTION("""COMPUTED_VALUE"""),2031484.0)</f>
        <v>2031484</v>
      </c>
    </row>
    <row r="2680">
      <c r="A2680" s="2">
        <f>IFERROR(__xludf.DUMMYFUNCTION("""COMPUTED_VALUE"""),44530.64583333333)</f>
        <v>44530.64583</v>
      </c>
      <c r="B2680" s="1">
        <f>IFERROR(__xludf.DUMMYFUNCTION("""COMPUTED_VALUE"""),124000.0)</f>
        <v>124000</v>
      </c>
      <c r="C2680" s="1">
        <f>IFERROR(__xludf.DUMMYFUNCTION("""COMPUTED_VALUE"""),124500.0)</f>
        <v>124500</v>
      </c>
      <c r="D2680" s="1">
        <f>IFERROR(__xludf.DUMMYFUNCTION("""COMPUTED_VALUE"""),121500.0)</f>
        <v>121500</v>
      </c>
      <c r="E2680" s="1">
        <f>IFERROR(__xludf.DUMMYFUNCTION("""COMPUTED_VALUE"""),122000.0)</f>
        <v>122000</v>
      </c>
      <c r="F2680" s="1">
        <f>IFERROR(__xludf.DUMMYFUNCTION("""COMPUTED_VALUE"""),3807209.0)</f>
        <v>3807209</v>
      </c>
    </row>
    <row r="2681">
      <c r="A2681" s="2">
        <f>IFERROR(__xludf.DUMMYFUNCTION("""COMPUTED_VALUE"""),44531.64583333333)</f>
        <v>44531.64583</v>
      </c>
      <c r="B2681" s="1">
        <f>IFERROR(__xludf.DUMMYFUNCTION("""COMPUTED_VALUE"""),121500.0)</f>
        <v>121500</v>
      </c>
      <c r="C2681" s="1">
        <f>IFERROR(__xludf.DUMMYFUNCTION("""COMPUTED_VALUE"""),123500.0)</f>
        <v>123500</v>
      </c>
      <c r="D2681" s="1">
        <f>IFERROR(__xludf.DUMMYFUNCTION("""COMPUTED_VALUE"""),121000.0)</f>
        <v>121000</v>
      </c>
      <c r="E2681" s="1">
        <f>IFERROR(__xludf.DUMMYFUNCTION("""COMPUTED_VALUE"""),122500.0)</f>
        <v>122500</v>
      </c>
      <c r="F2681" s="1">
        <f>IFERROR(__xludf.DUMMYFUNCTION("""COMPUTED_VALUE"""),1482581.0)</f>
        <v>1482581</v>
      </c>
    </row>
    <row r="2682">
      <c r="A2682" s="2">
        <f>IFERROR(__xludf.DUMMYFUNCTION("""COMPUTED_VALUE"""),44532.64583333333)</f>
        <v>44532.64583</v>
      </c>
      <c r="B2682" s="1">
        <f>IFERROR(__xludf.DUMMYFUNCTION("""COMPUTED_VALUE"""),121500.0)</f>
        <v>121500</v>
      </c>
      <c r="C2682" s="1">
        <f>IFERROR(__xludf.DUMMYFUNCTION("""COMPUTED_VALUE"""),123000.0)</f>
        <v>123000</v>
      </c>
      <c r="D2682" s="1">
        <f>IFERROR(__xludf.DUMMYFUNCTION("""COMPUTED_VALUE"""),120000.0)</f>
        <v>120000</v>
      </c>
      <c r="E2682" s="1">
        <f>IFERROR(__xludf.DUMMYFUNCTION("""COMPUTED_VALUE"""),122500.0)</f>
        <v>122500</v>
      </c>
      <c r="F2682" s="1">
        <f>IFERROR(__xludf.DUMMYFUNCTION("""COMPUTED_VALUE"""),2028101.0)</f>
        <v>2028101</v>
      </c>
    </row>
    <row r="2683">
      <c r="A2683" s="2">
        <f>IFERROR(__xludf.DUMMYFUNCTION("""COMPUTED_VALUE"""),44533.64583333333)</f>
        <v>44533.64583</v>
      </c>
      <c r="B2683" s="1">
        <f>IFERROR(__xludf.DUMMYFUNCTION("""COMPUTED_VALUE"""),122000.0)</f>
        <v>122000</v>
      </c>
      <c r="C2683" s="1">
        <f>IFERROR(__xludf.DUMMYFUNCTION("""COMPUTED_VALUE"""),124000.0)</f>
        <v>124000</v>
      </c>
      <c r="D2683" s="1">
        <f>IFERROR(__xludf.DUMMYFUNCTION("""COMPUTED_VALUE"""),121500.0)</f>
        <v>121500</v>
      </c>
      <c r="E2683" s="1">
        <f>IFERROR(__xludf.DUMMYFUNCTION("""COMPUTED_VALUE"""),123500.0)</f>
        <v>123500</v>
      </c>
      <c r="F2683" s="1">
        <f>IFERROR(__xludf.DUMMYFUNCTION("""COMPUTED_VALUE"""),1488902.0)</f>
        <v>1488902</v>
      </c>
    </row>
    <row r="2684">
      <c r="A2684" s="2">
        <f>IFERROR(__xludf.DUMMYFUNCTION("""COMPUTED_VALUE"""),44536.64583333333)</f>
        <v>44536.64583</v>
      </c>
      <c r="B2684" s="1">
        <f>IFERROR(__xludf.DUMMYFUNCTION("""COMPUTED_VALUE"""),122500.0)</f>
        <v>122500</v>
      </c>
      <c r="C2684" s="1">
        <f>IFERROR(__xludf.DUMMYFUNCTION("""COMPUTED_VALUE"""),122500.0)</f>
        <v>122500</v>
      </c>
      <c r="D2684" s="1">
        <f>IFERROR(__xludf.DUMMYFUNCTION("""COMPUTED_VALUE"""),120500.0)</f>
        <v>120500</v>
      </c>
      <c r="E2684" s="1">
        <f>IFERROR(__xludf.DUMMYFUNCTION("""COMPUTED_VALUE"""),121000.0)</f>
        <v>121000</v>
      </c>
      <c r="F2684" s="1">
        <f>IFERROR(__xludf.DUMMYFUNCTION("""COMPUTED_VALUE"""),1477396.0)</f>
        <v>1477396</v>
      </c>
    </row>
    <row r="2685">
      <c r="A2685" s="2">
        <f>IFERROR(__xludf.DUMMYFUNCTION("""COMPUTED_VALUE"""),44537.64583333333)</f>
        <v>44537.64583</v>
      </c>
      <c r="B2685" s="1">
        <f>IFERROR(__xludf.DUMMYFUNCTION("""COMPUTED_VALUE"""),121500.0)</f>
        <v>121500</v>
      </c>
      <c r="C2685" s="1">
        <f>IFERROR(__xludf.DUMMYFUNCTION("""COMPUTED_VALUE"""),122000.0)</f>
        <v>122000</v>
      </c>
      <c r="D2685" s="1">
        <f>IFERROR(__xludf.DUMMYFUNCTION("""COMPUTED_VALUE"""),120000.0)</f>
        <v>120000</v>
      </c>
      <c r="E2685" s="1">
        <f>IFERROR(__xludf.DUMMYFUNCTION("""COMPUTED_VALUE"""),120500.0)</f>
        <v>120500</v>
      </c>
      <c r="F2685" s="1">
        <f>IFERROR(__xludf.DUMMYFUNCTION("""COMPUTED_VALUE"""),1218740.0)</f>
        <v>1218740</v>
      </c>
    </row>
    <row r="2686">
      <c r="A2686" s="2">
        <f>IFERROR(__xludf.DUMMYFUNCTION("""COMPUTED_VALUE"""),44538.64583333333)</f>
        <v>44538.64583</v>
      </c>
      <c r="B2686" s="1">
        <f>IFERROR(__xludf.DUMMYFUNCTION("""COMPUTED_VALUE"""),121500.0)</f>
        <v>121500</v>
      </c>
      <c r="C2686" s="1">
        <f>IFERROR(__xludf.DUMMYFUNCTION("""COMPUTED_VALUE"""),123500.0)</f>
        <v>123500</v>
      </c>
      <c r="D2686" s="1">
        <f>IFERROR(__xludf.DUMMYFUNCTION("""COMPUTED_VALUE"""),120500.0)</f>
        <v>120500</v>
      </c>
      <c r="E2686" s="1">
        <f>IFERROR(__xludf.DUMMYFUNCTION("""COMPUTED_VALUE"""),121000.0)</f>
        <v>121000</v>
      </c>
      <c r="F2686" s="1">
        <f>IFERROR(__xludf.DUMMYFUNCTION("""COMPUTED_VALUE"""),2288195.0)</f>
        <v>2288195</v>
      </c>
    </row>
    <row r="2687">
      <c r="A2687" s="2">
        <f>IFERROR(__xludf.DUMMYFUNCTION("""COMPUTED_VALUE"""),44539.64583333333)</f>
        <v>44539.64583</v>
      </c>
      <c r="B2687" s="1">
        <f>IFERROR(__xludf.DUMMYFUNCTION("""COMPUTED_VALUE"""),120500.0)</f>
        <v>120500</v>
      </c>
      <c r="C2687" s="1">
        <f>IFERROR(__xludf.DUMMYFUNCTION("""COMPUTED_VALUE"""),122500.0)</f>
        <v>122500</v>
      </c>
      <c r="D2687" s="1">
        <f>IFERROR(__xludf.DUMMYFUNCTION("""COMPUTED_VALUE"""),120000.0)</f>
        <v>120000</v>
      </c>
      <c r="E2687" s="1">
        <f>IFERROR(__xludf.DUMMYFUNCTION("""COMPUTED_VALUE"""),122500.0)</f>
        <v>122500</v>
      </c>
      <c r="F2687" s="1">
        <f>IFERROR(__xludf.DUMMYFUNCTION("""COMPUTED_VALUE"""),2338843.0)</f>
        <v>2338843</v>
      </c>
    </row>
    <row r="2688">
      <c r="A2688" s="2">
        <f>IFERROR(__xludf.DUMMYFUNCTION("""COMPUTED_VALUE"""),44540.64583333333)</f>
        <v>44540.64583</v>
      </c>
      <c r="B2688" s="1">
        <f>IFERROR(__xludf.DUMMYFUNCTION("""COMPUTED_VALUE"""),122000.0)</f>
        <v>122000</v>
      </c>
      <c r="C2688" s="1">
        <f>IFERROR(__xludf.DUMMYFUNCTION("""COMPUTED_VALUE"""),122500.0)</f>
        <v>122500</v>
      </c>
      <c r="D2688" s="1">
        <f>IFERROR(__xludf.DUMMYFUNCTION("""COMPUTED_VALUE"""),121000.0)</f>
        <v>121000</v>
      </c>
      <c r="E2688" s="1">
        <f>IFERROR(__xludf.DUMMYFUNCTION("""COMPUTED_VALUE"""),122500.0)</f>
        <v>122500</v>
      </c>
      <c r="F2688" s="1">
        <f>IFERROR(__xludf.DUMMYFUNCTION("""COMPUTED_VALUE"""),974383.0)</f>
        <v>974383</v>
      </c>
    </row>
    <row r="2689">
      <c r="A2689" s="2">
        <f>IFERROR(__xludf.DUMMYFUNCTION("""COMPUTED_VALUE"""),44543.64583333333)</f>
        <v>44543.64583</v>
      </c>
      <c r="B2689" s="1">
        <f>IFERROR(__xludf.DUMMYFUNCTION("""COMPUTED_VALUE"""),123000.0)</f>
        <v>123000</v>
      </c>
      <c r="C2689" s="1">
        <f>IFERROR(__xludf.DUMMYFUNCTION("""COMPUTED_VALUE"""),123000.0)</f>
        <v>123000</v>
      </c>
      <c r="D2689" s="1">
        <f>IFERROR(__xludf.DUMMYFUNCTION("""COMPUTED_VALUE"""),120000.0)</f>
        <v>120000</v>
      </c>
      <c r="E2689" s="1">
        <f>IFERROR(__xludf.DUMMYFUNCTION("""COMPUTED_VALUE"""),120000.0)</f>
        <v>120000</v>
      </c>
      <c r="F2689" s="1">
        <f>IFERROR(__xludf.DUMMYFUNCTION("""COMPUTED_VALUE"""),1405089.0)</f>
        <v>1405089</v>
      </c>
    </row>
    <row r="2690">
      <c r="A2690" s="2">
        <f>IFERROR(__xludf.DUMMYFUNCTION("""COMPUTED_VALUE"""),44544.64583333333)</f>
        <v>44544.64583</v>
      </c>
      <c r="B2690" s="1">
        <f>IFERROR(__xludf.DUMMYFUNCTION("""COMPUTED_VALUE"""),118500.0)</f>
        <v>118500</v>
      </c>
      <c r="C2690" s="1">
        <f>IFERROR(__xludf.DUMMYFUNCTION("""COMPUTED_VALUE"""),119000.0)</f>
        <v>119000</v>
      </c>
      <c r="D2690" s="1">
        <f>IFERROR(__xludf.DUMMYFUNCTION("""COMPUTED_VALUE"""),117000.0)</f>
        <v>117000</v>
      </c>
      <c r="E2690" s="1">
        <f>IFERROR(__xludf.DUMMYFUNCTION("""COMPUTED_VALUE"""),118500.0)</f>
        <v>118500</v>
      </c>
      <c r="F2690" s="1">
        <f>IFERROR(__xludf.DUMMYFUNCTION("""COMPUTED_VALUE"""),1718411.0)</f>
        <v>1718411</v>
      </c>
    </row>
    <row r="2691">
      <c r="A2691" s="2">
        <f>IFERROR(__xludf.DUMMYFUNCTION("""COMPUTED_VALUE"""),44545.64583333333)</f>
        <v>44545.64583</v>
      </c>
      <c r="B2691" s="1">
        <f>IFERROR(__xludf.DUMMYFUNCTION("""COMPUTED_VALUE"""),117500.0)</f>
        <v>117500</v>
      </c>
      <c r="C2691" s="1">
        <f>IFERROR(__xludf.DUMMYFUNCTION("""COMPUTED_VALUE"""),119000.0)</f>
        <v>119000</v>
      </c>
      <c r="D2691" s="1">
        <f>IFERROR(__xludf.DUMMYFUNCTION("""COMPUTED_VALUE"""),117000.0)</f>
        <v>117000</v>
      </c>
      <c r="E2691" s="1">
        <f>IFERROR(__xludf.DUMMYFUNCTION("""COMPUTED_VALUE"""),118500.0)</f>
        <v>118500</v>
      </c>
      <c r="F2691" s="1">
        <f>IFERROR(__xludf.DUMMYFUNCTION("""COMPUTED_VALUE"""),1070223.0)</f>
        <v>1070223</v>
      </c>
    </row>
    <row r="2692">
      <c r="A2692" s="2">
        <f>IFERROR(__xludf.DUMMYFUNCTION("""COMPUTED_VALUE"""),44546.64583333333)</f>
        <v>44546.64583</v>
      </c>
      <c r="B2692" s="1">
        <f>IFERROR(__xludf.DUMMYFUNCTION("""COMPUTED_VALUE"""),119500.0)</f>
        <v>119500</v>
      </c>
      <c r="C2692" s="1">
        <f>IFERROR(__xludf.DUMMYFUNCTION("""COMPUTED_VALUE"""),120500.0)</f>
        <v>120500</v>
      </c>
      <c r="D2692" s="1">
        <f>IFERROR(__xludf.DUMMYFUNCTION("""COMPUTED_VALUE"""),118500.0)</f>
        <v>118500</v>
      </c>
      <c r="E2692" s="1">
        <f>IFERROR(__xludf.DUMMYFUNCTION("""COMPUTED_VALUE"""),119500.0)</f>
        <v>119500</v>
      </c>
      <c r="F2692" s="1">
        <f>IFERROR(__xludf.DUMMYFUNCTION("""COMPUTED_VALUE"""),1168717.0)</f>
        <v>1168717</v>
      </c>
    </row>
    <row r="2693">
      <c r="A2693" s="2">
        <f>IFERROR(__xludf.DUMMYFUNCTION("""COMPUTED_VALUE"""),44547.64583333333)</f>
        <v>44547.64583</v>
      </c>
      <c r="B2693" s="1">
        <f>IFERROR(__xludf.DUMMYFUNCTION("""COMPUTED_VALUE"""),118000.0)</f>
        <v>118000</v>
      </c>
      <c r="C2693" s="1">
        <f>IFERROR(__xludf.DUMMYFUNCTION("""COMPUTED_VALUE"""),119000.0)</f>
        <v>119000</v>
      </c>
      <c r="D2693" s="1">
        <f>IFERROR(__xludf.DUMMYFUNCTION("""COMPUTED_VALUE"""),117500.0)</f>
        <v>117500</v>
      </c>
      <c r="E2693" s="1">
        <f>IFERROR(__xludf.DUMMYFUNCTION("""COMPUTED_VALUE"""),117500.0)</f>
        <v>117500</v>
      </c>
      <c r="F2693" s="1">
        <f>IFERROR(__xludf.DUMMYFUNCTION("""COMPUTED_VALUE"""),1265074.0)</f>
        <v>1265074</v>
      </c>
    </row>
    <row r="2694">
      <c r="A2694" s="2">
        <f>IFERROR(__xludf.DUMMYFUNCTION("""COMPUTED_VALUE"""),44550.64583333333)</f>
        <v>44550.64583</v>
      </c>
      <c r="B2694" s="1">
        <f>IFERROR(__xludf.DUMMYFUNCTION("""COMPUTED_VALUE"""),116500.0)</f>
        <v>116500</v>
      </c>
      <c r="C2694" s="1">
        <f>IFERROR(__xludf.DUMMYFUNCTION("""COMPUTED_VALUE"""),117000.0)</f>
        <v>117000</v>
      </c>
      <c r="D2694" s="1">
        <f>IFERROR(__xludf.DUMMYFUNCTION("""COMPUTED_VALUE"""),113000.0)</f>
        <v>113000</v>
      </c>
      <c r="E2694" s="1">
        <f>IFERROR(__xludf.DUMMYFUNCTION("""COMPUTED_VALUE"""),113000.0)</f>
        <v>113000</v>
      </c>
      <c r="F2694" s="1">
        <f>IFERROR(__xludf.DUMMYFUNCTION("""COMPUTED_VALUE"""),2989796.0)</f>
        <v>2989796</v>
      </c>
    </row>
    <row r="2695">
      <c r="A2695" s="2">
        <f>IFERROR(__xludf.DUMMYFUNCTION("""COMPUTED_VALUE"""),44551.64583333333)</f>
        <v>44551.64583</v>
      </c>
      <c r="B2695" s="1">
        <f>IFERROR(__xludf.DUMMYFUNCTION("""COMPUTED_VALUE"""),112500.0)</f>
        <v>112500</v>
      </c>
      <c r="C2695" s="1">
        <f>IFERROR(__xludf.DUMMYFUNCTION("""COMPUTED_VALUE"""),115000.0)</f>
        <v>115000</v>
      </c>
      <c r="D2695" s="1">
        <f>IFERROR(__xludf.DUMMYFUNCTION("""COMPUTED_VALUE"""),112500.0)</f>
        <v>112500</v>
      </c>
      <c r="E2695" s="1">
        <f>IFERROR(__xludf.DUMMYFUNCTION("""COMPUTED_VALUE"""),114500.0)</f>
        <v>114500</v>
      </c>
      <c r="F2695" s="1">
        <f>IFERROR(__xludf.DUMMYFUNCTION("""COMPUTED_VALUE"""),1366889.0)</f>
        <v>1366889</v>
      </c>
    </row>
    <row r="2696">
      <c r="A2696" s="2">
        <f>IFERROR(__xludf.DUMMYFUNCTION("""COMPUTED_VALUE"""),44552.64583333333)</f>
        <v>44552.64583</v>
      </c>
      <c r="B2696" s="1">
        <f>IFERROR(__xludf.DUMMYFUNCTION("""COMPUTED_VALUE"""),115000.0)</f>
        <v>115000</v>
      </c>
      <c r="C2696" s="1">
        <f>IFERROR(__xludf.DUMMYFUNCTION("""COMPUTED_VALUE"""),115500.0)</f>
        <v>115500</v>
      </c>
      <c r="D2696" s="1">
        <f>IFERROR(__xludf.DUMMYFUNCTION("""COMPUTED_VALUE"""),113500.0)</f>
        <v>113500</v>
      </c>
      <c r="E2696" s="1">
        <f>IFERROR(__xludf.DUMMYFUNCTION("""COMPUTED_VALUE"""),114500.0)</f>
        <v>114500</v>
      </c>
      <c r="F2696" s="1">
        <f>IFERROR(__xludf.DUMMYFUNCTION("""COMPUTED_VALUE"""),1036505.0)</f>
        <v>1036505</v>
      </c>
    </row>
    <row r="2697">
      <c r="A2697" s="2">
        <f>IFERROR(__xludf.DUMMYFUNCTION("""COMPUTED_VALUE"""),44553.64583333333)</f>
        <v>44553.64583</v>
      </c>
      <c r="B2697" s="1">
        <f>IFERROR(__xludf.DUMMYFUNCTION("""COMPUTED_VALUE"""),114500.0)</f>
        <v>114500</v>
      </c>
      <c r="C2697" s="1">
        <f>IFERROR(__xludf.DUMMYFUNCTION("""COMPUTED_VALUE"""),115000.0)</f>
        <v>115000</v>
      </c>
      <c r="D2697" s="1">
        <f>IFERROR(__xludf.DUMMYFUNCTION("""COMPUTED_VALUE"""),113000.0)</f>
        <v>113000</v>
      </c>
      <c r="E2697" s="1">
        <f>IFERROR(__xludf.DUMMYFUNCTION("""COMPUTED_VALUE"""),113000.0)</f>
        <v>113000</v>
      </c>
      <c r="F2697" s="1">
        <f>IFERROR(__xludf.DUMMYFUNCTION("""COMPUTED_VALUE"""),1113550.0)</f>
        <v>1113550</v>
      </c>
    </row>
    <row r="2698">
      <c r="A2698" s="2">
        <f>IFERROR(__xludf.DUMMYFUNCTION("""COMPUTED_VALUE"""),44554.64583333333)</f>
        <v>44554.64583</v>
      </c>
      <c r="B2698" s="1">
        <f>IFERROR(__xludf.DUMMYFUNCTION("""COMPUTED_VALUE"""),113000.0)</f>
        <v>113000</v>
      </c>
      <c r="C2698" s="1">
        <f>IFERROR(__xludf.DUMMYFUNCTION("""COMPUTED_VALUE"""),115000.0)</f>
        <v>115000</v>
      </c>
      <c r="D2698" s="1">
        <f>IFERROR(__xludf.DUMMYFUNCTION("""COMPUTED_VALUE"""),112500.0)</f>
        <v>112500</v>
      </c>
      <c r="E2698" s="1">
        <f>IFERROR(__xludf.DUMMYFUNCTION("""COMPUTED_VALUE"""),114500.0)</f>
        <v>114500</v>
      </c>
      <c r="F2698" s="1">
        <f>IFERROR(__xludf.DUMMYFUNCTION("""COMPUTED_VALUE"""),1484508.0)</f>
        <v>1484508</v>
      </c>
    </row>
    <row r="2699">
      <c r="A2699" s="2">
        <f>IFERROR(__xludf.DUMMYFUNCTION("""COMPUTED_VALUE"""),44557.64583333333)</f>
        <v>44557.64583</v>
      </c>
      <c r="B2699" s="1">
        <f>IFERROR(__xludf.DUMMYFUNCTION("""COMPUTED_VALUE"""),114000.0)</f>
        <v>114000</v>
      </c>
      <c r="C2699" s="1">
        <f>IFERROR(__xludf.DUMMYFUNCTION("""COMPUTED_VALUE"""),114500.0)</f>
        <v>114500</v>
      </c>
      <c r="D2699" s="1">
        <f>IFERROR(__xludf.DUMMYFUNCTION("""COMPUTED_VALUE"""),113000.0)</f>
        <v>113000</v>
      </c>
      <c r="E2699" s="1">
        <f>IFERROR(__xludf.DUMMYFUNCTION("""COMPUTED_VALUE"""),113000.0)</f>
        <v>113000</v>
      </c>
      <c r="F2699" s="1">
        <f>IFERROR(__xludf.DUMMYFUNCTION("""COMPUTED_VALUE"""),1116701.0)</f>
        <v>1116701</v>
      </c>
    </row>
    <row r="2700">
      <c r="A2700" s="2">
        <f>IFERROR(__xludf.DUMMYFUNCTION("""COMPUTED_VALUE"""),44558.64583333333)</f>
        <v>44558.64583</v>
      </c>
      <c r="B2700" s="1">
        <f>IFERROR(__xludf.DUMMYFUNCTION("""COMPUTED_VALUE"""),113000.0)</f>
        <v>113000</v>
      </c>
      <c r="C2700" s="1">
        <f>IFERROR(__xludf.DUMMYFUNCTION("""COMPUTED_VALUE"""),114000.0)</f>
        <v>114000</v>
      </c>
      <c r="D2700" s="1">
        <f>IFERROR(__xludf.DUMMYFUNCTION("""COMPUTED_VALUE"""),113000.0)</f>
        <v>113000</v>
      </c>
      <c r="E2700" s="1">
        <f>IFERROR(__xludf.DUMMYFUNCTION("""COMPUTED_VALUE"""),113500.0)</f>
        <v>113500</v>
      </c>
      <c r="F2700" s="1">
        <f>IFERROR(__xludf.DUMMYFUNCTION("""COMPUTED_VALUE"""),2370856.0)</f>
        <v>2370856</v>
      </c>
    </row>
    <row r="2701">
      <c r="A2701" s="2">
        <f>IFERROR(__xludf.DUMMYFUNCTION("""COMPUTED_VALUE"""),44559.64583333333)</f>
        <v>44559.64583</v>
      </c>
      <c r="B2701" s="1">
        <f>IFERROR(__xludf.DUMMYFUNCTION("""COMPUTED_VALUE"""),115500.0)</f>
        <v>115500</v>
      </c>
      <c r="C2701" s="1">
        <f>IFERROR(__xludf.DUMMYFUNCTION("""COMPUTED_VALUE"""),117500.0)</f>
        <v>117500</v>
      </c>
      <c r="D2701" s="1">
        <f>IFERROR(__xludf.DUMMYFUNCTION("""COMPUTED_VALUE"""),114000.0)</f>
        <v>114000</v>
      </c>
      <c r="E2701" s="1">
        <f>IFERROR(__xludf.DUMMYFUNCTION("""COMPUTED_VALUE"""),114000.0)</f>
        <v>114000</v>
      </c>
      <c r="F2701" s="1">
        <f>IFERROR(__xludf.DUMMYFUNCTION("""COMPUTED_VALUE"""),1791503.0)</f>
        <v>1791503</v>
      </c>
    </row>
    <row r="2702">
      <c r="A2702" s="2">
        <f>IFERROR(__xludf.DUMMYFUNCTION("""COMPUTED_VALUE"""),44560.64583333333)</f>
        <v>44560.64583</v>
      </c>
      <c r="B2702" s="1">
        <f>IFERROR(__xludf.DUMMYFUNCTION("""COMPUTED_VALUE"""),114000.0)</f>
        <v>114000</v>
      </c>
      <c r="C2702" s="1">
        <f>IFERROR(__xludf.DUMMYFUNCTION("""COMPUTED_VALUE"""),114500.0)</f>
        <v>114500</v>
      </c>
      <c r="D2702" s="1">
        <f>IFERROR(__xludf.DUMMYFUNCTION("""COMPUTED_VALUE"""),112500.0)</f>
        <v>112500</v>
      </c>
      <c r="E2702" s="1">
        <f>IFERROR(__xludf.DUMMYFUNCTION("""COMPUTED_VALUE"""),112500.0)</f>
        <v>112500</v>
      </c>
      <c r="F2702" s="1">
        <f>IFERROR(__xludf.DUMMYFUNCTION("""COMPUTED_VALUE"""),1223078.0)</f>
        <v>1223078</v>
      </c>
    </row>
    <row r="2703">
      <c r="A2703" s="2">
        <f>IFERROR(__xludf.DUMMYFUNCTION("""COMPUTED_VALUE"""),44564.64583333333)</f>
        <v>44564.64583</v>
      </c>
      <c r="B2703" s="1">
        <f>IFERROR(__xludf.DUMMYFUNCTION("""COMPUTED_VALUE"""),113500.0)</f>
        <v>113500</v>
      </c>
      <c r="C2703" s="1">
        <f>IFERROR(__xludf.DUMMYFUNCTION("""COMPUTED_VALUE"""),117000.0)</f>
        <v>117000</v>
      </c>
      <c r="D2703" s="1">
        <f>IFERROR(__xludf.DUMMYFUNCTION("""COMPUTED_VALUE"""),113000.0)</f>
        <v>113000</v>
      </c>
      <c r="E2703" s="1">
        <f>IFERROR(__xludf.DUMMYFUNCTION("""COMPUTED_VALUE"""),114500.0)</f>
        <v>114500</v>
      </c>
      <c r="F2703" s="1">
        <f>IFERROR(__xludf.DUMMYFUNCTION("""COMPUTED_VALUE"""),1846049.0)</f>
        <v>1846049</v>
      </c>
    </row>
    <row r="2704">
      <c r="A2704" s="2">
        <f>IFERROR(__xludf.DUMMYFUNCTION("""COMPUTED_VALUE"""),44565.64583333333)</f>
        <v>44565.64583</v>
      </c>
      <c r="B2704" s="1">
        <f>IFERROR(__xludf.DUMMYFUNCTION("""COMPUTED_VALUE"""),114000.0)</f>
        <v>114000</v>
      </c>
      <c r="C2704" s="1">
        <f>IFERROR(__xludf.DUMMYFUNCTION("""COMPUTED_VALUE"""),114500.0)</f>
        <v>114500</v>
      </c>
      <c r="D2704" s="1">
        <f>IFERROR(__xludf.DUMMYFUNCTION("""COMPUTED_VALUE"""),111000.0)</f>
        <v>111000</v>
      </c>
      <c r="E2704" s="1">
        <f>IFERROR(__xludf.DUMMYFUNCTION("""COMPUTED_VALUE"""),111500.0)</f>
        <v>111500</v>
      </c>
      <c r="F2704" s="1">
        <f>IFERROR(__xludf.DUMMYFUNCTION("""COMPUTED_VALUE"""),2396207.0)</f>
        <v>2396207</v>
      </c>
    </row>
    <row r="2705">
      <c r="A2705" s="2">
        <f>IFERROR(__xludf.DUMMYFUNCTION("""COMPUTED_VALUE"""),44566.64583333333)</f>
        <v>44566.64583</v>
      </c>
      <c r="B2705" s="1">
        <f>IFERROR(__xludf.DUMMYFUNCTION("""COMPUTED_VALUE"""),111000.0)</f>
        <v>111000</v>
      </c>
      <c r="C2705" s="1">
        <f>IFERROR(__xludf.DUMMYFUNCTION("""COMPUTED_VALUE"""),111000.0)</f>
        <v>111000</v>
      </c>
      <c r="D2705" s="1">
        <f>IFERROR(__xludf.DUMMYFUNCTION("""COMPUTED_VALUE"""),105000.0)</f>
        <v>105000</v>
      </c>
      <c r="E2705" s="1">
        <f>IFERROR(__xludf.DUMMYFUNCTION("""COMPUTED_VALUE"""),105500.0)</f>
        <v>105500</v>
      </c>
      <c r="F2705" s="1">
        <f>IFERROR(__xludf.DUMMYFUNCTION("""COMPUTED_VALUE"""),5108428.0)</f>
        <v>5108428</v>
      </c>
    </row>
    <row r="2706">
      <c r="A2706" s="2">
        <f>IFERROR(__xludf.DUMMYFUNCTION("""COMPUTED_VALUE"""),44567.64583333333)</f>
        <v>44567.64583</v>
      </c>
      <c r="B2706" s="1">
        <f>IFERROR(__xludf.DUMMYFUNCTION("""COMPUTED_VALUE"""),102500.0)</f>
        <v>102500</v>
      </c>
      <c r="C2706" s="1">
        <f>IFERROR(__xludf.DUMMYFUNCTION("""COMPUTED_VALUE"""),103000.0)</f>
        <v>103000</v>
      </c>
      <c r="D2706" s="1">
        <f>IFERROR(__xludf.DUMMYFUNCTION("""COMPUTED_VALUE"""),99900.0)</f>
        <v>99900</v>
      </c>
      <c r="E2706" s="1">
        <f>IFERROR(__xludf.DUMMYFUNCTION("""COMPUTED_VALUE"""),100000.0)</f>
        <v>100000</v>
      </c>
      <c r="F2706" s="1">
        <f>IFERROR(__xludf.DUMMYFUNCTION("""COMPUTED_VALUE"""),7120428.0)</f>
        <v>7120428</v>
      </c>
    </row>
    <row r="2707">
      <c r="A2707" s="2">
        <f>IFERROR(__xludf.DUMMYFUNCTION("""COMPUTED_VALUE"""),44568.64583333333)</f>
        <v>44568.64583</v>
      </c>
      <c r="B2707" s="1">
        <f>IFERROR(__xludf.DUMMYFUNCTION("""COMPUTED_VALUE"""),100000.0)</f>
        <v>100000</v>
      </c>
      <c r="C2707" s="1">
        <f>IFERROR(__xludf.DUMMYFUNCTION("""COMPUTED_VALUE"""),101500.0)</f>
        <v>101500</v>
      </c>
      <c r="D2707" s="1">
        <f>IFERROR(__xludf.DUMMYFUNCTION("""COMPUTED_VALUE"""),99800.0)</f>
        <v>99800</v>
      </c>
      <c r="E2707" s="1">
        <f>IFERROR(__xludf.DUMMYFUNCTION("""COMPUTED_VALUE"""),100000.0)</f>
        <v>100000</v>
      </c>
      <c r="F2707" s="1">
        <f>IFERROR(__xludf.DUMMYFUNCTION("""COMPUTED_VALUE"""),3962672.0)</f>
        <v>3962672</v>
      </c>
    </row>
    <row r="2708">
      <c r="A2708" s="2">
        <f>IFERROR(__xludf.DUMMYFUNCTION("""COMPUTED_VALUE"""),44571.64583333333)</f>
        <v>44571.64583</v>
      </c>
      <c r="B2708" s="1">
        <f>IFERROR(__xludf.DUMMYFUNCTION("""COMPUTED_VALUE"""),100000.0)</f>
        <v>100000</v>
      </c>
      <c r="C2708" s="1">
        <f>IFERROR(__xludf.DUMMYFUNCTION("""COMPUTED_VALUE"""),100500.0)</f>
        <v>100500</v>
      </c>
      <c r="D2708" s="1">
        <f>IFERROR(__xludf.DUMMYFUNCTION("""COMPUTED_VALUE"""),95200.0)</f>
        <v>95200</v>
      </c>
      <c r="E2708" s="1">
        <f>IFERROR(__xludf.DUMMYFUNCTION("""COMPUTED_VALUE"""),96600.0)</f>
        <v>96600</v>
      </c>
      <c r="F2708" s="1">
        <f>IFERROR(__xludf.DUMMYFUNCTION("""COMPUTED_VALUE"""),5377749.0)</f>
        <v>5377749</v>
      </c>
    </row>
    <row r="2709">
      <c r="A2709" s="2">
        <f>IFERROR(__xludf.DUMMYFUNCTION("""COMPUTED_VALUE"""),44572.64583333333)</f>
        <v>44572.64583</v>
      </c>
      <c r="B2709" s="1">
        <f>IFERROR(__xludf.DUMMYFUNCTION("""COMPUTED_VALUE"""),96000.0)</f>
        <v>96000</v>
      </c>
      <c r="C2709" s="1">
        <f>IFERROR(__xludf.DUMMYFUNCTION("""COMPUTED_VALUE"""),97200.0)</f>
        <v>97200</v>
      </c>
      <c r="D2709" s="1">
        <f>IFERROR(__xludf.DUMMYFUNCTION("""COMPUTED_VALUE"""),94500.0)</f>
        <v>94500</v>
      </c>
      <c r="E2709" s="1">
        <f>IFERROR(__xludf.DUMMYFUNCTION("""COMPUTED_VALUE"""),95000.0)</f>
        <v>95000</v>
      </c>
      <c r="F2709" s="1">
        <f>IFERROR(__xludf.DUMMYFUNCTION("""COMPUTED_VALUE"""),4382380.0)</f>
        <v>4382380</v>
      </c>
    </row>
    <row r="2710">
      <c r="A2710" s="2">
        <f>IFERROR(__xludf.DUMMYFUNCTION("""COMPUTED_VALUE"""),44573.64583333333)</f>
        <v>44573.64583</v>
      </c>
      <c r="B2710" s="1">
        <f>IFERROR(__xludf.DUMMYFUNCTION("""COMPUTED_VALUE"""),96100.0)</f>
        <v>96100</v>
      </c>
      <c r="C2710" s="1">
        <f>IFERROR(__xludf.DUMMYFUNCTION("""COMPUTED_VALUE"""),98600.0)</f>
        <v>98600</v>
      </c>
      <c r="D2710" s="1">
        <f>IFERROR(__xludf.DUMMYFUNCTION("""COMPUTED_VALUE"""),96100.0)</f>
        <v>96100</v>
      </c>
      <c r="E2710" s="1">
        <f>IFERROR(__xludf.DUMMYFUNCTION("""COMPUTED_VALUE"""),97200.0)</f>
        <v>97200</v>
      </c>
      <c r="F2710" s="1">
        <f>IFERROR(__xludf.DUMMYFUNCTION("""COMPUTED_VALUE"""),3354459.0)</f>
        <v>3354459</v>
      </c>
    </row>
    <row r="2711">
      <c r="A2711" s="2">
        <f>IFERROR(__xludf.DUMMYFUNCTION("""COMPUTED_VALUE"""),44574.64583333333)</f>
        <v>44574.64583</v>
      </c>
      <c r="B2711" s="1">
        <f>IFERROR(__xludf.DUMMYFUNCTION("""COMPUTED_VALUE"""),97500.0)</f>
        <v>97500</v>
      </c>
      <c r="C2711" s="1">
        <f>IFERROR(__xludf.DUMMYFUNCTION("""COMPUTED_VALUE"""),98200.0)</f>
        <v>98200</v>
      </c>
      <c r="D2711" s="1">
        <f>IFERROR(__xludf.DUMMYFUNCTION("""COMPUTED_VALUE"""),96200.0)</f>
        <v>96200</v>
      </c>
      <c r="E2711" s="1">
        <f>IFERROR(__xludf.DUMMYFUNCTION("""COMPUTED_VALUE"""),96700.0)</f>
        <v>96700</v>
      </c>
      <c r="F2711" s="1">
        <f>IFERROR(__xludf.DUMMYFUNCTION("""COMPUTED_VALUE"""),2519096.0)</f>
        <v>2519096</v>
      </c>
    </row>
    <row r="2712">
      <c r="A2712" s="2">
        <f>IFERROR(__xludf.DUMMYFUNCTION("""COMPUTED_VALUE"""),44575.64583333333)</f>
        <v>44575.64583</v>
      </c>
      <c r="B2712" s="1">
        <f>IFERROR(__xludf.DUMMYFUNCTION("""COMPUTED_VALUE"""),95200.0)</f>
        <v>95200</v>
      </c>
      <c r="C2712" s="1">
        <f>IFERROR(__xludf.DUMMYFUNCTION("""COMPUTED_VALUE"""),95300.0)</f>
        <v>95300</v>
      </c>
      <c r="D2712" s="1">
        <f>IFERROR(__xludf.DUMMYFUNCTION("""COMPUTED_VALUE"""),93600.0)</f>
        <v>93600</v>
      </c>
      <c r="E2712" s="1">
        <f>IFERROR(__xludf.DUMMYFUNCTION("""COMPUTED_VALUE"""),93900.0)</f>
        <v>93900</v>
      </c>
      <c r="F2712" s="1">
        <f>IFERROR(__xludf.DUMMYFUNCTION("""COMPUTED_VALUE"""),2685014.0)</f>
        <v>2685014</v>
      </c>
    </row>
    <row r="2713">
      <c r="A2713" s="2">
        <f>IFERROR(__xludf.DUMMYFUNCTION("""COMPUTED_VALUE"""),44578.64583333333)</f>
        <v>44578.64583</v>
      </c>
      <c r="B2713" s="1">
        <f>IFERROR(__xludf.DUMMYFUNCTION("""COMPUTED_VALUE"""),92900.0)</f>
        <v>92900</v>
      </c>
      <c r="C2713" s="1">
        <f>IFERROR(__xludf.DUMMYFUNCTION("""COMPUTED_VALUE"""),94300.0)</f>
        <v>94300</v>
      </c>
      <c r="D2713" s="1">
        <f>IFERROR(__xludf.DUMMYFUNCTION("""COMPUTED_VALUE"""),92000.0)</f>
        <v>92000</v>
      </c>
      <c r="E2713" s="1">
        <f>IFERROR(__xludf.DUMMYFUNCTION("""COMPUTED_VALUE"""),92900.0)</f>
        <v>92900</v>
      </c>
      <c r="F2713" s="1">
        <f>IFERROR(__xludf.DUMMYFUNCTION("""COMPUTED_VALUE"""),2589273.0)</f>
        <v>2589273</v>
      </c>
    </row>
    <row r="2714">
      <c r="A2714" s="2">
        <f>IFERROR(__xludf.DUMMYFUNCTION("""COMPUTED_VALUE"""),44579.64583333333)</f>
        <v>44579.64583</v>
      </c>
      <c r="B2714" s="1">
        <f>IFERROR(__xludf.DUMMYFUNCTION("""COMPUTED_VALUE"""),92900.0)</f>
        <v>92900</v>
      </c>
      <c r="C2714" s="1">
        <f>IFERROR(__xludf.DUMMYFUNCTION("""COMPUTED_VALUE"""),94400.0)</f>
        <v>94400</v>
      </c>
      <c r="D2714" s="1">
        <f>IFERROR(__xludf.DUMMYFUNCTION("""COMPUTED_VALUE"""),92000.0)</f>
        <v>92000</v>
      </c>
      <c r="E2714" s="1">
        <f>IFERROR(__xludf.DUMMYFUNCTION("""COMPUTED_VALUE"""),92000.0)</f>
        <v>92000</v>
      </c>
      <c r="F2714" s="1">
        <f>IFERROR(__xludf.DUMMYFUNCTION("""COMPUTED_VALUE"""),1650829.0)</f>
        <v>1650829</v>
      </c>
    </row>
    <row r="2715">
      <c r="A2715" s="2">
        <f>IFERROR(__xludf.DUMMYFUNCTION("""COMPUTED_VALUE"""),44580.64583333333)</f>
        <v>44580.64583</v>
      </c>
      <c r="B2715" s="1">
        <f>IFERROR(__xludf.DUMMYFUNCTION("""COMPUTED_VALUE"""),88400.0)</f>
        <v>88400</v>
      </c>
      <c r="C2715" s="1">
        <f>IFERROR(__xludf.DUMMYFUNCTION("""COMPUTED_VALUE"""),90400.0)</f>
        <v>90400</v>
      </c>
      <c r="D2715" s="1">
        <f>IFERROR(__xludf.DUMMYFUNCTION("""COMPUTED_VALUE"""),87300.0)</f>
        <v>87300</v>
      </c>
      <c r="E2715" s="1">
        <f>IFERROR(__xludf.DUMMYFUNCTION("""COMPUTED_VALUE"""),90400.0)</f>
        <v>90400</v>
      </c>
      <c r="F2715" s="1">
        <f>IFERROR(__xludf.DUMMYFUNCTION("""COMPUTED_VALUE"""),4587643.0)</f>
        <v>4587643</v>
      </c>
    </row>
    <row r="2716">
      <c r="A2716" s="2">
        <f>IFERROR(__xludf.DUMMYFUNCTION("""COMPUTED_VALUE"""),44581.64583333333)</f>
        <v>44581.64583</v>
      </c>
      <c r="B2716" s="1">
        <f>IFERROR(__xludf.DUMMYFUNCTION("""COMPUTED_VALUE"""),90800.0)</f>
        <v>90800</v>
      </c>
      <c r="C2716" s="1">
        <f>IFERROR(__xludf.DUMMYFUNCTION("""COMPUTED_VALUE"""),92700.0)</f>
        <v>92700</v>
      </c>
      <c r="D2716" s="1">
        <f>IFERROR(__xludf.DUMMYFUNCTION("""COMPUTED_VALUE"""),88800.0)</f>
        <v>88800</v>
      </c>
      <c r="E2716" s="1">
        <f>IFERROR(__xludf.DUMMYFUNCTION("""COMPUTED_VALUE"""),92300.0)</f>
        <v>92300</v>
      </c>
      <c r="F2716" s="1">
        <f>IFERROR(__xludf.DUMMYFUNCTION("""COMPUTED_VALUE"""),3004684.0)</f>
        <v>3004684</v>
      </c>
    </row>
    <row r="2717">
      <c r="A2717" s="2">
        <f>IFERROR(__xludf.DUMMYFUNCTION("""COMPUTED_VALUE"""),44582.64583333333)</f>
        <v>44582.64583</v>
      </c>
      <c r="B2717" s="1">
        <f>IFERROR(__xludf.DUMMYFUNCTION("""COMPUTED_VALUE"""),91100.0)</f>
        <v>91100</v>
      </c>
      <c r="C2717" s="1">
        <f>IFERROR(__xludf.DUMMYFUNCTION("""COMPUTED_VALUE"""),94100.0)</f>
        <v>94100</v>
      </c>
      <c r="D2717" s="1">
        <f>IFERROR(__xludf.DUMMYFUNCTION("""COMPUTED_VALUE"""),90600.0)</f>
        <v>90600</v>
      </c>
      <c r="E2717" s="1">
        <f>IFERROR(__xludf.DUMMYFUNCTION("""COMPUTED_VALUE"""),91800.0)</f>
        <v>91800</v>
      </c>
      <c r="F2717" s="1">
        <f>IFERROR(__xludf.DUMMYFUNCTION("""COMPUTED_VALUE"""),2954607.0)</f>
        <v>2954607</v>
      </c>
    </row>
    <row r="2718">
      <c r="A2718" s="2">
        <f>IFERROR(__xludf.DUMMYFUNCTION("""COMPUTED_VALUE"""),44585.64583333333)</f>
        <v>44585.64583</v>
      </c>
      <c r="B2718" s="1">
        <f>IFERROR(__xludf.DUMMYFUNCTION("""COMPUTED_VALUE"""),90900.0)</f>
        <v>90900</v>
      </c>
      <c r="C2718" s="1">
        <f>IFERROR(__xludf.DUMMYFUNCTION("""COMPUTED_VALUE"""),92100.0)</f>
        <v>92100</v>
      </c>
      <c r="D2718" s="1">
        <f>IFERROR(__xludf.DUMMYFUNCTION("""COMPUTED_VALUE"""),89700.0)</f>
        <v>89700</v>
      </c>
      <c r="E2718" s="1">
        <f>IFERROR(__xludf.DUMMYFUNCTION("""COMPUTED_VALUE"""),90000.0)</f>
        <v>90000</v>
      </c>
      <c r="F2718" s="1">
        <f>IFERROR(__xludf.DUMMYFUNCTION("""COMPUTED_VALUE"""),2021697.0)</f>
        <v>2021697</v>
      </c>
    </row>
    <row r="2719">
      <c r="A2719" s="2">
        <f>IFERROR(__xludf.DUMMYFUNCTION("""COMPUTED_VALUE"""),44586.64583333333)</f>
        <v>44586.64583</v>
      </c>
      <c r="B2719" s="1">
        <f>IFERROR(__xludf.DUMMYFUNCTION("""COMPUTED_VALUE"""),90300.0)</f>
        <v>90300</v>
      </c>
      <c r="C2719" s="1">
        <f>IFERROR(__xludf.DUMMYFUNCTION("""COMPUTED_VALUE"""),90700.0)</f>
        <v>90700</v>
      </c>
      <c r="D2719" s="1">
        <f>IFERROR(__xludf.DUMMYFUNCTION("""COMPUTED_VALUE"""),87500.0)</f>
        <v>87500</v>
      </c>
      <c r="E2719" s="1">
        <f>IFERROR(__xludf.DUMMYFUNCTION("""COMPUTED_VALUE"""),87600.0)</f>
        <v>87600</v>
      </c>
      <c r="F2719" s="1">
        <f>IFERROR(__xludf.DUMMYFUNCTION("""COMPUTED_VALUE"""),2844579.0)</f>
        <v>2844579</v>
      </c>
    </row>
    <row r="2720">
      <c r="A2720" s="2">
        <f>IFERROR(__xludf.DUMMYFUNCTION("""COMPUTED_VALUE"""),44587.64583333333)</f>
        <v>44587.64583</v>
      </c>
      <c r="B2720" s="1">
        <f>IFERROR(__xludf.DUMMYFUNCTION("""COMPUTED_VALUE"""),87300.0)</f>
        <v>87300</v>
      </c>
      <c r="C2720" s="1">
        <f>IFERROR(__xludf.DUMMYFUNCTION("""COMPUTED_VALUE"""),88600.0)</f>
        <v>88600</v>
      </c>
      <c r="D2720" s="1">
        <f>IFERROR(__xludf.DUMMYFUNCTION("""COMPUTED_VALUE"""),86600.0)</f>
        <v>86600</v>
      </c>
      <c r="E2720" s="1">
        <f>IFERROR(__xludf.DUMMYFUNCTION("""COMPUTED_VALUE"""),86900.0)</f>
        <v>86900</v>
      </c>
      <c r="F2720" s="1">
        <f>IFERROR(__xludf.DUMMYFUNCTION("""COMPUTED_VALUE"""),2204197.0)</f>
        <v>2204197</v>
      </c>
    </row>
    <row r="2721">
      <c r="A2721" s="2">
        <f>IFERROR(__xludf.DUMMYFUNCTION("""COMPUTED_VALUE"""),44588.64583333333)</f>
        <v>44588.64583</v>
      </c>
      <c r="B2721" s="1">
        <f>IFERROR(__xludf.DUMMYFUNCTION("""COMPUTED_VALUE"""),87000.0)</f>
        <v>87000</v>
      </c>
      <c r="C2721" s="1">
        <f>IFERROR(__xludf.DUMMYFUNCTION("""COMPUTED_VALUE"""),87500.0)</f>
        <v>87500</v>
      </c>
      <c r="D2721" s="1">
        <f>IFERROR(__xludf.DUMMYFUNCTION("""COMPUTED_VALUE"""),82600.0)</f>
        <v>82600</v>
      </c>
      <c r="E2721" s="1">
        <f>IFERROR(__xludf.DUMMYFUNCTION("""COMPUTED_VALUE"""),82600.0)</f>
        <v>82600</v>
      </c>
      <c r="F2721" s="1">
        <f>IFERROR(__xludf.DUMMYFUNCTION("""COMPUTED_VALUE"""),3793749.0)</f>
        <v>3793749</v>
      </c>
    </row>
    <row r="2722">
      <c r="A2722" s="2">
        <f>IFERROR(__xludf.DUMMYFUNCTION("""COMPUTED_VALUE"""),44589.64583333333)</f>
        <v>44589.64583</v>
      </c>
      <c r="B2722" s="1">
        <f>IFERROR(__xludf.DUMMYFUNCTION("""COMPUTED_VALUE"""),82800.0)</f>
        <v>82800</v>
      </c>
      <c r="C2722" s="1">
        <f>IFERROR(__xludf.DUMMYFUNCTION("""COMPUTED_VALUE"""),85600.0)</f>
        <v>85600</v>
      </c>
      <c r="D2722" s="1">
        <f>IFERROR(__xludf.DUMMYFUNCTION("""COMPUTED_VALUE"""),82200.0)</f>
        <v>82200</v>
      </c>
      <c r="E2722" s="1">
        <f>IFERROR(__xludf.DUMMYFUNCTION("""COMPUTED_VALUE"""),85000.0)</f>
        <v>85000</v>
      </c>
      <c r="F2722" s="1">
        <f>IFERROR(__xludf.DUMMYFUNCTION("""COMPUTED_VALUE"""),2958280.0)</f>
        <v>2958280</v>
      </c>
    </row>
    <row r="2723">
      <c r="A2723" s="2">
        <f>IFERROR(__xludf.DUMMYFUNCTION("""COMPUTED_VALUE"""),44595.64583333333)</f>
        <v>44595.64583</v>
      </c>
      <c r="B2723" s="1">
        <f>IFERROR(__xludf.DUMMYFUNCTION("""COMPUTED_VALUE"""),87100.0)</f>
        <v>87100</v>
      </c>
      <c r="C2723" s="1">
        <f>IFERROR(__xludf.DUMMYFUNCTION("""COMPUTED_VALUE"""),88300.0)</f>
        <v>88300</v>
      </c>
      <c r="D2723" s="1">
        <f>IFERROR(__xludf.DUMMYFUNCTION("""COMPUTED_VALUE"""),85100.0)</f>
        <v>85100</v>
      </c>
      <c r="E2723" s="1">
        <f>IFERROR(__xludf.DUMMYFUNCTION("""COMPUTED_VALUE"""),85100.0)</f>
        <v>85100</v>
      </c>
      <c r="F2723" s="1">
        <f>IFERROR(__xludf.DUMMYFUNCTION("""COMPUTED_VALUE"""),3118696.0)</f>
        <v>3118696</v>
      </c>
    </row>
    <row r="2724">
      <c r="A2724" s="2">
        <f>IFERROR(__xludf.DUMMYFUNCTION("""COMPUTED_VALUE"""),44596.64583333333)</f>
        <v>44596.64583</v>
      </c>
      <c r="B2724" s="1">
        <f>IFERROR(__xludf.DUMMYFUNCTION("""COMPUTED_VALUE"""),85100.0)</f>
        <v>85100</v>
      </c>
      <c r="C2724" s="1">
        <f>IFERROR(__xludf.DUMMYFUNCTION("""COMPUTED_VALUE"""),87500.0)</f>
        <v>87500</v>
      </c>
      <c r="D2724" s="1">
        <f>IFERROR(__xludf.DUMMYFUNCTION("""COMPUTED_VALUE"""),84500.0)</f>
        <v>84500</v>
      </c>
      <c r="E2724" s="1">
        <f>IFERROR(__xludf.DUMMYFUNCTION("""COMPUTED_VALUE"""),87100.0)</f>
        <v>87100</v>
      </c>
      <c r="F2724" s="1">
        <f>IFERROR(__xludf.DUMMYFUNCTION("""COMPUTED_VALUE"""),1870626.0)</f>
        <v>1870626</v>
      </c>
    </row>
    <row r="2725">
      <c r="A2725" s="2">
        <f>IFERROR(__xludf.DUMMYFUNCTION("""COMPUTED_VALUE"""),44599.64583333333)</f>
        <v>44599.64583</v>
      </c>
      <c r="B2725" s="1">
        <f>IFERROR(__xludf.DUMMYFUNCTION("""COMPUTED_VALUE"""),87300.0)</f>
        <v>87300</v>
      </c>
      <c r="C2725" s="1">
        <f>IFERROR(__xludf.DUMMYFUNCTION("""COMPUTED_VALUE"""),88000.0)</f>
        <v>88000</v>
      </c>
      <c r="D2725" s="1">
        <f>IFERROR(__xludf.DUMMYFUNCTION("""COMPUTED_VALUE"""),85000.0)</f>
        <v>85000</v>
      </c>
      <c r="E2725" s="1">
        <f>IFERROR(__xludf.DUMMYFUNCTION("""COMPUTED_VALUE"""),88000.0)</f>
        <v>88000</v>
      </c>
      <c r="F2725" s="1">
        <f>IFERROR(__xludf.DUMMYFUNCTION("""COMPUTED_VALUE"""),2224116.0)</f>
        <v>2224116</v>
      </c>
    </row>
    <row r="2726">
      <c r="A2726" s="2">
        <f>IFERROR(__xludf.DUMMYFUNCTION("""COMPUTED_VALUE"""),44600.64583333333)</f>
        <v>44600.64583</v>
      </c>
      <c r="B2726" s="1">
        <f>IFERROR(__xludf.DUMMYFUNCTION("""COMPUTED_VALUE"""),88000.0)</f>
        <v>88000</v>
      </c>
      <c r="C2726" s="1">
        <f>IFERROR(__xludf.DUMMYFUNCTION("""COMPUTED_VALUE"""),89200.0)</f>
        <v>89200</v>
      </c>
      <c r="D2726" s="1">
        <f>IFERROR(__xludf.DUMMYFUNCTION("""COMPUTED_VALUE"""),86000.0)</f>
        <v>86000</v>
      </c>
      <c r="E2726" s="1">
        <f>IFERROR(__xludf.DUMMYFUNCTION("""COMPUTED_VALUE"""),86500.0)</f>
        <v>86500</v>
      </c>
      <c r="F2726" s="1">
        <f>IFERROR(__xludf.DUMMYFUNCTION("""COMPUTED_VALUE"""),2030457.0)</f>
        <v>2030457</v>
      </c>
    </row>
    <row r="2727">
      <c r="A2727" s="2">
        <f>IFERROR(__xludf.DUMMYFUNCTION("""COMPUTED_VALUE"""),44601.64583333333)</f>
        <v>44601.64583</v>
      </c>
      <c r="B2727" s="1">
        <f>IFERROR(__xludf.DUMMYFUNCTION("""COMPUTED_VALUE"""),86900.0)</f>
        <v>86900</v>
      </c>
      <c r="C2727" s="1">
        <f>IFERROR(__xludf.DUMMYFUNCTION("""COMPUTED_VALUE"""),87300.0)</f>
        <v>87300</v>
      </c>
      <c r="D2727" s="1">
        <f>IFERROR(__xludf.DUMMYFUNCTION("""COMPUTED_VALUE"""),85700.0)</f>
        <v>85700</v>
      </c>
      <c r="E2727" s="1">
        <f>IFERROR(__xludf.DUMMYFUNCTION("""COMPUTED_VALUE"""),86100.0)</f>
        <v>86100</v>
      </c>
      <c r="F2727" s="1">
        <f>IFERROR(__xludf.DUMMYFUNCTION("""COMPUTED_VALUE"""),1640629.0)</f>
        <v>1640629</v>
      </c>
    </row>
    <row r="2728">
      <c r="A2728" s="2">
        <f>IFERROR(__xludf.DUMMYFUNCTION("""COMPUTED_VALUE"""),44602.64583333333)</f>
        <v>44602.64583</v>
      </c>
      <c r="B2728" s="1">
        <f>IFERROR(__xludf.DUMMYFUNCTION("""COMPUTED_VALUE"""),86900.0)</f>
        <v>86900</v>
      </c>
      <c r="C2728" s="1">
        <f>IFERROR(__xludf.DUMMYFUNCTION("""COMPUTED_VALUE"""),89400.0)</f>
        <v>89400</v>
      </c>
      <c r="D2728" s="1">
        <f>IFERROR(__xludf.DUMMYFUNCTION("""COMPUTED_VALUE"""),86000.0)</f>
        <v>86000</v>
      </c>
      <c r="E2728" s="1">
        <f>IFERROR(__xludf.DUMMYFUNCTION("""COMPUTED_VALUE"""),87300.0)</f>
        <v>87300</v>
      </c>
      <c r="F2728" s="1">
        <f>IFERROR(__xludf.DUMMYFUNCTION("""COMPUTED_VALUE"""),3401352.0)</f>
        <v>3401352</v>
      </c>
    </row>
    <row r="2729">
      <c r="A2729" s="2">
        <f>IFERROR(__xludf.DUMMYFUNCTION("""COMPUTED_VALUE"""),44603.64583333333)</f>
        <v>44603.64583</v>
      </c>
      <c r="B2729" s="1">
        <f>IFERROR(__xludf.DUMMYFUNCTION("""COMPUTED_VALUE"""),87300.0)</f>
        <v>87300</v>
      </c>
      <c r="C2729" s="1">
        <f>IFERROR(__xludf.DUMMYFUNCTION("""COMPUTED_VALUE"""),93600.0)</f>
        <v>93600</v>
      </c>
      <c r="D2729" s="1">
        <f>IFERROR(__xludf.DUMMYFUNCTION("""COMPUTED_VALUE"""),85300.0)</f>
        <v>85300</v>
      </c>
      <c r="E2729" s="1">
        <f>IFERROR(__xludf.DUMMYFUNCTION("""COMPUTED_VALUE"""),91700.0)</f>
        <v>91700</v>
      </c>
      <c r="F2729" s="1">
        <f>IFERROR(__xludf.DUMMYFUNCTION("""COMPUTED_VALUE"""),7012496.0)</f>
        <v>7012496</v>
      </c>
    </row>
    <row r="2730">
      <c r="A2730" s="2">
        <f>IFERROR(__xludf.DUMMYFUNCTION("""COMPUTED_VALUE"""),44606.64583333333)</f>
        <v>44606.64583</v>
      </c>
      <c r="B2730" s="1">
        <f>IFERROR(__xludf.DUMMYFUNCTION("""COMPUTED_VALUE"""),90300.0)</f>
        <v>90300</v>
      </c>
      <c r="C2730" s="1">
        <f>IFERROR(__xludf.DUMMYFUNCTION("""COMPUTED_VALUE"""),90800.0)</f>
        <v>90800</v>
      </c>
      <c r="D2730" s="1">
        <f>IFERROR(__xludf.DUMMYFUNCTION("""COMPUTED_VALUE"""),87500.0)</f>
        <v>87500</v>
      </c>
      <c r="E2730" s="1">
        <f>IFERROR(__xludf.DUMMYFUNCTION("""COMPUTED_VALUE"""),88800.0)</f>
        <v>88800</v>
      </c>
      <c r="F2730" s="1">
        <f>IFERROR(__xludf.DUMMYFUNCTION("""COMPUTED_VALUE"""),4002853.0)</f>
        <v>4002853</v>
      </c>
    </row>
    <row r="2731">
      <c r="A2731" s="2">
        <f>IFERROR(__xludf.DUMMYFUNCTION("""COMPUTED_VALUE"""),44607.64583333333)</f>
        <v>44607.64583</v>
      </c>
      <c r="B2731" s="1">
        <f>IFERROR(__xludf.DUMMYFUNCTION("""COMPUTED_VALUE"""),89200.0)</f>
        <v>89200</v>
      </c>
      <c r="C2731" s="1">
        <f>IFERROR(__xludf.DUMMYFUNCTION("""COMPUTED_VALUE"""),91000.0)</f>
        <v>91000</v>
      </c>
      <c r="D2731" s="1">
        <f>IFERROR(__xludf.DUMMYFUNCTION("""COMPUTED_VALUE"""),87900.0)</f>
        <v>87900</v>
      </c>
      <c r="E2731" s="1">
        <f>IFERROR(__xludf.DUMMYFUNCTION("""COMPUTED_VALUE"""),88300.0)</f>
        <v>88300</v>
      </c>
      <c r="F2731" s="1">
        <f>IFERROR(__xludf.DUMMYFUNCTION("""COMPUTED_VALUE"""),2250253.0)</f>
        <v>2250253</v>
      </c>
    </row>
    <row r="2732">
      <c r="A2732" s="2">
        <f>IFERROR(__xludf.DUMMYFUNCTION("""COMPUTED_VALUE"""),44608.64583333333)</f>
        <v>44608.64583</v>
      </c>
      <c r="B2732" s="1">
        <f>IFERROR(__xludf.DUMMYFUNCTION("""COMPUTED_VALUE"""),90200.0)</f>
        <v>90200</v>
      </c>
      <c r="C2732" s="1">
        <f>IFERROR(__xludf.DUMMYFUNCTION("""COMPUTED_VALUE"""),92100.0)</f>
        <v>92100</v>
      </c>
      <c r="D2732" s="1">
        <f>IFERROR(__xludf.DUMMYFUNCTION("""COMPUTED_VALUE"""),89600.0)</f>
        <v>89600</v>
      </c>
      <c r="E2732" s="1">
        <f>IFERROR(__xludf.DUMMYFUNCTION("""COMPUTED_VALUE"""),91900.0)</f>
        <v>91900</v>
      </c>
      <c r="F2732" s="1">
        <f>IFERROR(__xludf.DUMMYFUNCTION("""COMPUTED_VALUE"""),2468864.0)</f>
        <v>2468864</v>
      </c>
    </row>
    <row r="2733">
      <c r="A2733" s="2">
        <f>IFERROR(__xludf.DUMMYFUNCTION("""COMPUTED_VALUE"""),44609.64583333333)</f>
        <v>44609.64583</v>
      </c>
      <c r="B2733" s="1">
        <f>IFERROR(__xludf.DUMMYFUNCTION("""COMPUTED_VALUE"""),91900.0)</f>
        <v>91900</v>
      </c>
      <c r="C2733" s="1">
        <f>IFERROR(__xludf.DUMMYFUNCTION("""COMPUTED_VALUE"""),92100.0)</f>
        <v>92100</v>
      </c>
      <c r="D2733" s="1">
        <f>IFERROR(__xludf.DUMMYFUNCTION("""COMPUTED_VALUE"""),89200.0)</f>
        <v>89200</v>
      </c>
      <c r="E2733" s="1">
        <f>IFERROR(__xludf.DUMMYFUNCTION("""COMPUTED_VALUE"""),90600.0)</f>
        <v>90600</v>
      </c>
      <c r="F2733" s="1">
        <f>IFERROR(__xludf.DUMMYFUNCTION("""COMPUTED_VALUE"""),2851978.0)</f>
        <v>2851978</v>
      </c>
    </row>
    <row r="2734">
      <c r="A2734" s="2">
        <f>IFERROR(__xludf.DUMMYFUNCTION("""COMPUTED_VALUE"""),44610.64583333333)</f>
        <v>44610.64583</v>
      </c>
      <c r="B2734" s="1">
        <f>IFERROR(__xludf.DUMMYFUNCTION("""COMPUTED_VALUE"""),89200.0)</f>
        <v>89200</v>
      </c>
      <c r="C2734" s="1">
        <f>IFERROR(__xludf.DUMMYFUNCTION("""COMPUTED_VALUE"""),92500.0)</f>
        <v>92500</v>
      </c>
      <c r="D2734" s="1">
        <f>IFERROR(__xludf.DUMMYFUNCTION("""COMPUTED_VALUE"""),88700.0)</f>
        <v>88700</v>
      </c>
      <c r="E2734" s="1">
        <f>IFERROR(__xludf.DUMMYFUNCTION("""COMPUTED_VALUE"""),91400.0)</f>
        <v>91400</v>
      </c>
      <c r="F2734" s="1">
        <f>IFERROR(__xludf.DUMMYFUNCTION("""COMPUTED_VALUE"""),2232912.0)</f>
        <v>2232912</v>
      </c>
    </row>
    <row r="2735">
      <c r="A2735" s="2">
        <f>IFERROR(__xludf.DUMMYFUNCTION("""COMPUTED_VALUE"""),44613.64583333333)</f>
        <v>44613.64583</v>
      </c>
      <c r="B2735" s="1">
        <f>IFERROR(__xludf.DUMMYFUNCTION("""COMPUTED_VALUE"""),90100.0)</f>
        <v>90100</v>
      </c>
      <c r="C2735" s="1">
        <f>IFERROR(__xludf.DUMMYFUNCTION("""COMPUTED_VALUE"""),94500.0)</f>
        <v>94500</v>
      </c>
      <c r="D2735" s="1">
        <f>IFERROR(__xludf.DUMMYFUNCTION("""COMPUTED_VALUE"""),89900.0)</f>
        <v>89900</v>
      </c>
      <c r="E2735" s="1">
        <f>IFERROR(__xludf.DUMMYFUNCTION("""COMPUTED_VALUE"""),93200.0)</f>
        <v>93200</v>
      </c>
      <c r="F2735" s="1">
        <f>IFERROR(__xludf.DUMMYFUNCTION("""COMPUTED_VALUE"""),2855108.0)</f>
        <v>2855108</v>
      </c>
    </row>
    <row r="2736">
      <c r="A2736" s="2">
        <f>IFERROR(__xludf.DUMMYFUNCTION("""COMPUTED_VALUE"""),44614.64583333333)</f>
        <v>44614.64583</v>
      </c>
      <c r="B2736" s="1">
        <f>IFERROR(__xludf.DUMMYFUNCTION("""COMPUTED_VALUE"""),91700.0)</f>
        <v>91700</v>
      </c>
      <c r="C2736" s="1">
        <f>IFERROR(__xludf.DUMMYFUNCTION("""COMPUTED_VALUE"""),93200.0)</f>
        <v>93200</v>
      </c>
      <c r="D2736" s="1">
        <f>IFERROR(__xludf.DUMMYFUNCTION("""COMPUTED_VALUE"""),91200.0)</f>
        <v>91200</v>
      </c>
      <c r="E2736" s="1">
        <f>IFERROR(__xludf.DUMMYFUNCTION("""COMPUTED_VALUE"""),91800.0)</f>
        <v>91800</v>
      </c>
      <c r="F2736" s="1">
        <f>IFERROR(__xludf.DUMMYFUNCTION("""COMPUTED_VALUE"""),1904605.0)</f>
        <v>1904605</v>
      </c>
    </row>
    <row r="2737">
      <c r="A2737" s="2">
        <f>IFERROR(__xludf.DUMMYFUNCTION("""COMPUTED_VALUE"""),44615.64583333333)</f>
        <v>44615.64583</v>
      </c>
      <c r="B2737" s="1">
        <f>IFERROR(__xludf.DUMMYFUNCTION("""COMPUTED_VALUE"""),92500.0)</f>
        <v>92500</v>
      </c>
      <c r="C2737" s="1">
        <f>IFERROR(__xludf.DUMMYFUNCTION("""COMPUTED_VALUE"""),93800.0)</f>
        <v>93800</v>
      </c>
      <c r="D2737" s="1">
        <f>IFERROR(__xludf.DUMMYFUNCTION("""COMPUTED_VALUE"""),91900.0)</f>
        <v>91900</v>
      </c>
      <c r="E2737" s="1">
        <f>IFERROR(__xludf.DUMMYFUNCTION("""COMPUTED_VALUE"""),92600.0)</f>
        <v>92600</v>
      </c>
      <c r="F2737" s="1">
        <f>IFERROR(__xludf.DUMMYFUNCTION("""COMPUTED_VALUE"""),1738804.0)</f>
        <v>1738804</v>
      </c>
    </row>
    <row r="2738">
      <c r="A2738" s="2">
        <f>IFERROR(__xludf.DUMMYFUNCTION("""COMPUTED_VALUE"""),44616.64583333333)</f>
        <v>44616.64583</v>
      </c>
      <c r="B2738" s="1">
        <f>IFERROR(__xludf.DUMMYFUNCTION("""COMPUTED_VALUE"""),91100.0)</f>
        <v>91100</v>
      </c>
      <c r="C2738" s="1">
        <f>IFERROR(__xludf.DUMMYFUNCTION("""COMPUTED_VALUE"""),91800.0)</f>
        <v>91800</v>
      </c>
      <c r="D2738" s="1">
        <f>IFERROR(__xludf.DUMMYFUNCTION("""COMPUTED_VALUE"""),89300.0)</f>
        <v>89300</v>
      </c>
      <c r="E2738" s="1">
        <f>IFERROR(__xludf.DUMMYFUNCTION("""COMPUTED_VALUE"""),90000.0)</f>
        <v>90000</v>
      </c>
      <c r="F2738" s="1">
        <f>IFERROR(__xludf.DUMMYFUNCTION("""COMPUTED_VALUE"""),2176721.0)</f>
        <v>2176721</v>
      </c>
    </row>
    <row r="2739">
      <c r="A2739" s="2">
        <f>IFERROR(__xludf.DUMMYFUNCTION("""COMPUTED_VALUE"""),44617.64583333333)</f>
        <v>44617.64583</v>
      </c>
      <c r="B2739" s="1">
        <f>IFERROR(__xludf.DUMMYFUNCTION("""COMPUTED_VALUE"""),92100.0)</f>
        <v>92100</v>
      </c>
      <c r="C2739" s="1">
        <f>IFERROR(__xludf.DUMMYFUNCTION("""COMPUTED_VALUE"""),95000.0)</f>
        <v>95000</v>
      </c>
      <c r="D2739" s="1">
        <f>IFERROR(__xludf.DUMMYFUNCTION("""COMPUTED_VALUE"""),91800.0)</f>
        <v>91800</v>
      </c>
      <c r="E2739" s="1">
        <f>IFERROR(__xludf.DUMMYFUNCTION("""COMPUTED_VALUE"""),94400.0)</f>
        <v>94400</v>
      </c>
      <c r="F2739" s="1">
        <f>IFERROR(__xludf.DUMMYFUNCTION("""COMPUTED_VALUE"""),3690345.0)</f>
        <v>3690345</v>
      </c>
    </row>
    <row r="2740">
      <c r="A2740" s="2">
        <f>IFERROR(__xludf.DUMMYFUNCTION("""COMPUTED_VALUE"""),44620.64583333333)</f>
        <v>44620.64583</v>
      </c>
      <c r="B2740" s="1">
        <f>IFERROR(__xludf.DUMMYFUNCTION("""COMPUTED_VALUE"""),94100.0)</f>
        <v>94100</v>
      </c>
      <c r="C2740" s="1">
        <f>IFERROR(__xludf.DUMMYFUNCTION("""COMPUTED_VALUE"""),94900.0)</f>
        <v>94900</v>
      </c>
      <c r="D2740" s="1">
        <f>IFERROR(__xludf.DUMMYFUNCTION("""COMPUTED_VALUE"""),93100.0)</f>
        <v>93100</v>
      </c>
      <c r="E2740" s="1">
        <f>IFERROR(__xludf.DUMMYFUNCTION("""COMPUTED_VALUE"""),94100.0)</f>
        <v>94100</v>
      </c>
      <c r="F2740" s="1">
        <f>IFERROR(__xludf.DUMMYFUNCTION("""COMPUTED_VALUE"""),2175339.0)</f>
        <v>2175339</v>
      </c>
    </row>
    <row r="2741">
      <c r="A2741" s="2">
        <f>IFERROR(__xludf.DUMMYFUNCTION("""COMPUTED_VALUE"""),44622.64583333333)</f>
        <v>44622.64583</v>
      </c>
      <c r="B2741" s="1">
        <f>IFERROR(__xludf.DUMMYFUNCTION("""COMPUTED_VALUE"""),94400.0)</f>
        <v>94400</v>
      </c>
      <c r="C2741" s="1">
        <f>IFERROR(__xludf.DUMMYFUNCTION("""COMPUTED_VALUE"""),95700.0)</f>
        <v>95700</v>
      </c>
      <c r="D2741" s="1">
        <f>IFERROR(__xludf.DUMMYFUNCTION("""COMPUTED_VALUE"""),93900.0)</f>
        <v>93900</v>
      </c>
      <c r="E2741" s="1">
        <f>IFERROR(__xludf.DUMMYFUNCTION("""COMPUTED_VALUE"""),95300.0)</f>
        <v>95300</v>
      </c>
      <c r="F2741" s="1">
        <f>IFERROR(__xludf.DUMMYFUNCTION("""COMPUTED_VALUE"""),2173330.0)</f>
        <v>2173330</v>
      </c>
    </row>
    <row r="2742">
      <c r="A2742" s="2">
        <f>IFERROR(__xludf.DUMMYFUNCTION("""COMPUTED_VALUE"""),44623.64583333333)</f>
        <v>44623.64583</v>
      </c>
      <c r="B2742" s="1">
        <f>IFERROR(__xludf.DUMMYFUNCTION("""COMPUTED_VALUE"""),96100.0)</f>
        <v>96100</v>
      </c>
      <c r="C2742" s="1">
        <f>IFERROR(__xludf.DUMMYFUNCTION("""COMPUTED_VALUE"""),97300.0)</f>
        <v>97300</v>
      </c>
      <c r="D2742" s="1">
        <f>IFERROR(__xludf.DUMMYFUNCTION("""COMPUTED_VALUE"""),95300.0)</f>
        <v>95300</v>
      </c>
      <c r="E2742" s="1">
        <f>IFERROR(__xludf.DUMMYFUNCTION("""COMPUTED_VALUE"""),96600.0)</f>
        <v>96600</v>
      </c>
      <c r="F2742" s="1">
        <f>IFERROR(__xludf.DUMMYFUNCTION("""COMPUTED_VALUE"""),1738057.0)</f>
        <v>1738057</v>
      </c>
    </row>
    <row r="2743">
      <c r="A2743" s="2">
        <f>IFERROR(__xludf.DUMMYFUNCTION("""COMPUTED_VALUE"""),44624.64583333333)</f>
        <v>44624.64583</v>
      </c>
      <c r="B2743" s="1">
        <f>IFERROR(__xludf.DUMMYFUNCTION("""COMPUTED_VALUE"""),96200.0)</f>
        <v>96200</v>
      </c>
      <c r="C2743" s="1">
        <f>IFERROR(__xludf.DUMMYFUNCTION("""COMPUTED_VALUE"""),96300.0)</f>
        <v>96300</v>
      </c>
      <c r="D2743" s="1">
        <f>IFERROR(__xludf.DUMMYFUNCTION("""COMPUTED_VALUE"""),94500.0)</f>
        <v>94500</v>
      </c>
      <c r="E2743" s="1">
        <f>IFERROR(__xludf.DUMMYFUNCTION("""COMPUTED_VALUE"""),94700.0)</f>
        <v>94700</v>
      </c>
      <c r="F2743" s="1">
        <f>IFERROR(__xludf.DUMMYFUNCTION("""COMPUTED_VALUE"""),1539472.0)</f>
        <v>1539472</v>
      </c>
    </row>
    <row r="2744">
      <c r="A2744" s="2">
        <f>IFERROR(__xludf.DUMMYFUNCTION("""COMPUTED_VALUE"""),44627.64583333333)</f>
        <v>44627.64583</v>
      </c>
      <c r="B2744" s="1">
        <f>IFERROR(__xludf.DUMMYFUNCTION("""COMPUTED_VALUE"""),93400.0)</f>
        <v>93400</v>
      </c>
      <c r="C2744" s="1">
        <f>IFERROR(__xludf.DUMMYFUNCTION("""COMPUTED_VALUE"""),93500.0)</f>
        <v>93500</v>
      </c>
      <c r="D2744" s="1">
        <f>IFERROR(__xludf.DUMMYFUNCTION("""COMPUTED_VALUE"""),91600.0)</f>
        <v>91600</v>
      </c>
      <c r="E2744" s="1">
        <f>IFERROR(__xludf.DUMMYFUNCTION("""COMPUTED_VALUE"""),91600.0)</f>
        <v>91600</v>
      </c>
      <c r="F2744" s="1">
        <f>IFERROR(__xludf.DUMMYFUNCTION("""COMPUTED_VALUE"""),1950179.0)</f>
        <v>1950179</v>
      </c>
    </row>
    <row r="2745">
      <c r="A2745" s="2">
        <f>IFERROR(__xludf.DUMMYFUNCTION("""COMPUTED_VALUE"""),44628.64583333333)</f>
        <v>44628.64583</v>
      </c>
      <c r="B2745" s="1">
        <f>IFERROR(__xludf.DUMMYFUNCTION("""COMPUTED_VALUE"""),90000.0)</f>
        <v>90000</v>
      </c>
      <c r="C2745" s="1">
        <f>IFERROR(__xludf.DUMMYFUNCTION("""COMPUTED_VALUE"""),94000.0)</f>
        <v>94000</v>
      </c>
      <c r="D2745" s="1">
        <f>IFERROR(__xludf.DUMMYFUNCTION("""COMPUTED_VALUE"""),89600.0)</f>
        <v>89600</v>
      </c>
      <c r="E2745" s="1">
        <f>IFERROR(__xludf.DUMMYFUNCTION("""COMPUTED_VALUE"""),92100.0)</f>
        <v>92100</v>
      </c>
      <c r="F2745" s="1">
        <f>IFERROR(__xludf.DUMMYFUNCTION("""COMPUTED_VALUE"""),1774311.0)</f>
        <v>1774311</v>
      </c>
    </row>
    <row r="2746">
      <c r="A2746" s="2">
        <f>IFERROR(__xludf.DUMMYFUNCTION("""COMPUTED_VALUE"""),44630.64583333333)</f>
        <v>44630.64583</v>
      </c>
      <c r="B2746" s="1">
        <f>IFERROR(__xludf.DUMMYFUNCTION("""COMPUTED_VALUE"""),94400.0)</f>
        <v>94400</v>
      </c>
      <c r="C2746" s="1">
        <f>IFERROR(__xludf.DUMMYFUNCTION("""COMPUTED_VALUE"""),100000.0)</f>
        <v>100000</v>
      </c>
      <c r="D2746" s="1">
        <f>IFERROR(__xludf.DUMMYFUNCTION("""COMPUTED_VALUE"""),94300.0)</f>
        <v>94300</v>
      </c>
      <c r="E2746" s="1">
        <f>IFERROR(__xludf.DUMMYFUNCTION("""COMPUTED_VALUE"""),100000.0)</f>
        <v>100000</v>
      </c>
      <c r="F2746" s="1">
        <f>IFERROR(__xludf.DUMMYFUNCTION("""COMPUTED_VALUE"""),5742398.0)</f>
        <v>5742398</v>
      </c>
    </row>
    <row r="2747">
      <c r="A2747" s="2">
        <f>IFERROR(__xludf.DUMMYFUNCTION("""COMPUTED_VALUE"""),44631.64583333333)</f>
        <v>44631.64583</v>
      </c>
      <c r="B2747" s="1">
        <f>IFERROR(__xludf.DUMMYFUNCTION("""COMPUTED_VALUE"""),100000.0)</f>
        <v>100000</v>
      </c>
      <c r="C2747" s="1">
        <f>IFERROR(__xludf.DUMMYFUNCTION("""COMPUTED_VALUE"""),102000.0)</f>
        <v>102000</v>
      </c>
      <c r="D2747" s="1">
        <f>IFERROR(__xludf.DUMMYFUNCTION("""COMPUTED_VALUE"""),98400.0)</f>
        <v>98400</v>
      </c>
      <c r="E2747" s="1">
        <f>IFERROR(__xludf.DUMMYFUNCTION("""COMPUTED_VALUE"""),101500.0)</f>
        <v>101500</v>
      </c>
      <c r="F2747" s="1">
        <f>IFERROR(__xludf.DUMMYFUNCTION("""COMPUTED_VALUE"""),3160552.0)</f>
        <v>3160552</v>
      </c>
    </row>
    <row r="2748">
      <c r="A2748" s="2">
        <f>IFERROR(__xludf.DUMMYFUNCTION("""COMPUTED_VALUE"""),44634.64583333333)</f>
        <v>44634.64583</v>
      </c>
      <c r="B2748" s="1">
        <f>IFERROR(__xludf.DUMMYFUNCTION("""COMPUTED_VALUE"""),102500.0)</f>
        <v>102500</v>
      </c>
      <c r="C2748" s="1">
        <f>IFERROR(__xludf.DUMMYFUNCTION("""COMPUTED_VALUE"""),105000.0)</f>
        <v>105000</v>
      </c>
      <c r="D2748" s="1">
        <f>IFERROR(__xludf.DUMMYFUNCTION("""COMPUTED_VALUE"""),102000.0)</f>
        <v>102000</v>
      </c>
      <c r="E2748" s="1">
        <f>IFERROR(__xludf.DUMMYFUNCTION("""COMPUTED_VALUE"""),103500.0)</f>
        <v>103500</v>
      </c>
      <c r="F2748" s="1">
        <f>IFERROR(__xludf.DUMMYFUNCTION("""COMPUTED_VALUE"""),3656814.0)</f>
        <v>3656814</v>
      </c>
    </row>
    <row r="2749">
      <c r="A2749" s="2">
        <f>IFERROR(__xludf.DUMMYFUNCTION("""COMPUTED_VALUE"""),44635.64583333333)</f>
        <v>44635.64583</v>
      </c>
      <c r="B2749" s="1">
        <f>IFERROR(__xludf.DUMMYFUNCTION("""COMPUTED_VALUE"""),103500.0)</f>
        <v>103500</v>
      </c>
      <c r="C2749" s="1">
        <f>IFERROR(__xludf.DUMMYFUNCTION("""COMPUTED_VALUE"""),104500.0)</f>
        <v>104500</v>
      </c>
      <c r="D2749" s="1">
        <f>IFERROR(__xludf.DUMMYFUNCTION("""COMPUTED_VALUE"""),101000.0)</f>
        <v>101000</v>
      </c>
      <c r="E2749" s="1">
        <f>IFERROR(__xludf.DUMMYFUNCTION("""COMPUTED_VALUE"""),103000.0)</f>
        <v>103000</v>
      </c>
      <c r="F2749" s="1">
        <f>IFERROR(__xludf.DUMMYFUNCTION("""COMPUTED_VALUE"""),1778162.0)</f>
        <v>1778162</v>
      </c>
    </row>
    <row r="2750">
      <c r="A2750" s="2">
        <f>IFERROR(__xludf.DUMMYFUNCTION("""COMPUTED_VALUE"""),44636.64583333333)</f>
        <v>44636.64583</v>
      </c>
      <c r="B2750" s="1">
        <f>IFERROR(__xludf.DUMMYFUNCTION("""COMPUTED_VALUE"""),105000.0)</f>
        <v>105000</v>
      </c>
      <c r="C2750" s="1">
        <f>IFERROR(__xludf.DUMMYFUNCTION("""COMPUTED_VALUE"""),105500.0)</f>
        <v>105500</v>
      </c>
      <c r="D2750" s="1">
        <f>IFERROR(__xludf.DUMMYFUNCTION("""COMPUTED_VALUE"""),102000.0)</f>
        <v>102000</v>
      </c>
      <c r="E2750" s="1">
        <f>IFERROR(__xludf.DUMMYFUNCTION("""COMPUTED_VALUE"""),104000.0)</f>
        <v>104000</v>
      </c>
      <c r="F2750" s="1">
        <f>IFERROR(__xludf.DUMMYFUNCTION("""COMPUTED_VALUE"""),1763654.0)</f>
        <v>1763654</v>
      </c>
    </row>
    <row r="2751">
      <c r="A2751" s="2">
        <f>IFERROR(__xludf.DUMMYFUNCTION("""COMPUTED_VALUE"""),44637.64583333333)</f>
        <v>44637.64583</v>
      </c>
      <c r="B2751" s="1">
        <f>IFERROR(__xludf.DUMMYFUNCTION("""COMPUTED_VALUE"""),106000.0)</f>
        <v>106000</v>
      </c>
      <c r="C2751" s="1">
        <f>IFERROR(__xludf.DUMMYFUNCTION("""COMPUTED_VALUE"""),109000.0)</f>
        <v>109000</v>
      </c>
      <c r="D2751" s="1">
        <f>IFERROR(__xludf.DUMMYFUNCTION("""COMPUTED_VALUE"""),105500.0)</f>
        <v>105500</v>
      </c>
      <c r="E2751" s="1">
        <f>IFERROR(__xludf.DUMMYFUNCTION("""COMPUTED_VALUE"""),106500.0)</f>
        <v>106500</v>
      </c>
      <c r="F2751" s="1">
        <f>IFERROR(__xludf.DUMMYFUNCTION("""COMPUTED_VALUE"""),3504355.0)</f>
        <v>3504355</v>
      </c>
    </row>
    <row r="2752">
      <c r="A2752" s="2">
        <f>IFERROR(__xludf.DUMMYFUNCTION("""COMPUTED_VALUE"""),44638.64583333333)</f>
        <v>44638.64583</v>
      </c>
      <c r="B2752" s="1">
        <f>IFERROR(__xludf.DUMMYFUNCTION("""COMPUTED_VALUE"""),107500.0)</f>
        <v>107500</v>
      </c>
      <c r="C2752" s="1">
        <f>IFERROR(__xludf.DUMMYFUNCTION("""COMPUTED_VALUE"""),109000.0)</f>
        <v>109000</v>
      </c>
      <c r="D2752" s="1">
        <f>IFERROR(__xludf.DUMMYFUNCTION("""COMPUTED_VALUE"""),106000.0)</f>
        <v>106000</v>
      </c>
      <c r="E2752" s="1">
        <f>IFERROR(__xludf.DUMMYFUNCTION("""COMPUTED_VALUE"""),108500.0)</f>
        <v>108500</v>
      </c>
      <c r="F2752" s="1">
        <f>IFERROR(__xludf.DUMMYFUNCTION("""COMPUTED_VALUE"""),2993197.0)</f>
        <v>2993197</v>
      </c>
    </row>
    <row r="2753">
      <c r="A2753" s="2">
        <f>IFERROR(__xludf.DUMMYFUNCTION("""COMPUTED_VALUE"""),44641.64583333333)</f>
        <v>44641.64583</v>
      </c>
      <c r="B2753" s="1">
        <f>IFERROR(__xludf.DUMMYFUNCTION("""COMPUTED_VALUE"""),108500.0)</f>
        <v>108500</v>
      </c>
      <c r="C2753" s="1">
        <f>IFERROR(__xludf.DUMMYFUNCTION("""COMPUTED_VALUE"""),110000.0)</f>
        <v>110000</v>
      </c>
      <c r="D2753" s="1">
        <f>IFERROR(__xludf.DUMMYFUNCTION("""COMPUTED_VALUE"""),104000.0)</f>
        <v>104000</v>
      </c>
      <c r="E2753" s="1">
        <f>IFERROR(__xludf.DUMMYFUNCTION("""COMPUTED_VALUE"""),105000.0)</f>
        <v>105000</v>
      </c>
      <c r="F2753" s="1">
        <f>IFERROR(__xludf.DUMMYFUNCTION("""COMPUTED_VALUE"""),3284518.0)</f>
        <v>3284518</v>
      </c>
    </row>
    <row r="2754">
      <c r="A2754" s="2">
        <f>IFERROR(__xludf.DUMMYFUNCTION("""COMPUTED_VALUE"""),44642.64583333333)</f>
        <v>44642.64583</v>
      </c>
      <c r="B2754" s="1">
        <f>IFERROR(__xludf.DUMMYFUNCTION("""COMPUTED_VALUE"""),104500.0)</f>
        <v>104500</v>
      </c>
      <c r="C2754" s="1">
        <f>IFERROR(__xludf.DUMMYFUNCTION("""COMPUTED_VALUE"""),108000.0)</f>
        <v>108000</v>
      </c>
      <c r="D2754" s="1">
        <f>IFERROR(__xludf.DUMMYFUNCTION("""COMPUTED_VALUE"""),104500.0)</f>
        <v>104500</v>
      </c>
      <c r="E2754" s="1">
        <f>IFERROR(__xludf.DUMMYFUNCTION("""COMPUTED_VALUE"""),106500.0)</f>
        <v>106500</v>
      </c>
      <c r="F2754" s="1">
        <f>IFERROR(__xludf.DUMMYFUNCTION("""COMPUTED_VALUE"""),2052237.0)</f>
        <v>2052237</v>
      </c>
    </row>
    <row r="2755">
      <c r="A2755" s="2">
        <f>IFERROR(__xludf.DUMMYFUNCTION("""COMPUTED_VALUE"""),44643.64583333333)</f>
        <v>44643.64583</v>
      </c>
      <c r="B2755" s="1">
        <f>IFERROR(__xludf.DUMMYFUNCTION("""COMPUTED_VALUE"""),107500.0)</f>
        <v>107500</v>
      </c>
      <c r="C2755" s="1">
        <f>IFERROR(__xludf.DUMMYFUNCTION("""COMPUTED_VALUE"""),108500.0)</f>
        <v>108500</v>
      </c>
      <c r="D2755" s="1">
        <f>IFERROR(__xludf.DUMMYFUNCTION("""COMPUTED_VALUE"""),104500.0)</f>
        <v>104500</v>
      </c>
      <c r="E2755" s="1">
        <f>IFERROR(__xludf.DUMMYFUNCTION("""COMPUTED_VALUE"""),106500.0)</f>
        <v>106500</v>
      </c>
      <c r="F2755" s="1">
        <f>IFERROR(__xludf.DUMMYFUNCTION("""COMPUTED_VALUE"""),2310401.0)</f>
        <v>2310401</v>
      </c>
    </row>
    <row r="2756">
      <c r="A2756" s="2">
        <f>IFERROR(__xludf.DUMMYFUNCTION("""COMPUTED_VALUE"""),44644.64583333333)</f>
        <v>44644.64583</v>
      </c>
      <c r="B2756" s="1">
        <f>IFERROR(__xludf.DUMMYFUNCTION("""COMPUTED_VALUE"""),105000.0)</f>
        <v>105000</v>
      </c>
      <c r="C2756" s="1">
        <f>IFERROR(__xludf.DUMMYFUNCTION("""COMPUTED_VALUE"""),105500.0)</f>
        <v>105500</v>
      </c>
      <c r="D2756" s="1">
        <f>IFERROR(__xludf.DUMMYFUNCTION("""COMPUTED_VALUE"""),103000.0)</f>
        <v>103000</v>
      </c>
      <c r="E2756" s="1">
        <f>IFERROR(__xludf.DUMMYFUNCTION("""COMPUTED_VALUE"""),105000.0)</f>
        <v>105000</v>
      </c>
      <c r="F2756" s="1">
        <f>IFERROR(__xludf.DUMMYFUNCTION("""COMPUTED_VALUE"""),2071398.0)</f>
        <v>2071398</v>
      </c>
    </row>
    <row r="2757">
      <c r="A2757" s="2">
        <f>IFERROR(__xludf.DUMMYFUNCTION("""COMPUTED_VALUE"""),44645.64583333333)</f>
        <v>44645.64583</v>
      </c>
      <c r="B2757" s="1">
        <f>IFERROR(__xludf.DUMMYFUNCTION("""COMPUTED_VALUE"""),106000.0)</f>
        <v>106000</v>
      </c>
      <c r="C2757" s="1">
        <f>IFERROR(__xludf.DUMMYFUNCTION("""COMPUTED_VALUE"""),107000.0)</f>
        <v>107000</v>
      </c>
      <c r="D2757" s="1">
        <f>IFERROR(__xludf.DUMMYFUNCTION("""COMPUTED_VALUE"""),104000.0)</f>
        <v>104000</v>
      </c>
      <c r="E2757" s="1">
        <f>IFERROR(__xludf.DUMMYFUNCTION("""COMPUTED_VALUE"""),105000.0)</f>
        <v>105000</v>
      </c>
      <c r="F2757" s="1">
        <f>IFERROR(__xludf.DUMMYFUNCTION("""COMPUTED_VALUE"""),1944089.0)</f>
        <v>1944089</v>
      </c>
    </row>
    <row r="2758">
      <c r="A2758" s="2">
        <f>IFERROR(__xludf.DUMMYFUNCTION("""COMPUTED_VALUE"""),44648.64583333333)</f>
        <v>44648.64583</v>
      </c>
      <c r="B2758" s="1">
        <f>IFERROR(__xludf.DUMMYFUNCTION("""COMPUTED_VALUE"""),105000.0)</f>
        <v>105000</v>
      </c>
      <c r="C2758" s="1">
        <f>IFERROR(__xludf.DUMMYFUNCTION("""COMPUTED_VALUE"""),105500.0)</f>
        <v>105500</v>
      </c>
      <c r="D2758" s="1">
        <f>IFERROR(__xludf.DUMMYFUNCTION("""COMPUTED_VALUE"""),102500.0)</f>
        <v>102500</v>
      </c>
      <c r="E2758" s="1">
        <f>IFERROR(__xludf.DUMMYFUNCTION("""COMPUTED_VALUE"""),105000.0)</f>
        <v>105000</v>
      </c>
      <c r="F2758" s="1">
        <f>IFERROR(__xludf.DUMMYFUNCTION("""COMPUTED_VALUE"""),1534357.0)</f>
        <v>1534357</v>
      </c>
    </row>
    <row r="2759">
      <c r="A2759" s="2">
        <f>IFERROR(__xludf.DUMMYFUNCTION("""COMPUTED_VALUE"""),44649.64583333333)</f>
        <v>44649.64583</v>
      </c>
      <c r="B2759" s="1">
        <f>IFERROR(__xludf.DUMMYFUNCTION("""COMPUTED_VALUE"""),106000.0)</f>
        <v>106000</v>
      </c>
      <c r="C2759" s="1">
        <f>IFERROR(__xludf.DUMMYFUNCTION("""COMPUTED_VALUE"""),106500.0)</f>
        <v>106500</v>
      </c>
      <c r="D2759" s="1">
        <f>IFERROR(__xludf.DUMMYFUNCTION("""COMPUTED_VALUE"""),104500.0)</f>
        <v>104500</v>
      </c>
      <c r="E2759" s="1">
        <f>IFERROR(__xludf.DUMMYFUNCTION("""COMPUTED_VALUE"""),105500.0)</f>
        <v>105500</v>
      </c>
      <c r="F2759" s="1">
        <f>IFERROR(__xludf.DUMMYFUNCTION("""COMPUTED_VALUE"""),1318977.0)</f>
        <v>1318977</v>
      </c>
    </row>
    <row r="2760">
      <c r="A2760" s="2">
        <f>IFERROR(__xludf.DUMMYFUNCTION("""COMPUTED_VALUE"""),44650.64583333333)</f>
        <v>44650.64583</v>
      </c>
      <c r="B2760" s="1">
        <f>IFERROR(__xludf.DUMMYFUNCTION("""COMPUTED_VALUE"""),107000.0)</f>
        <v>107000</v>
      </c>
      <c r="C2760" s="1">
        <f>IFERROR(__xludf.DUMMYFUNCTION("""COMPUTED_VALUE"""),108000.0)</f>
        <v>108000</v>
      </c>
      <c r="D2760" s="1">
        <f>IFERROR(__xludf.DUMMYFUNCTION("""COMPUTED_VALUE"""),106000.0)</f>
        <v>106000</v>
      </c>
      <c r="E2760" s="1">
        <f>IFERROR(__xludf.DUMMYFUNCTION("""COMPUTED_VALUE"""),106500.0)</f>
        <v>106500</v>
      </c>
      <c r="F2760" s="1">
        <f>IFERROR(__xludf.DUMMYFUNCTION("""COMPUTED_VALUE"""),1115413.0)</f>
        <v>1115413</v>
      </c>
    </row>
    <row r="2761">
      <c r="A2761" s="2">
        <f>IFERROR(__xludf.DUMMYFUNCTION("""COMPUTED_VALUE"""),44651.64583333333)</f>
        <v>44651.64583</v>
      </c>
      <c r="B2761" s="1">
        <f>IFERROR(__xludf.DUMMYFUNCTION("""COMPUTED_VALUE"""),106000.0)</f>
        <v>106000</v>
      </c>
      <c r="C2761" s="1">
        <f>IFERROR(__xludf.DUMMYFUNCTION("""COMPUTED_VALUE"""),107500.0)</f>
        <v>107500</v>
      </c>
      <c r="D2761" s="1">
        <f>IFERROR(__xludf.DUMMYFUNCTION("""COMPUTED_VALUE"""),105500.0)</f>
        <v>105500</v>
      </c>
      <c r="E2761" s="1">
        <f>IFERROR(__xludf.DUMMYFUNCTION("""COMPUTED_VALUE"""),106500.0)</f>
        <v>106500</v>
      </c>
      <c r="F2761" s="1">
        <f>IFERROR(__xludf.DUMMYFUNCTION("""COMPUTED_VALUE"""),1065806.0)</f>
        <v>1065806</v>
      </c>
    </row>
    <row r="2762">
      <c r="A2762" s="2">
        <f>IFERROR(__xludf.DUMMYFUNCTION("""COMPUTED_VALUE"""),44652.64583333333)</f>
        <v>44652.64583</v>
      </c>
      <c r="B2762" s="1">
        <f>IFERROR(__xludf.DUMMYFUNCTION("""COMPUTED_VALUE"""),105500.0)</f>
        <v>105500</v>
      </c>
      <c r="C2762" s="1">
        <f>IFERROR(__xludf.DUMMYFUNCTION("""COMPUTED_VALUE"""),106500.0)</f>
        <v>106500</v>
      </c>
      <c r="D2762" s="1">
        <f>IFERROR(__xludf.DUMMYFUNCTION("""COMPUTED_VALUE"""),105000.0)</f>
        <v>105000</v>
      </c>
      <c r="E2762" s="1">
        <f>IFERROR(__xludf.DUMMYFUNCTION("""COMPUTED_VALUE"""),106000.0)</f>
        <v>106000</v>
      </c>
      <c r="F2762" s="1">
        <f>IFERROR(__xludf.DUMMYFUNCTION("""COMPUTED_VALUE"""),1163804.0)</f>
        <v>1163804</v>
      </c>
    </row>
    <row r="2763">
      <c r="A2763" s="2">
        <f>IFERROR(__xludf.DUMMYFUNCTION("""COMPUTED_VALUE"""),44655.64583333333)</f>
        <v>44655.64583</v>
      </c>
      <c r="B2763" s="1">
        <f>IFERROR(__xludf.DUMMYFUNCTION("""COMPUTED_VALUE"""),105500.0)</f>
        <v>105500</v>
      </c>
      <c r="C2763" s="1">
        <f>IFERROR(__xludf.DUMMYFUNCTION("""COMPUTED_VALUE"""),106000.0)</f>
        <v>106000</v>
      </c>
      <c r="D2763" s="1">
        <f>IFERROR(__xludf.DUMMYFUNCTION("""COMPUTED_VALUE"""),104000.0)</f>
        <v>104000</v>
      </c>
      <c r="E2763" s="1">
        <f>IFERROR(__xludf.DUMMYFUNCTION("""COMPUTED_VALUE"""),105500.0)</f>
        <v>105500</v>
      </c>
      <c r="F2763" s="1">
        <f>IFERROR(__xludf.DUMMYFUNCTION("""COMPUTED_VALUE"""),1276251.0)</f>
        <v>1276251</v>
      </c>
    </row>
    <row r="2764">
      <c r="A2764" s="2">
        <f>IFERROR(__xludf.DUMMYFUNCTION("""COMPUTED_VALUE"""),44656.64583333333)</f>
        <v>44656.64583</v>
      </c>
      <c r="B2764" s="1">
        <f>IFERROR(__xludf.DUMMYFUNCTION("""COMPUTED_VALUE"""),106500.0)</f>
        <v>106500</v>
      </c>
      <c r="C2764" s="1">
        <f>IFERROR(__xludf.DUMMYFUNCTION("""COMPUTED_VALUE"""),108000.0)</f>
        <v>108000</v>
      </c>
      <c r="D2764" s="1">
        <f>IFERROR(__xludf.DUMMYFUNCTION("""COMPUTED_VALUE"""),106000.0)</f>
        <v>106000</v>
      </c>
      <c r="E2764" s="1">
        <f>IFERROR(__xludf.DUMMYFUNCTION("""COMPUTED_VALUE"""),107500.0)</f>
        <v>107500</v>
      </c>
      <c r="F2764" s="1">
        <f>IFERROR(__xludf.DUMMYFUNCTION("""COMPUTED_VALUE"""),1617662.0)</f>
        <v>1617662</v>
      </c>
    </row>
    <row r="2765">
      <c r="A2765" s="2">
        <f>IFERROR(__xludf.DUMMYFUNCTION("""COMPUTED_VALUE"""),44657.64583333333)</f>
        <v>44657.64583</v>
      </c>
      <c r="B2765" s="1">
        <f>IFERROR(__xludf.DUMMYFUNCTION("""COMPUTED_VALUE"""),105500.0)</f>
        <v>105500</v>
      </c>
      <c r="C2765" s="1">
        <f>IFERROR(__xludf.DUMMYFUNCTION("""COMPUTED_VALUE"""),106500.0)</f>
        <v>106500</v>
      </c>
      <c r="D2765" s="1">
        <f>IFERROR(__xludf.DUMMYFUNCTION("""COMPUTED_VALUE"""),104000.0)</f>
        <v>104000</v>
      </c>
      <c r="E2765" s="1">
        <f>IFERROR(__xludf.DUMMYFUNCTION("""COMPUTED_VALUE"""),105000.0)</f>
        <v>105000</v>
      </c>
      <c r="F2765" s="1">
        <f>IFERROR(__xludf.DUMMYFUNCTION("""COMPUTED_VALUE"""),1529617.0)</f>
        <v>1529617</v>
      </c>
    </row>
    <row r="2766">
      <c r="A2766" s="2">
        <f>IFERROR(__xludf.DUMMYFUNCTION("""COMPUTED_VALUE"""),44658.64583333333)</f>
        <v>44658.64583</v>
      </c>
      <c r="B2766" s="1">
        <f>IFERROR(__xludf.DUMMYFUNCTION("""COMPUTED_VALUE"""),103000.0)</f>
        <v>103000</v>
      </c>
      <c r="C2766" s="1">
        <f>IFERROR(__xludf.DUMMYFUNCTION("""COMPUTED_VALUE"""),103500.0)</f>
        <v>103500</v>
      </c>
      <c r="D2766" s="1">
        <f>IFERROR(__xludf.DUMMYFUNCTION("""COMPUTED_VALUE"""),99900.0)</f>
        <v>99900</v>
      </c>
      <c r="E2766" s="1">
        <f>IFERROR(__xludf.DUMMYFUNCTION("""COMPUTED_VALUE"""),99900.0)</f>
        <v>99900</v>
      </c>
      <c r="F2766" s="1">
        <f>IFERROR(__xludf.DUMMYFUNCTION("""COMPUTED_VALUE"""),2885845.0)</f>
        <v>2885845</v>
      </c>
    </row>
    <row r="2767">
      <c r="A2767" s="2">
        <f>IFERROR(__xludf.DUMMYFUNCTION("""COMPUTED_VALUE"""),44659.64583333333)</f>
        <v>44659.64583</v>
      </c>
      <c r="B2767" s="1">
        <f>IFERROR(__xludf.DUMMYFUNCTION("""COMPUTED_VALUE"""),100000.0)</f>
        <v>100000</v>
      </c>
      <c r="C2767" s="1">
        <f>IFERROR(__xludf.DUMMYFUNCTION("""COMPUTED_VALUE"""),100500.0)</f>
        <v>100500</v>
      </c>
      <c r="D2767" s="1">
        <f>IFERROR(__xludf.DUMMYFUNCTION("""COMPUTED_VALUE"""),96500.0)</f>
        <v>96500</v>
      </c>
      <c r="E2767" s="1">
        <f>IFERROR(__xludf.DUMMYFUNCTION("""COMPUTED_VALUE"""),98000.0)</f>
        <v>98000</v>
      </c>
      <c r="F2767" s="1">
        <f>IFERROR(__xludf.DUMMYFUNCTION("""COMPUTED_VALUE"""),2929790.0)</f>
        <v>2929790</v>
      </c>
    </row>
    <row r="2768">
      <c r="A2768" s="2">
        <f>IFERROR(__xludf.DUMMYFUNCTION("""COMPUTED_VALUE"""),44662.64583333333)</f>
        <v>44662.64583</v>
      </c>
      <c r="B2768" s="1">
        <f>IFERROR(__xludf.DUMMYFUNCTION("""COMPUTED_VALUE"""),97100.0)</f>
        <v>97100</v>
      </c>
      <c r="C2768" s="1">
        <f>IFERROR(__xludf.DUMMYFUNCTION("""COMPUTED_VALUE"""),97100.0)</f>
        <v>97100</v>
      </c>
      <c r="D2768" s="1">
        <f>IFERROR(__xludf.DUMMYFUNCTION("""COMPUTED_VALUE"""),94600.0)</f>
        <v>94600</v>
      </c>
      <c r="E2768" s="1">
        <f>IFERROR(__xludf.DUMMYFUNCTION("""COMPUTED_VALUE"""),95100.0)</f>
        <v>95100</v>
      </c>
      <c r="F2768" s="1">
        <f>IFERROR(__xludf.DUMMYFUNCTION("""COMPUTED_VALUE"""),2061220.0)</f>
        <v>2061220</v>
      </c>
    </row>
    <row r="2769">
      <c r="A2769" s="2">
        <f>IFERROR(__xludf.DUMMYFUNCTION("""COMPUTED_VALUE"""),44663.64583333333)</f>
        <v>44663.64583</v>
      </c>
      <c r="B2769" s="1">
        <f>IFERROR(__xludf.DUMMYFUNCTION("""COMPUTED_VALUE"""),93400.0)</f>
        <v>93400</v>
      </c>
      <c r="C2769" s="1">
        <f>IFERROR(__xludf.DUMMYFUNCTION("""COMPUTED_VALUE"""),95100.0)</f>
        <v>95100</v>
      </c>
      <c r="D2769" s="1">
        <f>IFERROR(__xludf.DUMMYFUNCTION("""COMPUTED_VALUE"""),92100.0)</f>
        <v>92100</v>
      </c>
      <c r="E2769" s="1">
        <f>IFERROR(__xludf.DUMMYFUNCTION("""COMPUTED_VALUE"""),94100.0)</f>
        <v>94100</v>
      </c>
      <c r="F2769" s="1">
        <f>IFERROR(__xludf.DUMMYFUNCTION("""COMPUTED_VALUE"""),1909946.0)</f>
        <v>1909946</v>
      </c>
    </row>
    <row r="2770">
      <c r="A2770" s="2">
        <f>IFERROR(__xludf.DUMMYFUNCTION("""COMPUTED_VALUE"""),44664.64583333333)</f>
        <v>44664.64583</v>
      </c>
      <c r="B2770" s="1">
        <f>IFERROR(__xludf.DUMMYFUNCTION("""COMPUTED_VALUE"""),95000.0)</f>
        <v>95000</v>
      </c>
      <c r="C2770" s="1">
        <f>IFERROR(__xludf.DUMMYFUNCTION("""COMPUTED_VALUE"""),96200.0)</f>
        <v>96200</v>
      </c>
      <c r="D2770" s="1">
        <f>IFERROR(__xludf.DUMMYFUNCTION("""COMPUTED_VALUE"""),94600.0)</f>
        <v>94600</v>
      </c>
      <c r="E2770" s="1">
        <f>IFERROR(__xludf.DUMMYFUNCTION("""COMPUTED_VALUE"""),95800.0)</f>
        <v>95800</v>
      </c>
      <c r="F2770" s="1">
        <f>IFERROR(__xludf.DUMMYFUNCTION("""COMPUTED_VALUE"""),1403239.0)</f>
        <v>1403239</v>
      </c>
    </row>
    <row r="2771">
      <c r="A2771" s="2">
        <f>IFERROR(__xludf.DUMMYFUNCTION("""COMPUTED_VALUE"""),44665.64583333333)</f>
        <v>44665.64583</v>
      </c>
      <c r="B2771" s="1">
        <f>IFERROR(__xludf.DUMMYFUNCTION("""COMPUTED_VALUE"""),96400.0)</f>
        <v>96400</v>
      </c>
      <c r="C2771" s="1">
        <f>IFERROR(__xludf.DUMMYFUNCTION("""COMPUTED_VALUE"""),96500.0)</f>
        <v>96500</v>
      </c>
      <c r="D2771" s="1">
        <f>IFERROR(__xludf.DUMMYFUNCTION("""COMPUTED_VALUE"""),94500.0)</f>
        <v>94500</v>
      </c>
      <c r="E2771" s="1">
        <f>IFERROR(__xludf.DUMMYFUNCTION("""COMPUTED_VALUE"""),96100.0)</f>
        <v>96100</v>
      </c>
      <c r="F2771" s="1">
        <f>IFERROR(__xludf.DUMMYFUNCTION("""COMPUTED_VALUE"""),1299995.0)</f>
        <v>1299995</v>
      </c>
    </row>
    <row r="2772">
      <c r="A2772" s="2">
        <f>IFERROR(__xludf.DUMMYFUNCTION("""COMPUTED_VALUE"""),44666.64583333333)</f>
        <v>44666.64583</v>
      </c>
      <c r="B2772" s="1">
        <f>IFERROR(__xludf.DUMMYFUNCTION("""COMPUTED_VALUE"""),95000.0)</f>
        <v>95000</v>
      </c>
      <c r="C2772" s="1">
        <f>IFERROR(__xludf.DUMMYFUNCTION("""COMPUTED_VALUE"""),96700.0)</f>
        <v>96700</v>
      </c>
      <c r="D2772" s="1">
        <f>IFERROR(__xludf.DUMMYFUNCTION("""COMPUTED_VALUE"""),93700.0)</f>
        <v>93700</v>
      </c>
      <c r="E2772" s="1">
        <f>IFERROR(__xludf.DUMMYFUNCTION("""COMPUTED_VALUE"""),95400.0)</f>
        <v>95400</v>
      </c>
      <c r="F2772" s="1">
        <f>IFERROR(__xludf.DUMMYFUNCTION("""COMPUTED_VALUE"""),1080260.0)</f>
        <v>1080260</v>
      </c>
    </row>
    <row r="2773">
      <c r="A2773" s="2">
        <f>IFERROR(__xludf.DUMMYFUNCTION("""COMPUTED_VALUE"""),44669.64583333333)</f>
        <v>44669.64583</v>
      </c>
      <c r="B2773" s="1">
        <f>IFERROR(__xludf.DUMMYFUNCTION("""COMPUTED_VALUE"""),94500.0)</f>
        <v>94500</v>
      </c>
      <c r="C2773" s="1">
        <f>IFERROR(__xludf.DUMMYFUNCTION("""COMPUTED_VALUE"""),94900.0)</f>
        <v>94900</v>
      </c>
      <c r="D2773" s="1">
        <f>IFERROR(__xludf.DUMMYFUNCTION("""COMPUTED_VALUE"""),94000.0)</f>
        <v>94000</v>
      </c>
      <c r="E2773" s="1">
        <f>IFERROR(__xludf.DUMMYFUNCTION("""COMPUTED_VALUE"""),94400.0)</f>
        <v>94400</v>
      </c>
      <c r="F2773" s="1">
        <f>IFERROR(__xludf.DUMMYFUNCTION("""COMPUTED_VALUE"""),774064.0)</f>
        <v>774064</v>
      </c>
    </row>
    <row r="2774">
      <c r="A2774" s="2">
        <f>IFERROR(__xludf.DUMMYFUNCTION("""COMPUTED_VALUE"""),44670.64583333333)</f>
        <v>44670.64583</v>
      </c>
      <c r="B2774" s="1">
        <f>IFERROR(__xludf.DUMMYFUNCTION("""COMPUTED_VALUE"""),95000.0)</f>
        <v>95000</v>
      </c>
      <c r="C2774" s="1">
        <f>IFERROR(__xludf.DUMMYFUNCTION("""COMPUTED_VALUE"""),96500.0)</f>
        <v>96500</v>
      </c>
      <c r="D2774" s="1">
        <f>IFERROR(__xludf.DUMMYFUNCTION("""COMPUTED_VALUE"""),94900.0)</f>
        <v>94900</v>
      </c>
      <c r="E2774" s="1">
        <f>IFERROR(__xludf.DUMMYFUNCTION("""COMPUTED_VALUE"""),95100.0)</f>
        <v>95100</v>
      </c>
      <c r="F2774" s="1">
        <f>IFERROR(__xludf.DUMMYFUNCTION("""COMPUTED_VALUE"""),836819.0)</f>
        <v>836819</v>
      </c>
    </row>
    <row r="2775">
      <c r="A2775" s="2">
        <f>IFERROR(__xludf.DUMMYFUNCTION("""COMPUTED_VALUE"""),44671.64583333333)</f>
        <v>44671.64583</v>
      </c>
      <c r="B2775" s="1">
        <f>IFERROR(__xludf.DUMMYFUNCTION("""COMPUTED_VALUE"""),96100.0)</f>
        <v>96100</v>
      </c>
      <c r="C2775" s="1">
        <f>IFERROR(__xludf.DUMMYFUNCTION("""COMPUTED_VALUE"""),96200.0)</f>
        <v>96200</v>
      </c>
      <c r="D2775" s="1">
        <f>IFERROR(__xludf.DUMMYFUNCTION("""COMPUTED_VALUE"""),94600.0)</f>
        <v>94600</v>
      </c>
      <c r="E2775" s="1">
        <f>IFERROR(__xludf.DUMMYFUNCTION("""COMPUTED_VALUE"""),95100.0)</f>
        <v>95100</v>
      </c>
      <c r="F2775" s="1">
        <f>IFERROR(__xludf.DUMMYFUNCTION("""COMPUTED_VALUE"""),880905.0)</f>
        <v>880905</v>
      </c>
    </row>
    <row r="2776">
      <c r="A2776" s="2">
        <f>IFERROR(__xludf.DUMMYFUNCTION("""COMPUTED_VALUE"""),44672.64583333333)</f>
        <v>44672.64583</v>
      </c>
      <c r="B2776" s="1">
        <f>IFERROR(__xludf.DUMMYFUNCTION("""COMPUTED_VALUE"""),95100.0)</f>
        <v>95100</v>
      </c>
      <c r="C2776" s="1">
        <f>IFERROR(__xludf.DUMMYFUNCTION("""COMPUTED_VALUE"""),95100.0)</f>
        <v>95100</v>
      </c>
      <c r="D2776" s="1">
        <f>IFERROR(__xludf.DUMMYFUNCTION("""COMPUTED_VALUE"""),93100.0)</f>
        <v>93100</v>
      </c>
      <c r="E2776" s="1">
        <f>IFERROR(__xludf.DUMMYFUNCTION("""COMPUTED_VALUE"""),93600.0)</f>
        <v>93600</v>
      </c>
      <c r="F2776" s="1">
        <f>IFERROR(__xludf.DUMMYFUNCTION("""COMPUTED_VALUE"""),1809576.0)</f>
        <v>1809576</v>
      </c>
    </row>
    <row r="2777">
      <c r="A2777" s="2">
        <f>IFERROR(__xludf.DUMMYFUNCTION("""COMPUTED_VALUE"""),44673.64583333333)</f>
        <v>44673.64583</v>
      </c>
      <c r="B2777" s="1">
        <f>IFERROR(__xludf.DUMMYFUNCTION("""COMPUTED_VALUE"""),92200.0)</f>
        <v>92200</v>
      </c>
      <c r="C2777" s="1">
        <f>IFERROR(__xludf.DUMMYFUNCTION("""COMPUTED_VALUE"""),92400.0)</f>
        <v>92400</v>
      </c>
      <c r="D2777" s="1">
        <f>IFERROR(__xludf.DUMMYFUNCTION("""COMPUTED_VALUE"""),91400.0)</f>
        <v>91400</v>
      </c>
      <c r="E2777" s="1">
        <f>IFERROR(__xludf.DUMMYFUNCTION("""COMPUTED_VALUE"""),92000.0)</f>
        <v>92000</v>
      </c>
      <c r="F2777" s="1">
        <f>IFERROR(__xludf.DUMMYFUNCTION("""COMPUTED_VALUE"""),1553904.0)</f>
        <v>1553904</v>
      </c>
    </row>
    <row r="2778">
      <c r="A2778" s="2">
        <f>IFERROR(__xludf.DUMMYFUNCTION("""COMPUTED_VALUE"""),44676.64583333333)</f>
        <v>44676.64583</v>
      </c>
      <c r="B2778" s="1">
        <f>IFERROR(__xludf.DUMMYFUNCTION("""COMPUTED_VALUE"""),90400.0)</f>
        <v>90400</v>
      </c>
      <c r="C2778" s="1">
        <f>IFERROR(__xludf.DUMMYFUNCTION("""COMPUTED_VALUE"""),91600.0)</f>
        <v>91600</v>
      </c>
      <c r="D2778" s="1">
        <f>IFERROR(__xludf.DUMMYFUNCTION("""COMPUTED_VALUE"""),89600.0)</f>
        <v>89600</v>
      </c>
      <c r="E2778" s="1">
        <f>IFERROR(__xludf.DUMMYFUNCTION("""COMPUTED_VALUE"""),89700.0)</f>
        <v>89700</v>
      </c>
      <c r="F2778" s="1">
        <f>IFERROR(__xludf.DUMMYFUNCTION("""COMPUTED_VALUE"""),1511408.0)</f>
        <v>1511408</v>
      </c>
    </row>
    <row r="2779">
      <c r="A2779" s="2">
        <f>IFERROR(__xludf.DUMMYFUNCTION("""COMPUTED_VALUE"""),44677.64583333333)</f>
        <v>44677.64583</v>
      </c>
      <c r="B2779" s="1">
        <f>IFERROR(__xludf.DUMMYFUNCTION("""COMPUTED_VALUE"""),89800.0)</f>
        <v>89800</v>
      </c>
      <c r="C2779" s="1">
        <f>IFERROR(__xludf.DUMMYFUNCTION("""COMPUTED_VALUE"""),91700.0)</f>
        <v>91700</v>
      </c>
      <c r="D2779" s="1">
        <f>IFERROR(__xludf.DUMMYFUNCTION("""COMPUTED_VALUE"""),89700.0)</f>
        <v>89700</v>
      </c>
      <c r="E2779" s="1">
        <f>IFERROR(__xludf.DUMMYFUNCTION("""COMPUTED_VALUE"""),90200.0)</f>
        <v>90200</v>
      </c>
      <c r="F2779" s="1">
        <f>IFERROR(__xludf.DUMMYFUNCTION("""COMPUTED_VALUE"""),1368258.0)</f>
        <v>1368258</v>
      </c>
    </row>
    <row r="2780">
      <c r="A2780" s="2">
        <f>IFERROR(__xludf.DUMMYFUNCTION("""COMPUTED_VALUE"""),44678.64583333333)</f>
        <v>44678.64583</v>
      </c>
      <c r="B2780" s="1">
        <f>IFERROR(__xludf.DUMMYFUNCTION("""COMPUTED_VALUE"""),87600.0)</f>
        <v>87600</v>
      </c>
      <c r="C2780" s="1">
        <f>IFERROR(__xludf.DUMMYFUNCTION("""COMPUTED_VALUE"""),88900.0)</f>
        <v>88900</v>
      </c>
      <c r="D2780" s="1">
        <f>IFERROR(__xludf.DUMMYFUNCTION("""COMPUTED_VALUE"""),87600.0)</f>
        <v>87600</v>
      </c>
      <c r="E2780" s="1">
        <f>IFERROR(__xludf.DUMMYFUNCTION("""COMPUTED_VALUE"""),88400.0)</f>
        <v>88400</v>
      </c>
      <c r="F2780" s="1">
        <f>IFERROR(__xludf.DUMMYFUNCTION("""COMPUTED_VALUE"""),1390581.0)</f>
        <v>1390581</v>
      </c>
    </row>
    <row r="2781">
      <c r="A2781" s="2">
        <f>IFERROR(__xludf.DUMMYFUNCTION("""COMPUTED_VALUE"""),44679.64583333333)</f>
        <v>44679.64583</v>
      </c>
      <c r="B2781" s="1">
        <f>IFERROR(__xludf.DUMMYFUNCTION("""COMPUTED_VALUE"""),89700.0)</f>
        <v>89700</v>
      </c>
      <c r="C2781" s="1">
        <f>IFERROR(__xludf.DUMMYFUNCTION("""COMPUTED_VALUE"""),89800.0)</f>
        <v>89800</v>
      </c>
      <c r="D2781" s="1">
        <f>IFERROR(__xludf.DUMMYFUNCTION("""COMPUTED_VALUE"""),88100.0)</f>
        <v>88100</v>
      </c>
      <c r="E2781" s="1">
        <f>IFERROR(__xludf.DUMMYFUNCTION("""COMPUTED_VALUE"""),89300.0)</f>
        <v>89300</v>
      </c>
      <c r="F2781" s="1">
        <f>IFERROR(__xludf.DUMMYFUNCTION("""COMPUTED_VALUE"""),1216554.0)</f>
        <v>1216554</v>
      </c>
    </row>
    <row r="2782">
      <c r="A2782" s="2">
        <f>IFERROR(__xludf.DUMMYFUNCTION("""COMPUTED_VALUE"""),44680.64583333333)</f>
        <v>44680.64583</v>
      </c>
      <c r="B2782" s="1">
        <f>IFERROR(__xludf.DUMMYFUNCTION("""COMPUTED_VALUE"""),89300.0)</f>
        <v>89300</v>
      </c>
      <c r="C2782" s="1">
        <f>IFERROR(__xludf.DUMMYFUNCTION("""COMPUTED_VALUE"""),90400.0)</f>
        <v>90400</v>
      </c>
      <c r="D2782" s="1">
        <f>IFERROR(__xludf.DUMMYFUNCTION("""COMPUTED_VALUE"""),88700.0)</f>
        <v>88700</v>
      </c>
      <c r="E2782" s="1">
        <f>IFERROR(__xludf.DUMMYFUNCTION("""COMPUTED_VALUE"""),89900.0)</f>
        <v>89900</v>
      </c>
      <c r="F2782" s="1">
        <f>IFERROR(__xludf.DUMMYFUNCTION("""COMPUTED_VALUE"""),1110597.0)</f>
        <v>1110597</v>
      </c>
    </row>
    <row r="2783">
      <c r="A2783" s="2">
        <f>IFERROR(__xludf.DUMMYFUNCTION("""COMPUTED_VALUE"""),44683.64583333333)</f>
        <v>44683.64583</v>
      </c>
      <c r="B2783" s="1">
        <f>IFERROR(__xludf.DUMMYFUNCTION("""COMPUTED_VALUE"""),88400.0)</f>
        <v>88400</v>
      </c>
      <c r="C2783" s="1">
        <f>IFERROR(__xludf.DUMMYFUNCTION("""COMPUTED_VALUE"""),88900.0)</f>
        <v>88900</v>
      </c>
      <c r="D2783" s="1">
        <f>IFERROR(__xludf.DUMMYFUNCTION("""COMPUTED_VALUE"""),87000.0)</f>
        <v>87000</v>
      </c>
      <c r="E2783" s="1">
        <f>IFERROR(__xludf.DUMMYFUNCTION("""COMPUTED_VALUE"""),87300.0)</f>
        <v>87300</v>
      </c>
      <c r="F2783" s="1">
        <f>IFERROR(__xludf.DUMMYFUNCTION("""COMPUTED_VALUE"""),1726505.0)</f>
        <v>1726505</v>
      </c>
    </row>
    <row r="2784">
      <c r="A2784" s="2">
        <f>IFERROR(__xludf.DUMMYFUNCTION("""COMPUTED_VALUE"""),44684.64583333333)</f>
        <v>44684.64583</v>
      </c>
      <c r="B2784" s="1">
        <f>IFERROR(__xludf.DUMMYFUNCTION("""COMPUTED_VALUE"""),87300.0)</f>
        <v>87300</v>
      </c>
      <c r="C2784" s="1">
        <f>IFERROR(__xludf.DUMMYFUNCTION("""COMPUTED_VALUE"""),89200.0)</f>
        <v>89200</v>
      </c>
      <c r="D2784" s="1">
        <f>IFERROR(__xludf.DUMMYFUNCTION("""COMPUTED_VALUE"""),87000.0)</f>
        <v>87000</v>
      </c>
      <c r="E2784" s="1">
        <f>IFERROR(__xludf.DUMMYFUNCTION("""COMPUTED_VALUE"""),88500.0)</f>
        <v>88500</v>
      </c>
      <c r="F2784" s="1">
        <f>IFERROR(__xludf.DUMMYFUNCTION("""COMPUTED_VALUE"""),1435047.0)</f>
        <v>1435047</v>
      </c>
    </row>
    <row r="2785">
      <c r="A2785" s="2">
        <f>IFERROR(__xludf.DUMMYFUNCTION("""COMPUTED_VALUE"""),44685.64583333333)</f>
        <v>44685.64583</v>
      </c>
      <c r="B2785" s="1">
        <f>IFERROR(__xludf.DUMMYFUNCTION("""COMPUTED_VALUE"""),88600.0)</f>
        <v>88600</v>
      </c>
      <c r="C2785" s="1">
        <f>IFERROR(__xludf.DUMMYFUNCTION("""COMPUTED_VALUE"""),91900.0)</f>
        <v>91900</v>
      </c>
      <c r="D2785" s="1">
        <f>IFERROR(__xludf.DUMMYFUNCTION("""COMPUTED_VALUE"""),88300.0)</f>
        <v>88300</v>
      </c>
      <c r="E2785" s="1">
        <f>IFERROR(__xludf.DUMMYFUNCTION("""COMPUTED_VALUE"""),89000.0)</f>
        <v>89000</v>
      </c>
      <c r="F2785" s="1">
        <f>IFERROR(__xludf.DUMMYFUNCTION("""COMPUTED_VALUE"""),1865993.0)</f>
        <v>1865993</v>
      </c>
    </row>
    <row r="2786">
      <c r="A2786" s="2">
        <f>IFERROR(__xludf.DUMMYFUNCTION("""COMPUTED_VALUE"""),44687.64583333333)</f>
        <v>44687.64583</v>
      </c>
      <c r="B2786" s="1">
        <f>IFERROR(__xludf.DUMMYFUNCTION("""COMPUTED_VALUE"""),86500.0)</f>
        <v>86500</v>
      </c>
      <c r="C2786" s="1">
        <f>IFERROR(__xludf.DUMMYFUNCTION("""COMPUTED_VALUE"""),86600.0)</f>
        <v>86600</v>
      </c>
      <c r="D2786" s="1">
        <f>IFERROR(__xludf.DUMMYFUNCTION("""COMPUTED_VALUE"""),84100.0)</f>
        <v>84100</v>
      </c>
      <c r="E2786" s="1">
        <f>IFERROR(__xludf.DUMMYFUNCTION("""COMPUTED_VALUE"""),84300.0)</f>
        <v>84300</v>
      </c>
      <c r="F2786" s="1">
        <f>IFERROR(__xludf.DUMMYFUNCTION("""COMPUTED_VALUE"""),3592237.0)</f>
        <v>3592237</v>
      </c>
    </row>
    <row r="2787">
      <c r="A2787" s="2">
        <f>IFERROR(__xludf.DUMMYFUNCTION("""COMPUTED_VALUE"""),44690.64583333333)</f>
        <v>44690.64583</v>
      </c>
      <c r="B2787" s="1">
        <f>IFERROR(__xludf.DUMMYFUNCTION("""COMPUTED_VALUE"""),84000.0)</f>
        <v>84000</v>
      </c>
      <c r="C2787" s="1">
        <f>IFERROR(__xludf.DUMMYFUNCTION("""COMPUTED_VALUE"""),85000.0)</f>
        <v>85000</v>
      </c>
      <c r="D2787" s="1">
        <f>IFERROR(__xludf.DUMMYFUNCTION("""COMPUTED_VALUE"""),82800.0)</f>
        <v>82800</v>
      </c>
      <c r="E2787" s="1">
        <f>IFERROR(__xludf.DUMMYFUNCTION("""COMPUTED_VALUE"""),84100.0)</f>
        <v>84100</v>
      </c>
      <c r="F2787" s="1">
        <f>IFERROR(__xludf.DUMMYFUNCTION("""COMPUTED_VALUE"""),1533542.0)</f>
        <v>1533542</v>
      </c>
    </row>
    <row r="2788">
      <c r="A2788" s="2">
        <f>IFERROR(__xludf.DUMMYFUNCTION("""COMPUTED_VALUE"""),44691.64583333333)</f>
        <v>44691.64583</v>
      </c>
      <c r="B2788" s="1">
        <f>IFERROR(__xludf.DUMMYFUNCTION("""COMPUTED_VALUE"""),82000.0)</f>
        <v>82000</v>
      </c>
      <c r="C2788" s="1">
        <f>IFERROR(__xludf.DUMMYFUNCTION("""COMPUTED_VALUE"""),84300.0)</f>
        <v>84300</v>
      </c>
      <c r="D2788" s="1">
        <f>IFERROR(__xludf.DUMMYFUNCTION("""COMPUTED_VALUE"""),81900.0)</f>
        <v>81900</v>
      </c>
      <c r="E2788" s="1">
        <f>IFERROR(__xludf.DUMMYFUNCTION("""COMPUTED_VALUE"""),83600.0)</f>
        <v>83600</v>
      </c>
      <c r="F2788" s="1">
        <f>IFERROR(__xludf.DUMMYFUNCTION("""COMPUTED_VALUE"""),2390050.0)</f>
        <v>2390050</v>
      </c>
    </row>
    <row r="2789">
      <c r="A2789" s="2">
        <f>IFERROR(__xludf.DUMMYFUNCTION("""COMPUTED_VALUE"""),44692.64583333333)</f>
        <v>44692.64583</v>
      </c>
      <c r="B2789" s="1">
        <f>IFERROR(__xludf.DUMMYFUNCTION("""COMPUTED_VALUE"""),83800.0)</f>
        <v>83800</v>
      </c>
      <c r="C2789" s="1">
        <f>IFERROR(__xludf.DUMMYFUNCTION("""COMPUTED_VALUE"""),85400.0)</f>
        <v>85400</v>
      </c>
      <c r="D2789" s="1">
        <f>IFERROR(__xludf.DUMMYFUNCTION("""COMPUTED_VALUE"""),83300.0)</f>
        <v>83300</v>
      </c>
      <c r="E2789" s="1">
        <f>IFERROR(__xludf.DUMMYFUNCTION("""COMPUTED_VALUE"""),85400.0)</f>
        <v>85400</v>
      </c>
      <c r="F2789" s="1">
        <f>IFERROR(__xludf.DUMMYFUNCTION("""COMPUTED_VALUE"""),1367542.0)</f>
        <v>1367542</v>
      </c>
    </row>
    <row r="2790">
      <c r="A2790" s="2">
        <f>IFERROR(__xludf.DUMMYFUNCTION("""COMPUTED_VALUE"""),44693.64583333333)</f>
        <v>44693.64583</v>
      </c>
      <c r="B2790" s="1">
        <f>IFERROR(__xludf.DUMMYFUNCTION("""COMPUTED_VALUE"""),83700.0)</f>
        <v>83700</v>
      </c>
      <c r="C2790" s="1">
        <f>IFERROR(__xludf.DUMMYFUNCTION("""COMPUTED_VALUE"""),84000.0)</f>
        <v>84000</v>
      </c>
      <c r="D2790" s="1">
        <f>IFERROR(__xludf.DUMMYFUNCTION("""COMPUTED_VALUE"""),80600.0)</f>
        <v>80600</v>
      </c>
      <c r="E2790" s="1">
        <f>IFERROR(__xludf.DUMMYFUNCTION("""COMPUTED_VALUE"""),80700.0)</f>
        <v>80700</v>
      </c>
      <c r="F2790" s="1">
        <f>IFERROR(__xludf.DUMMYFUNCTION("""COMPUTED_VALUE"""),2971934.0)</f>
        <v>2971934</v>
      </c>
    </row>
    <row r="2791">
      <c r="A2791" s="2">
        <f>IFERROR(__xludf.DUMMYFUNCTION("""COMPUTED_VALUE"""),44694.64583333333)</f>
        <v>44694.64583</v>
      </c>
      <c r="B2791" s="1">
        <f>IFERROR(__xludf.DUMMYFUNCTION("""COMPUTED_VALUE"""),80700.0)</f>
        <v>80700</v>
      </c>
      <c r="C2791" s="1">
        <f>IFERROR(__xludf.DUMMYFUNCTION("""COMPUTED_VALUE"""),81900.0)</f>
        <v>81900</v>
      </c>
      <c r="D2791" s="1">
        <f>IFERROR(__xludf.DUMMYFUNCTION("""COMPUTED_VALUE"""),80300.0)</f>
        <v>80300</v>
      </c>
      <c r="E2791" s="1">
        <f>IFERROR(__xludf.DUMMYFUNCTION("""COMPUTED_VALUE"""),81800.0)</f>
        <v>81800</v>
      </c>
      <c r="F2791" s="1">
        <f>IFERROR(__xludf.DUMMYFUNCTION("""COMPUTED_VALUE"""),1528530.0)</f>
        <v>1528530</v>
      </c>
    </row>
    <row r="2792">
      <c r="A2792" s="2">
        <f>IFERROR(__xludf.DUMMYFUNCTION("""COMPUTED_VALUE"""),44697.64583333333)</f>
        <v>44697.64583</v>
      </c>
      <c r="B2792" s="1">
        <f>IFERROR(__xludf.DUMMYFUNCTION("""COMPUTED_VALUE"""),83300.0)</f>
        <v>83300</v>
      </c>
      <c r="C2792" s="1">
        <f>IFERROR(__xludf.DUMMYFUNCTION("""COMPUTED_VALUE"""),84300.0)</f>
        <v>84300</v>
      </c>
      <c r="D2792" s="1">
        <f>IFERROR(__xludf.DUMMYFUNCTION("""COMPUTED_VALUE"""),82100.0)</f>
        <v>82100</v>
      </c>
      <c r="E2792" s="1">
        <f>IFERROR(__xludf.DUMMYFUNCTION("""COMPUTED_VALUE"""),82300.0)</f>
        <v>82300</v>
      </c>
      <c r="F2792" s="1">
        <f>IFERROR(__xludf.DUMMYFUNCTION("""COMPUTED_VALUE"""),1598561.0)</f>
        <v>1598561</v>
      </c>
    </row>
    <row r="2793">
      <c r="A2793" s="2">
        <f>IFERROR(__xludf.DUMMYFUNCTION("""COMPUTED_VALUE"""),44698.64583333333)</f>
        <v>44698.64583</v>
      </c>
      <c r="B2793" s="1">
        <f>IFERROR(__xludf.DUMMYFUNCTION("""COMPUTED_VALUE"""),82300.0)</f>
        <v>82300</v>
      </c>
      <c r="C2793" s="1">
        <f>IFERROR(__xludf.DUMMYFUNCTION("""COMPUTED_VALUE"""),83400.0)</f>
        <v>83400</v>
      </c>
      <c r="D2793" s="1">
        <f>IFERROR(__xludf.DUMMYFUNCTION("""COMPUTED_VALUE"""),82100.0)</f>
        <v>82100</v>
      </c>
      <c r="E2793" s="1">
        <f>IFERROR(__xludf.DUMMYFUNCTION("""COMPUTED_VALUE"""),83200.0)</f>
        <v>83200</v>
      </c>
      <c r="F2793" s="1">
        <f>IFERROR(__xludf.DUMMYFUNCTION("""COMPUTED_VALUE"""),1218935.0)</f>
        <v>1218935</v>
      </c>
    </row>
    <row r="2794">
      <c r="A2794" s="2">
        <f>IFERROR(__xludf.DUMMYFUNCTION("""COMPUTED_VALUE"""),44699.64583333333)</f>
        <v>44699.64583</v>
      </c>
      <c r="B2794" s="1">
        <f>IFERROR(__xludf.DUMMYFUNCTION("""COMPUTED_VALUE"""),83700.0)</f>
        <v>83700</v>
      </c>
      <c r="C2794" s="1">
        <f>IFERROR(__xludf.DUMMYFUNCTION("""COMPUTED_VALUE"""),84000.0)</f>
        <v>84000</v>
      </c>
      <c r="D2794" s="1">
        <f>IFERROR(__xludf.DUMMYFUNCTION("""COMPUTED_VALUE"""),82500.0)</f>
        <v>82500</v>
      </c>
      <c r="E2794" s="1">
        <f>IFERROR(__xludf.DUMMYFUNCTION("""COMPUTED_VALUE"""),82600.0)</f>
        <v>82600</v>
      </c>
      <c r="F2794" s="1">
        <f>IFERROR(__xludf.DUMMYFUNCTION("""COMPUTED_VALUE"""),1208755.0)</f>
        <v>1208755</v>
      </c>
    </row>
    <row r="2795">
      <c r="A2795" s="2">
        <f>IFERROR(__xludf.DUMMYFUNCTION("""COMPUTED_VALUE"""),44700.64583333333)</f>
        <v>44700.64583</v>
      </c>
      <c r="B2795" s="1">
        <f>IFERROR(__xludf.DUMMYFUNCTION("""COMPUTED_VALUE"""),80500.0)</f>
        <v>80500</v>
      </c>
      <c r="C2795" s="1">
        <f>IFERROR(__xludf.DUMMYFUNCTION("""COMPUTED_VALUE"""),81000.0)</f>
        <v>81000</v>
      </c>
      <c r="D2795" s="1">
        <f>IFERROR(__xludf.DUMMYFUNCTION("""COMPUTED_VALUE"""),80000.0)</f>
        <v>80000</v>
      </c>
      <c r="E2795" s="1">
        <f>IFERROR(__xludf.DUMMYFUNCTION("""COMPUTED_VALUE"""),80400.0)</f>
        <v>80400</v>
      </c>
      <c r="F2795" s="1">
        <f>IFERROR(__xludf.DUMMYFUNCTION("""COMPUTED_VALUE"""),1519533.0)</f>
        <v>1519533</v>
      </c>
    </row>
    <row r="2796">
      <c r="A2796" s="2">
        <f>IFERROR(__xludf.DUMMYFUNCTION("""COMPUTED_VALUE"""),44701.64583333333)</f>
        <v>44701.64583</v>
      </c>
      <c r="B2796" s="1">
        <f>IFERROR(__xludf.DUMMYFUNCTION("""COMPUTED_VALUE"""),80800.0)</f>
        <v>80800</v>
      </c>
      <c r="C2796" s="1">
        <f>IFERROR(__xludf.DUMMYFUNCTION("""COMPUTED_VALUE"""),83300.0)</f>
        <v>83300</v>
      </c>
      <c r="D2796" s="1">
        <f>IFERROR(__xludf.DUMMYFUNCTION("""COMPUTED_VALUE"""),80400.0)</f>
        <v>80400</v>
      </c>
      <c r="E2796" s="1">
        <f>IFERROR(__xludf.DUMMYFUNCTION("""COMPUTED_VALUE"""),83000.0)</f>
        <v>83000</v>
      </c>
      <c r="F2796" s="1">
        <f>IFERROR(__xludf.DUMMYFUNCTION("""COMPUTED_VALUE"""),1561541.0)</f>
        <v>1561541</v>
      </c>
    </row>
    <row r="2797">
      <c r="A2797" s="2">
        <f>IFERROR(__xludf.DUMMYFUNCTION("""COMPUTED_VALUE"""),44704.64583333333)</f>
        <v>44704.64583</v>
      </c>
      <c r="B2797" s="1">
        <f>IFERROR(__xludf.DUMMYFUNCTION("""COMPUTED_VALUE"""),82700.0)</f>
        <v>82700</v>
      </c>
      <c r="C2797" s="1">
        <f>IFERROR(__xludf.DUMMYFUNCTION("""COMPUTED_VALUE"""),83500.0)</f>
        <v>83500</v>
      </c>
      <c r="D2797" s="1">
        <f>IFERROR(__xludf.DUMMYFUNCTION("""COMPUTED_VALUE"""),82400.0)</f>
        <v>82400</v>
      </c>
      <c r="E2797" s="1">
        <f>IFERROR(__xludf.DUMMYFUNCTION("""COMPUTED_VALUE"""),82900.0)</f>
        <v>82900</v>
      </c>
      <c r="F2797" s="1">
        <f>IFERROR(__xludf.DUMMYFUNCTION("""COMPUTED_VALUE"""),933750.0)</f>
        <v>933750</v>
      </c>
    </row>
    <row r="2798">
      <c r="A2798" s="2">
        <f>IFERROR(__xludf.DUMMYFUNCTION("""COMPUTED_VALUE"""),44705.64583333333)</f>
        <v>44705.64583</v>
      </c>
      <c r="B2798" s="1">
        <f>IFERROR(__xludf.DUMMYFUNCTION("""COMPUTED_VALUE"""),82500.0)</f>
        <v>82500</v>
      </c>
      <c r="C2798" s="1">
        <f>IFERROR(__xludf.DUMMYFUNCTION("""COMPUTED_VALUE"""),82600.0)</f>
        <v>82600</v>
      </c>
      <c r="D2798" s="1">
        <f>IFERROR(__xludf.DUMMYFUNCTION("""COMPUTED_VALUE"""),80600.0)</f>
        <v>80600</v>
      </c>
      <c r="E2798" s="1">
        <f>IFERROR(__xludf.DUMMYFUNCTION("""COMPUTED_VALUE"""),80600.0)</f>
        <v>80600</v>
      </c>
      <c r="F2798" s="1">
        <f>IFERROR(__xludf.DUMMYFUNCTION("""COMPUTED_VALUE"""),1154150.0)</f>
        <v>1154150</v>
      </c>
    </row>
    <row r="2799">
      <c r="A2799" s="2">
        <f>IFERROR(__xludf.DUMMYFUNCTION("""COMPUTED_VALUE"""),44706.64583333333)</f>
        <v>44706.64583</v>
      </c>
      <c r="B2799" s="1">
        <f>IFERROR(__xludf.DUMMYFUNCTION("""COMPUTED_VALUE"""),81000.0)</f>
        <v>81000</v>
      </c>
      <c r="C2799" s="1">
        <f>IFERROR(__xludf.DUMMYFUNCTION("""COMPUTED_VALUE"""),82000.0)</f>
        <v>82000</v>
      </c>
      <c r="D2799" s="1">
        <f>IFERROR(__xludf.DUMMYFUNCTION("""COMPUTED_VALUE"""),80300.0)</f>
        <v>80300</v>
      </c>
      <c r="E2799" s="1">
        <f>IFERROR(__xludf.DUMMYFUNCTION("""COMPUTED_VALUE"""),81800.0)</f>
        <v>81800</v>
      </c>
      <c r="F2799" s="1">
        <f>IFERROR(__xludf.DUMMYFUNCTION("""COMPUTED_VALUE"""),1365261.0)</f>
        <v>1365261</v>
      </c>
    </row>
    <row r="2800">
      <c r="A2800" s="2">
        <f>IFERROR(__xludf.DUMMYFUNCTION("""COMPUTED_VALUE"""),44707.64583333333)</f>
        <v>44707.64583</v>
      </c>
      <c r="B2800" s="1">
        <f>IFERROR(__xludf.DUMMYFUNCTION("""COMPUTED_VALUE"""),81900.0)</f>
        <v>81900</v>
      </c>
      <c r="C2800" s="1">
        <f>IFERROR(__xludf.DUMMYFUNCTION("""COMPUTED_VALUE"""),83300.0)</f>
        <v>83300</v>
      </c>
      <c r="D2800" s="1">
        <f>IFERROR(__xludf.DUMMYFUNCTION("""COMPUTED_VALUE"""),81000.0)</f>
        <v>81000</v>
      </c>
      <c r="E2800" s="1">
        <f>IFERROR(__xludf.DUMMYFUNCTION("""COMPUTED_VALUE"""),81500.0)</f>
        <v>81500</v>
      </c>
      <c r="F2800" s="1">
        <f>IFERROR(__xludf.DUMMYFUNCTION("""COMPUTED_VALUE"""),1338305.0)</f>
        <v>1338305</v>
      </c>
    </row>
    <row r="2801">
      <c r="A2801" s="2">
        <f>IFERROR(__xludf.DUMMYFUNCTION("""COMPUTED_VALUE"""),44708.64583333333)</f>
        <v>44708.64583</v>
      </c>
      <c r="B2801" s="1">
        <f>IFERROR(__xludf.DUMMYFUNCTION("""COMPUTED_VALUE"""),82400.0)</f>
        <v>82400</v>
      </c>
      <c r="C2801" s="1">
        <f>IFERROR(__xludf.DUMMYFUNCTION("""COMPUTED_VALUE"""),83000.0)</f>
        <v>83000</v>
      </c>
      <c r="D2801" s="1">
        <f>IFERROR(__xludf.DUMMYFUNCTION("""COMPUTED_VALUE"""),81500.0)</f>
        <v>81500</v>
      </c>
      <c r="E2801" s="1">
        <f>IFERROR(__xludf.DUMMYFUNCTION("""COMPUTED_VALUE"""),81700.0)</f>
        <v>81700</v>
      </c>
      <c r="F2801" s="1">
        <f>IFERROR(__xludf.DUMMYFUNCTION("""COMPUTED_VALUE"""),1038755.0)</f>
        <v>1038755</v>
      </c>
    </row>
    <row r="2802">
      <c r="A2802" s="2">
        <f>IFERROR(__xludf.DUMMYFUNCTION("""COMPUTED_VALUE"""),44711.64583333333)</f>
        <v>44711.64583</v>
      </c>
      <c r="B2802" s="1">
        <f>IFERROR(__xludf.DUMMYFUNCTION("""COMPUTED_VALUE"""),82800.0)</f>
        <v>82800</v>
      </c>
      <c r="C2802" s="1">
        <f>IFERROR(__xludf.DUMMYFUNCTION("""COMPUTED_VALUE"""),84000.0)</f>
        <v>84000</v>
      </c>
      <c r="D2802" s="1">
        <f>IFERROR(__xludf.DUMMYFUNCTION("""COMPUTED_VALUE"""),82600.0)</f>
        <v>82600</v>
      </c>
      <c r="E2802" s="1">
        <f>IFERROR(__xludf.DUMMYFUNCTION("""COMPUTED_VALUE"""),83900.0)</f>
        <v>83900</v>
      </c>
      <c r="F2802" s="1">
        <f>IFERROR(__xludf.DUMMYFUNCTION("""COMPUTED_VALUE"""),2091429.0)</f>
        <v>2091429</v>
      </c>
    </row>
    <row r="2803">
      <c r="A2803" s="2">
        <f>IFERROR(__xludf.DUMMYFUNCTION("""COMPUTED_VALUE"""),44712.64583333333)</f>
        <v>44712.64583</v>
      </c>
      <c r="B2803" s="1">
        <f>IFERROR(__xludf.DUMMYFUNCTION("""COMPUTED_VALUE"""),84100.0)</f>
        <v>84100</v>
      </c>
      <c r="C2803" s="1">
        <f>IFERROR(__xludf.DUMMYFUNCTION("""COMPUTED_VALUE"""),85000.0)</f>
        <v>85000</v>
      </c>
      <c r="D2803" s="1">
        <f>IFERROR(__xludf.DUMMYFUNCTION("""COMPUTED_VALUE"""),82900.0)</f>
        <v>82900</v>
      </c>
      <c r="E2803" s="1">
        <f>IFERROR(__xludf.DUMMYFUNCTION("""COMPUTED_VALUE"""),85000.0)</f>
        <v>85000</v>
      </c>
      <c r="F2803" s="1">
        <f>IFERROR(__xludf.DUMMYFUNCTION("""COMPUTED_VALUE"""),2170810.0)</f>
        <v>2170810</v>
      </c>
    </row>
    <row r="2804">
      <c r="A2804" s="2">
        <f>IFERROR(__xludf.DUMMYFUNCTION("""COMPUTED_VALUE"""),44714.64583333333)</f>
        <v>44714.64583</v>
      </c>
      <c r="B2804" s="1">
        <f>IFERROR(__xludf.DUMMYFUNCTION("""COMPUTED_VALUE"""),84000.0)</f>
        <v>84000</v>
      </c>
      <c r="C2804" s="1">
        <f>IFERROR(__xludf.DUMMYFUNCTION("""COMPUTED_VALUE"""),84200.0)</f>
        <v>84200</v>
      </c>
      <c r="D2804" s="1">
        <f>IFERROR(__xludf.DUMMYFUNCTION("""COMPUTED_VALUE"""),82900.0)</f>
        <v>82900</v>
      </c>
      <c r="E2804" s="1">
        <f>IFERROR(__xludf.DUMMYFUNCTION("""COMPUTED_VALUE"""),83700.0)</f>
        <v>83700</v>
      </c>
      <c r="F2804" s="1">
        <f>IFERROR(__xludf.DUMMYFUNCTION("""COMPUTED_VALUE"""),1147185.0)</f>
        <v>1147185</v>
      </c>
    </row>
    <row r="2805">
      <c r="A2805" s="2">
        <f>IFERROR(__xludf.DUMMYFUNCTION("""COMPUTED_VALUE"""),44715.64583333333)</f>
        <v>44715.64583</v>
      </c>
      <c r="B2805" s="1">
        <f>IFERROR(__xludf.DUMMYFUNCTION("""COMPUTED_VALUE"""),84800.0)</f>
        <v>84800</v>
      </c>
      <c r="C2805" s="1">
        <f>IFERROR(__xludf.DUMMYFUNCTION("""COMPUTED_VALUE"""),87400.0)</f>
        <v>87400</v>
      </c>
      <c r="D2805" s="1">
        <f>IFERROR(__xludf.DUMMYFUNCTION("""COMPUTED_VALUE"""),84700.0)</f>
        <v>84700</v>
      </c>
      <c r="E2805" s="1">
        <f>IFERROR(__xludf.DUMMYFUNCTION("""COMPUTED_VALUE"""),85700.0)</f>
        <v>85700</v>
      </c>
      <c r="F2805" s="1">
        <f>IFERROR(__xludf.DUMMYFUNCTION("""COMPUTED_VALUE"""),2371620.0)</f>
        <v>2371620</v>
      </c>
    </row>
    <row r="2806">
      <c r="A2806" s="2">
        <f>IFERROR(__xludf.DUMMYFUNCTION("""COMPUTED_VALUE"""),44719.64583333333)</f>
        <v>44719.64583</v>
      </c>
      <c r="B2806" s="1">
        <f>IFERROR(__xludf.DUMMYFUNCTION("""COMPUTED_VALUE"""),84500.0)</f>
        <v>84500</v>
      </c>
      <c r="C2806" s="1">
        <f>IFERROR(__xludf.DUMMYFUNCTION("""COMPUTED_VALUE"""),84800.0)</f>
        <v>84800</v>
      </c>
      <c r="D2806" s="1">
        <f>IFERROR(__xludf.DUMMYFUNCTION("""COMPUTED_VALUE"""),81600.0)</f>
        <v>81600</v>
      </c>
      <c r="E2806" s="1">
        <f>IFERROR(__xludf.DUMMYFUNCTION("""COMPUTED_VALUE"""),81900.0)</f>
        <v>81900</v>
      </c>
      <c r="F2806" s="1">
        <f>IFERROR(__xludf.DUMMYFUNCTION("""COMPUTED_VALUE"""),2373935.0)</f>
        <v>2373935</v>
      </c>
    </row>
    <row r="2807">
      <c r="A2807" s="2">
        <f>IFERROR(__xludf.DUMMYFUNCTION("""COMPUTED_VALUE"""),44720.64583333333)</f>
        <v>44720.64583</v>
      </c>
      <c r="B2807" s="1">
        <f>IFERROR(__xludf.DUMMYFUNCTION("""COMPUTED_VALUE"""),82700.0)</f>
        <v>82700</v>
      </c>
      <c r="C2807" s="1">
        <f>IFERROR(__xludf.DUMMYFUNCTION("""COMPUTED_VALUE"""),82800.0)</f>
        <v>82800</v>
      </c>
      <c r="D2807" s="1">
        <f>IFERROR(__xludf.DUMMYFUNCTION("""COMPUTED_VALUE"""),81200.0)</f>
        <v>81200</v>
      </c>
      <c r="E2807" s="1">
        <f>IFERROR(__xludf.DUMMYFUNCTION("""COMPUTED_VALUE"""),81500.0)</f>
        <v>81500</v>
      </c>
      <c r="F2807" s="1">
        <f>IFERROR(__xludf.DUMMYFUNCTION("""COMPUTED_VALUE"""),1317967.0)</f>
        <v>1317967</v>
      </c>
    </row>
    <row r="2808">
      <c r="A2808" s="2">
        <f>IFERROR(__xludf.DUMMYFUNCTION("""COMPUTED_VALUE"""),44721.64583333333)</f>
        <v>44721.64583</v>
      </c>
      <c r="B2808" s="1">
        <f>IFERROR(__xludf.DUMMYFUNCTION("""COMPUTED_VALUE"""),81100.0)</f>
        <v>81100</v>
      </c>
      <c r="C2808" s="1">
        <f>IFERROR(__xludf.DUMMYFUNCTION("""COMPUTED_VALUE"""),81800.0)</f>
        <v>81800</v>
      </c>
      <c r="D2808" s="1">
        <f>IFERROR(__xludf.DUMMYFUNCTION("""COMPUTED_VALUE"""),80300.0)</f>
        <v>80300</v>
      </c>
      <c r="E2808" s="1">
        <f>IFERROR(__xludf.DUMMYFUNCTION("""COMPUTED_VALUE"""),81300.0)</f>
        <v>81300</v>
      </c>
      <c r="F2808" s="1">
        <f>IFERROR(__xludf.DUMMYFUNCTION("""COMPUTED_VALUE"""),1732196.0)</f>
        <v>1732196</v>
      </c>
    </row>
    <row r="2809">
      <c r="A2809" s="2">
        <f>IFERROR(__xludf.DUMMYFUNCTION("""COMPUTED_VALUE"""),44722.64583333333)</f>
        <v>44722.64583</v>
      </c>
      <c r="B2809" s="1">
        <f>IFERROR(__xludf.DUMMYFUNCTION("""COMPUTED_VALUE"""),80400.0)</f>
        <v>80400</v>
      </c>
      <c r="C2809" s="1">
        <f>IFERROR(__xludf.DUMMYFUNCTION("""COMPUTED_VALUE"""),81000.0)</f>
        <v>81000</v>
      </c>
      <c r="D2809" s="1">
        <f>IFERROR(__xludf.DUMMYFUNCTION("""COMPUTED_VALUE"""),80000.0)</f>
        <v>80000</v>
      </c>
      <c r="E2809" s="1">
        <f>IFERROR(__xludf.DUMMYFUNCTION("""COMPUTED_VALUE"""),80100.0)</f>
        <v>80100</v>
      </c>
      <c r="F2809" s="1">
        <f>IFERROR(__xludf.DUMMYFUNCTION("""COMPUTED_VALUE"""),1430382.0)</f>
        <v>1430382</v>
      </c>
    </row>
    <row r="2810">
      <c r="A2810" s="2">
        <f>IFERROR(__xludf.DUMMYFUNCTION("""COMPUTED_VALUE"""),44725.64583333333)</f>
        <v>44725.64583</v>
      </c>
      <c r="B2810" s="1">
        <f>IFERROR(__xludf.DUMMYFUNCTION("""COMPUTED_VALUE"""),77800.0)</f>
        <v>77800</v>
      </c>
      <c r="C2810" s="1">
        <f>IFERROR(__xludf.DUMMYFUNCTION("""COMPUTED_VALUE"""),78200.0)</f>
        <v>78200</v>
      </c>
      <c r="D2810" s="1">
        <f>IFERROR(__xludf.DUMMYFUNCTION("""COMPUTED_VALUE"""),76100.0)</f>
        <v>76100</v>
      </c>
      <c r="E2810" s="1">
        <f>IFERROR(__xludf.DUMMYFUNCTION("""COMPUTED_VALUE"""),76500.0)</f>
        <v>76500</v>
      </c>
      <c r="F2810" s="1">
        <f>IFERROR(__xludf.DUMMYFUNCTION("""COMPUTED_VALUE"""),2176053.0)</f>
        <v>2176053</v>
      </c>
    </row>
    <row r="2811">
      <c r="A2811" s="2">
        <f>IFERROR(__xludf.DUMMYFUNCTION("""COMPUTED_VALUE"""),44726.64583333333)</f>
        <v>44726.64583</v>
      </c>
      <c r="B2811" s="1">
        <f>IFERROR(__xludf.DUMMYFUNCTION("""COMPUTED_VALUE"""),74900.0)</f>
        <v>74900</v>
      </c>
      <c r="C2811" s="1">
        <f>IFERROR(__xludf.DUMMYFUNCTION("""COMPUTED_VALUE"""),76900.0)</f>
        <v>76900</v>
      </c>
      <c r="D2811" s="1">
        <f>IFERROR(__xludf.DUMMYFUNCTION("""COMPUTED_VALUE"""),74200.0)</f>
        <v>74200</v>
      </c>
      <c r="E2811" s="1">
        <f>IFERROR(__xludf.DUMMYFUNCTION("""COMPUTED_VALUE"""),76600.0)</f>
        <v>76600</v>
      </c>
      <c r="F2811" s="1">
        <f>IFERROR(__xludf.DUMMYFUNCTION("""COMPUTED_VALUE"""),2342617.0)</f>
        <v>2342617</v>
      </c>
    </row>
    <row r="2812">
      <c r="A2812" s="2">
        <f>IFERROR(__xludf.DUMMYFUNCTION("""COMPUTED_VALUE"""),44727.64583333333)</f>
        <v>44727.64583</v>
      </c>
      <c r="B2812" s="1">
        <f>IFERROR(__xludf.DUMMYFUNCTION("""COMPUTED_VALUE"""),76100.0)</f>
        <v>76100</v>
      </c>
      <c r="C2812" s="1">
        <f>IFERROR(__xludf.DUMMYFUNCTION("""COMPUTED_VALUE"""),76500.0)</f>
        <v>76500</v>
      </c>
      <c r="D2812" s="1">
        <f>IFERROR(__xludf.DUMMYFUNCTION("""COMPUTED_VALUE"""),72100.0)</f>
        <v>72100</v>
      </c>
      <c r="E2812" s="1">
        <f>IFERROR(__xludf.DUMMYFUNCTION("""COMPUTED_VALUE"""),72700.0)</f>
        <v>72700</v>
      </c>
      <c r="F2812" s="1">
        <f>IFERROR(__xludf.DUMMYFUNCTION("""COMPUTED_VALUE"""),2844798.0)</f>
        <v>2844798</v>
      </c>
    </row>
    <row r="2813">
      <c r="A2813" s="2">
        <f>IFERROR(__xludf.DUMMYFUNCTION("""COMPUTED_VALUE"""),44728.64583333333)</f>
        <v>44728.64583</v>
      </c>
      <c r="B2813" s="1">
        <f>IFERROR(__xludf.DUMMYFUNCTION("""COMPUTED_VALUE"""),74400.0)</f>
        <v>74400</v>
      </c>
      <c r="C2813" s="1">
        <f>IFERROR(__xludf.DUMMYFUNCTION("""COMPUTED_VALUE"""),75200.0)</f>
        <v>75200</v>
      </c>
      <c r="D2813" s="1">
        <f>IFERROR(__xludf.DUMMYFUNCTION("""COMPUTED_VALUE"""),71900.0)</f>
        <v>71900</v>
      </c>
      <c r="E2813" s="1">
        <f>IFERROR(__xludf.DUMMYFUNCTION("""COMPUTED_VALUE"""),72300.0)</f>
        <v>72300</v>
      </c>
      <c r="F2813" s="1">
        <f>IFERROR(__xludf.DUMMYFUNCTION("""COMPUTED_VALUE"""),2053257.0)</f>
        <v>2053257</v>
      </c>
    </row>
    <row r="2814">
      <c r="A2814" s="2">
        <f>IFERROR(__xludf.DUMMYFUNCTION("""COMPUTED_VALUE"""),44729.64583333333)</f>
        <v>44729.64583</v>
      </c>
      <c r="B2814" s="1">
        <f>IFERROR(__xludf.DUMMYFUNCTION("""COMPUTED_VALUE"""),70200.0)</f>
        <v>70200</v>
      </c>
      <c r="C2814" s="1">
        <f>IFERROR(__xludf.DUMMYFUNCTION("""COMPUTED_VALUE"""),73000.0)</f>
        <v>73000</v>
      </c>
      <c r="D2814" s="1">
        <f>IFERROR(__xludf.DUMMYFUNCTION("""COMPUTED_VALUE"""),70200.0)</f>
        <v>70200</v>
      </c>
      <c r="E2814" s="1">
        <f>IFERROR(__xludf.DUMMYFUNCTION("""COMPUTED_VALUE"""),72200.0)</f>
        <v>72200</v>
      </c>
      <c r="F2814" s="1">
        <f>IFERROR(__xludf.DUMMYFUNCTION("""COMPUTED_VALUE"""),3044377.0)</f>
        <v>3044377</v>
      </c>
    </row>
    <row r="2815">
      <c r="A2815" s="2">
        <f>IFERROR(__xludf.DUMMYFUNCTION("""COMPUTED_VALUE"""),44732.64583333333)</f>
        <v>44732.64583</v>
      </c>
      <c r="B2815" s="1">
        <f>IFERROR(__xludf.DUMMYFUNCTION("""COMPUTED_VALUE"""),72300.0)</f>
        <v>72300</v>
      </c>
      <c r="C2815" s="1">
        <f>IFERROR(__xludf.DUMMYFUNCTION("""COMPUTED_VALUE"""),72900.0)</f>
        <v>72900</v>
      </c>
      <c r="D2815" s="1">
        <f>IFERROR(__xludf.DUMMYFUNCTION("""COMPUTED_VALUE"""),68700.0)</f>
        <v>68700</v>
      </c>
      <c r="E2815" s="1">
        <f>IFERROR(__xludf.DUMMYFUNCTION("""COMPUTED_VALUE"""),69600.0)</f>
        <v>69600</v>
      </c>
      <c r="F2815" s="1">
        <f>IFERROR(__xludf.DUMMYFUNCTION("""COMPUTED_VALUE"""),2436471.0)</f>
        <v>2436471</v>
      </c>
    </row>
    <row r="2816">
      <c r="A2816" s="2">
        <f>IFERROR(__xludf.DUMMYFUNCTION("""COMPUTED_VALUE"""),44733.64583333333)</f>
        <v>44733.64583</v>
      </c>
      <c r="B2816" s="1">
        <f>IFERROR(__xludf.DUMMYFUNCTION("""COMPUTED_VALUE"""),69600.0)</f>
        <v>69600</v>
      </c>
      <c r="C2816" s="1">
        <f>IFERROR(__xludf.DUMMYFUNCTION("""COMPUTED_VALUE"""),70700.0)</f>
        <v>70700</v>
      </c>
      <c r="D2816" s="1">
        <f>IFERROR(__xludf.DUMMYFUNCTION("""COMPUTED_VALUE"""),69200.0)</f>
        <v>69200</v>
      </c>
      <c r="E2816" s="1">
        <f>IFERROR(__xludf.DUMMYFUNCTION("""COMPUTED_VALUE"""),70500.0)</f>
        <v>70500</v>
      </c>
      <c r="F2816" s="1">
        <f>IFERROR(__xludf.DUMMYFUNCTION("""COMPUTED_VALUE"""),1525415.0)</f>
        <v>1525415</v>
      </c>
    </row>
    <row r="2817">
      <c r="A2817" s="2">
        <f>IFERROR(__xludf.DUMMYFUNCTION("""COMPUTED_VALUE"""),44734.64583333333)</f>
        <v>44734.64583</v>
      </c>
      <c r="B2817" s="1">
        <f>IFERROR(__xludf.DUMMYFUNCTION("""COMPUTED_VALUE"""),70900.0)</f>
        <v>70900</v>
      </c>
      <c r="C2817" s="1">
        <f>IFERROR(__xludf.DUMMYFUNCTION("""COMPUTED_VALUE"""),71000.0)</f>
        <v>71000</v>
      </c>
      <c r="D2817" s="1">
        <f>IFERROR(__xludf.DUMMYFUNCTION("""COMPUTED_VALUE"""),68500.0)</f>
        <v>68500</v>
      </c>
      <c r="E2817" s="1">
        <f>IFERROR(__xludf.DUMMYFUNCTION("""COMPUTED_VALUE"""),68500.0)</f>
        <v>68500</v>
      </c>
      <c r="F2817" s="1">
        <f>IFERROR(__xludf.DUMMYFUNCTION("""COMPUTED_VALUE"""),1908000.0)</f>
        <v>1908000</v>
      </c>
    </row>
    <row r="2818">
      <c r="A2818" s="2">
        <f>IFERROR(__xludf.DUMMYFUNCTION("""COMPUTED_VALUE"""),44735.64583333333)</f>
        <v>44735.64583</v>
      </c>
      <c r="B2818" s="1">
        <f>IFERROR(__xludf.DUMMYFUNCTION("""COMPUTED_VALUE"""),68300.0)</f>
        <v>68300</v>
      </c>
      <c r="C2818" s="1">
        <f>IFERROR(__xludf.DUMMYFUNCTION("""COMPUTED_VALUE"""),69300.0)</f>
        <v>69300</v>
      </c>
      <c r="D2818" s="1">
        <f>IFERROR(__xludf.DUMMYFUNCTION("""COMPUTED_VALUE"""),66700.0)</f>
        <v>66700</v>
      </c>
      <c r="E2818" s="1">
        <f>IFERROR(__xludf.DUMMYFUNCTION("""COMPUTED_VALUE"""),67100.0)</f>
        <v>67100</v>
      </c>
      <c r="F2818" s="1">
        <f>IFERROR(__xludf.DUMMYFUNCTION("""COMPUTED_VALUE"""),2005224.0)</f>
        <v>2005224</v>
      </c>
    </row>
    <row r="2819">
      <c r="A2819" s="2">
        <f>IFERROR(__xludf.DUMMYFUNCTION("""COMPUTED_VALUE"""),44736.64583333333)</f>
        <v>44736.64583</v>
      </c>
      <c r="B2819" s="1">
        <f>IFERROR(__xludf.DUMMYFUNCTION("""COMPUTED_VALUE"""),67400.0)</f>
        <v>67400</v>
      </c>
      <c r="C2819" s="1">
        <f>IFERROR(__xludf.DUMMYFUNCTION("""COMPUTED_VALUE"""),71500.0)</f>
        <v>71500</v>
      </c>
      <c r="D2819" s="1">
        <f>IFERROR(__xludf.DUMMYFUNCTION("""COMPUTED_VALUE"""),67400.0)</f>
        <v>67400</v>
      </c>
      <c r="E2819" s="1">
        <f>IFERROR(__xludf.DUMMYFUNCTION("""COMPUTED_VALUE"""),71500.0)</f>
        <v>71500</v>
      </c>
      <c r="F2819" s="1">
        <f>IFERROR(__xludf.DUMMYFUNCTION("""COMPUTED_VALUE"""),2331632.0)</f>
        <v>2331632</v>
      </c>
    </row>
    <row r="2820">
      <c r="A2820" s="2">
        <f>IFERROR(__xludf.DUMMYFUNCTION("""COMPUTED_VALUE"""),44739.64583333333)</f>
        <v>44739.64583</v>
      </c>
      <c r="B2820" s="1">
        <f>IFERROR(__xludf.DUMMYFUNCTION("""COMPUTED_VALUE"""),72400.0)</f>
        <v>72400</v>
      </c>
      <c r="C2820" s="1">
        <f>IFERROR(__xludf.DUMMYFUNCTION("""COMPUTED_VALUE"""),72900.0)</f>
        <v>72900</v>
      </c>
      <c r="D2820" s="1">
        <f>IFERROR(__xludf.DUMMYFUNCTION("""COMPUTED_VALUE"""),70600.0)</f>
        <v>70600</v>
      </c>
      <c r="E2820" s="1">
        <f>IFERROR(__xludf.DUMMYFUNCTION("""COMPUTED_VALUE"""),71800.0)</f>
        <v>71800</v>
      </c>
      <c r="F2820" s="1">
        <f>IFERROR(__xludf.DUMMYFUNCTION("""COMPUTED_VALUE"""),1470633.0)</f>
        <v>1470633</v>
      </c>
    </row>
    <row r="2821">
      <c r="A2821" s="2">
        <f>IFERROR(__xludf.DUMMYFUNCTION("""COMPUTED_VALUE"""),44740.64583333333)</f>
        <v>44740.64583</v>
      </c>
      <c r="B2821" s="1">
        <f>IFERROR(__xludf.DUMMYFUNCTION("""COMPUTED_VALUE"""),71600.0)</f>
        <v>71600</v>
      </c>
      <c r="C2821" s="1">
        <f>IFERROR(__xludf.DUMMYFUNCTION("""COMPUTED_VALUE"""),72300.0)</f>
        <v>72300</v>
      </c>
      <c r="D2821" s="1">
        <f>IFERROR(__xludf.DUMMYFUNCTION("""COMPUTED_VALUE"""),70600.0)</f>
        <v>70600</v>
      </c>
      <c r="E2821" s="1">
        <f>IFERROR(__xludf.DUMMYFUNCTION("""COMPUTED_VALUE"""),71600.0)</f>
        <v>71600</v>
      </c>
      <c r="F2821" s="1">
        <f>IFERROR(__xludf.DUMMYFUNCTION("""COMPUTED_VALUE"""),1082711.0)</f>
        <v>1082711</v>
      </c>
    </row>
    <row r="2822">
      <c r="A2822" s="2">
        <f>IFERROR(__xludf.DUMMYFUNCTION("""COMPUTED_VALUE"""),44741.64583333333)</f>
        <v>44741.64583</v>
      </c>
      <c r="B2822" s="1">
        <f>IFERROR(__xludf.DUMMYFUNCTION("""COMPUTED_VALUE"""),70100.0)</f>
        <v>70100</v>
      </c>
      <c r="C2822" s="1">
        <f>IFERROR(__xludf.DUMMYFUNCTION("""COMPUTED_VALUE"""),71300.0)</f>
        <v>71300</v>
      </c>
      <c r="D2822" s="1">
        <f>IFERROR(__xludf.DUMMYFUNCTION("""COMPUTED_VALUE"""),69700.0)</f>
        <v>69700</v>
      </c>
      <c r="E2822" s="1">
        <f>IFERROR(__xludf.DUMMYFUNCTION("""COMPUTED_VALUE"""),70800.0)</f>
        <v>70800</v>
      </c>
      <c r="F2822" s="1">
        <f>IFERROR(__xludf.DUMMYFUNCTION("""COMPUTED_VALUE"""),1185471.0)</f>
        <v>1185471</v>
      </c>
    </row>
    <row r="2823">
      <c r="A2823" s="2">
        <f>IFERROR(__xludf.DUMMYFUNCTION("""COMPUTED_VALUE"""),44742.64583333333)</f>
        <v>44742.64583</v>
      </c>
      <c r="B2823" s="1">
        <f>IFERROR(__xludf.DUMMYFUNCTION("""COMPUTED_VALUE"""),70400.0)</f>
        <v>70400</v>
      </c>
      <c r="C2823" s="1">
        <f>IFERROR(__xludf.DUMMYFUNCTION("""COMPUTED_VALUE"""),71100.0)</f>
        <v>71100</v>
      </c>
      <c r="D2823" s="1">
        <f>IFERROR(__xludf.DUMMYFUNCTION("""COMPUTED_VALUE"""),69900.0)</f>
        <v>69900</v>
      </c>
      <c r="E2823" s="1">
        <f>IFERROR(__xludf.DUMMYFUNCTION("""COMPUTED_VALUE"""),69900.0)</f>
        <v>69900</v>
      </c>
      <c r="F2823" s="1">
        <f>IFERROR(__xludf.DUMMYFUNCTION("""COMPUTED_VALUE"""),1339031.0)</f>
        <v>1339031</v>
      </c>
    </row>
    <row r="2824">
      <c r="A2824" s="2">
        <f>IFERROR(__xludf.DUMMYFUNCTION("""COMPUTED_VALUE"""),44743.64583333333)</f>
        <v>44743.64583</v>
      </c>
      <c r="B2824" s="1">
        <f>IFERROR(__xludf.DUMMYFUNCTION("""COMPUTED_VALUE"""),70000.0)</f>
        <v>70000</v>
      </c>
      <c r="C2824" s="1">
        <f>IFERROR(__xludf.DUMMYFUNCTION("""COMPUTED_VALUE"""),70300.0)</f>
        <v>70300</v>
      </c>
      <c r="D2824" s="1">
        <f>IFERROR(__xludf.DUMMYFUNCTION("""COMPUTED_VALUE"""),66600.0)</f>
        <v>66600</v>
      </c>
      <c r="E2824" s="1">
        <f>IFERROR(__xludf.DUMMYFUNCTION("""COMPUTED_VALUE"""),67300.0)</f>
        <v>67300</v>
      </c>
      <c r="F2824" s="1">
        <f>IFERROR(__xludf.DUMMYFUNCTION("""COMPUTED_VALUE"""),1817276.0)</f>
        <v>1817276</v>
      </c>
    </row>
    <row r="2825">
      <c r="A2825" s="2">
        <f>IFERROR(__xludf.DUMMYFUNCTION("""COMPUTED_VALUE"""),44746.64583333333)</f>
        <v>44746.64583</v>
      </c>
      <c r="B2825" s="1">
        <f>IFERROR(__xludf.DUMMYFUNCTION("""COMPUTED_VALUE"""),67300.0)</f>
        <v>67300</v>
      </c>
      <c r="C2825" s="1">
        <f>IFERROR(__xludf.DUMMYFUNCTION("""COMPUTED_VALUE"""),69000.0)</f>
        <v>69000</v>
      </c>
      <c r="D2825" s="1">
        <f>IFERROR(__xludf.DUMMYFUNCTION("""COMPUTED_VALUE"""),66200.0)</f>
        <v>66200</v>
      </c>
      <c r="E2825" s="1">
        <f>IFERROR(__xludf.DUMMYFUNCTION("""COMPUTED_VALUE"""),68100.0)</f>
        <v>68100</v>
      </c>
      <c r="F2825" s="1">
        <f>IFERROR(__xludf.DUMMYFUNCTION("""COMPUTED_VALUE"""),1019171.0)</f>
        <v>1019171</v>
      </c>
    </row>
    <row r="2826">
      <c r="A2826" s="2">
        <f>IFERROR(__xludf.DUMMYFUNCTION("""COMPUTED_VALUE"""),44747.64583333333)</f>
        <v>44747.64583</v>
      </c>
      <c r="B2826" s="1">
        <f>IFERROR(__xludf.DUMMYFUNCTION("""COMPUTED_VALUE"""),68700.0)</f>
        <v>68700</v>
      </c>
      <c r="C2826" s="1">
        <f>IFERROR(__xludf.DUMMYFUNCTION("""COMPUTED_VALUE"""),72500.0)</f>
        <v>72500</v>
      </c>
      <c r="D2826" s="1">
        <f>IFERROR(__xludf.DUMMYFUNCTION("""COMPUTED_VALUE"""),68300.0)</f>
        <v>68300</v>
      </c>
      <c r="E2826" s="1">
        <f>IFERROR(__xludf.DUMMYFUNCTION("""COMPUTED_VALUE"""),72000.0)</f>
        <v>72000</v>
      </c>
      <c r="F2826" s="1">
        <f>IFERROR(__xludf.DUMMYFUNCTION("""COMPUTED_VALUE"""),2125688.0)</f>
        <v>2125688</v>
      </c>
    </row>
    <row r="2827">
      <c r="A2827" s="2">
        <f>IFERROR(__xludf.DUMMYFUNCTION("""COMPUTED_VALUE"""),44748.64583333333)</f>
        <v>44748.64583</v>
      </c>
      <c r="B2827" s="1">
        <f>IFERROR(__xludf.DUMMYFUNCTION("""COMPUTED_VALUE"""),71300.0)</f>
        <v>71300</v>
      </c>
      <c r="C2827" s="1">
        <f>IFERROR(__xludf.DUMMYFUNCTION("""COMPUTED_VALUE"""),75000.0)</f>
        <v>75000</v>
      </c>
      <c r="D2827" s="1">
        <f>IFERROR(__xludf.DUMMYFUNCTION("""COMPUTED_VALUE"""),71200.0)</f>
        <v>71200</v>
      </c>
      <c r="E2827" s="1">
        <f>IFERROR(__xludf.DUMMYFUNCTION("""COMPUTED_VALUE"""),73500.0)</f>
        <v>73500</v>
      </c>
      <c r="F2827" s="1">
        <f>IFERROR(__xludf.DUMMYFUNCTION("""COMPUTED_VALUE"""),2724220.0)</f>
        <v>2724220</v>
      </c>
    </row>
    <row r="2828">
      <c r="A2828" s="2">
        <f>IFERROR(__xludf.DUMMYFUNCTION("""COMPUTED_VALUE"""),44749.64583333333)</f>
        <v>44749.64583</v>
      </c>
      <c r="B2828" s="1">
        <f>IFERROR(__xludf.DUMMYFUNCTION("""COMPUTED_VALUE"""),74500.0)</f>
        <v>74500</v>
      </c>
      <c r="C2828" s="1">
        <f>IFERROR(__xludf.DUMMYFUNCTION("""COMPUTED_VALUE"""),74900.0)</f>
        <v>74900</v>
      </c>
      <c r="D2828" s="1">
        <f>IFERROR(__xludf.DUMMYFUNCTION("""COMPUTED_VALUE"""),72700.0)</f>
        <v>72700</v>
      </c>
      <c r="E2828" s="1">
        <f>IFERROR(__xludf.DUMMYFUNCTION("""COMPUTED_VALUE"""),73000.0)</f>
        <v>73000</v>
      </c>
      <c r="F2828" s="1">
        <f>IFERROR(__xludf.DUMMYFUNCTION("""COMPUTED_VALUE"""),1603464.0)</f>
        <v>1603464</v>
      </c>
    </row>
    <row r="2829">
      <c r="A2829" s="2">
        <f>IFERROR(__xludf.DUMMYFUNCTION("""COMPUTED_VALUE"""),44750.64583333333)</f>
        <v>44750.64583</v>
      </c>
      <c r="B2829" s="1">
        <f>IFERROR(__xludf.DUMMYFUNCTION("""COMPUTED_VALUE"""),73900.0)</f>
        <v>73900</v>
      </c>
      <c r="C2829" s="1">
        <f>IFERROR(__xludf.DUMMYFUNCTION("""COMPUTED_VALUE"""),73900.0)</f>
        <v>73900</v>
      </c>
      <c r="D2829" s="1">
        <f>IFERROR(__xludf.DUMMYFUNCTION("""COMPUTED_VALUE"""),71800.0)</f>
        <v>71800</v>
      </c>
      <c r="E2829" s="1">
        <f>IFERROR(__xludf.DUMMYFUNCTION("""COMPUTED_VALUE"""),71800.0)</f>
        <v>71800</v>
      </c>
      <c r="F2829" s="1">
        <f>IFERROR(__xludf.DUMMYFUNCTION("""COMPUTED_VALUE"""),1418763.0)</f>
        <v>1418763</v>
      </c>
    </row>
    <row r="2830">
      <c r="A2830" s="2">
        <f>IFERROR(__xludf.DUMMYFUNCTION("""COMPUTED_VALUE"""),44753.64583333333)</f>
        <v>44753.64583</v>
      </c>
      <c r="B2830" s="1">
        <f>IFERROR(__xludf.DUMMYFUNCTION("""COMPUTED_VALUE"""),71900.0)</f>
        <v>71900</v>
      </c>
      <c r="C2830" s="1">
        <f>IFERROR(__xludf.DUMMYFUNCTION("""COMPUTED_VALUE"""),72800.0)</f>
        <v>72800</v>
      </c>
      <c r="D2830" s="1">
        <f>IFERROR(__xludf.DUMMYFUNCTION("""COMPUTED_VALUE"""),71100.0)</f>
        <v>71100</v>
      </c>
      <c r="E2830" s="1">
        <f>IFERROR(__xludf.DUMMYFUNCTION("""COMPUTED_VALUE"""),71300.0)</f>
        <v>71300</v>
      </c>
      <c r="F2830" s="1">
        <f>IFERROR(__xludf.DUMMYFUNCTION("""COMPUTED_VALUE"""),979002.0)</f>
        <v>979002</v>
      </c>
    </row>
    <row r="2831">
      <c r="A2831" s="2">
        <f>IFERROR(__xludf.DUMMYFUNCTION("""COMPUTED_VALUE"""),44754.64583333333)</f>
        <v>44754.64583</v>
      </c>
      <c r="B2831" s="1">
        <f>IFERROR(__xludf.DUMMYFUNCTION("""COMPUTED_VALUE"""),70700.0)</f>
        <v>70700</v>
      </c>
      <c r="C2831" s="1">
        <f>IFERROR(__xludf.DUMMYFUNCTION("""COMPUTED_VALUE"""),71000.0)</f>
        <v>71000</v>
      </c>
      <c r="D2831" s="1">
        <f>IFERROR(__xludf.DUMMYFUNCTION("""COMPUTED_VALUE"""),69400.0)</f>
        <v>69400</v>
      </c>
      <c r="E2831" s="1">
        <f>IFERROR(__xludf.DUMMYFUNCTION("""COMPUTED_VALUE"""),70300.0)</f>
        <v>70300</v>
      </c>
      <c r="F2831" s="1">
        <f>IFERROR(__xludf.DUMMYFUNCTION("""COMPUTED_VALUE"""),1082539.0)</f>
        <v>1082539</v>
      </c>
    </row>
    <row r="2832">
      <c r="A2832" s="2">
        <f>IFERROR(__xludf.DUMMYFUNCTION("""COMPUTED_VALUE"""),44755.64583333333)</f>
        <v>44755.64583</v>
      </c>
      <c r="B2832" s="1">
        <f>IFERROR(__xludf.DUMMYFUNCTION("""COMPUTED_VALUE"""),70100.0)</f>
        <v>70100</v>
      </c>
      <c r="C2832" s="1">
        <f>IFERROR(__xludf.DUMMYFUNCTION("""COMPUTED_VALUE"""),72200.0)</f>
        <v>72200</v>
      </c>
      <c r="D2832" s="1">
        <f>IFERROR(__xludf.DUMMYFUNCTION("""COMPUTED_VALUE"""),70100.0)</f>
        <v>70100</v>
      </c>
      <c r="E2832" s="1">
        <f>IFERROR(__xludf.DUMMYFUNCTION("""COMPUTED_VALUE"""),71900.0)</f>
        <v>71900</v>
      </c>
      <c r="F2832" s="1">
        <f>IFERROR(__xludf.DUMMYFUNCTION("""COMPUTED_VALUE"""),1156844.0)</f>
        <v>1156844</v>
      </c>
    </row>
    <row r="2833">
      <c r="A2833" s="2">
        <f>IFERROR(__xludf.DUMMYFUNCTION("""COMPUTED_VALUE"""),44756.64583333333)</f>
        <v>44756.64583</v>
      </c>
      <c r="B2833" s="1">
        <f>IFERROR(__xludf.DUMMYFUNCTION("""COMPUTED_VALUE"""),71000.0)</f>
        <v>71000</v>
      </c>
      <c r="C2833" s="1">
        <f>IFERROR(__xludf.DUMMYFUNCTION("""COMPUTED_VALUE"""),73400.0)</f>
        <v>73400</v>
      </c>
      <c r="D2833" s="1">
        <f>IFERROR(__xludf.DUMMYFUNCTION("""COMPUTED_VALUE"""),70400.0)</f>
        <v>70400</v>
      </c>
      <c r="E2833" s="1">
        <f>IFERROR(__xludf.DUMMYFUNCTION("""COMPUTED_VALUE"""),72100.0)</f>
        <v>72100</v>
      </c>
      <c r="F2833" s="1">
        <f>IFERROR(__xludf.DUMMYFUNCTION("""COMPUTED_VALUE"""),1597400.0)</f>
        <v>1597400</v>
      </c>
    </row>
    <row r="2834">
      <c r="A2834" s="2">
        <f>IFERROR(__xludf.DUMMYFUNCTION("""COMPUTED_VALUE"""),44757.64583333333)</f>
        <v>44757.64583</v>
      </c>
      <c r="B2834" s="1">
        <f>IFERROR(__xludf.DUMMYFUNCTION("""COMPUTED_VALUE"""),72100.0)</f>
        <v>72100</v>
      </c>
      <c r="C2834" s="1">
        <f>IFERROR(__xludf.DUMMYFUNCTION("""COMPUTED_VALUE"""),72200.0)</f>
        <v>72200</v>
      </c>
      <c r="D2834" s="1">
        <f>IFERROR(__xludf.DUMMYFUNCTION("""COMPUTED_VALUE"""),69400.0)</f>
        <v>69400</v>
      </c>
      <c r="E2834" s="1">
        <f>IFERROR(__xludf.DUMMYFUNCTION("""COMPUTED_VALUE"""),70100.0)</f>
        <v>70100</v>
      </c>
      <c r="F2834" s="1">
        <f>IFERROR(__xludf.DUMMYFUNCTION("""COMPUTED_VALUE"""),1605289.0)</f>
        <v>1605289</v>
      </c>
    </row>
    <row r="2835">
      <c r="A2835" s="2">
        <f>IFERROR(__xludf.DUMMYFUNCTION("""COMPUTED_VALUE"""),44760.64583333333)</f>
        <v>44760.64583</v>
      </c>
      <c r="B2835" s="1">
        <f>IFERROR(__xludf.DUMMYFUNCTION("""COMPUTED_VALUE"""),71100.0)</f>
        <v>71100</v>
      </c>
      <c r="C2835" s="1">
        <f>IFERROR(__xludf.DUMMYFUNCTION("""COMPUTED_VALUE"""),73200.0)</f>
        <v>73200</v>
      </c>
      <c r="D2835" s="1">
        <f>IFERROR(__xludf.DUMMYFUNCTION("""COMPUTED_VALUE"""),70600.0)</f>
        <v>70600</v>
      </c>
      <c r="E2835" s="1">
        <f>IFERROR(__xludf.DUMMYFUNCTION("""COMPUTED_VALUE"""),72800.0)</f>
        <v>72800</v>
      </c>
      <c r="F2835" s="1">
        <f>IFERROR(__xludf.DUMMYFUNCTION("""COMPUTED_VALUE"""),1690739.0)</f>
        <v>1690739</v>
      </c>
    </row>
    <row r="2836">
      <c r="A2836" s="2">
        <f>IFERROR(__xludf.DUMMYFUNCTION("""COMPUTED_VALUE"""),44761.64583333333)</f>
        <v>44761.64583</v>
      </c>
      <c r="B2836" s="1">
        <f>IFERROR(__xludf.DUMMYFUNCTION("""COMPUTED_VALUE"""),72000.0)</f>
        <v>72000</v>
      </c>
      <c r="C2836" s="1">
        <f>IFERROR(__xludf.DUMMYFUNCTION("""COMPUTED_VALUE"""),73200.0)</f>
        <v>73200</v>
      </c>
      <c r="D2836" s="1">
        <f>IFERROR(__xludf.DUMMYFUNCTION("""COMPUTED_VALUE"""),71600.0)</f>
        <v>71600</v>
      </c>
      <c r="E2836" s="1">
        <f>IFERROR(__xludf.DUMMYFUNCTION("""COMPUTED_VALUE"""),72800.0)</f>
        <v>72800</v>
      </c>
      <c r="F2836" s="1">
        <f>IFERROR(__xludf.DUMMYFUNCTION("""COMPUTED_VALUE"""),949001.0)</f>
        <v>949001</v>
      </c>
    </row>
    <row r="2837">
      <c r="A2837" s="2">
        <f>IFERROR(__xludf.DUMMYFUNCTION("""COMPUTED_VALUE"""),44762.64583333333)</f>
        <v>44762.64583</v>
      </c>
      <c r="B2837" s="1">
        <f>IFERROR(__xludf.DUMMYFUNCTION("""COMPUTED_VALUE"""),74700.0)</f>
        <v>74700</v>
      </c>
      <c r="C2837" s="1">
        <f>IFERROR(__xludf.DUMMYFUNCTION("""COMPUTED_VALUE"""),75600.0)</f>
        <v>75600</v>
      </c>
      <c r="D2837" s="1">
        <f>IFERROR(__xludf.DUMMYFUNCTION("""COMPUTED_VALUE"""),73100.0)</f>
        <v>73100</v>
      </c>
      <c r="E2837" s="1">
        <f>IFERROR(__xludf.DUMMYFUNCTION("""COMPUTED_VALUE"""),73400.0)</f>
        <v>73400</v>
      </c>
      <c r="F2837" s="1">
        <f>IFERROR(__xludf.DUMMYFUNCTION("""COMPUTED_VALUE"""),1758524.0)</f>
        <v>1758524</v>
      </c>
    </row>
    <row r="2838">
      <c r="A2838" s="2">
        <f>IFERROR(__xludf.DUMMYFUNCTION("""COMPUTED_VALUE"""),44763.64583333333)</f>
        <v>44763.64583</v>
      </c>
      <c r="B2838" s="1">
        <f>IFERROR(__xludf.DUMMYFUNCTION("""COMPUTED_VALUE"""),73900.0)</f>
        <v>73900</v>
      </c>
      <c r="C2838" s="1">
        <f>IFERROR(__xludf.DUMMYFUNCTION("""COMPUTED_VALUE"""),75000.0)</f>
        <v>75000</v>
      </c>
      <c r="D2838" s="1">
        <f>IFERROR(__xludf.DUMMYFUNCTION("""COMPUTED_VALUE"""),73500.0)</f>
        <v>73500</v>
      </c>
      <c r="E2838" s="1">
        <f>IFERROR(__xludf.DUMMYFUNCTION("""COMPUTED_VALUE"""),73700.0)</f>
        <v>73700</v>
      </c>
      <c r="F2838" s="1">
        <f>IFERROR(__xludf.DUMMYFUNCTION("""COMPUTED_VALUE"""),1244024.0)</f>
        <v>1244024</v>
      </c>
    </row>
    <row r="2839">
      <c r="A2839" s="2">
        <f>IFERROR(__xludf.DUMMYFUNCTION("""COMPUTED_VALUE"""),44764.64583333333)</f>
        <v>44764.64583</v>
      </c>
      <c r="B2839" s="1">
        <f>IFERROR(__xludf.DUMMYFUNCTION("""COMPUTED_VALUE"""),73500.0)</f>
        <v>73500</v>
      </c>
      <c r="C2839" s="1">
        <f>IFERROR(__xludf.DUMMYFUNCTION("""COMPUTED_VALUE"""),73600.0)</f>
        <v>73600</v>
      </c>
      <c r="D2839" s="1">
        <f>IFERROR(__xludf.DUMMYFUNCTION("""COMPUTED_VALUE"""),71600.0)</f>
        <v>71600</v>
      </c>
      <c r="E2839" s="1">
        <f>IFERROR(__xludf.DUMMYFUNCTION("""COMPUTED_VALUE"""),72100.0)</f>
        <v>72100</v>
      </c>
      <c r="F2839" s="1">
        <f>IFERROR(__xludf.DUMMYFUNCTION("""COMPUTED_VALUE"""),1601677.0)</f>
        <v>1601677</v>
      </c>
    </row>
    <row r="2840">
      <c r="A2840" s="2">
        <f>IFERROR(__xludf.DUMMYFUNCTION("""COMPUTED_VALUE"""),44767.64583333333)</f>
        <v>44767.64583</v>
      </c>
      <c r="B2840" s="1">
        <f>IFERROR(__xludf.DUMMYFUNCTION("""COMPUTED_VALUE"""),71600.0)</f>
        <v>71600</v>
      </c>
      <c r="C2840" s="1">
        <f>IFERROR(__xludf.DUMMYFUNCTION("""COMPUTED_VALUE"""),73100.0)</f>
        <v>73100</v>
      </c>
      <c r="D2840" s="1">
        <f>IFERROR(__xludf.DUMMYFUNCTION("""COMPUTED_VALUE"""),71400.0)</f>
        <v>71400</v>
      </c>
      <c r="E2840" s="1">
        <f>IFERROR(__xludf.DUMMYFUNCTION("""COMPUTED_VALUE"""),73000.0)</f>
        <v>73000</v>
      </c>
      <c r="F2840" s="1">
        <f>IFERROR(__xludf.DUMMYFUNCTION("""COMPUTED_VALUE"""),1038303.0)</f>
        <v>1038303</v>
      </c>
    </row>
    <row r="2841">
      <c r="A2841" s="2">
        <f>IFERROR(__xludf.DUMMYFUNCTION("""COMPUTED_VALUE"""),44768.64583333333)</f>
        <v>44768.64583</v>
      </c>
      <c r="B2841" s="1">
        <f>IFERROR(__xludf.DUMMYFUNCTION("""COMPUTED_VALUE"""),72600.0)</f>
        <v>72600</v>
      </c>
      <c r="C2841" s="1">
        <f>IFERROR(__xludf.DUMMYFUNCTION("""COMPUTED_VALUE"""),72900.0)</f>
        <v>72900</v>
      </c>
      <c r="D2841" s="1">
        <f>IFERROR(__xludf.DUMMYFUNCTION("""COMPUTED_VALUE"""),71800.0)</f>
        <v>71800</v>
      </c>
      <c r="E2841" s="1">
        <f>IFERROR(__xludf.DUMMYFUNCTION("""COMPUTED_VALUE"""),72400.0)</f>
        <v>72400</v>
      </c>
      <c r="F2841" s="1">
        <f>IFERROR(__xludf.DUMMYFUNCTION("""COMPUTED_VALUE"""),696076.0)</f>
        <v>696076</v>
      </c>
    </row>
    <row r="2842">
      <c r="A2842" s="2">
        <f>IFERROR(__xludf.DUMMYFUNCTION("""COMPUTED_VALUE"""),44769.64583333333)</f>
        <v>44769.64583</v>
      </c>
      <c r="B2842" s="1">
        <f>IFERROR(__xludf.DUMMYFUNCTION("""COMPUTED_VALUE"""),72500.0)</f>
        <v>72500</v>
      </c>
      <c r="C2842" s="1">
        <f>IFERROR(__xludf.DUMMYFUNCTION("""COMPUTED_VALUE"""),72600.0)</f>
        <v>72600</v>
      </c>
      <c r="D2842" s="1">
        <f>IFERROR(__xludf.DUMMYFUNCTION("""COMPUTED_VALUE"""),71200.0)</f>
        <v>71200</v>
      </c>
      <c r="E2842" s="1">
        <f>IFERROR(__xludf.DUMMYFUNCTION("""COMPUTED_VALUE"""),71900.0)</f>
        <v>71900</v>
      </c>
      <c r="F2842" s="1">
        <f>IFERROR(__xludf.DUMMYFUNCTION("""COMPUTED_VALUE"""),924477.0)</f>
        <v>924477</v>
      </c>
    </row>
    <row r="2843">
      <c r="A2843" s="2">
        <f>IFERROR(__xludf.DUMMYFUNCTION("""COMPUTED_VALUE"""),44770.64583333333)</f>
        <v>44770.64583</v>
      </c>
      <c r="B2843" s="1">
        <f>IFERROR(__xludf.DUMMYFUNCTION("""COMPUTED_VALUE"""),73000.0)</f>
        <v>73000</v>
      </c>
      <c r="C2843" s="1">
        <f>IFERROR(__xludf.DUMMYFUNCTION("""COMPUTED_VALUE"""),74200.0)</f>
        <v>74200</v>
      </c>
      <c r="D2843" s="1">
        <f>IFERROR(__xludf.DUMMYFUNCTION("""COMPUTED_VALUE"""),72100.0)</f>
        <v>72100</v>
      </c>
      <c r="E2843" s="1">
        <f>IFERROR(__xludf.DUMMYFUNCTION("""COMPUTED_VALUE"""),72400.0)</f>
        <v>72400</v>
      </c>
      <c r="F2843" s="1">
        <f>IFERROR(__xludf.DUMMYFUNCTION("""COMPUTED_VALUE"""),1226484.0)</f>
        <v>1226484</v>
      </c>
    </row>
    <row r="2844">
      <c r="A2844" s="2">
        <f>IFERROR(__xludf.DUMMYFUNCTION("""COMPUTED_VALUE"""),44771.64583333333)</f>
        <v>44771.64583</v>
      </c>
      <c r="B2844" s="1">
        <f>IFERROR(__xludf.DUMMYFUNCTION("""COMPUTED_VALUE"""),73200.0)</f>
        <v>73200</v>
      </c>
      <c r="C2844" s="1">
        <f>IFERROR(__xludf.DUMMYFUNCTION("""COMPUTED_VALUE"""),75400.0)</f>
        <v>75400</v>
      </c>
      <c r="D2844" s="1">
        <f>IFERROR(__xludf.DUMMYFUNCTION("""COMPUTED_VALUE"""),73200.0)</f>
        <v>73200</v>
      </c>
      <c r="E2844" s="1">
        <f>IFERROR(__xludf.DUMMYFUNCTION("""COMPUTED_VALUE"""),74800.0)</f>
        <v>74800</v>
      </c>
      <c r="F2844" s="1">
        <f>IFERROR(__xludf.DUMMYFUNCTION("""COMPUTED_VALUE"""),2164565.0)</f>
        <v>2164565</v>
      </c>
    </row>
    <row r="2845">
      <c r="A2845" s="2">
        <f>IFERROR(__xludf.DUMMYFUNCTION("""COMPUTED_VALUE"""),44774.64583333333)</f>
        <v>44774.64583</v>
      </c>
      <c r="B2845" s="1">
        <f>IFERROR(__xludf.DUMMYFUNCTION("""COMPUTED_VALUE"""),74800.0)</f>
        <v>74800</v>
      </c>
      <c r="C2845" s="1">
        <f>IFERROR(__xludf.DUMMYFUNCTION("""COMPUTED_VALUE"""),75200.0)</f>
        <v>75200</v>
      </c>
      <c r="D2845" s="1">
        <f>IFERROR(__xludf.DUMMYFUNCTION("""COMPUTED_VALUE"""),74000.0)</f>
        <v>74000</v>
      </c>
      <c r="E2845" s="1">
        <f>IFERROR(__xludf.DUMMYFUNCTION("""COMPUTED_VALUE"""),74000.0)</f>
        <v>74000</v>
      </c>
      <c r="F2845" s="1">
        <f>IFERROR(__xludf.DUMMYFUNCTION("""COMPUTED_VALUE"""),907903.0)</f>
        <v>907903</v>
      </c>
    </row>
    <row r="2846">
      <c r="A2846" s="2">
        <f>IFERROR(__xludf.DUMMYFUNCTION("""COMPUTED_VALUE"""),44775.64583333333)</f>
        <v>44775.64583</v>
      </c>
      <c r="B2846" s="1">
        <f>IFERROR(__xludf.DUMMYFUNCTION("""COMPUTED_VALUE"""),73800.0)</f>
        <v>73800</v>
      </c>
      <c r="C2846" s="1">
        <f>IFERROR(__xludf.DUMMYFUNCTION("""COMPUTED_VALUE"""),73800.0)</f>
        <v>73800</v>
      </c>
      <c r="D2846" s="1">
        <f>IFERROR(__xludf.DUMMYFUNCTION("""COMPUTED_VALUE"""),71600.0)</f>
        <v>71600</v>
      </c>
      <c r="E2846" s="1">
        <f>IFERROR(__xludf.DUMMYFUNCTION("""COMPUTED_VALUE"""),71800.0)</f>
        <v>71800</v>
      </c>
      <c r="F2846" s="1">
        <f>IFERROR(__xludf.DUMMYFUNCTION("""COMPUTED_VALUE"""),1786920.0)</f>
        <v>1786920</v>
      </c>
    </row>
    <row r="2847">
      <c r="A2847" s="2">
        <f>IFERROR(__xludf.DUMMYFUNCTION("""COMPUTED_VALUE"""),44776.64583333333)</f>
        <v>44776.64583</v>
      </c>
      <c r="B2847" s="1">
        <f>IFERROR(__xludf.DUMMYFUNCTION("""COMPUTED_VALUE"""),71900.0)</f>
        <v>71900</v>
      </c>
      <c r="C2847" s="1">
        <f>IFERROR(__xludf.DUMMYFUNCTION("""COMPUTED_VALUE"""),76100.0)</f>
        <v>76100</v>
      </c>
      <c r="D2847" s="1">
        <f>IFERROR(__xludf.DUMMYFUNCTION("""COMPUTED_VALUE"""),71500.0)</f>
        <v>71500</v>
      </c>
      <c r="E2847" s="1">
        <f>IFERROR(__xludf.DUMMYFUNCTION("""COMPUTED_VALUE"""),76000.0)</f>
        <v>76000</v>
      </c>
      <c r="F2847" s="1">
        <f>IFERROR(__xludf.DUMMYFUNCTION("""COMPUTED_VALUE"""),2893725.0)</f>
        <v>2893725</v>
      </c>
    </row>
    <row r="2848">
      <c r="A2848" s="2">
        <f>IFERROR(__xludf.DUMMYFUNCTION("""COMPUTED_VALUE"""),44777.64583333333)</f>
        <v>44777.64583</v>
      </c>
      <c r="B2848" s="1">
        <f>IFERROR(__xludf.DUMMYFUNCTION("""COMPUTED_VALUE"""),77000.0)</f>
        <v>77000</v>
      </c>
      <c r="C2848" s="1">
        <f>IFERROR(__xludf.DUMMYFUNCTION("""COMPUTED_VALUE"""),81700.0)</f>
        <v>81700</v>
      </c>
      <c r="D2848" s="1">
        <f>IFERROR(__xludf.DUMMYFUNCTION("""COMPUTED_VALUE"""),76800.0)</f>
        <v>76800</v>
      </c>
      <c r="E2848" s="1">
        <f>IFERROR(__xludf.DUMMYFUNCTION("""COMPUTED_VALUE"""),81700.0)</f>
        <v>81700</v>
      </c>
      <c r="F2848" s="1">
        <f>IFERROR(__xludf.DUMMYFUNCTION("""COMPUTED_VALUE"""),5803458.0)</f>
        <v>5803458</v>
      </c>
    </row>
    <row r="2849">
      <c r="A2849" s="2">
        <f>IFERROR(__xludf.DUMMYFUNCTION("""COMPUTED_VALUE"""),44778.64583333333)</f>
        <v>44778.64583</v>
      </c>
      <c r="B2849" s="1">
        <f>IFERROR(__xludf.DUMMYFUNCTION("""COMPUTED_VALUE"""),82000.0)</f>
        <v>82000</v>
      </c>
      <c r="C2849" s="1">
        <f>IFERROR(__xludf.DUMMYFUNCTION("""COMPUTED_VALUE"""),83100.0)</f>
        <v>83100</v>
      </c>
      <c r="D2849" s="1">
        <f>IFERROR(__xludf.DUMMYFUNCTION("""COMPUTED_VALUE"""),80700.0)</f>
        <v>80700</v>
      </c>
      <c r="E2849" s="1">
        <f>IFERROR(__xludf.DUMMYFUNCTION("""COMPUTED_VALUE"""),81200.0)</f>
        <v>81200</v>
      </c>
      <c r="F2849" s="1">
        <f>IFERROR(__xludf.DUMMYFUNCTION("""COMPUTED_VALUE"""),2511627.0)</f>
        <v>2511627</v>
      </c>
    </row>
    <row r="2850">
      <c r="A2850" s="2">
        <f>IFERROR(__xludf.DUMMYFUNCTION("""COMPUTED_VALUE"""),44781.64583333333)</f>
        <v>44781.64583</v>
      </c>
      <c r="B2850" s="1">
        <f>IFERROR(__xludf.DUMMYFUNCTION("""COMPUTED_VALUE"""),80600.0)</f>
        <v>80600</v>
      </c>
      <c r="C2850" s="1">
        <f>IFERROR(__xludf.DUMMYFUNCTION("""COMPUTED_VALUE"""),82000.0)</f>
        <v>82000</v>
      </c>
      <c r="D2850" s="1">
        <f>IFERROR(__xludf.DUMMYFUNCTION("""COMPUTED_VALUE"""),80100.0)</f>
        <v>80100</v>
      </c>
      <c r="E2850" s="1">
        <f>IFERROR(__xludf.DUMMYFUNCTION("""COMPUTED_VALUE"""),82000.0)</f>
        <v>82000</v>
      </c>
      <c r="F2850" s="1">
        <f>IFERROR(__xludf.DUMMYFUNCTION("""COMPUTED_VALUE"""),1674063.0)</f>
        <v>1674063</v>
      </c>
    </row>
    <row r="2851">
      <c r="A2851" s="2">
        <f>IFERROR(__xludf.DUMMYFUNCTION("""COMPUTED_VALUE"""),44782.64583333333)</f>
        <v>44782.64583</v>
      </c>
      <c r="B2851" s="1">
        <f>IFERROR(__xludf.DUMMYFUNCTION("""COMPUTED_VALUE"""),81800.0)</f>
        <v>81800</v>
      </c>
      <c r="C2851" s="1">
        <f>IFERROR(__xludf.DUMMYFUNCTION("""COMPUTED_VALUE"""),83800.0)</f>
        <v>83800</v>
      </c>
      <c r="D2851" s="1">
        <f>IFERROR(__xludf.DUMMYFUNCTION("""COMPUTED_VALUE"""),81500.0)</f>
        <v>81500</v>
      </c>
      <c r="E2851" s="1">
        <f>IFERROR(__xludf.DUMMYFUNCTION("""COMPUTED_VALUE"""),83200.0)</f>
        <v>83200</v>
      </c>
      <c r="F2851" s="1">
        <f>IFERROR(__xludf.DUMMYFUNCTION("""COMPUTED_VALUE"""),1541966.0)</f>
        <v>1541966</v>
      </c>
    </row>
    <row r="2852">
      <c r="A2852" s="2">
        <f>IFERROR(__xludf.DUMMYFUNCTION("""COMPUTED_VALUE"""),44783.64583333333)</f>
        <v>44783.64583</v>
      </c>
      <c r="B2852" s="1">
        <f>IFERROR(__xludf.DUMMYFUNCTION("""COMPUTED_VALUE"""),82300.0)</f>
        <v>82300</v>
      </c>
      <c r="C2852" s="1">
        <f>IFERROR(__xludf.DUMMYFUNCTION("""COMPUTED_VALUE"""),82800.0)</f>
        <v>82800</v>
      </c>
      <c r="D2852" s="1">
        <f>IFERROR(__xludf.DUMMYFUNCTION("""COMPUTED_VALUE"""),80300.0)</f>
        <v>80300</v>
      </c>
      <c r="E2852" s="1">
        <f>IFERROR(__xludf.DUMMYFUNCTION("""COMPUTED_VALUE"""),80300.0)</f>
        <v>80300</v>
      </c>
      <c r="F2852" s="1">
        <f>IFERROR(__xludf.DUMMYFUNCTION("""COMPUTED_VALUE"""),1428961.0)</f>
        <v>1428961</v>
      </c>
    </row>
    <row r="2853">
      <c r="A2853" s="2">
        <f>IFERROR(__xludf.DUMMYFUNCTION("""COMPUTED_VALUE"""),44784.64583333333)</f>
        <v>44784.64583</v>
      </c>
      <c r="B2853" s="1">
        <f>IFERROR(__xludf.DUMMYFUNCTION("""COMPUTED_VALUE"""),82600.0)</f>
        <v>82600</v>
      </c>
      <c r="C2853" s="1">
        <f>IFERROR(__xludf.DUMMYFUNCTION("""COMPUTED_VALUE"""),84300.0)</f>
        <v>84300</v>
      </c>
      <c r="D2853" s="1">
        <f>IFERROR(__xludf.DUMMYFUNCTION("""COMPUTED_VALUE"""),82400.0)</f>
        <v>82400</v>
      </c>
      <c r="E2853" s="1">
        <f>IFERROR(__xludf.DUMMYFUNCTION("""COMPUTED_VALUE"""),83700.0)</f>
        <v>83700</v>
      </c>
      <c r="F2853" s="1">
        <f>IFERROR(__xludf.DUMMYFUNCTION("""COMPUTED_VALUE"""),1918391.0)</f>
        <v>1918391</v>
      </c>
    </row>
    <row r="2854">
      <c r="A2854" s="2">
        <f>IFERROR(__xludf.DUMMYFUNCTION("""COMPUTED_VALUE"""),44785.64583333333)</f>
        <v>44785.64583</v>
      </c>
      <c r="B2854" s="1">
        <f>IFERROR(__xludf.DUMMYFUNCTION("""COMPUTED_VALUE"""),83000.0)</f>
        <v>83000</v>
      </c>
      <c r="C2854" s="1">
        <f>IFERROR(__xludf.DUMMYFUNCTION("""COMPUTED_VALUE"""),83200.0)</f>
        <v>83200</v>
      </c>
      <c r="D2854" s="1">
        <f>IFERROR(__xludf.DUMMYFUNCTION("""COMPUTED_VALUE"""),81700.0)</f>
        <v>81700</v>
      </c>
      <c r="E2854" s="1">
        <f>IFERROR(__xludf.DUMMYFUNCTION("""COMPUTED_VALUE"""),82500.0)</f>
        <v>82500</v>
      </c>
      <c r="F2854" s="1">
        <f>IFERROR(__xludf.DUMMYFUNCTION("""COMPUTED_VALUE"""),1069578.0)</f>
        <v>1069578</v>
      </c>
    </row>
    <row r="2855">
      <c r="A2855" s="2">
        <f>IFERROR(__xludf.DUMMYFUNCTION("""COMPUTED_VALUE"""),44789.64583333333)</f>
        <v>44789.64583</v>
      </c>
      <c r="B2855" s="1">
        <f>IFERROR(__xludf.DUMMYFUNCTION("""COMPUTED_VALUE"""),83000.0)</f>
        <v>83000</v>
      </c>
      <c r="C2855" s="1">
        <f>IFERROR(__xludf.DUMMYFUNCTION("""COMPUTED_VALUE"""),83200.0)</f>
        <v>83200</v>
      </c>
      <c r="D2855" s="1">
        <f>IFERROR(__xludf.DUMMYFUNCTION("""COMPUTED_VALUE"""),80500.0)</f>
        <v>80500</v>
      </c>
      <c r="E2855" s="1">
        <f>IFERROR(__xludf.DUMMYFUNCTION("""COMPUTED_VALUE"""),80700.0)</f>
        <v>80700</v>
      </c>
      <c r="F2855" s="1">
        <f>IFERROR(__xludf.DUMMYFUNCTION("""COMPUTED_VALUE"""),1798225.0)</f>
        <v>1798225</v>
      </c>
    </row>
    <row r="2856">
      <c r="A2856" s="2">
        <f>IFERROR(__xludf.DUMMYFUNCTION("""COMPUTED_VALUE"""),44790.64583333333)</f>
        <v>44790.64583</v>
      </c>
      <c r="B2856" s="1">
        <f>IFERROR(__xludf.DUMMYFUNCTION("""COMPUTED_VALUE"""),80800.0)</f>
        <v>80800</v>
      </c>
      <c r="C2856" s="1">
        <f>IFERROR(__xludf.DUMMYFUNCTION("""COMPUTED_VALUE"""),81200.0)</f>
        <v>81200</v>
      </c>
      <c r="D2856" s="1">
        <f>IFERROR(__xludf.DUMMYFUNCTION("""COMPUTED_VALUE"""),79600.0)</f>
        <v>79600</v>
      </c>
      <c r="E2856" s="1">
        <f>IFERROR(__xludf.DUMMYFUNCTION("""COMPUTED_VALUE"""),80100.0)</f>
        <v>80100</v>
      </c>
      <c r="F2856" s="1">
        <f>IFERROR(__xludf.DUMMYFUNCTION("""COMPUTED_VALUE"""),1041971.0)</f>
        <v>1041971</v>
      </c>
    </row>
    <row r="2857">
      <c r="A2857" s="2">
        <f>IFERROR(__xludf.DUMMYFUNCTION("""COMPUTED_VALUE"""),44791.64583333333)</f>
        <v>44791.64583</v>
      </c>
      <c r="B2857" s="1">
        <f>IFERROR(__xludf.DUMMYFUNCTION("""COMPUTED_VALUE"""),79400.0)</f>
        <v>79400</v>
      </c>
      <c r="C2857" s="1">
        <f>IFERROR(__xludf.DUMMYFUNCTION("""COMPUTED_VALUE"""),79600.0)</f>
        <v>79600</v>
      </c>
      <c r="D2857" s="1">
        <f>IFERROR(__xludf.DUMMYFUNCTION("""COMPUTED_VALUE"""),77500.0)</f>
        <v>77500</v>
      </c>
      <c r="E2857" s="1">
        <f>IFERROR(__xludf.DUMMYFUNCTION("""COMPUTED_VALUE"""),79200.0)</f>
        <v>79200</v>
      </c>
      <c r="F2857" s="1">
        <f>IFERROR(__xludf.DUMMYFUNCTION("""COMPUTED_VALUE"""),1640906.0)</f>
        <v>1640906</v>
      </c>
    </row>
    <row r="2858">
      <c r="A2858" s="2">
        <f>IFERROR(__xludf.DUMMYFUNCTION("""COMPUTED_VALUE"""),44792.64583333333)</f>
        <v>44792.64583</v>
      </c>
      <c r="B2858" s="1">
        <f>IFERROR(__xludf.DUMMYFUNCTION("""COMPUTED_VALUE"""),78300.0)</f>
        <v>78300</v>
      </c>
      <c r="C2858" s="1">
        <f>IFERROR(__xludf.DUMMYFUNCTION("""COMPUTED_VALUE"""),78800.0)</f>
        <v>78800</v>
      </c>
      <c r="D2858" s="1">
        <f>IFERROR(__xludf.DUMMYFUNCTION("""COMPUTED_VALUE"""),76400.0)</f>
        <v>76400</v>
      </c>
      <c r="E2858" s="1">
        <f>IFERROR(__xludf.DUMMYFUNCTION("""COMPUTED_VALUE"""),76700.0)</f>
        <v>76700</v>
      </c>
      <c r="F2858" s="1">
        <f>IFERROR(__xludf.DUMMYFUNCTION("""COMPUTED_VALUE"""),1804047.0)</f>
        <v>1804047</v>
      </c>
    </row>
    <row r="2859">
      <c r="A2859" s="2">
        <f>IFERROR(__xludf.DUMMYFUNCTION("""COMPUTED_VALUE"""),44795.64583333333)</f>
        <v>44795.64583</v>
      </c>
      <c r="B2859" s="1">
        <f>IFERROR(__xludf.DUMMYFUNCTION("""COMPUTED_VALUE"""),75600.0)</f>
        <v>75600</v>
      </c>
      <c r="C2859" s="1">
        <f>IFERROR(__xludf.DUMMYFUNCTION("""COMPUTED_VALUE"""),76300.0)</f>
        <v>76300</v>
      </c>
      <c r="D2859" s="1">
        <f>IFERROR(__xludf.DUMMYFUNCTION("""COMPUTED_VALUE"""),74600.0)</f>
        <v>74600</v>
      </c>
      <c r="E2859" s="1">
        <f>IFERROR(__xludf.DUMMYFUNCTION("""COMPUTED_VALUE"""),75000.0)</f>
        <v>75000</v>
      </c>
      <c r="F2859" s="1">
        <f>IFERROR(__xludf.DUMMYFUNCTION("""COMPUTED_VALUE"""),1250643.0)</f>
        <v>1250643</v>
      </c>
    </row>
    <row r="2860">
      <c r="A2860" s="2">
        <f>IFERROR(__xludf.DUMMYFUNCTION("""COMPUTED_VALUE"""),44796.64583333333)</f>
        <v>44796.64583</v>
      </c>
      <c r="B2860" s="1">
        <f>IFERROR(__xludf.DUMMYFUNCTION("""COMPUTED_VALUE"""),74800.0)</f>
        <v>74800</v>
      </c>
      <c r="C2860" s="1">
        <f>IFERROR(__xludf.DUMMYFUNCTION("""COMPUTED_VALUE"""),75800.0)</f>
        <v>75800</v>
      </c>
      <c r="D2860" s="1">
        <f>IFERROR(__xludf.DUMMYFUNCTION("""COMPUTED_VALUE"""),74200.0)</f>
        <v>74200</v>
      </c>
      <c r="E2860" s="1">
        <f>IFERROR(__xludf.DUMMYFUNCTION("""COMPUTED_VALUE"""),74800.0)</f>
        <v>74800</v>
      </c>
      <c r="F2860" s="1">
        <f>IFERROR(__xludf.DUMMYFUNCTION("""COMPUTED_VALUE"""),1327312.0)</f>
        <v>1327312</v>
      </c>
    </row>
    <row r="2861">
      <c r="A2861" s="2">
        <f>IFERROR(__xludf.DUMMYFUNCTION("""COMPUTED_VALUE"""),44797.64583333333)</f>
        <v>44797.64583</v>
      </c>
      <c r="B2861" s="1">
        <f>IFERROR(__xludf.DUMMYFUNCTION("""COMPUTED_VALUE"""),74900.0)</f>
        <v>74900</v>
      </c>
      <c r="C2861" s="1">
        <f>IFERROR(__xludf.DUMMYFUNCTION("""COMPUTED_VALUE"""),75500.0)</f>
        <v>75500</v>
      </c>
      <c r="D2861" s="1">
        <f>IFERROR(__xludf.DUMMYFUNCTION("""COMPUTED_VALUE"""),74200.0)</f>
        <v>74200</v>
      </c>
      <c r="E2861" s="1">
        <f>IFERROR(__xludf.DUMMYFUNCTION("""COMPUTED_VALUE"""),74900.0)</f>
        <v>74900</v>
      </c>
      <c r="F2861" s="1">
        <f>IFERROR(__xludf.DUMMYFUNCTION("""COMPUTED_VALUE"""),936191.0)</f>
        <v>936191</v>
      </c>
    </row>
    <row r="2862">
      <c r="A2862" s="2">
        <f>IFERROR(__xludf.DUMMYFUNCTION("""COMPUTED_VALUE"""),44798.64583333333)</f>
        <v>44798.64583</v>
      </c>
      <c r="B2862" s="1">
        <f>IFERROR(__xludf.DUMMYFUNCTION("""COMPUTED_VALUE"""),75400.0)</f>
        <v>75400</v>
      </c>
      <c r="C2862" s="1">
        <f>IFERROR(__xludf.DUMMYFUNCTION("""COMPUTED_VALUE"""),76800.0)</f>
        <v>76800</v>
      </c>
      <c r="D2862" s="1">
        <f>IFERROR(__xludf.DUMMYFUNCTION("""COMPUTED_VALUE"""),75000.0)</f>
        <v>75000</v>
      </c>
      <c r="E2862" s="1">
        <f>IFERROR(__xludf.DUMMYFUNCTION("""COMPUTED_VALUE"""),76100.0)</f>
        <v>76100</v>
      </c>
      <c r="F2862" s="1">
        <f>IFERROR(__xludf.DUMMYFUNCTION("""COMPUTED_VALUE"""),1252757.0)</f>
        <v>1252757</v>
      </c>
    </row>
    <row r="2863">
      <c r="A2863" s="2">
        <f>IFERROR(__xludf.DUMMYFUNCTION("""COMPUTED_VALUE"""),44799.64583333333)</f>
        <v>44799.64583</v>
      </c>
      <c r="B2863" s="1">
        <f>IFERROR(__xludf.DUMMYFUNCTION("""COMPUTED_VALUE"""),76700.0)</f>
        <v>76700</v>
      </c>
      <c r="C2863" s="1">
        <f>IFERROR(__xludf.DUMMYFUNCTION("""COMPUTED_VALUE"""),77200.0)</f>
        <v>77200</v>
      </c>
      <c r="D2863" s="1">
        <f>IFERROR(__xludf.DUMMYFUNCTION("""COMPUTED_VALUE"""),75500.0)</f>
        <v>75500</v>
      </c>
      <c r="E2863" s="1">
        <f>IFERROR(__xludf.DUMMYFUNCTION("""COMPUTED_VALUE"""),76000.0)</f>
        <v>76000</v>
      </c>
      <c r="F2863" s="1">
        <f>IFERROR(__xludf.DUMMYFUNCTION("""COMPUTED_VALUE"""),993727.0)</f>
        <v>993727</v>
      </c>
    </row>
    <row r="2864">
      <c r="A2864" s="2">
        <f>IFERROR(__xludf.DUMMYFUNCTION("""COMPUTED_VALUE"""),44802.64583333333)</f>
        <v>44802.64583</v>
      </c>
      <c r="B2864" s="1">
        <f>IFERROR(__xludf.DUMMYFUNCTION("""COMPUTED_VALUE"""),72800.0)</f>
        <v>72800</v>
      </c>
      <c r="C2864" s="1">
        <f>IFERROR(__xludf.DUMMYFUNCTION("""COMPUTED_VALUE"""),73400.0)</f>
        <v>73400</v>
      </c>
      <c r="D2864" s="1">
        <f>IFERROR(__xludf.DUMMYFUNCTION("""COMPUTED_VALUE"""),71800.0)</f>
        <v>71800</v>
      </c>
      <c r="E2864" s="1">
        <f>IFERROR(__xludf.DUMMYFUNCTION("""COMPUTED_VALUE"""),72200.0)</f>
        <v>72200</v>
      </c>
      <c r="F2864" s="1">
        <f>IFERROR(__xludf.DUMMYFUNCTION("""COMPUTED_VALUE"""),1632297.0)</f>
        <v>1632297</v>
      </c>
    </row>
    <row r="2865">
      <c r="A2865" s="2">
        <f>IFERROR(__xludf.DUMMYFUNCTION("""COMPUTED_VALUE"""),44803.64583333333)</f>
        <v>44803.64583</v>
      </c>
      <c r="B2865" s="1">
        <f>IFERROR(__xludf.DUMMYFUNCTION("""COMPUTED_VALUE"""),72500.0)</f>
        <v>72500</v>
      </c>
      <c r="C2865" s="1">
        <f>IFERROR(__xludf.DUMMYFUNCTION("""COMPUTED_VALUE"""),73500.0)</f>
        <v>73500</v>
      </c>
      <c r="D2865" s="1">
        <f>IFERROR(__xludf.DUMMYFUNCTION("""COMPUTED_VALUE"""),72500.0)</f>
        <v>72500</v>
      </c>
      <c r="E2865" s="1">
        <f>IFERROR(__xludf.DUMMYFUNCTION("""COMPUTED_VALUE"""),73200.0)</f>
        <v>73200</v>
      </c>
      <c r="F2865" s="1">
        <f>IFERROR(__xludf.DUMMYFUNCTION("""COMPUTED_VALUE"""),802825.0)</f>
        <v>802825</v>
      </c>
    </row>
    <row r="2866">
      <c r="A2866" s="2">
        <f>IFERROR(__xludf.DUMMYFUNCTION("""COMPUTED_VALUE"""),44804.64583333333)</f>
        <v>44804.64583</v>
      </c>
      <c r="B2866" s="1">
        <f>IFERROR(__xludf.DUMMYFUNCTION("""COMPUTED_VALUE"""),72300.0)</f>
        <v>72300</v>
      </c>
      <c r="C2866" s="1">
        <f>IFERROR(__xludf.DUMMYFUNCTION("""COMPUTED_VALUE"""),73700.0)</f>
        <v>73700</v>
      </c>
      <c r="D2866" s="1">
        <f>IFERROR(__xludf.DUMMYFUNCTION("""COMPUTED_VALUE"""),71800.0)</f>
        <v>71800</v>
      </c>
      <c r="E2866" s="1">
        <f>IFERROR(__xludf.DUMMYFUNCTION("""COMPUTED_VALUE"""),73400.0)</f>
        <v>73400</v>
      </c>
      <c r="F2866" s="1">
        <f>IFERROR(__xludf.DUMMYFUNCTION("""COMPUTED_VALUE"""),1348480.0)</f>
        <v>1348480</v>
      </c>
    </row>
    <row r="2867">
      <c r="A2867" s="2">
        <f>IFERROR(__xludf.DUMMYFUNCTION("""COMPUTED_VALUE"""),44805.64583333333)</f>
        <v>44805.64583</v>
      </c>
      <c r="B2867" s="1">
        <f>IFERROR(__xludf.DUMMYFUNCTION("""COMPUTED_VALUE"""),72300.0)</f>
        <v>72300</v>
      </c>
      <c r="C2867" s="1">
        <f>IFERROR(__xludf.DUMMYFUNCTION("""COMPUTED_VALUE"""),72500.0)</f>
        <v>72500</v>
      </c>
      <c r="D2867" s="1">
        <f>IFERROR(__xludf.DUMMYFUNCTION("""COMPUTED_VALUE"""),71200.0)</f>
        <v>71200</v>
      </c>
      <c r="E2867" s="1">
        <f>IFERROR(__xludf.DUMMYFUNCTION("""COMPUTED_VALUE"""),71400.0)</f>
        <v>71400</v>
      </c>
      <c r="F2867" s="1">
        <f>IFERROR(__xludf.DUMMYFUNCTION("""COMPUTED_VALUE"""),1275977.0)</f>
        <v>1275977</v>
      </c>
    </row>
    <row r="2868">
      <c r="A2868" s="2">
        <f>IFERROR(__xludf.DUMMYFUNCTION("""COMPUTED_VALUE"""),44806.64583333333)</f>
        <v>44806.64583</v>
      </c>
      <c r="B2868" s="1">
        <f>IFERROR(__xludf.DUMMYFUNCTION("""COMPUTED_VALUE"""),72100.0)</f>
        <v>72100</v>
      </c>
      <c r="C2868" s="1">
        <f>IFERROR(__xludf.DUMMYFUNCTION("""COMPUTED_VALUE"""),72200.0)</f>
        <v>72200</v>
      </c>
      <c r="D2868" s="1">
        <f>IFERROR(__xludf.DUMMYFUNCTION("""COMPUTED_VALUE"""),70000.0)</f>
        <v>70000</v>
      </c>
      <c r="E2868" s="1">
        <f>IFERROR(__xludf.DUMMYFUNCTION("""COMPUTED_VALUE"""),70200.0)</f>
        <v>70200</v>
      </c>
      <c r="F2868" s="1">
        <f>IFERROR(__xludf.DUMMYFUNCTION("""COMPUTED_VALUE"""),1201760.0)</f>
        <v>1201760</v>
      </c>
    </row>
    <row r="2869">
      <c r="A2869" s="2">
        <f>IFERROR(__xludf.DUMMYFUNCTION("""COMPUTED_VALUE"""),44809.64583333333)</f>
        <v>44809.64583</v>
      </c>
      <c r="B2869" s="1">
        <f>IFERROR(__xludf.DUMMYFUNCTION("""COMPUTED_VALUE"""),69800.0)</f>
        <v>69800</v>
      </c>
      <c r="C2869" s="1">
        <f>IFERROR(__xludf.DUMMYFUNCTION("""COMPUTED_VALUE"""),70800.0)</f>
        <v>70800</v>
      </c>
      <c r="D2869" s="1">
        <f>IFERROR(__xludf.DUMMYFUNCTION("""COMPUTED_VALUE"""),69400.0)</f>
        <v>69400</v>
      </c>
      <c r="E2869" s="1">
        <f>IFERROR(__xludf.DUMMYFUNCTION("""COMPUTED_VALUE"""),70000.0)</f>
        <v>70000</v>
      </c>
      <c r="F2869" s="1">
        <f>IFERROR(__xludf.DUMMYFUNCTION("""COMPUTED_VALUE"""),865940.0)</f>
        <v>865940</v>
      </c>
    </row>
    <row r="2870">
      <c r="A2870" s="2">
        <f>IFERROR(__xludf.DUMMYFUNCTION("""COMPUTED_VALUE"""),44810.64583333333)</f>
        <v>44810.64583</v>
      </c>
      <c r="B2870" s="1">
        <f>IFERROR(__xludf.DUMMYFUNCTION("""COMPUTED_VALUE"""),70000.0)</f>
        <v>70000</v>
      </c>
      <c r="C2870" s="1">
        <f>IFERROR(__xludf.DUMMYFUNCTION("""COMPUTED_VALUE"""),70600.0)</f>
        <v>70600</v>
      </c>
      <c r="D2870" s="1">
        <f>IFERROR(__xludf.DUMMYFUNCTION("""COMPUTED_VALUE"""),69500.0)</f>
        <v>69500</v>
      </c>
      <c r="E2870" s="1">
        <f>IFERROR(__xludf.DUMMYFUNCTION("""COMPUTED_VALUE"""),69700.0)</f>
        <v>69700</v>
      </c>
      <c r="F2870" s="1">
        <f>IFERROR(__xludf.DUMMYFUNCTION("""COMPUTED_VALUE"""),744418.0)</f>
        <v>744418</v>
      </c>
    </row>
    <row r="2871">
      <c r="A2871" s="2">
        <f>IFERROR(__xludf.DUMMYFUNCTION("""COMPUTED_VALUE"""),44811.64583333333)</f>
        <v>44811.64583</v>
      </c>
      <c r="B2871" s="1">
        <f>IFERROR(__xludf.DUMMYFUNCTION("""COMPUTED_VALUE"""),69100.0)</f>
        <v>69100</v>
      </c>
      <c r="C2871" s="1">
        <f>IFERROR(__xludf.DUMMYFUNCTION("""COMPUTED_VALUE"""),69200.0)</f>
        <v>69200</v>
      </c>
      <c r="D2871" s="1">
        <f>IFERROR(__xludf.DUMMYFUNCTION("""COMPUTED_VALUE"""),67000.0)</f>
        <v>67000</v>
      </c>
      <c r="E2871" s="1">
        <f>IFERROR(__xludf.DUMMYFUNCTION("""COMPUTED_VALUE"""),67500.0)</f>
        <v>67500</v>
      </c>
      <c r="F2871" s="1">
        <f>IFERROR(__xludf.DUMMYFUNCTION("""COMPUTED_VALUE"""),1793068.0)</f>
        <v>1793068</v>
      </c>
    </row>
    <row r="2872">
      <c r="A2872" s="2">
        <f>IFERROR(__xludf.DUMMYFUNCTION("""COMPUTED_VALUE"""),44812.64583333333)</f>
        <v>44812.64583</v>
      </c>
      <c r="B2872" s="1">
        <f>IFERROR(__xludf.DUMMYFUNCTION("""COMPUTED_VALUE"""),68500.0)</f>
        <v>68500</v>
      </c>
      <c r="C2872" s="1">
        <f>IFERROR(__xludf.DUMMYFUNCTION("""COMPUTED_VALUE"""),69200.0)</f>
        <v>69200</v>
      </c>
      <c r="D2872" s="1">
        <f>IFERROR(__xludf.DUMMYFUNCTION("""COMPUTED_VALUE"""),67600.0)</f>
        <v>67600</v>
      </c>
      <c r="E2872" s="1">
        <f>IFERROR(__xludf.DUMMYFUNCTION("""COMPUTED_VALUE"""),68000.0)</f>
        <v>68000</v>
      </c>
      <c r="F2872" s="1">
        <f>IFERROR(__xludf.DUMMYFUNCTION("""COMPUTED_VALUE"""),1169203.0)</f>
        <v>1169203</v>
      </c>
    </row>
    <row r="2873">
      <c r="A2873" s="2">
        <f>IFERROR(__xludf.DUMMYFUNCTION("""COMPUTED_VALUE"""),44817.64583333333)</f>
        <v>44817.64583</v>
      </c>
      <c r="B2873" s="1">
        <f>IFERROR(__xludf.DUMMYFUNCTION("""COMPUTED_VALUE"""),69100.0)</f>
        <v>69100</v>
      </c>
      <c r="C2873" s="1">
        <f>IFERROR(__xludf.DUMMYFUNCTION("""COMPUTED_VALUE"""),70800.0)</f>
        <v>70800</v>
      </c>
      <c r="D2873" s="1">
        <f>IFERROR(__xludf.DUMMYFUNCTION("""COMPUTED_VALUE"""),69100.0)</f>
        <v>69100</v>
      </c>
      <c r="E2873" s="1">
        <f>IFERROR(__xludf.DUMMYFUNCTION("""COMPUTED_VALUE"""),70000.0)</f>
        <v>70000</v>
      </c>
      <c r="F2873" s="1">
        <f>IFERROR(__xludf.DUMMYFUNCTION("""COMPUTED_VALUE"""),2103796.0)</f>
        <v>2103796</v>
      </c>
    </row>
    <row r="2874">
      <c r="A2874" s="2">
        <f>IFERROR(__xludf.DUMMYFUNCTION("""COMPUTED_VALUE"""),44818.64583333333)</f>
        <v>44818.64583</v>
      </c>
      <c r="B2874" s="1">
        <f>IFERROR(__xludf.DUMMYFUNCTION("""COMPUTED_VALUE"""),67000.0)</f>
        <v>67000</v>
      </c>
      <c r="C2874" s="1">
        <f>IFERROR(__xludf.DUMMYFUNCTION("""COMPUTED_VALUE"""),68500.0)</f>
        <v>68500</v>
      </c>
      <c r="D2874" s="1">
        <f>IFERROR(__xludf.DUMMYFUNCTION("""COMPUTED_VALUE"""),66500.0)</f>
        <v>66500</v>
      </c>
      <c r="E2874" s="1">
        <f>IFERROR(__xludf.DUMMYFUNCTION("""COMPUTED_VALUE"""),68100.0)</f>
        <v>68100</v>
      </c>
      <c r="F2874" s="1">
        <f>IFERROR(__xludf.DUMMYFUNCTION("""COMPUTED_VALUE"""),1827706.0)</f>
        <v>1827706</v>
      </c>
    </row>
    <row r="2875">
      <c r="A2875" s="2">
        <f>IFERROR(__xludf.DUMMYFUNCTION("""COMPUTED_VALUE"""),44819.64583333333)</f>
        <v>44819.64583</v>
      </c>
      <c r="B2875" s="1">
        <f>IFERROR(__xludf.DUMMYFUNCTION("""COMPUTED_VALUE"""),68600.0)</f>
        <v>68600</v>
      </c>
      <c r="C2875" s="1">
        <f>IFERROR(__xludf.DUMMYFUNCTION("""COMPUTED_VALUE"""),69000.0)</f>
        <v>69000</v>
      </c>
      <c r="D2875" s="1">
        <f>IFERROR(__xludf.DUMMYFUNCTION("""COMPUTED_VALUE"""),67400.0)</f>
        <v>67400</v>
      </c>
      <c r="E2875" s="1">
        <f>IFERROR(__xludf.DUMMYFUNCTION("""COMPUTED_VALUE"""),67400.0)</f>
        <v>67400</v>
      </c>
      <c r="F2875" s="1">
        <f>IFERROR(__xludf.DUMMYFUNCTION("""COMPUTED_VALUE"""),984996.0)</f>
        <v>984996</v>
      </c>
    </row>
    <row r="2876">
      <c r="A2876" s="2">
        <f>IFERROR(__xludf.DUMMYFUNCTION("""COMPUTED_VALUE"""),44820.64583333333)</f>
        <v>44820.64583</v>
      </c>
      <c r="B2876" s="1">
        <f>IFERROR(__xludf.DUMMYFUNCTION("""COMPUTED_VALUE"""),66700.0)</f>
        <v>66700</v>
      </c>
      <c r="C2876" s="1">
        <f>IFERROR(__xludf.DUMMYFUNCTION("""COMPUTED_VALUE"""),67700.0)</f>
        <v>67700</v>
      </c>
      <c r="D2876" s="1">
        <f>IFERROR(__xludf.DUMMYFUNCTION("""COMPUTED_VALUE"""),66300.0)</f>
        <v>66300</v>
      </c>
      <c r="E2876" s="1">
        <f>IFERROR(__xludf.DUMMYFUNCTION("""COMPUTED_VALUE"""),66900.0)</f>
        <v>66900</v>
      </c>
      <c r="F2876" s="1">
        <f>IFERROR(__xludf.DUMMYFUNCTION("""COMPUTED_VALUE"""),922538.0)</f>
        <v>922538</v>
      </c>
    </row>
    <row r="2877">
      <c r="A2877" s="2">
        <f>IFERROR(__xludf.DUMMYFUNCTION("""COMPUTED_VALUE"""),44823.64583333333)</f>
        <v>44823.64583</v>
      </c>
      <c r="B2877" s="1">
        <f>IFERROR(__xludf.DUMMYFUNCTION("""COMPUTED_VALUE"""),67100.0)</f>
        <v>67100</v>
      </c>
      <c r="C2877" s="1">
        <f>IFERROR(__xludf.DUMMYFUNCTION("""COMPUTED_VALUE"""),67300.0)</f>
        <v>67300</v>
      </c>
      <c r="D2877" s="1">
        <f>IFERROR(__xludf.DUMMYFUNCTION("""COMPUTED_VALUE"""),65400.0)</f>
        <v>65400</v>
      </c>
      <c r="E2877" s="1">
        <f>IFERROR(__xludf.DUMMYFUNCTION("""COMPUTED_VALUE"""),65400.0)</f>
        <v>65400</v>
      </c>
      <c r="F2877" s="1">
        <f>IFERROR(__xludf.DUMMYFUNCTION("""COMPUTED_VALUE"""),1132357.0)</f>
        <v>1132357</v>
      </c>
    </row>
    <row r="2878">
      <c r="A2878" s="2">
        <f>IFERROR(__xludf.DUMMYFUNCTION("""COMPUTED_VALUE"""),44824.64583333333)</f>
        <v>44824.64583</v>
      </c>
      <c r="B2878" s="1">
        <f>IFERROR(__xludf.DUMMYFUNCTION("""COMPUTED_VALUE"""),66400.0)</f>
        <v>66400</v>
      </c>
      <c r="C2878" s="1">
        <f>IFERROR(__xludf.DUMMYFUNCTION("""COMPUTED_VALUE"""),66600.0)</f>
        <v>66600</v>
      </c>
      <c r="D2878" s="1">
        <f>IFERROR(__xludf.DUMMYFUNCTION("""COMPUTED_VALUE"""),65300.0)</f>
        <v>65300</v>
      </c>
      <c r="E2878" s="1">
        <f>IFERROR(__xludf.DUMMYFUNCTION("""COMPUTED_VALUE"""),65300.0)</f>
        <v>65300</v>
      </c>
      <c r="F2878" s="1">
        <f>IFERROR(__xludf.DUMMYFUNCTION("""COMPUTED_VALUE"""),854697.0)</f>
        <v>854697</v>
      </c>
    </row>
    <row r="2879">
      <c r="A2879" s="2">
        <f>IFERROR(__xludf.DUMMYFUNCTION("""COMPUTED_VALUE"""),44825.64583333333)</f>
        <v>44825.64583</v>
      </c>
      <c r="B2879" s="1">
        <f>IFERROR(__xludf.DUMMYFUNCTION("""COMPUTED_VALUE"""),64900.0)</f>
        <v>64900</v>
      </c>
      <c r="C2879" s="1">
        <f>IFERROR(__xludf.DUMMYFUNCTION("""COMPUTED_VALUE"""),65300.0)</f>
        <v>65300</v>
      </c>
      <c r="D2879" s="1">
        <f>IFERROR(__xludf.DUMMYFUNCTION("""COMPUTED_VALUE"""),63600.0)</f>
        <v>63600</v>
      </c>
      <c r="E2879" s="1">
        <f>IFERROR(__xludf.DUMMYFUNCTION("""COMPUTED_VALUE"""),64000.0)</f>
        <v>64000</v>
      </c>
      <c r="F2879" s="1">
        <f>IFERROR(__xludf.DUMMYFUNCTION("""COMPUTED_VALUE"""),1056852.0)</f>
        <v>1056852</v>
      </c>
    </row>
    <row r="2880">
      <c r="A2880" s="2">
        <f>IFERROR(__xludf.DUMMYFUNCTION("""COMPUTED_VALUE"""),44826.64583333333)</f>
        <v>44826.64583</v>
      </c>
      <c r="B2880" s="1">
        <f>IFERROR(__xludf.DUMMYFUNCTION("""COMPUTED_VALUE"""),62700.0)</f>
        <v>62700</v>
      </c>
      <c r="C2880" s="1">
        <f>IFERROR(__xludf.DUMMYFUNCTION("""COMPUTED_VALUE"""),62800.0)</f>
        <v>62800</v>
      </c>
      <c r="D2880" s="1">
        <f>IFERROR(__xludf.DUMMYFUNCTION("""COMPUTED_VALUE"""),61100.0)</f>
        <v>61100</v>
      </c>
      <c r="E2880" s="1">
        <f>IFERROR(__xludf.DUMMYFUNCTION("""COMPUTED_VALUE"""),61300.0)</f>
        <v>61300</v>
      </c>
      <c r="F2880" s="1">
        <f>IFERROR(__xludf.DUMMYFUNCTION("""COMPUTED_VALUE"""),1743099.0)</f>
        <v>1743099</v>
      </c>
    </row>
    <row r="2881">
      <c r="A2881" s="2">
        <f>IFERROR(__xludf.DUMMYFUNCTION("""COMPUTED_VALUE"""),44827.64583333333)</f>
        <v>44827.64583</v>
      </c>
      <c r="B2881" s="1">
        <f>IFERROR(__xludf.DUMMYFUNCTION("""COMPUTED_VALUE"""),61300.0)</f>
        <v>61300</v>
      </c>
      <c r="C2881" s="1">
        <f>IFERROR(__xludf.DUMMYFUNCTION("""COMPUTED_VALUE"""),61800.0)</f>
        <v>61800</v>
      </c>
      <c r="D2881" s="1">
        <f>IFERROR(__xludf.DUMMYFUNCTION("""COMPUTED_VALUE"""),60900.0)</f>
        <v>60900</v>
      </c>
      <c r="E2881" s="1">
        <f>IFERROR(__xludf.DUMMYFUNCTION("""COMPUTED_VALUE"""),61000.0)</f>
        <v>61000</v>
      </c>
      <c r="F2881" s="1">
        <f>IFERROR(__xludf.DUMMYFUNCTION("""COMPUTED_VALUE"""),1660303.0)</f>
        <v>1660303</v>
      </c>
    </row>
    <row r="2882">
      <c r="A2882" s="2">
        <f>IFERROR(__xludf.DUMMYFUNCTION("""COMPUTED_VALUE"""),44830.64583333333)</f>
        <v>44830.64583</v>
      </c>
      <c r="B2882" s="1">
        <f>IFERROR(__xludf.DUMMYFUNCTION("""COMPUTED_VALUE"""),60100.0)</f>
        <v>60100</v>
      </c>
      <c r="C2882" s="1">
        <f>IFERROR(__xludf.DUMMYFUNCTION("""COMPUTED_VALUE"""),61000.0)</f>
        <v>61000</v>
      </c>
      <c r="D2882" s="1">
        <f>IFERROR(__xludf.DUMMYFUNCTION("""COMPUTED_VALUE"""),59200.0)</f>
        <v>59200</v>
      </c>
      <c r="E2882" s="1">
        <f>IFERROR(__xludf.DUMMYFUNCTION("""COMPUTED_VALUE"""),59700.0)</f>
        <v>59700</v>
      </c>
      <c r="F2882" s="1">
        <f>IFERROR(__xludf.DUMMYFUNCTION("""COMPUTED_VALUE"""),1983320.0)</f>
        <v>1983320</v>
      </c>
    </row>
    <row r="2883">
      <c r="A2883" s="2">
        <f>IFERROR(__xludf.DUMMYFUNCTION("""COMPUTED_VALUE"""),44831.64583333333)</f>
        <v>44831.64583</v>
      </c>
      <c r="B2883" s="1">
        <f>IFERROR(__xludf.DUMMYFUNCTION("""COMPUTED_VALUE"""),59500.0)</f>
        <v>59500</v>
      </c>
      <c r="C2883" s="1">
        <f>IFERROR(__xludf.DUMMYFUNCTION("""COMPUTED_VALUE"""),60300.0)</f>
        <v>60300</v>
      </c>
      <c r="D2883" s="1">
        <f>IFERROR(__xludf.DUMMYFUNCTION("""COMPUTED_VALUE"""),57800.0)</f>
        <v>57800</v>
      </c>
      <c r="E2883" s="1">
        <f>IFERROR(__xludf.DUMMYFUNCTION("""COMPUTED_VALUE"""),59300.0)</f>
        <v>59300</v>
      </c>
      <c r="F2883" s="1">
        <f>IFERROR(__xludf.DUMMYFUNCTION("""COMPUTED_VALUE"""),1807942.0)</f>
        <v>1807942</v>
      </c>
    </row>
    <row r="2884">
      <c r="A2884" s="2">
        <f>IFERROR(__xludf.DUMMYFUNCTION("""COMPUTED_VALUE"""),44832.64583333333)</f>
        <v>44832.64583</v>
      </c>
      <c r="B2884" s="1">
        <f>IFERROR(__xludf.DUMMYFUNCTION("""COMPUTED_VALUE"""),58600.0)</f>
        <v>58600</v>
      </c>
      <c r="C2884" s="1">
        <f>IFERROR(__xludf.DUMMYFUNCTION("""COMPUTED_VALUE"""),58800.0)</f>
        <v>58800</v>
      </c>
      <c r="D2884" s="1">
        <f>IFERROR(__xludf.DUMMYFUNCTION("""COMPUTED_VALUE"""),56100.0)</f>
        <v>56100</v>
      </c>
      <c r="E2884" s="1">
        <f>IFERROR(__xludf.DUMMYFUNCTION("""COMPUTED_VALUE"""),56900.0)</f>
        <v>56900</v>
      </c>
      <c r="F2884" s="1">
        <f>IFERROR(__xludf.DUMMYFUNCTION("""COMPUTED_VALUE"""),2387527.0)</f>
        <v>2387527</v>
      </c>
    </row>
    <row r="2885">
      <c r="A2885" s="2">
        <f>IFERROR(__xludf.DUMMYFUNCTION("""COMPUTED_VALUE"""),44833.64583333333)</f>
        <v>44833.64583</v>
      </c>
      <c r="B2885" s="1">
        <f>IFERROR(__xludf.DUMMYFUNCTION("""COMPUTED_VALUE"""),57700.0)</f>
        <v>57700</v>
      </c>
      <c r="C2885" s="1">
        <f>IFERROR(__xludf.DUMMYFUNCTION("""COMPUTED_VALUE"""),59000.0)</f>
        <v>59000</v>
      </c>
      <c r="D2885" s="1">
        <f>IFERROR(__xludf.DUMMYFUNCTION("""COMPUTED_VALUE"""),55800.0)</f>
        <v>55800</v>
      </c>
      <c r="E2885" s="1">
        <f>IFERROR(__xludf.DUMMYFUNCTION("""COMPUTED_VALUE"""),55900.0)</f>
        <v>55900</v>
      </c>
      <c r="F2885" s="1">
        <f>IFERROR(__xludf.DUMMYFUNCTION("""COMPUTED_VALUE"""),2212133.0)</f>
        <v>2212133</v>
      </c>
    </row>
    <row r="2886">
      <c r="A2886" s="2">
        <f>IFERROR(__xludf.DUMMYFUNCTION("""COMPUTED_VALUE"""),44834.64583333333)</f>
        <v>44834.64583</v>
      </c>
      <c r="B2886" s="1">
        <f>IFERROR(__xludf.DUMMYFUNCTION("""COMPUTED_VALUE"""),55200.0)</f>
        <v>55200</v>
      </c>
      <c r="C2886" s="1">
        <f>IFERROR(__xludf.DUMMYFUNCTION("""COMPUTED_VALUE"""),58000.0)</f>
        <v>58000</v>
      </c>
      <c r="D2886" s="1">
        <f>IFERROR(__xludf.DUMMYFUNCTION("""COMPUTED_VALUE"""),55000.0)</f>
        <v>55000</v>
      </c>
      <c r="E2886" s="1">
        <f>IFERROR(__xludf.DUMMYFUNCTION("""COMPUTED_VALUE"""),57100.0)</f>
        <v>57100</v>
      </c>
      <c r="F2886" s="1">
        <f>IFERROR(__xludf.DUMMYFUNCTION("""COMPUTED_VALUE"""),1882206.0)</f>
        <v>1882206</v>
      </c>
    </row>
    <row r="2887">
      <c r="A2887" s="2">
        <f>IFERROR(__xludf.DUMMYFUNCTION("""COMPUTED_VALUE"""),44838.64583333333)</f>
        <v>44838.64583</v>
      </c>
      <c r="B2887" s="1">
        <f>IFERROR(__xludf.DUMMYFUNCTION("""COMPUTED_VALUE"""),57700.0)</f>
        <v>57700</v>
      </c>
      <c r="C2887" s="1">
        <f>IFERROR(__xludf.DUMMYFUNCTION("""COMPUTED_VALUE"""),58100.0)</f>
        <v>58100</v>
      </c>
      <c r="D2887" s="1">
        <f>IFERROR(__xludf.DUMMYFUNCTION("""COMPUTED_VALUE"""),55100.0)</f>
        <v>55100</v>
      </c>
      <c r="E2887" s="1">
        <f>IFERROR(__xludf.DUMMYFUNCTION("""COMPUTED_VALUE"""),55900.0)</f>
        <v>55900</v>
      </c>
      <c r="F2887" s="1">
        <f>IFERROR(__xludf.DUMMYFUNCTION("""COMPUTED_VALUE"""),2220578.0)</f>
        <v>2220578</v>
      </c>
    </row>
    <row r="2888">
      <c r="A2888" s="2">
        <f>IFERROR(__xludf.DUMMYFUNCTION("""COMPUTED_VALUE"""),44839.64583333333)</f>
        <v>44839.64583</v>
      </c>
      <c r="B2888" s="1">
        <f>IFERROR(__xludf.DUMMYFUNCTION("""COMPUTED_VALUE"""),56700.0)</f>
        <v>56700</v>
      </c>
      <c r="C2888" s="1">
        <f>IFERROR(__xludf.DUMMYFUNCTION("""COMPUTED_VALUE"""),57100.0)</f>
        <v>57100</v>
      </c>
      <c r="D2888" s="1">
        <f>IFERROR(__xludf.DUMMYFUNCTION("""COMPUTED_VALUE"""),54300.0)</f>
        <v>54300</v>
      </c>
      <c r="E2888" s="1">
        <f>IFERROR(__xludf.DUMMYFUNCTION("""COMPUTED_VALUE"""),54500.0)</f>
        <v>54500</v>
      </c>
      <c r="F2888" s="1">
        <f>IFERROR(__xludf.DUMMYFUNCTION("""COMPUTED_VALUE"""),2107661.0)</f>
        <v>2107661</v>
      </c>
    </row>
    <row r="2889">
      <c r="A2889" s="2">
        <f>IFERROR(__xludf.DUMMYFUNCTION("""COMPUTED_VALUE"""),44840.64583333333)</f>
        <v>44840.64583</v>
      </c>
      <c r="B2889" s="1">
        <f>IFERROR(__xludf.DUMMYFUNCTION("""COMPUTED_VALUE"""),54600.0)</f>
        <v>54600</v>
      </c>
      <c r="C2889" s="1">
        <f>IFERROR(__xludf.DUMMYFUNCTION("""COMPUTED_VALUE"""),55700.0)</f>
        <v>55700</v>
      </c>
      <c r="D2889" s="1">
        <f>IFERROR(__xludf.DUMMYFUNCTION("""COMPUTED_VALUE"""),53900.0)</f>
        <v>53900</v>
      </c>
      <c r="E2889" s="1">
        <f>IFERROR(__xludf.DUMMYFUNCTION("""COMPUTED_VALUE"""),54800.0)</f>
        <v>54800</v>
      </c>
      <c r="F2889" s="1">
        <f>IFERROR(__xludf.DUMMYFUNCTION("""COMPUTED_VALUE"""),2123384.0)</f>
        <v>2123384</v>
      </c>
    </row>
    <row r="2890">
      <c r="A2890" s="2">
        <f>IFERROR(__xludf.DUMMYFUNCTION("""COMPUTED_VALUE"""),44841.64583333333)</f>
        <v>44841.64583</v>
      </c>
      <c r="B2890" s="1">
        <f>IFERROR(__xludf.DUMMYFUNCTION("""COMPUTED_VALUE"""),54300.0)</f>
        <v>54300</v>
      </c>
      <c r="C2890" s="1">
        <f>IFERROR(__xludf.DUMMYFUNCTION("""COMPUTED_VALUE"""),54800.0)</f>
        <v>54800</v>
      </c>
      <c r="D2890" s="1">
        <f>IFERROR(__xludf.DUMMYFUNCTION("""COMPUTED_VALUE"""),50500.0)</f>
        <v>50500</v>
      </c>
      <c r="E2890" s="1">
        <f>IFERROR(__xludf.DUMMYFUNCTION("""COMPUTED_VALUE"""),50900.0)</f>
        <v>50900</v>
      </c>
      <c r="F2890" s="1">
        <f>IFERROR(__xludf.DUMMYFUNCTION("""COMPUTED_VALUE"""),4265238.0)</f>
        <v>4265238</v>
      </c>
    </row>
    <row r="2891">
      <c r="A2891" s="2">
        <f>IFERROR(__xludf.DUMMYFUNCTION("""COMPUTED_VALUE"""),44845.64583333333)</f>
        <v>44845.64583</v>
      </c>
      <c r="B2891" s="1">
        <f>IFERROR(__xludf.DUMMYFUNCTION("""COMPUTED_VALUE"""),49350.0)</f>
        <v>49350</v>
      </c>
      <c r="C2891" s="1">
        <f>IFERROR(__xludf.DUMMYFUNCTION("""COMPUTED_VALUE"""),50400.0)</f>
        <v>50400</v>
      </c>
      <c r="D2891" s="1">
        <f>IFERROR(__xludf.DUMMYFUNCTION("""COMPUTED_VALUE"""),48800.0)</f>
        <v>48800</v>
      </c>
      <c r="E2891" s="1">
        <f>IFERROR(__xludf.DUMMYFUNCTION("""COMPUTED_VALUE"""),50100.0)</f>
        <v>50100</v>
      </c>
      <c r="F2891" s="1">
        <f>IFERROR(__xludf.DUMMYFUNCTION("""COMPUTED_VALUE"""),2430880.0)</f>
        <v>2430880</v>
      </c>
    </row>
    <row r="2892">
      <c r="A2892" s="2">
        <f>IFERROR(__xludf.DUMMYFUNCTION("""COMPUTED_VALUE"""),44846.64583333333)</f>
        <v>44846.64583</v>
      </c>
      <c r="B2892" s="1">
        <f>IFERROR(__xludf.DUMMYFUNCTION("""COMPUTED_VALUE"""),49850.0)</f>
        <v>49850</v>
      </c>
      <c r="C2892" s="1">
        <f>IFERROR(__xludf.DUMMYFUNCTION("""COMPUTED_VALUE"""),50300.0)</f>
        <v>50300</v>
      </c>
      <c r="D2892" s="1">
        <f>IFERROR(__xludf.DUMMYFUNCTION("""COMPUTED_VALUE"""),49000.0)</f>
        <v>49000</v>
      </c>
      <c r="E2892" s="1">
        <f>IFERROR(__xludf.DUMMYFUNCTION("""COMPUTED_VALUE"""),49850.0)</f>
        <v>49850</v>
      </c>
      <c r="F2892" s="1">
        <f>IFERROR(__xludf.DUMMYFUNCTION("""COMPUTED_VALUE"""),2106857.0)</f>
        <v>2106857</v>
      </c>
    </row>
    <row r="2893">
      <c r="A2893" s="2">
        <f>IFERROR(__xludf.DUMMYFUNCTION("""COMPUTED_VALUE"""),44847.64583333333)</f>
        <v>44847.64583</v>
      </c>
      <c r="B2893" s="1">
        <f>IFERROR(__xludf.DUMMYFUNCTION("""COMPUTED_VALUE"""),49400.0)</f>
        <v>49400</v>
      </c>
      <c r="C2893" s="1">
        <f>IFERROR(__xludf.DUMMYFUNCTION("""COMPUTED_VALUE"""),49500.0)</f>
        <v>49500</v>
      </c>
      <c r="D2893" s="1">
        <f>IFERROR(__xludf.DUMMYFUNCTION("""COMPUTED_VALUE"""),47300.0)</f>
        <v>47300</v>
      </c>
      <c r="E2893" s="1">
        <f>IFERROR(__xludf.DUMMYFUNCTION("""COMPUTED_VALUE"""),47300.0)</f>
        <v>47300</v>
      </c>
      <c r="F2893" s="1">
        <f>IFERROR(__xludf.DUMMYFUNCTION("""COMPUTED_VALUE"""),2538948.0)</f>
        <v>2538948</v>
      </c>
    </row>
    <row r="2894">
      <c r="A2894" s="2">
        <f>IFERROR(__xludf.DUMMYFUNCTION("""COMPUTED_VALUE"""),44848.64583333333)</f>
        <v>44848.64583</v>
      </c>
      <c r="B2894" s="1">
        <f>IFERROR(__xludf.DUMMYFUNCTION("""COMPUTED_VALUE"""),49050.0)</f>
        <v>49050</v>
      </c>
      <c r="C2894" s="1">
        <f>IFERROR(__xludf.DUMMYFUNCTION("""COMPUTED_VALUE"""),51500.0)</f>
        <v>51500</v>
      </c>
      <c r="D2894" s="1">
        <f>IFERROR(__xludf.DUMMYFUNCTION("""COMPUTED_VALUE"""),49050.0)</f>
        <v>49050</v>
      </c>
      <c r="E2894" s="1">
        <f>IFERROR(__xludf.DUMMYFUNCTION("""COMPUTED_VALUE"""),51400.0)</f>
        <v>51400</v>
      </c>
      <c r="F2894" s="1">
        <f>IFERROR(__xludf.DUMMYFUNCTION("""COMPUTED_VALUE"""),3872919.0)</f>
        <v>3872919</v>
      </c>
    </row>
    <row r="2895">
      <c r="A2895" s="2">
        <f>IFERROR(__xludf.DUMMYFUNCTION("""COMPUTED_VALUE"""),44851.64583333333)</f>
        <v>44851.64583</v>
      </c>
      <c r="B2895" s="1">
        <f>IFERROR(__xludf.DUMMYFUNCTION("""COMPUTED_VALUE"""),48000.0)</f>
        <v>48000</v>
      </c>
      <c r="C2895" s="1">
        <f>IFERROR(__xludf.DUMMYFUNCTION("""COMPUTED_VALUE"""),49150.0)</f>
        <v>49150</v>
      </c>
      <c r="D2895" s="1">
        <f>IFERROR(__xludf.DUMMYFUNCTION("""COMPUTED_VALUE"""),46500.0)</f>
        <v>46500</v>
      </c>
      <c r="E2895" s="1">
        <f>IFERROR(__xludf.DUMMYFUNCTION("""COMPUTED_VALUE"""),48350.0)</f>
        <v>48350</v>
      </c>
      <c r="F2895" s="1">
        <f>IFERROR(__xludf.DUMMYFUNCTION("""COMPUTED_VALUE"""),9711382.0)</f>
        <v>9711382</v>
      </c>
    </row>
    <row r="2896">
      <c r="A2896" s="2">
        <f>IFERROR(__xludf.DUMMYFUNCTION("""COMPUTED_VALUE"""),44852.64583333333)</f>
        <v>44852.64583</v>
      </c>
      <c r="B2896" s="1">
        <f>IFERROR(__xludf.DUMMYFUNCTION("""COMPUTED_VALUE"""),48900.0)</f>
        <v>48900</v>
      </c>
      <c r="C2896" s="1">
        <f>IFERROR(__xludf.DUMMYFUNCTION("""COMPUTED_VALUE"""),50200.0)</f>
        <v>50200</v>
      </c>
      <c r="D2896" s="1">
        <f>IFERROR(__xludf.DUMMYFUNCTION("""COMPUTED_VALUE"""),48400.0)</f>
        <v>48400</v>
      </c>
      <c r="E2896" s="1">
        <f>IFERROR(__xludf.DUMMYFUNCTION("""COMPUTED_VALUE"""),49400.0)</f>
        <v>49400</v>
      </c>
      <c r="F2896" s="1">
        <f>IFERROR(__xludf.DUMMYFUNCTION("""COMPUTED_VALUE"""),6284583.0)</f>
        <v>6284583</v>
      </c>
    </row>
    <row r="2897">
      <c r="A2897" s="2">
        <f>IFERROR(__xludf.DUMMYFUNCTION("""COMPUTED_VALUE"""),44853.64583333333)</f>
        <v>44853.64583</v>
      </c>
      <c r="B2897" s="1">
        <f>IFERROR(__xludf.DUMMYFUNCTION("""COMPUTED_VALUE"""),49800.0)</f>
        <v>49800</v>
      </c>
      <c r="C2897" s="1">
        <f>IFERROR(__xludf.DUMMYFUNCTION("""COMPUTED_VALUE"""),52200.0)</f>
        <v>52200</v>
      </c>
      <c r="D2897" s="1">
        <f>IFERROR(__xludf.DUMMYFUNCTION("""COMPUTED_VALUE"""),49400.0)</f>
        <v>49400</v>
      </c>
      <c r="E2897" s="1">
        <f>IFERROR(__xludf.DUMMYFUNCTION("""COMPUTED_VALUE"""),49800.0)</f>
        <v>49800</v>
      </c>
      <c r="F2897" s="1">
        <f>IFERROR(__xludf.DUMMYFUNCTION("""COMPUTED_VALUE"""),4540597.0)</f>
        <v>4540597</v>
      </c>
    </row>
    <row r="2898">
      <c r="A2898" s="2">
        <f>IFERROR(__xludf.DUMMYFUNCTION("""COMPUTED_VALUE"""),44854.64583333333)</f>
        <v>44854.64583</v>
      </c>
      <c r="B2898" s="1">
        <f>IFERROR(__xludf.DUMMYFUNCTION("""COMPUTED_VALUE"""),49800.0)</f>
        <v>49800</v>
      </c>
      <c r="C2898" s="1">
        <f>IFERROR(__xludf.DUMMYFUNCTION("""COMPUTED_VALUE"""),49800.0)</f>
        <v>49800</v>
      </c>
      <c r="D2898" s="1">
        <f>IFERROR(__xludf.DUMMYFUNCTION("""COMPUTED_VALUE"""),47300.0)</f>
        <v>47300</v>
      </c>
      <c r="E2898" s="1">
        <f>IFERROR(__xludf.DUMMYFUNCTION("""COMPUTED_VALUE"""),47750.0)</f>
        <v>47750</v>
      </c>
      <c r="F2898" s="1">
        <f>IFERROR(__xludf.DUMMYFUNCTION("""COMPUTED_VALUE"""),4240904.0)</f>
        <v>4240904</v>
      </c>
    </row>
    <row r="2899">
      <c r="A2899" s="2">
        <f>IFERROR(__xludf.DUMMYFUNCTION("""COMPUTED_VALUE"""),44855.64583333333)</f>
        <v>44855.64583</v>
      </c>
      <c r="B2899" s="1">
        <f>IFERROR(__xludf.DUMMYFUNCTION("""COMPUTED_VALUE"""),47650.0)</f>
        <v>47650</v>
      </c>
      <c r="C2899" s="1">
        <f>IFERROR(__xludf.DUMMYFUNCTION("""COMPUTED_VALUE"""),49650.0)</f>
        <v>49650</v>
      </c>
      <c r="D2899" s="1">
        <f>IFERROR(__xludf.DUMMYFUNCTION("""COMPUTED_VALUE"""),47050.0)</f>
        <v>47050</v>
      </c>
      <c r="E2899" s="1">
        <f>IFERROR(__xludf.DUMMYFUNCTION("""COMPUTED_VALUE"""),48850.0)</f>
        <v>48850</v>
      </c>
      <c r="F2899" s="1">
        <f>IFERROR(__xludf.DUMMYFUNCTION("""COMPUTED_VALUE"""),3354625.0)</f>
        <v>3354625</v>
      </c>
    </row>
    <row r="2900">
      <c r="A2900" s="2">
        <f>IFERROR(__xludf.DUMMYFUNCTION("""COMPUTED_VALUE"""),44858.64583333333)</f>
        <v>44858.64583</v>
      </c>
      <c r="B2900" s="1">
        <f>IFERROR(__xludf.DUMMYFUNCTION("""COMPUTED_VALUE"""),50000.0)</f>
        <v>50000</v>
      </c>
      <c r="C2900" s="1">
        <f>IFERROR(__xludf.DUMMYFUNCTION("""COMPUTED_VALUE"""),50600.0)</f>
        <v>50600</v>
      </c>
      <c r="D2900" s="1">
        <f>IFERROR(__xludf.DUMMYFUNCTION("""COMPUTED_VALUE"""),48300.0)</f>
        <v>48300</v>
      </c>
      <c r="E2900" s="1">
        <f>IFERROR(__xludf.DUMMYFUNCTION("""COMPUTED_VALUE"""),48450.0)</f>
        <v>48450</v>
      </c>
      <c r="F2900" s="1">
        <f>IFERROR(__xludf.DUMMYFUNCTION("""COMPUTED_VALUE"""),2848346.0)</f>
        <v>2848346</v>
      </c>
    </row>
    <row r="2901">
      <c r="A2901" s="2">
        <f>IFERROR(__xludf.DUMMYFUNCTION("""COMPUTED_VALUE"""),44859.64583333333)</f>
        <v>44859.64583</v>
      </c>
      <c r="B2901" s="1">
        <f>IFERROR(__xludf.DUMMYFUNCTION("""COMPUTED_VALUE"""),48800.0)</f>
        <v>48800</v>
      </c>
      <c r="C2901" s="1">
        <f>IFERROR(__xludf.DUMMYFUNCTION("""COMPUTED_VALUE"""),49550.0)</f>
        <v>49550</v>
      </c>
      <c r="D2901" s="1">
        <f>IFERROR(__xludf.DUMMYFUNCTION("""COMPUTED_VALUE"""),48550.0)</f>
        <v>48550</v>
      </c>
      <c r="E2901" s="1">
        <f>IFERROR(__xludf.DUMMYFUNCTION("""COMPUTED_VALUE"""),48800.0)</f>
        <v>48800</v>
      </c>
      <c r="F2901" s="1">
        <f>IFERROR(__xludf.DUMMYFUNCTION("""COMPUTED_VALUE"""),1910362.0)</f>
        <v>1910362</v>
      </c>
    </row>
    <row r="2902">
      <c r="A2902" s="2">
        <f>IFERROR(__xludf.DUMMYFUNCTION("""COMPUTED_VALUE"""),44860.64583333333)</f>
        <v>44860.64583</v>
      </c>
      <c r="B2902" s="1">
        <f>IFERROR(__xludf.DUMMYFUNCTION("""COMPUTED_VALUE"""),48950.0)</f>
        <v>48950</v>
      </c>
      <c r="C2902" s="1">
        <f>IFERROR(__xludf.DUMMYFUNCTION("""COMPUTED_VALUE"""),48950.0)</f>
        <v>48950</v>
      </c>
      <c r="D2902" s="1">
        <f>IFERROR(__xludf.DUMMYFUNCTION("""COMPUTED_VALUE"""),47650.0)</f>
        <v>47650</v>
      </c>
      <c r="E2902" s="1">
        <f>IFERROR(__xludf.DUMMYFUNCTION("""COMPUTED_VALUE"""),47700.0)</f>
        <v>47700</v>
      </c>
      <c r="F2902" s="1">
        <f>IFERROR(__xludf.DUMMYFUNCTION("""COMPUTED_VALUE"""),2149830.0)</f>
        <v>2149830</v>
      </c>
    </row>
    <row r="2903">
      <c r="A2903" s="2">
        <f>IFERROR(__xludf.DUMMYFUNCTION("""COMPUTED_VALUE"""),44861.64583333333)</f>
        <v>44861.64583</v>
      </c>
      <c r="B2903" s="1">
        <f>IFERROR(__xludf.DUMMYFUNCTION("""COMPUTED_VALUE"""),47700.0)</f>
        <v>47700</v>
      </c>
      <c r="C2903" s="1">
        <f>IFERROR(__xludf.DUMMYFUNCTION("""COMPUTED_VALUE"""),48850.0)</f>
        <v>48850</v>
      </c>
      <c r="D2903" s="1">
        <f>IFERROR(__xludf.DUMMYFUNCTION("""COMPUTED_VALUE"""),47200.0)</f>
        <v>47200</v>
      </c>
      <c r="E2903" s="1">
        <f>IFERROR(__xludf.DUMMYFUNCTION("""COMPUTED_VALUE"""),48750.0)</f>
        <v>48750</v>
      </c>
      <c r="F2903" s="1">
        <f>IFERROR(__xludf.DUMMYFUNCTION("""COMPUTED_VALUE"""),2442155.0)</f>
        <v>2442155</v>
      </c>
    </row>
    <row r="2904">
      <c r="A2904" s="2">
        <f>IFERROR(__xludf.DUMMYFUNCTION("""COMPUTED_VALUE"""),44862.64583333333)</f>
        <v>44862.64583</v>
      </c>
      <c r="B2904" s="1">
        <f>IFERROR(__xludf.DUMMYFUNCTION("""COMPUTED_VALUE"""),48200.0)</f>
        <v>48200</v>
      </c>
      <c r="C2904" s="1">
        <f>IFERROR(__xludf.DUMMYFUNCTION("""COMPUTED_VALUE"""),49450.0)</f>
        <v>49450</v>
      </c>
      <c r="D2904" s="1">
        <f>IFERROR(__xludf.DUMMYFUNCTION("""COMPUTED_VALUE"""),47800.0)</f>
        <v>47800</v>
      </c>
      <c r="E2904" s="1">
        <f>IFERROR(__xludf.DUMMYFUNCTION("""COMPUTED_VALUE"""),48750.0)</f>
        <v>48750</v>
      </c>
      <c r="F2904" s="1">
        <f>IFERROR(__xludf.DUMMYFUNCTION("""COMPUTED_VALUE"""),1867478.0)</f>
        <v>1867478</v>
      </c>
    </row>
    <row r="2905">
      <c r="A2905" s="2">
        <f>IFERROR(__xludf.DUMMYFUNCTION("""COMPUTED_VALUE"""),44865.64583333333)</f>
        <v>44865.64583</v>
      </c>
      <c r="B2905" s="1">
        <f>IFERROR(__xludf.DUMMYFUNCTION("""COMPUTED_VALUE"""),49600.0)</f>
        <v>49600</v>
      </c>
      <c r="C2905" s="1">
        <f>IFERROR(__xludf.DUMMYFUNCTION("""COMPUTED_VALUE"""),50700.0)</f>
        <v>50700</v>
      </c>
      <c r="D2905" s="1">
        <f>IFERROR(__xludf.DUMMYFUNCTION("""COMPUTED_VALUE"""),48700.0)</f>
        <v>48700</v>
      </c>
      <c r="E2905" s="1">
        <f>IFERROR(__xludf.DUMMYFUNCTION("""COMPUTED_VALUE"""),50700.0)</f>
        <v>50700</v>
      </c>
      <c r="F2905" s="1">
        <f>IFERROR(__xludf.DUMMYFUNCTION("""COMPUTED_VALUE"""),3130880.0)</f>
        <v>3130880</v>
      </c>
    </row>
    <row r="2906">
      <c r="A2906" s="2">
        <f>IFERROR(__xludf.DUMMYFUNCTION("""COMPUTED_VALUE"""),44866.64583333333)</f>
        <v>44866.64583</v>
      </c>
      <c r="B2906" s="1">
        <f>IFERROR(__xludf.DUMMYFUNCTION("""COMPUTED_VALUE"""),50400.0)</f>
        <v>50400</v>
      </c>
      <c r="C2906" s="1">
        <f>IFERROR(__xludf.DUMMYFUNCTION("""COMPUTED_VALUE"""),50800.0)</f>
        <v>50800</v>
      </c>
      <c r="D2906" s="1">
        <f>IFERROR(__xludf.DUMMYFUNCTION("""COMPUTED_VALUE"""),49650.0)</f>
        <v>49650</v>
      </c>
      <c r="E2906" s="1">
        <f>IFERROR(__xludf.DUMMYFUNCTION("""COMPUTED_VALUE"""),50700.0)</f>
        <v>50700</v>
      </c>
      <c r="F2906" s="1">
        <f>IFERROR(__xludf.DUMMYFUNCTION("""COMPUTED_VALUE"""),1653708.0)</f>
        <v>1653708</v>
      </c>
    </row>
    <row r="2907">
      <c r="A2907" s="2">
        <f>IFERROR(__xludf.DUMMYFUNCTION("""COMPUTED_VALUE"""),44867.64583333333)</f>
        <v>44867.64583</v>
      </c>
      <c r="B2907" s="1">
        <f>IFERROR(__xludf.DUMMYFUNCTION("""COMPUTED_VALUE"""),50100.0)</f>
        <v>50100</v>
      </c>
      <c r="C2907" s="1">
        <f>IFERROR(__xludf.DUMMYFUNCTION("""COMPUTED_VALUE"""),53100.0)</f>
        <v>53100</v>
      </c>
      <c r="D2907" s="1">
        <f>IFERROR(__xludf.DUMMYFUNCTION("""COMPUTED_VALUE"""),49700.0)</f>
        <v>49700</v>
      </c>
      <c r="E2907" s="1">
        <f>IFERROR(__xludf.DUMMYFUNCTION("""COMPUTED_VALUE"""),52300.0)</f>
        <v>52300</v>
      </c>
      <c r="F2907" s="1">
        <f>IFERROR(__xludf.DUMMYFUNCTION("""COMPUTED_VALUE"""),4937758.0)</f>
        <v>4937758</v>
      </c>
    </row>
    <row r="2908">
      <c r="A2908" s="2">
        <f>IFERROR(__xludf.DUMMYFUNCTION("""COMPUTED_VALUE"""),44868.64583333333)</f>
        <v>44868.64583</v>
      </c>
      <c r="B2908" s="1">
        <f>IFERROR(__xludf.DUMMYFUNCTION("""COMPUTED_VALUE"""),50800.0)</f>
        <v>50800</v>
      </c>
      <c r="C2908" s="1">
        <f>IFERROR(__xludf.DUMMYFUNCTION("""COMPUTED_VALUE"""),51200.0)</f>
        <v>51200</v>
      </c>
      <c r="D2908" s="1">
        <f>IFERROR(__xludf.DUMMYFUNCTION("""COMPUTED_VALUE"""),49700.0)</f>
        <v>49700</v>
      </c>
      <c r="E2908" s="1">
        <f>IFERROR(__xludf.DUMMYFUNCTION("""COMPUTED_VALUE"""),50100.0)</f>
        <v>50100</v>
      </c>
      <c r="F2908" s="1">
        <f>IFERROR(__xludf.DUMMYFUNCTION("""COMPUTED_VALUE"""),3572826.0)</f>
        <v>3572826</v>
      </c>
    </row>
    <row r="2909">
      <c r="A2909" s="2">
        <f>IFERROR(__xludf.DUMMYFUNCTION("""COMPUTED_VALUE"""),44869.64583333333)</f>
        <v>44869.64583</v>
      </c>
      <c r="B2909" s="1">
        <f>IFERROR(__xludf.DUMMYFUNCTION("""COMPUTED_VALUE"""),49500.0)</f>
        <v>49500</v>
      </c>
      <c r="C2909" s="1">
        <f>IFERROR(__xludf.DUMMYFUNCTION("""COMPUTED_VALUE"""),50600.0)</f>
        <v>50600</v>
      </c>
      <c r="D2909" s="1">
        <f>IFERROR(__xludf.DUMMYFUNCTION("""COMPUTED_VALUE"""),48950.0)</f>
        <v>48950</v>
      </c>
      <c r="E2909" s="1">
        <f>IFERROR(__xludf.DUMMYFUNCTION("""COMPUTED_VALUE"""),50300.0)</f>
        <v>50300</v>
      </c>
      <c r="F2909" s="1">
        <f>IFERROR(__xludf.DUMMYFUNCTION("""COMPUTED_VALUE"""),3242294.0)</f>
        <v>3242294</v>
      </c>
    </row>
    <row r="2910">
      <c r="A2910" s="2">
        <f>IFERROR(__xludf.DUMMYFUNCTION("""COMPUTED_VALUE"""),44872.64583333333)</f>
        <v>44872.64583</v>
      </c>
      <c r="B2910" s="1">
        <f>IFERROR(__xludf.DUMMYFUNCTION("""COMPUTED_VALUE"""),50500.0)</f>
        <v>50500</v>
      </c>
      <c r="C2910" s="1">
        <f>IFERROR(__xludf.DUMMYFUNCTION("""COMPUTED_VALUE"""),50700.0)</f>
        <v>50700</v>
      </c>
      <c r="D2910" s="1">
        <f>IFERROR(__xludf.DUMMYFUNCTION("""COMPUTED_VALUE"""),49700.0)</f>
        <v>49700</v>
      </c>
      <c r="E2910" s="1">
        <f>IFERROR(__xludf.DUMMYFUNCTION("""COMPUTED_VALUE"""),49850.0)</f>
        <v>49850</v>
      </c>
      <c r="F2910" s="1">
        <f>IFERROR(__xludf.DUMMYFUNCTION("""COMPUTED_VALUE"""),2527175.0)</f>
        <v>2527175</v>
      </c>
    </row>
    <row r="2911">
      <c r="A2911" s="2">
        <f>IFERROR(__xludf.DUMMYFUNCTION("""COMPUTED_VALUE"""),44873.64583333333)</f>
        <v>44873.64583</v>
      </c>
      <c r="B2911" s="1">
        <f>IFERROR(__xludf.DUMMYFUNCTION("""COMPUTED_VALUE"""),50200.0)</f>
        <v>50200</v>
      </c>
      <c r="C2911" s="1">
        <f>IFERROR(__xludf.DUMMYFUNCTION("""COMPUTED_VALUE"""),51600.0)</f>
        <v>51600</v>
      </c>
      <c r="D2911" s="1">
        <f>IFERROR(__xludf.DUMMYFUNCTION("""COMPUTED_VALUE"""),50000.0)</f>
        <v>50000</v>
      </c>
      <c r="E2911" s="1">
        <f>IFERROR(__xludf.DUMMYFUNCTION("""COMPUTED_VALUE"""),51500.0)</f>
        <v>51500</v>
      </c>
      <c r="F2911" s="1">
        <f>IFERROR(__xludf.DUMMYFUNCTION("""COMPUTED_VALUE"""),4457042.0)</f>
        <v>4457042</v>
      </c>
    </row>
    <row r="2912">
      <c r="A2912" s="2">
        <f>IFERROR(__xludf.DUMMYFUNCTION("""COMPUTED_VALUE"""),44874.64583333333)</f>
        <v>44874.64583</v>
      </c>
      <c r="B2912" s="1">
        <f>IFERROR(__xludf.DUMMYFUNCTION("""COMPUTED_VALUE"""),52000.0)</f>
        <v>52000</v>
      </c>
      <c r="C2912" s="1">
        <f>IFERROR(__xludf.DUMMYFUNCTION("""COMPUTED_VALUE"""),53800.0)</f>
        <v>53800</v>
      </c>
      <c r="D2912" s="1">
        <f>IFERROR(__xludf.DUMMYFUNCTION("""COMPUTED_VALUE"""),51700.0)</f>
        <v>51700</v>
      </c>
      <c r="E2912" s="1">
        <f>IFERROR(__xludf.DUMMYFUNCTION("""COMPUTED_VALUE"""),52100.0)</f>
        <v>52100</v>
      </c>
      <c r="F2912" s="1">
        <f>IFERROR(__xludf.DUMMYFUNCTION("""COMPUTED_VALUE"""),4005676.0)</f>
        <v>4005676</v>
      </c>
    </row>
    <row r="2913">
      <c r="A2913" s="2">
        <f>IFERROR(__xludf.DUMMYFUNCTION("""COMPUTED_VALUE"""),44875.64583333333)</f>
        <v>44875.64583</v>
      </c>
      <c r="B2913" s="1">
        <f>IFERROR(__xludf.DUMMYFUNCTION("""COMPUTED_VALUE"""),51300.0)</f>
        <v>51300</v>
      </c>
      <c r="C2913" s="1">
        <f>IFERROR(__xludf.DUMMYFUNCTION("""COMPUTED_VALUE"""),51800.0)</f>
        <v>51800</v>
      </c>
      <c r="D2913" s="1">
        <f>IFERROR(__xludf.DUMMYFUNCTION("""COMPUTED_VALUE"""),50700.0)</f>
        <v>50700</v>
      </c>
      <c r="E2913" s="1">
        <f>IFERROR(__xludf.DUMMYFUNCTION("""COMPUTED_VALUE"""),50800.0)</f>
        <v>50800</v>
      </c>
      <c r="F2913" s="1">
        <f>IFERROR(__xludf.DUMMYFUNCTION("""COMPUTED_VALUE"""),2284351.0)</f>
        <v>2284351</v>
      </c>
    </row>
    <row r="2914">
      <c r="A2914" s="2">
        <f>IFERROR(__xludf.DUMMYFUNCTION("""COMPUTED_VALUE"""),44876.64583333333)</f>
        <v>44876.64583</v>
      </c>
      <c r="B2914" s="1">
        <f>IFERROR(__xludf.DUMMYFUNCTION("""COMPUTED_VALUE"""),54500.0)</f>
        <v>54500</v>
      </c>
      <c r="C2914" s="1">
        <f>IFERROR(__xludf.DUMMYFUNCTION("""COMPUTED_VALUE"""),61000.0)</f>
        <v>61000</v>
      </c>
      <c r="D2914" s="1">
        <f>IFERROR(__xludf.DUMMYFUNCTION("""COMPUTED_VALUE"""),53600.0)</f>
        <v>53600</v>
      </c>
      <c r="E2914" s="1">
        <f>IFERROR(__xludf.DUMMYFUNCTION("""COMPUTED_VALUE"""),58700.0)</f>
        <v>58700</v>
      </c>
      <c r="F2914" s="1">
        <f>IFERROR(__xludf.DUMMYFUNCTION("""COMPUTED_VALUE"""),1.7375821E7)</f>
        <v>17375821</v>
      </c>
    </row>
    <row r="2915">
      <c r="A2915" s="2">
        <f>IFERROR(__xludf.DUMMYFUNCTION("""COMPUTED_VALUE"""),44879.64583333333)</f>
        <v>44879.64583</v>
      </c>
      <c r="B2915" s="1">
        <f>IFERROR(__xludf.DUMMYFUNCTION("""COMPUTED_VALUE"""),59300.0)</f>
        <v>59300</v>
      </c>
      <c r="C2915" s="1">
        <f>IFERROR(__xludf.DUMMYFUNCTION("""COMPUTED_VALUE"""),60200.0)</f>
        <v>60200</v>
      </c>
      <c r="D2915" s="1">
        <f>IFERROR(__xludf.DUMMYFUNCTION("""COMPUTED_VALUE"""),58000.0)</f>
        <v>58000</v>
      </c>
      <c r="E2915" s="1">
        <f>IFERROR(__xludf.DUMMYFUNCTION("""COMPUTED_VALUE"""),58500.0)</f>
        <v>58500</v>
      </c>
      <c r="F2915" s="1">
        <f>IFERROR(__xludf.DUMMYFUNCTION("""COMPUTED_VALUE"""),5392366.0)</f>
        <v>5392366</v>
      </c>
    </row>
    <row r="2916">
      <c r="A2916" s="2">
        <f>IFERROR(__xludf.DUMMYFUNCTION("""COMPUTED_VALUE"""),44880.64583333333)</f>
        <v>44880.64583</v>
      </c>
      <c r="B2916" s="1">
        <f>IFERROR(__xludf.DUMMYFUNCTION("""COMPUTED_VALUE"""),58500.0)</f>
        <v>58500</v>
      </c>
      <c r="C2916" s="1">
        <f>IFERROR(__xludf.DUMMYFUNCTION("""COMPUTED_VALUE"""),58900.0)</f>
        <v>58900</v>
      </c>
      <c r="D2916" s="1">
        <f>IFERROR(__xludf.DUMMYFUNCTION("""COMPUTED_VALUE"""),57300.0)</f>
        <v>57300</v>
      </c>
      <c r="E2916" s="1">
        <f>IFERROR(__xludf.DUMMYFUNCTION("""COMPUTED_VALUE"""),58700.0)</f>
        <v>58700</v>
      </c>
      <c r="F2916" s="1">
        <f>IFERROR(__xludf.DUMMYFUNCTION("""COMPUTED_VALUE"""),2373778.0)</f>
        <v>2373778</v>
      </c>
    </row>
    <row r="2917">
      <c r="A2917" s="2">
        <f>IFERROR(__xludf.DUMMYFUNCTION("""COMPUTED_VALUE"""),44881.64583333333)</f>
        <v>44881.64583</v>
      </c>
      <c r="B2917" s="1">
        <f>IFERROR(__xludf.DUMMYFUNCTION("""COMPUTED_VALUE"""),59700.0)</f>
        <v>59700</v>
      </c>
      <c r="C2917" s="1">
        <f>IFERROR(__xludf.DUMMYFUNCTION("""COMPUTED_VALUE"""),59900.0)</f>
        <v>59900</v>
      </c>
      <c r="D2917" s="1">
        <f>IFERROR(__xludf.DUMMYFUNCTION("""COMPUTED_VALUE"""),57800.0)</f>
        <v>57800</v>
      </c>
      <c r="E2917" s="1">
        <f>IFERROR(__xludf.DUMMYFUNCTION("""COMPUTED_VALUE"""),58600.0)</f>
        <v>58600</v>
      </c>
      <c r="F2917" s="1">
        <f>IFERROR(__xludf.DUMMYFUNCTION("""COMPUTED_VALUE"""),2451864.0)</f>
        <v>2451864</v>
      </c>
    </row>
    <row r="2918">
      <c r="A2918" s="2">
        <f>IFERROR(__xludf.DUMMYFUNCTION("""COMPUTED_VALUE"""),44882.64583333333)</f>
        <v>44882.64583</v>
      </c>
      <c r="B2918" s="1">
        <f>IFERROR(__xludf.DUMMYFUNCTION("""COMPUTED_VALUE"""),58000.0)</f>
        <v>58000</v>
      </c>
      <c r="C2918" s="1">
        <f>IFERROR(__xludf.DUMMYFUNCTION("""COMPUTED_VALUE"""),59200.0)</f>
        <v>59200</v>
      </c>
      <c r="D2918" s="1">
        <f>IFERROR(__xludf.DUMMYFUNCTION("""COMPUTED_VALUE"""),57600.0)</f>
        <v>57600</v>
      </c>
      <c r="E2918" s="1">
        <f>IFERROR(__xludf.DUMMYFUNCTION("""COMPUTED_VALUE"""),59100.0)</f>
        <v>59100</v>
      </c>
      <c r="F2918" s="1">
        <f>IFERROR(__xludf.DUMMYFUNCTION("""COMPUTED_VALUE"""),1744238.0)</f>
        <v>1744238</v>
      </c>
    </row>
    <row r="2919">
      <c r="A2919" s="2">
        <f>IFERROR(__xludf.DUMMYFUNCTION("""COMPUTED_VALUE"""),44883.64583333333)</f>
        <v>44883.64583</v>
      </c>
      <c r="B2919" s="1">
        <f>IFERROR(__xludf.DUMMYFUNCTION("""COMPUTED_VALUE"""),58900.0)</f>
        <v>58900</v>
      </c>
      <c r="C2919" s="1">
        <f>IFERROR(__xludf.DUMMYFUNCTION("""COMPUTED_VALUE"""),59200.0)</f>
        <v>59200</v>
      </c>
      <c r="D2919" s="1">
        <f>IFERROR(__xludf.DUMMYFUNCTION("""COMPUTED_VALUE"""),57600.0)</f>
        <v>57600</v>
      </c>
      <c r="E2919" s="1">
        <f>IFERROR(__xludf.DUMMYFUNCTION("""COMPUTED_VALUE"""),57700.0)</f>
        <v>57700</v>
      </c>
      <c r="F2919" s="1">
        <f>IFERROR(__xludf.DUMMYFUNCTION("""COMPUTED_VALUE"""),1742383.0)</f>
        <v>1742383</v>
      </c>
    </row>
    <row r="2920">
      <c r="A2920" s="2">
        <f>IFERROR(__xludf.DUMMYFUNCTION("""COMPUTED_VALUE"""),44886.64583333333)</f>
        <v>44886.64583</v>
      </c>
      <c r="B2920" s="1">
        <f>IFERROR(__xludf.DUMMYFUNCTION("""COMPUTED_VALUE"""),57500.0)</f>
        <v>57500</v>
      </c>
      <c r="C2920" s="1">
        <f>IFERROR(__xludf.DUMMYFUNCTION("""COMPUTED_VALUE"""),58300.0)</f>
        <v>58300</v>
      </c>
      <c r="D2920" s="1">
        <f>IFERROR(__xludf.DUMMYFUNCTION("""COMPUTED_VALUE"""),56000.0)</f>
        <v>56000</v>
      </c>
      <c r="E2920" s="1">
        <f>IFERROR(__xludf.DUMMYFUNCTION("""COMPUTED_VALUE"""),56300.0)</f>
        <v>56300</v>
      </c>
      <c r="F2920" s="1">
        <f>IFERROR(__xludf.DUMMYFUNCTION("""COMPUTED_VALUE"""),1765878.0)</f>
        <v>1765878</v>
      </c>
    </row>
    <row r="2921">
      <c r="A2921" s="2">
        <f>IFERROR(__xludf.DUMMYFUNCTION("""COMPUTED_VALUE"""),44887.64583333333)</f>
        <v>44887.64583</v>
      </c>
      <c r="B2921" s="1">
        <f>IFERROR(__xludf.DUMMYFUNCTION("""COMPUTED_VALUE"""),55900.0)</f>
        <v>55900</v>
      </c>
      <c r="C2921" s="1">
        <f>IFERROR(__xludf.DUMMYFUNCTION("""COMPUTED_VALUE"""),56100.0)</f>
        <v>56100</v>
      </c>
      <c r="D2921" s="1">
        <f>IFERROR(__xludf.DUMMYFUNCTION("""COMPUTED_VALUE"""),54100.0)</f>
        <v>54100</v>
      </c>
      <c r="E2921" s="1">
        <f>IFERROR(__xludf.DUMMYFUNCTION("""COMPUTED_VALUE"""),54300.0)</f>
        <v>54300</v>
      </c>
      <c r="F2921" s="1">
        <f>IFERROR(__xludf.DUMMYFUNCTION("""COMPUTED_VALUE"""),1793196.0)</f>
        <v>1793196</v>
      </c>
    </row>
    <row r="2922">
      <c r="A2922" s="2">
        <f>IFERROR(__xludf.DUMMYFUNCTION("""COMPUTED_VALUE"""),44888.64583333333)</f>
        <v>44888.64583</v>
      </c>
      <c r="B2922" s="1">
        <f>IFERROR(__xludf.DUMMYFUNCTION("""COMPUTED_VALUE"""),56300.0)</f>
        <v>56300</v>
      </c>
      <c r="C2922" s="1">
        <f>IFERROR(__xludf.DUMMYFUNCTION("""COMPUTED_VALUE"""),57700.0)</f>
        <v>57700</v>
      </c>
      <c r="D2922" s="1">
        <f>IFERROR(__xludf.DUMMYFUNCTION("""COMPUTED_VALUE"""),55400.0)</f>
        <v>55400</v>
      </c>
      <c r="E2922" s="1">
        <f>IFERROR(__xludf.DUMMYFUNCTION("""COMPUTED_VALUE"""),55700.0)</f>
        <v>55700</v>
      </c>
      <c r="F2922" s="1">
        <f>IFERROR(__xludf.DUMMYFUNCTION("""COMPUTED_VALUE"""),2551968.0)</f>
        <v>2551968</v>
      </c>
    </row>
    <row r="2923">
      <c r="A2923" s="2">
        <f>IFERROR(__xludf.DUMMYFUNCTION("""COMPUTED_VALUE"""),44889.64583333333)</f>
        <v>44889.64583</v>
      </c>
      <c r="B2923" s="1">
        <f>IFERROR(__xludf.DUMMYFUNCTION("""COMPUTED_VALUE"""),56200.0)</f>
        <v>56200</v>
      </c>
      <c r="C2923" s="1">
        <f>IFERROR(__xludf.DUMMYFUNCTION("""COMPUTED_VALUE"""),58000.0)</f>
        <v>58000</v>
      </c>
      <c r="D2923" s="1">
        <f>IFERROR(__xludf.DUMMYFUNCTION("""COMPUTED_VALUE"""),56000.0)</f>
        <v>56000</v>
      </c>
      <c r="E2923" s="1">
        <f>IFERROR(__xludf.DUMMYFUNCTION("""COMPUTED_VALUE"""),57400.0)</f>
        <v>57400</v>
      </c>
      <c r="F2923" s="1">
        <f>IFERROR(__xludf.DUMMYFUNCTION("""COMPUTED_VALUE"""),1816392.0)</f>
        <v>1816392</v>
      </c>
    </row>
    <row r="2924">
      <c r="A2924" s="2">
        <f>IFERROR(__xludf.DUMMYFUNCTION("""COMPUTED_VALUE"""),44890.64583333333)</f>
        <v>44890.64583</v>
      </c>
      <c r="B2924" s="1">
        <f>IFERROR(__xludf.DUMMYFUNCTION("""COMPUTED_VALUE"""),56200.0)</f>
        <v>56200</v>
      </c>
      <c r="C2924" s="1">
        <f>IFERROR(__xludf.DUMMYFUNCTION("""COMPUTED_VALUE"""),57300.0)</f>
        <v>57300</v>
      </c>
      <c r="D2924" s="1">
        <f>IFERROR(__xludf.DUMMYFUNCTION("""COMPUTED_VALUE"""),55600.0)</f>
        <v>55600</v>
      </c>
      <c r="E2924" s="1">
        <f>IFERROR(__xludf.DUMMYFUNCTION("""COMPUTED_VALUE"""),56100.0)</f>
        <v>56100</v>
      </c>
      <c r="F2924" s="1">
        <f>IFERROR(__xludf.DUMMYFUNCTION("""COMPUTED_VALUE"""),1322780.0)</f>
        <v>1322780</v>
      </c>
    </row>
    <row r="2925">
      <c r="A2925" s="2">
        <f>IFERROR(__xludf.DUMMYFUNCTION("""COMPUTED_VALUE"""),44893.64583333333)</f>
        <v>44893.64583</v>
      </c>
      <c r="B2925" s="1">
        <f>IFERROR(__xludf.DUMMYFUNCTION("""COMPUTED_VALUE"""),55800.0)</f>
        <v>55800</v>
      </c>
      <c r="C2925" s="1">
        <f>IFERROR(__xludf.DUMMYFUNCTION("""COMPUTED_VALUE"""),55800.0)</f>
        <v>55800</v>
      </c>
      <c r="D2925" s="1">
        <f>IFERROR(__xludf.DUMMYFUNCTION("""COMPUTED_VALUE"""),54500.0)</f>
        <v>54500</v>
      </c>
      <c r="E2925" s="1">
        <f>IFERROR(__xludf.DUMMYFUNCTION("""COMPUTED_VALUE"""),54600.0)</f>
        <v>54600</v>
      </c>
      <c r="F2925" s="1">
        <f>IFERROR(__xludf.DUMMYFUNCTION("""COMPUTED_VALUE"""),1365592.0)</f>
        <v>1365592</v>
      </c>
    </row>
    <row r="2926">
      <c r="A2926" s="2">
        <f>IFERROR(__xludf.DUMMYFUNCTION("""COMPUTED_VALUE"""),44894.64583333333)</f>
        <v>44894.64583</v>
      </c>
      <c r="B2926" s="1">
        <f>IFERROR(__xludf.DUMMYFUNCTION("""COMPUTED_VALUE"""),54200.0)</f>
        <v>54200</v>
      </c>
      <c r="C2926" s="1">
        <f>IFERROR(__xludf.DUMMYFUNCTION("""COMPUTED_VALUE"""),56200.0)</f>
        <v>56200</v>
      </c>
      <c r="D2926" s="1">
        <f>IFERROR(__xludf.DUMMYFUNCTION("""COMPUTED_VALUE"""),54100.0)</f>
        <v>54100</v>
      </c>
      <c r="E2926" s="1">
        <f>IFERROR(__xludf.DUMMYFUNCTION("""COMPUTED_VALUE"""),55900.0)</f>
        <v>55900</v>
      </c>
      <c r="F2926" s="1">
        <f>IFERROR(__xludf.DUMMYFUNCTION("""COMPUTED_VALUE"""),1358761.0)</f>
        <v>1358761</v>
      </c>
    </row>
    <row r="2927">
      <c r="A2927" s="2">
        <f>IFERROR(__xludf.DUMMYFUNCTION("""COMPUTED_VALUE"""),44895.64583333333)</f>
        <v>44895.64583</v>
      </c>
      <c r="B2927" s="1">
        <f>IFERROR(__xludf.DUMMYFUNCTION("""COMPUTED_VALUE"""),55600.0)</f>
        <v>55600</v>
      </c>
      <c r="C2927" s="1">
        <f>IFERROR(__xludf.DUMMYFUNCTION("""COMPUTED_VALUE"""),56400.0)</f>
        <v>56400</v>
      </c>
      <c r="D2927" s="1">
        <f>IFERROR(__xludf.DUMMYFUNCTION("""COMPUTED_VALUE"""),55100.0)</f>
        <v>55100</v>
      </c>
      <c r="E2927" s="1">
        <f>IFERROR(__xludf.DUMMYFUNCTION("""COMPUTED_VALUE"""),56400.0)</f>
        <v>56400</v>
      </c>
      <c r="F2927" s="1">
        <f>IFERROR(__xludf.DUMMYFUNCTION("""COMPUTED_VALUE"""),1825885.0)</f>
        <v>1825885</v>
      </c>
    </row>
    <row r="2928">
      <c r="A2928" s="2">
        <f>IFERROR(__xludf.DUMMYFUNCTION("""COMPUTED_VALUE"""),44896.64583333333)</f>
        <v>44896.64583</v>
      </c>
      <c r="B2928" s="1">
        <f>IFERROR(__xludf.DUMMYFUNCTION("""COMPUTED_VALUE"""),59200.0)</f>
        <v>59200</v>
      </c>
      <c r="C2928" s="1">
        <f>IFERROR(__xludf.DUMMYFUNCTION("""COMPUTED_VALUE"""),59600.0)</f>
        <v>59600</v>
      </c>
      <c r="D2928" s="1">
        <f>IFERROR(__xludf.DUMMYFUNCTION("""COMPUTED_VALUE"""),57700.0)</f>
        <v>57700</v>
      </c>
      <c r="E2928" s="1">
        <f>IFERROR(__xludf.DUMMYFUNCTION("""COMPUTED_VALUE"""),57900.0)</f>
        <v>57900</v>
      </c>
      <c r="F2928" s="1">
        <f>IFERROR(__xludf.DUMMYFUNCTION("""COMPUTED_VALUE"""),2895695.0)</f>
        <v>2895695</v>
      </c>
    </row>
    <row r="2929">
      <c r="A2929" s="2">
        <f>IFERROR(__xludf.DUMMYFUNCTION("""COMPUTED_VALUE"""),44897.64583333333)</f>
        <v>44897.64583</v>
      </c>
      <c r="B2929" s="1">
        <f>IFERROR(__xludf.DUMMYFUNCTION("""COMPUTED_VALUE"""),57900.0)</f>
        <v>57900</v>
      </c>
      <c r="C2929" s="1">
        <f>IFERROR(__xludf.DUMMYFUNCTION("""COMPUTED_VALUE"""),58300.0)</f>
        <v>58300</v>
      </c>
      <c r="D2929" s="1">
        <f>IFERROR(__xludf.DUMMYFUNCTION("""COMPUTED_VALUE"""),56900.0)</f>
        <v>56900</v>
      </c>
      <c r="E2929" s="1">
        <f>IFERROR(__xludf.DUMMYFUNCTION("""COMPUTED_VALUE"""),56900.0)</f>
        <v>56900</v>
      </c>
      <c r="F2929" s="1">
        <f>IFERROR(__xludf.DUMMYFUNCTION("""COMPUTED_VALUE"""),1165966.0)</f>
        <v>1165966</v>
      </c>
    </row>
    <row r="2930">
      <c r="A2930" s="2">
        <f>IFERROR(__xludf.DUMMYFUNCTION("""COMPUTED_VALUE"""),44900.64583333333)</f>
        <v>44900.64583</v>
      </c>
      <c r="B2930" s="1">
        <f>IFERROR(__xludf.DUMMYFUNCTION("""COMPUTED_VALUE"""),57200.0)</f>
        <v>57200</v>
      </c>
      <c r="C2930" s="1">
        <f>IFERROR(__xludf.DUMMYFUNCTION("""COMPUTED_VALUE"""),59000.0)</f>
        <v>59000</v>
      </c>
      <c r="D2930" s="1">
        <f>IFERROR(__xludf.DUMMYFUNCTION("""COMPUTED_VALUE"""),57200.0)</f>
        <v>57200</v>
      </c>
      <c r="E2930" s="1">
        <f>IFERROR(__xludf.DUMMYFUNCTION("""COMPUTED_VALUE"""),58000.0)</f>
        <v>58000</v>
      </c>
      <c r="F2930" s="1">
        <f>IFERROR(__xludf.DUMMYFUNCTION("""COMPUTED_VALUE"""),2050445.0)</f>
        <v>2050445</v>
      </c>
    </row>
    <row r="2931">
      <c r="A2931" s="2">
        <f>IFERROR(__xludf.DUMMYFUNCTION("""COMPUTED_VALUE"""),44901.64583333333)</f>
        <v>44901.64583</v>
      </c>
      <c r="B2931" s="1">
        <f>IFERROR(__xludf.DUMMYFUNCTION("""COMPUTED_VALUE"""),57300.0)</f>
        <v>57300</v>
      </c>
      <c r="C2931" s="1">
        <f>IFERROR(__xludf.DUMMYFUNCTION("""COMPUTED_VALUE"""),57900.0)</f>
        <v>57900</v>
      </c>
      <c r="D2931" s="1">
        <f>IFERROR(__xludf.DUMMYFUNCTION("""COMPUTED_VALUE"""),56000.0)</f>
        <v>56000</v>
      </c>
      <c r="E2931" s="1">
        <f>IFERROR(__xludf.DUMMYFUNCTION("""COMPUTED_VALUE"""),56000.0)</f>
        <v>56000</v>
      </c>
      <c r="F2931" s="1">
        <f>IFERROR(__xludf.DUMMYFUNCTION("""COMPUTED_VALUE"""),1380887.0)</f>
        <v>1380887</v>
      </c>
    </row>
    <row r="2932">
      <c r="A2932" s="2">
        <f>IFERROR(__xludf.DUMMYFUNCTION("""COMPUTED_VALUE"""),44902.64583333333)</f>
        <v>44902.64583</v>
      </c>
      <c r="B2932" s="1">
        <f>IFERROR(__xludf.DUMMYFUNCTION("""COMPUTED_VALUE"""),55700.0)</f>
        <v>55700</v>
      </c>
      <c r="C2932" s="1">
        <f>IFERROR(__xludf.DUMMYFUNCTION("""COMPUTED_VALUE"""),56600.0)</f>
        <v>56600</v>
      </c>
      <c r="D2932" s="1">
        <f>IFERROR(__xludf.DUMMYFUNCTION("""COMPUTED_VALUE"""),55400.0)</f>
        <v>55400</v>
      </c>
      <c r="E2932" s="1">
        <f>IFERROR(__xludf.DUMMYFUNCTION("""COMPUTED_VALUE"""),55500.0)</f>
        <v>55500</v>
      </c>
      <c r="F2932" s="1">
        <f>IFERROR(__xludf.DUMMYFUNCTION("""COMPUTED_VALUE"""),1014142.0)</f>
        <v>1014142</v>
      </c>
    </row>
    <row r="2933">
      <c r="A2933" s="2">
        <f>IFERROR(__xludf.DUMMYFUNCTION("""COMPUTED_VALUE"""),44903.64583333333)</f>
        <v>44903.64583</v>
      </c>
      <c r="B2933" s="1">
        <f>IFERROR(__xludf.DUMMYFUNCTION("""COMPUTED_VALUE"""),55900.0)</f>
        <v>55900</v>
      </c>
      <c r="C2933" s="1">
        <f>IFERROR(__xludf.DUMMYFUNCTION("""COMPUTED_VALUE"""),56100.0)</f>
        <v>56100</v>
      </c>
      <c r="D2933" s="1">
        <f>IFERROR(__xludf.DUMMYFUNCTION("""COMPUTED_VALUE"""),54900.0)</f>
        <v>54900</v>
      </c>
      <c r="E2933" s="1">
        <f>IFERROR(__xludf.DUMMYFUNCTION("""COMPUTED_VALUE"""),55500.0)</f>
        <v>55500</v>
      </c>
      <c r="F2933" s="1">
        <f>IFERROR(__xludf.DUMMYFUNCTION("""COMPUTED_VALUE"""),1376893.0)</f>
        <v>1376893</v>
      </c>
    </row>
    <row r="2934">
      <c r="A2934" s="2">
        <f>IFERROR(__xludf.DUMMYFUNCTION("""COMPUTED_VALUE"""),44904.64583333333)</f>
        <v>44904.64583</v>
      </c>
      <c r="B2934" s="1">
        <f>IFERROR(__xludf.DUMMYFUNCTION("""COMPUTED_VALUE"""),56100.0)</f>
        <v>56100</v>
      </c>
      <c r="C2934" s="1">
        <f>IFERROR(__xludf.DUMMYFUNCTION("""COMPUTED_VALUE"""),58200.0)</f>
        <v>58200</v>
      </c>
      <c r="D2934" s="1">
        <f>IFERROR(__xludf.DUMMYFUNCTION("""COMPUTED_VALUE"""),56000.0)</f>
        <v>56000</v>
      </c>
      <c r="E2934" s="1">
        <f>IFERROR(__xludf.DUMMYFUNCTION("""COMPUTED_VALUE"""),58100.0)</f>
        <v>58100</v>
      </c>
      <c r="F2934" s="1">
        <f>IFERROR(__xludf.DUMMYFUNCTION("""COMPUTED_VALUE"""),2404261.0)</f>
        <v>2404261</v>
      </c>
    </row>
    <row r="2935">
      <c r="A2935" s="2">
        <f>IFERROR(__xludf.DUMMYFUNCTION("""COMPUTED_VALUE"""),44907.64583333333)</f>
        <v>44907.64583</v>
      </c>
      <c r="B2935" s="1">
        <f>IFERROR(__xludf.DUMMYFUNCTION("""COMPUTED_VALUE"""),57700.0)</f>
        <v>57700</v>
      </c>
      <c r="C2935" s="1">
        <f>IFERROR(__xludf.DUMMYFUNCTION("""COMPUTED_VALUE"""),58700.0)</f>
        <v>58700</v>
      </c>
      <c r="D2935" s="1">
        <f>IFERROR(__xludf.DUMMYFUNCTION("""COMPUTED_VALUE"""),57000.0)</f>
        <v>57000</v>
      </c>
      <c r="E2935" s="1">
        <f>IFERROR(__xludf.DUMMYFUNCTION("""COMPUTED_VALUE"""),58100.0)</f>
        <v>58100</v>
      </c>
      <c r="F2935" s="1">
        <f>IFERROR(__xludf.DUMMYFUNCTION("""COMPUTED_VALUE"""),1402888.0)</f>
        <v>1402888</v>
      </c>
    </row>
    <row r="2936">
      <c r="A2936" s="2">
        <f>IFERROR(__xludf.DUMMYFUNCTION("""COMPUTED_VALUE"""),44908.64583333333)</f>
        <v>44908.64583</v>
      </c>
      <c r="B2936" s="1">
        <f>IFERROR(__xludf.DUMMYFUNCTION("""COMPUTED_VALUE"""),59000.0)</f>
        <v>59000</v>
      </c>
      <c r="C2936" s="1">
        <f>IFERROR(__xludf.DUMMYFUNCTION("""COMPUTED_VALUE"""),59700.0)</f>
        <v>59700</v>
      </c>
      <c r="D2936" s="1">
        <f>IFERROR(__xludf.DUMMYFUNCTION("""COMPUTED_VALUE"""),57700.0)</f>
        <v>57700</v>
      </c>
      <c r="E2936" s="1">
        <f>IFERROR(__xludf.DUMMYFUNCTION("""COMPUTED_VALUE"""),58200.0)</f>
        <v>58200</v>
      </c>
      <c r="F2936" s="1">
        <f>IFERROR(__xludf.DUMMYFUNCTION("""COMPUTED_VALUE"""),1532110.0)</f>
        <v>1532110</v>
      </c>
    </row>
    <row r="2937">
      <c r="A2937" s="2">
        <f>IFERROR(__xludf.DUMMYFUNCTION("""COMPUTED_VALUE"""),44909.64583333333)</f>
        <v>44909.64583</v>
      </c>
      <c r="B2937" s="1">
        <f>IFERROR(__xludf.DUMMYFUNCTION("""COMPUTED_VALUE"""),58800.0)</f>
        <v>58800</v>
      </c>
      <c r="C2937" s="1">
        <f>IFERROR(__xludf.DUMMYFUNCTION("""COMPUTED_VALUE"""),59500.0)</f>
        <v>59500</v>
      </c>
      <c r="D2937" s="1">
        <f>IFERROR(__xludf.DUMMYFUNCTION("""COMPUTED_VALUE"""),58300.0)</f>
        <v>58300</v>
      </c>
      <c r="E2937" s="1">
        <f>IFERROR(__xludf.DUMMYFUNCTION("""COMPUTED_VALUE"""),58700.0)</f>
        <v>58700</v>
      </c>
      <c r="F2937" s="1">
        <f>IFERROR(__xludf.DUMMYFUNCTION("""COMPUTED_VALUE"""),1550967.0)</f>
        <v>1550967</v>
      </c>
    </row>
    <row r="2938">
      <c r="A2938" s="2">
        <f>IFERROR(__xludf.DUMMYFUNCTION("""COMPUTED_VALUE"""),44910.64583333333)</f>
        <v>44910.64583</v>
      </c>
      <c r="B2938" s="1">
        <f>IFERROR(__xludf.DUMMYFUNCTION("""COMPUTED_VALUE"""),57900.0)</f>
        <v>57900</v>
      </c>
      <c r="C2938" s="1">
        <f>IFERROR(__xludf.DUMMYFUNCTION("""COMPUTED_VALUE"""),58000.0)</f>
        <v>58000</v>
      </c>
      <c r="D2938" s="1">
        <f>IFERROR(__xludf.DUMMYFUNCTION("""COMPUTED_VALUE"""),55300.0)</f>
        <v>55300</v>
      </c>
      <c r="E2938" s="1">
        <f>IFERROR(__xludf.DUMMYFUNCTION("""COMPUTED_VALUE"""),55300.0)</f>
        <v>55300</v>
      </c>
      <c r="F2938" s="1">
        <f>IFERROR(__xludf.DUMMYFUNCTION("""COMPUTED_VALUE"""),3034680.0)</f>
        <v>3034680</v>
      </c>
    </row>
    <row r="2939">
      <c r="A2939" s="2">
        <f>IFERROR(__xludf.DUMMYFUNCTION("""COMPUTED_VALUE"""),44911.64583333333)</f>
        <v>44911.64583</v>
      </c>
      <c r="B2939" s="1">
        <f>IFERROR(__xludf.DUMMYFUNCTION("""COMPUTED_VALUE"""),53500.0)</f>
        <v>53500</v>
      </c>
      <c r="C2939" s="1">
        <f>IFERROR(__xludf.DUMMYFUNCTION("""COMPUTED_VALUE"""),54900.0)</f>
        <v>54900</v>
      </c>
      <c r="D2939" s="1">
        <f>IFERROR(__xludf.DUMMYFUNCTION("""COMPUTED_VALUE"""),53100.0)</f>
        <v>53100</v>
      </c>
      <c r="E2939" s="1">
        <f>IFERROR(__xludf.DUMMYFUNCTION("""COMPUTED_VALUE"""),54400.0)</f>
        <v>54400</v>
      </c>
      <c r="F2939" s="1">
        <f>IFERROR(__xludf.DUMMYFUNCTION("""COMPUTED_VALUE"""),2477820.0)</f>
        <v>2477820</v>
      </c>
    </row>
    <row r="2940">
      <c r="A2940" s="2">
        <f>IFERROR(__xludf.DUMMYFUNCTION("""COMPUTED_VALUE"""),44914.64583333333)</f>
        <v>44914.64583</v>
      </c>
      <c r="B2940" s="1">
        <f>IFERROR(__xludf.DUMMYFUNCTION("""COMPUTED_VALUE"""),53900.0)</f>
        <v>53900</v>
      </c>
      <c r="C2940" s="1">
        <f>IFERROR(__xludf.DUMMYFUNCTION("""COMPUTED_VALUE"""),56400.0)</f>
        <v>56400</v>
      </c>
      <c r="D2940" s="1">
        <f>IFERROR(__xludf.DUMMYFUNCTION("""COMPUTED_VALUE"""),53900.0)</f>
        <v>53900</v>
      </c>
      <c r="E2940" s="1">
        <f>IFERROR(__xludf.DUMMYFUNCTION("""COMPUTED_VALUE"""),55800.0)</f>
        <v>55800</v>
      </c>
      <c r="F2940" s="1">
        <f>IFERROR(__xludf.DUMMYFUNCTION("""COMPUTED_VALUE"""),1364858.0)</f>
        <v>1364858</v>
      </c>
    </row>
    <row r="2941">
      <c r="A2941" s="2">
        <f>IFERROR(__xludf.DUMMYFUNCTION("""COMPUTED_VALUE"""),44915.64583333333)</f>
        <v>44915.64583</v>
      </c>
      <c r="B2941" s="1">
        <f>IFERROR(__xludf.DUMMYFUNCTION("""COMPUTED_VALUE"""),55300.0)</f>
        <v>55300</v>
      </c>
      <c r="C2941" s="1">
        <f>IFERROR(__xludf.DUMMYFUNCTION("""COMPUTED_VALUE"""),55700.0)</f>
        <v>55700</v>
      </c>
      <c r="D2941" s="1">
        <f>IFERROR(__xludf.DUMMYFUNCTION("""COMPUTED_VALUE"""),53900.0)</f>
        <v>53900</v>
      </c>
      <c r="E2941" s="1">
        <f>IFERROR(__xludf.DUMMYFUNCTION("""COMPUTED_VALUE"""),54300.0)</f>
        <v>54300</v>
      </c>
      <c r="F2941" s="1">
        <f>IFERROR(__xludf.DUMMYFUNCTION("""COMPUTED_VALUE"""),1390754.0)</f>
        <v>1390754</v>
      </c>
    </row>
    <row r="2942">
      <c r="A2942" s="2">
        <f>IFERROR(__xludf.DUMMYFUNCTION("""COMPUTED_VALUE"""),44916.64583333333)</f>
        <v>44916.64583</v>
      </c>
      <c r="B2942" s="1">
        <f>IFERROR(__xludf.DUMMYFUNCTION("""COMPUTED_VALUE"""),54900.0)</f>
        <v>54900</v>
      </c>
      <c r="C2942" s="1">
        <f>IFERROR(__xludf.DUMMYFUNCTION("""COMPUTED_VALUE"""),55200.0)</f>
        <v>55200</v>
      </c>
      <c r="D2942" s="1">
        <f>IFERROR(__xludf.DUMMYFUNCTION("""COMPUTED_VALUE"""),53700.0)</f>
        <v>53700</v>
      </c>
      <c r="E2942" s="1">
        <f>IFERROR(__xludf.DUMMYFUNCTION("""COMPUTED_VALUE"""),54200.0)</f>
        <v>54200</v>
      </c>
      <c r="F2942" s="1">
        <f>IFERROR(__xludf.DUMMYFUNCTION("""COMPUTED_VALUE"""),980179.0)</f>
        <v>980179</v>
      </c>
    </row>
    <row r="2943">
      <c r="A2943" s="2">
        <f>IFERROR(__xludf.DUMMYFUNCTION("""COMPUTED_VALUE"""),44917.64583333333)</f>
        <v>44917.64583</v>
      </c>
      <c r="B2943" s="1">
        <f>IFERROR(__xludf.DUMMYFUNCTION("""COMPUTED_VALUE"""),55000.0)</f>
        <v>55000</v>
      </c>
      <c r="C2943" s="1">
        <f>IFERROR(__xludf.DUMMYFUNCTION("""COMPUTED_VALUE"""),55700.0)</f>
        <v>55700</v>
      </c>
      <c r="D2943" s="1">
        <f>IFERROR(__xludf.DUMMYFUNCTION("""COMPUTED_VALUE"""),54100.0)</f>
        <v>54100</v>
      </c>
      <c r="E2943" s="1">
        <f>IFERROR(__xludf.DUMMYFUNCTION("""COMPUTED_VALUE"""),55100.0)</f>
        <v>55100</v>
      </c>
      <c r="F2943" s="1">
        <f>IFERROR(__xludf.DUMMYFUNCTION("""COMPUTED_VALUE"""),1228266.0)</f>
        <v>1228266</v>
      </c>
    </row>
    <row r="2944">
      <c r="A2944" s="2">
        <f>IFERROR(__xludf.DUMMYFUNCTION("""COMPUTED_VALUE"""),44918.64583333333)</f>
        <v>44918.64583</v>
      </c>
      <c r="B2944" s="1">
        <f>IFERROR(__xludf.DUMMYFUNCTION("""COMPUTED_VALUE"""),54000.0)</f>
        <v>54000</v>
      </c>
      <c r="C2944" s="1">
        <f>IFERROR(__xludf.DUMMYFUNCTION("""COMPUTED_VALUE"""),54300.0)</f>
        <v>54300</v>
      </c>
      <c r="D2944" s="1">
        <f>IFERROR(__xludf.DUMMYFUNCTION("""COMPUTED_VALUE"""),53100.0)</f>
        <v>53100</v>
      </c>
      <c r="E2944" s="1">
        <f>IFERROR(__xludf.DUMMYFUNCTION("""COMPUTED_VALUE"""),53400.0)</f>
        <v>53400</v>
      </c>
      <c r="F2944" s="1">
        <f>IFERROR(__xludf.DUMMYFUNCTION("""COMPUTED_VALUE"""),1339673.0)</f>
        <v>1339673</v>
      </c>
    </row>
    <row r="2945">
      <c r="A2945" s="2">
        <f>IFERROR(__xludf.DUMMYFUNCTION("""COMPUTED_VALUE"""),44921.64583333333)</f>
        <v>44921.64583</v>
      </c>
      <c r="B2945" s="1">
        <f>IFERROR(__xludf.DUMMYFUNCTION("""COMPUTED_VALUE"""),53400.0)</f>
        <v>53400</v>
      </c>
      <c r="C2945" s="1">
        <f>IFERROR(__xludf.DUMMYFUNCTION("""COMPUTED_VALUE"""),53800.0)</f>
        <v>53800</v>
      </c>
      <c r="D2945" s="1">
        <f>IFERROR(__xludf.DUMMYFUNCTION("""COMPUTED_VALUE"""),52700.0)</f>
        <v>52700</v>
      </c>
      <c r="E2945" s="1">
        <f>IFERROR(__xludf.DUMMYFUNCTION("""COMPUTED_VALUE"""),53600.0)</f>
        <v>53600</v>
      </c>
      <c r="F2945" s="1">
        <f>IFERROR(__xludf.DUMMYFUNCTION("""COMPUTED_VALUE"""),988777.0)</f>
        <v>988777</v>
      </c>
    </row>
    <row r="2946">
      <c r="A2946" s="2">
        <f>IFERROR(__xludf.DUMMYFUNCTION("""COMPUTED_VALUE"""),44922.64583333333)</f>
        <v>44922.64583</v>
      </c>
      <c r="B2946" s="1">
        <f>IFERROR(__xludf.DUMMYFUNCTION("""COMPUTED_VALUE"""),53900.0)</f>
        <v>53900</v>
      </c>
      <c r="C2946" s="1">
        <f>IFERROR(__xludf.DUMMYFUNCTION("""COMPUTED_VALUE"""),54700.0)</f>
        <v>54700</v>
      </c>
      <c r="D2946" s="1">
        <f>IFERROR(__xludf.DUMMYFUNCTION("""COMPUTED_VALUE"""),53600.0)</f>
        <v>53600</v>
      </c>
      <c r="E2946" s="1">
        <f>IFERROR(__xludf.DUMMYFUNCTION("""COMPUTED_VALUE"""),54400.0)</f>
        <v>54400</v>
      </c>
      <c r="F2946" s="1">
        <f>IFERROR(__xludf.DUMMYFUNCTION("""COMPUTED_VALUE"""),1226474.0)</f>
        <v>1226474</v>
      </c>
    </row>
    <row r="2947">
      <c r="A2947" s="2">
        <f>IFERROR(__xludf.DUMMYFUNCTION("""COMPUTED_VALUE"""),44923.64583333333)</f>
        <v>44923.64583</v>
      </c>
      <c r="B2947" s="1">
        <f>IFERROR(__xludf.DUMMYFUNCTION("""COMPUTED_VALUE"""),53900.0)</f>
        <v>53900</v>
      </c>
      <c r="C2947" s="1">
        <f>IFERROR(__xludf.DUMMYFUNCTION("""COMPUTED_VALUE"""),54700.0)</f>
        <v>54700</v>
      </c>
      <c r="D2947" s="1">
        <f>IFERROR(__xludf.DUMMYFUNCTION("""COMPUTED_VALUE"""),52900.0)</f>
        <v>52900</v>
      </c>
      <c r="E2947" s="1">
        <f>IFERROR(__xludf.DUMMYFUNCTION("""COMPUTED_VALUE"""),53600.0)</f>
        <v>53600</v>
      </c>
      <c r="F2947" s="1">
        <f>IFERROR(__xludf.DUMMYFUNCTION("""COMPUTED_VALUE"""),1268005.0)</f>
        <v>1268005</v>
      </c>
    </row>
    <row r="2948">
      <c r="A2948" s="2">
        <f>IFERROR(__xludf.DUMMYFUNCTION("""COMPUTED_VALUE"""),44924.64583333333)</f>
        <v>44924.64583</v>
      </c>
      <c r="B2948" s="1">
        <f>IFERROR(__xludf.DUMMYFUNCTION("""COMPUTED_VALUE"""),53500.0)</f>
        <v>53500</v>
      </c>
      <c r="C2948" s="1">
        <f>IFERROR(__xludf.DUMMYFUNCTION("""COMPUTED_VALUE"""),55300.0)</f>
        <v>55300</v>
      </c>
      <c r="D2948" s="1">
        <f>IFERROR(__xludf.DUMMYFUNCTION("""COMPUTED_VALUE"""),52900.0)</f>
        <v>52900</v>
      </c>
      <c r="E2948" s="1">
        <f>IFERROR(__xludf.DUMMYFUNCTION("""COMPUTED_VALUE"""),53100.0)</f>
        <v>53100</v>
      </c>
      <c r="F2948" s="1">
        <f>IFERROR(__xludf.DUMMYFUNCTION("""COMPUTED_VALUE"""),1319611.0)</f>
        <v>1319611</v>
      </c>
    </row>
    <row r="2949">
      <c r="A2949" s="2">
        <f>IFERROR(__xludf.DUMMYFUNCTION("""COMPUTED_VALUE"""),44928.64583333333)</f>
        <v>44928.64583</v>
      </c>
      <c r="B2949" s="1">
        <f>IFERROR(__xludf.DUMMYFUNCTION("""COMPUTED_VALUE"""),53600.0)</f>
        <v>53600</v>
      </c>
      <c r="C2949" s="1">
        <f>IFERROR(__xludf.DUMMYFUNCTION("""COMPUTED_VALUE"""),53800.0)</f>
        <v>53800</v>
      </c>
      <c r="D2949" s="1">
        <f>IFERROR(__xludf.DUMMYFUNCTION("""COMPUTED_VALUE"""),52400.0)</f>
        <v>52400</v>
      </c>
      <c r="E2949" s="1">
        <f>IFERROR(__xludf.DUMMYFUNCTION("""COMPUTED_VALUE"""),52700.0)</f>
        <v>52700</v>
      </c>
      <c r="F2949" s="1">
        <f>IFERROR(__xludf.DUMMYFUNCTION("""COMPUTED_VALUE"""),887667.0)</f>
        <v>887667</v>
      </c>
    </row>
    <row r="2950">
      <c r="A2950" s="2">
        <f>IFERROR(__xludf.DUMMYFUNCTION("""COMPUTED_VALUE"""),44929.64583333333)</f>
        <v>44929.64583</v>
      </c>
      <c r="B2950" s="1">
        <f>IFERROR(__xludf.DUMMYFUNCTION("""COMPUTED_VALUE"""),52400.0)</f>
        <v>52400</v>
      </c>
      <c r="C2950" s="1">
        <f>IFERROR(__xludf.DUMMYFUNCTION("""COMPUTED_VALUE"""),53500.0)</f>
        <v>53500</v>
      </c>
      <c r="D2950" s="1">
        <f>IFERROR(__xludf.DUMMYFUNCTION("""COMPUTED_VALUE"""),51400.0)</f>
        <v>51400</v>
      </c>
      <c r="E2950" s="1">
        <f>IFERROR(__xludf.DUMMYFUNCTION("""COMPUTED_VALUE"""),53300.0)</f>
        <v>53300</v>
      </c>
      <c r="F2950" s="1">
        <f>IFERROR(__xludf.DUMMYFUNCTION("""COMPUTED_VALUE"""),1420569.0)</f>
        <v>1420569</v>
      </c>
    </row>
    <row r="2951">
      <c r="A2951" s="2">
        <f>IFERROR(__xludf.DUMMYFUNCTION("""COMPUTED_VALUE"""),44930.64583333333)</f>
        <v>44930.64583</v>
      </c>
      <c r="B2951" s="1">
        <f>IFERROR(__xludf.DUMMYFUNCTION("""COMPUTED_VALUE"""),53200.0)</f>
        <v>53200</v>
      </c>
      <c r="C2951" s="1">
        <f>IFERROR(__xludf.DUMMYFUNCTION("""COMPUTED_VALUE"""),56000.0)</f>
        <v>56000</v>
      </c>
      <c r="D2951" s="1">
        <f>IFERROR(__xludf.DUMMYFUNCTION("""COMPUTED_VALUE"""),53100.0)</f>
        <v>53100</v>
      </c>
      <c r="E2951" s="1">
        <f>IFERROR(__xludf.DUMMYFUNCTION("""COMPUTED_VALUE"""),55700.0)</f>
        <v>55700</v>
      </c>
      <c r="F2951" s="1">
        <f>IFERROR(__xludf.DUMMYFUNCTION("""COMPUTED_VALUE"""),2241411.0)</f>
        <v>2241411</v>
      </c>
    </row>
    <row r="2952">
      <c r="A2952" s="2">
        <f>IFERROR(__xludf.DUMMYFUNCTION("""COMPUTED_VALUE"""),44931.64583333333)</f>
        <v>44931.64583</v>
      </c>
      <c r="B2952" s="1">
        <f>IFERROR(__xludf.DUMMYFUNCTION("""COMPUTED_VALUE"""),55800.0)</f>
        <v>55800</v>
      </c>
      <c r="C2952" s="1">
        <f>IFERROR(__xludf.DUMMYFUNCTION("""COMPUTED_VALUE"""),58200.0)</f>
        <v>58200</v>
      </c>
      <c r="D2952" s="1">
        <f>IFERROR(__xludf.DUMMYFUNCTION("""COMPUTED_VALUE"""),55700.0)</f>
        <v>55700</v>
      </c>
      <c r="E2952" s="1">
        <f>IFERROR(__xludf.DUMMYFUNCTION("""COMPUTED_VALUE"""),57700.0)</f>
        <v>57700</v>
      </c>
      <c r="F2952" s="1">
        <f>IFERROR(__xludf.DUMMYFUNCTION("""COMPUTED_VALUE"""),3046064.0)</f>
        <v>3046064</v>
      </c>
    </row>
    <row r="2953">
      <c r="A2953" s="2">
        <f>IFERROR(__xludf.DUMMYFUNCTION("""COMPUTED_VALUE"""),44932.64583333333)</f>
        <v>44932.64583</v>
      </c>
      <c r="B2953" s="1">
        <f>IFERROR(__xludf.DUMMYFUNCTION("""COMPUTED_VALUE"""),57200.0)</f>
        <v>57200</v>
      </c>
      <c r="C2953" s="1">
        <f>IFERROR(__xludf.DUMMYFUNCTION("""COMPUTED_VALUE"""),58000.0)</f>
        <v>58000</v>
      </c>
      <c r="D2953" s="1">
        <f>IFERROR(__xludf.DUMMYFUNCTION("""COMPUTED_VALUE"""),56500.0)</f>
        <v>56500</v>
      </c>
      <c r="E2953" s="1">
        <f>IFERROR(__xludf.DUMMYFUNCTION("""COMPUTED_VALUE"""),57200.0)</f>
        <v>57200</v>
      </c>
      <c r="F2953" s="1">
        <f>IFERROR(__xludf.DUMMYFUNCTION("""COMPUTED_VALUE"""),1420345.0)</f>
        <v>1420345</v>
      </c>
    </row>
    <row r="2954">
      <c r="A2954" s="2">
        <f>IFERROR(__xludf.DUMMYFUNCTION("""COMPUTED_VALUE"""),44935.64583333333)</f>
        <v>44935.64583</v>
      </c>
      <c r="B2954" s="1">
        <f>IFERROR(__xludf.DUMMYFUNCTION("""COMPUTED_VALUE"""),58700.0)</f>
        <v>58700</v>
      </c>
      <c r="C2954" s="1">
        <f>IFERROR(__xludf.DUMMYFUNCTION("""COMPUTED_VALUE"""),61200.0)</f>
        <v>61200</v>
      </c>
      <c r="D2954" s="1">
        <f>IFERROR(__xludf.DUMMYFUNCTION("""COMPUTED_VALUE"""),58300.0)</f>
        <v>58300</v>
      </c>
      <c r="E2954" s="1">
        <f>IFERROR(__xludf.DUMMYFUNCTION("""COMPUTED_VALUE"""),61100.0)</f>
        <v>61100</v>
      </c>
      <c r="F2954" s="1">
        <f>IFERROR(__xludf.DUMMYFUNCTION("""COMPUTED_VALUE"""),3482961.0)</f>
        <v>3482961</v>
      </c>
    </row>
    <row r="2955">
      <c r="A2955" s="2">
        <f>IFERROR(__xludf.DUMMYFUNCTION("""COMPUTED_VALUE"""),44936.64583333333)</f>
        <v>44936.64583</v>
      </c>
      <c r="B2955" s="1">
        <f>IFERROR(__xludf.DUMMYFUNCTION("""COMPUTED_VALUE"""),60700.0)</f>
        <v>60700</v>
      </c>
      <c r="C2955" s="1">
        <f>IFERROR(__xludf.DUMMYFUNCTION("""COMPUTED_VALUE"""),61700.0)</f>
        <v>61700</v>
      </c>
      <c r="D2955" s="1">
        <f>IFERROR(__xludf.DUMMYFUNCTION("""COMPUTED_VALUE"""),60400.0)</f>
        <v>60400</v>
      </c>
      <c r="E2955" s="1">
        <f>IFERROR(__xludf.DUMMYFUNCTION("""COMPUTED_VALUE"""),60700.0)</f>
        <v>60700</v>
      </c>
      <c r="F2955" s="1">
        <f>IFERROR(__xludf.DUMMYFUNCTION("""COMPUTED_VALUE"""),2178323.0)</f>
        <v>2178323</v>
      </c>
    </row>
    <row r="2956">
      <c r="A2956" s="2">
        <f>IFERROR(__xludf.DUMMYFUNCTION("""COMPUTED_VALUE"""),44937.64583333333)</f>
        <v>44937.64583</v>
      </c>
      <c r="B2956" s="1">
        <f>IFERROR(__xludf.DUMMYFUNCTION("""COMPUTED_VALUE"""),61700.0)</f>
        <v>61700</v>
      </c>
      <c r="C2956" s="1">
        <f>IFERROR(__xludf.DUMMYFUNCTION("""COMPUTED_VALUE"""),62500.0)</f>
        <v>62500</v>
      </c>
      <c r="D2956" s="1">
        <f>IFERROR(__xludf.DUMMYFUNCTION("""COMPUTED_VALUE"""),60800.0)</f>
        <v>60800</v>
      </c>
      <c r="E2956" s="1">
        <f>IFERROR(__xludf.DUMMYFUNCTION("""COMPUTED_VALUE"""),61900.0)</f>
        <v>61900</v>
      </c>
      <c r="F2956" s="1">
        <f>IFERROR(__xludf.DUMMYFUNCTION("""COMPUTED_VALUE"""),2544430.0)</f>
        <v>2544430</v>
      </c>
    </row>
    <row r="2957">
      <c r="A2957" s="2">
        <f>IFERROR(__xludf.DUMMYFUNCTION("""COMPUTED_VALUE"""),44938.64583333333)</f>
        <v>44938.64583</v>
      </c>
      <c r="B2957" s="1">
        <f>IFERROR(__xludf.DUMMYFUNCTION("""COMPUTED_VALUE"""),63000.0)</f>
        <v>63000</v>
      </c>
      <c r="C2957" s="1">
        <f>IFERROR(__xludf.DUMMYFUNCTION("""COMPUTED_VALUE"""),63400.0)</f>
        <v>63400</v>
      </c>
      <c r="D2957" s="1">
        <f>IFERROR(__xludf.DUMMYFUNCTION("""COMPUTED_VALUE"""),61100.0)</f>
        <v>61100</v>
      </c>
      <c r="E2957" s="1">
        <f>IFERROR(__xludf.DUMMYFUNCTION("""COMPUTED_VALUE"""),61500.0)</f>
        <v>61500</v>
      </c>
      <c r="F2957" s="1">
        <f>IFERROR(__xludf.DUMMYFUNCTION("""COMPUTED_VALUE"""),2197974.0)</f>
        <v>2197974</v>
      </c>
    </row>
    <row r="2958">
      <c r="A2958" s="2">
        <f>IFERROR(__xludf.DUMMYFUNCTION("""COMPUTED_VALUE"""),44939.64583333333)</f>
        <v>44939.64583</v>
      </c>
      <c r="B2958" s="1">
        <f>IFERROR(__xludf.DUMMYFUNCTION("""COMPUTED_VALUE"""),62100.0)</f>
        <v>62100</v>
      </c>
      <c r="C2958" s="1">
        <f>IFERROR(__xludf.DUMMYFUNCTION("""COMPUTED_VALUE"""),63000.0)</f>
        <v>63000</v>
      </c>
      <c r="D2958" s="1">
        <f>IFERROR(__xludf.DUMMYFUNCTION("""COMPUTED_VALUE"""),61500.0)</f>
        <v>61500</v>
      </c>
      <c r="E2958" s="1">
        <f>IFERROR(__xludf.DUMMYFUNCTION("""COMPUTED_VALUE"""),62000.0)</f>
        <v>62000</v>
      </c>
      <c r="F2958" s="1">
        <f>IFERROR(__xludf.DUMMYFUNCTION("""COMPUTED_VALUE"""),2248562.0)</f>
        <v>2248562</v>
      </c>
    </row>
    <row r="2959">
      <c r="A2959" s="2">
        <f>IFERROR(__xludf.DUMMYFUNCTION("""COMPUTED_VALUE"""),44942.64583333333)</f>
        <v>44942.64583</v>
      </c>
      <c r="B2959" s="1">
        <f>IFERROR(__xludf.DUMMYFUNCTION("""COMPUTED_VALUE"""),62300.0)</f>
        <v>62300</v>
      </c>
      <c r="C2959" s="1">
        <f>IFERROR(__xludf.DUMMYFUNCTION("""COMPUTED_VALUE"""),65000.0)</f>
        <v>65000</v>
      </c>
      <c r="D2959" s="1">
        <f>IFERROR(__xludf.DUMMYFUNCTION("""COMPUTED_VALUE"""),62000.0)</f>
        <v>62000</v>
      </c>
      <c r="E2959" s="1">
        <f>IFERROR(__xludf.DUMMYFUNCTION("""COMPUTED_VALUE"""),64500.0)</f>
        <v>64500</v>
      </c>
      <c r="F2959" s="1">
        <f>IFERROR(__xludf.DUMMYFUNCTION("""COMPUTED_VALUE"""),2989321.0)</f>
        <v>2989321</v>
      </c>
    </row>
    <row r="2960">
      <c r="A2960" s="2">
        <f>IFERROR(__xludf.DUMMYFUNCTION("""COMPUTED_VALUE"""),44943.64583333333)</f>
        <v>44943.64583</v>
      </c>
      <c r="B2960" s="1">
        <f>IFERROR(__xludf.DUMMYFUNCTION("""COMPUTED_VALUE"""),64500.0)</f>
        <v>64500</v>
      </c>
      <c r="C2960" s="1">
        <f>IFERROR(__xludf.DUMMYFUNCTION("""COMPUTED_VALUE"""),64500.0)</f>
        <v>64500</v>
      </c>
      <c r="D2960" s="1">
        <f>IFERROR(__xludf.DUMMYFUNCTION("""COMPUTED_VALUE"""),61400.0)</f>
        <v>61400</v>
      </c>
      <c r="E2960" s="1">
        <f>IFERROR(__xludf.DUMMYFUNCTION("""COMPUTED_VALUE"""),61800.0)</f>
        <v>61800</v>
      </c>
      <c r="F2960" s="1">
        <f>IFERROR(__xludf.DUMMYFUNCTION("""COMPUTED_VALUE"""),3194397.0)</f>
        <v>3194397</v>
      </c>
    </row>
    <row r="2961">
      <c r="A2961" s="2">
        <f>IFERROR(__xludf.DUMMYFUNCTION("""COMPUTED_VALUE"""),44944.64583333333)</f>
        <v>44944.64583</v>
      </c>
      <c r="B2961" s="1">
        <f>IFERROR(__xludf.DUMMYFUNCTION("""COMPUTED_VALUE"""),61500.0)</f>
        <v>61500</v>
      </c>
      <c r="C2961" s="1">
        <f>IFERROR(__xludf.DUMMYFUNCTION("""COMPUTED_VALUE"""),62500.0)</f>
        <v>62500</v>
      </c>
      <c r="D2961" s="1">
        <f>IFERROR(__xludf.DUMMYFUNCTION("""COMPUTED_VALUE"""),61100.0)</f>
        <v>61100</v>
      </c>
      <c r="E2961" s="1">
        <f>IFERROR(__xludf.DUMMYFUNCTION("""COMPUTED_VALUE"""),61600.0)</f>
        <v>61600</v>
      </c>
      <c r="F2961" s="1">
        <f>IFERROR(__xludf.DUMMYFUNCTION("""COMPUTED_VALUE"""),1650067.0)</f>
        <v>1650067</v>
      </c>
    </row>
    <row r="2962">
      <c r="A2962" s="2">
        <f>IFERROR(__xludf.DUMMYFUNCTION("""COMPUTED_VALUE"""),44945.64583333333)</f>
        <v>44945.64583</v>
      </c>
      <c r="B2962" s="1">
        <f>IFERROR(__xludf.DUMMYFUNCTION("""COMPUTED_VALUE"""),61100.0)</f>
        <v>61100</v>
      </c>
      <c r="C2962" s="1">
        <f>IFERROR(__xludf.DUMMYFUNCTION("""COMPUTED_VALUE"""),61400.0)</f>
        <v>61400</v>
      </c>
      <c r="D2962" s="1">
        <f>IFERROR(__xludf.DUMMYFUNCTION("""COMPUTED_VALUE"""),60200.0)</f>
        <v>60200</v>
      </c>
      <c r="E2962" s="1">
        <f>IFERROR(__xludf.DUMMYFUNCTION("""COMPUTED_VALUE"""),60800.0)</f>
        <v>60800</v>
      </c>
      <c r="F2962" s="1">
        <f>IFERROR(__xludf.DUMMYFUNCTION("""COMPUTED_VALUE"""),1687361.0)</f>
        <v>1687361</v>
      </c>
    </row>
    <row r="2963">
      <c r="A2963" s="2">
        <f>IFERROR(__xludf.DUMMYFUNCTION("""COMPUTED_VALUE"""),44946.64583333333)</f>
        <v>44946.64583</v>
      </c>
      <c r="B2963" s="1">
        <f>IFERROR(__xludf.DUMMYFUNCTION("""COMPUTED_VALUE"""),60500.0)</f>
        <v>60500</v>
      </c>
      <c r="C2963" s="1">
        <f>IFERROR(__xludf.DUMMYFUNCTION("""COMPUTED_VALUE"""),61900.0)</f>
        <v>61900</v>
      </c>
      <c r="D2963" s="1">
        <f>IFERROR(__xludf.DUMMYFUNCTION("""COMPUTED_VALUE"""),60500.0)</f>
        <v>60500</v>
      </c>
      <c r="E2963" s="1">
        <f>IFERROR(__xludf.DUMMYFUNCTION("""COMPUTED_VALUE"""),61200.0)</f>
        <v>61200</v>
      </c>
      <c r="F2963" s="1">
        <f>IFERROR(__xludf.DUMMYFUNCTION("""COMPUTED_VALUE"""),1376217.0)</f>
        <v>1376217</v>
      </c>
    </row>
    <row r="2964">
      <c r="A2964" s="2">
        <f>IFERROR(__xludf.DUMMYFUNCTION("""COMPUTED_VALUE"""),44951.64583333333)</f>
        <v>44951.64583</v>
      </c>
      <c r="B2964" s="1">
        <f>IFERROR(__xludf.DUMMYFUNCTION("""COMPUTED_VALUE"""),62500.0)</f>
        <v>62500</v>
      </c>
      <c r="C2964" s="1">
        <f>IFERROR(__xludf.DUMMYFUNCTION("""COMPUTED_VALUE"""),63800.0)</f>
        <v>63800</v>
      </c>
      <c r="D2964" s="1">
        <f>IFERROR(__xludf.DUMMYFUNCTION("""COMPUTED_VALUE"""),62100.0)</f>
        <v>62100</v>
      </c>
      <c r="E2964" s="1">
        <f>IFERROR(__xludf.DUMMYFUNCTION("""COMPUTED_VALUE"""),62600.0)</f>
        <v>62600</v>
      </c>
      <c r="F2964" s="1">
        <f>IFERROR(__xludf.DUMMYFUNCTION("""COMPUTED_VALUE"""),2018473.0)</f>
        <v>2018473</v>
      </c>
    </row>
    <row r="2965">
      <c r="A2965" s="2">
        <f>IFERROR(__xludf.DUMMYFUNCTION("""COMPUTED_VALUE"""),44952.64583333333)</f>
        <v>44952.64583</v>
      </c>
      <c r="B2965" s="1">
        <f>IFERROR(__xludf.DUMMYFUNCTION("""COMPUTED_VALUE"""),62800.0)</f>
        <v>62800</v>
      </c>
      <c r="C2965" s="1">
        <f>IFERROR(__xludf.DUMMYFUNCTION("""COMPUTED_VALUE"""),63700.0)</f>
        <v>63700</v>
      </c>
      <c r="D2965" s="1">
        <f>IFERROR(__xludf.DUMMYFUNCTION("""COMPUTED_VALUE"""),61700.0)</f>
        <v>61700</v>
      </c>
      <c r="E2965" s="1">
        <f>IFERROR(__xludf.DUMMYFUNCTION("""COMPUTED_VALUE"""),63700.0)</f>
        <v>63700</v>
      </c>
      <c r="F2965" s="1">
        <f>IFERROR(__xludf.DUMMYFUNCTION("""COMPUTED_VALUE"""),1658008.0)</f>
        <v>1658008</v>
      </c>
    </row>
    <row r="2966">
      <c r="A2966" s="2">
        <f>IFERROR(__xludf.DUMMYFUNCTION("""COMPUTED_VALUE"""),44953.64583333333)</f>
        <v>44953.64583</v>
      </c>
      <c r="B2966" s="1">
        <f>IFERROR(__xludf.DUMMYFUNCTION("""COMPUTED_VALUE"""),64000.0)</f>
        <v>64000</v>
      </c>
      <c r="C2966" s="1">
        <f>IFERROR(__xludf.DUMMYFUNCTION("""COMPUTED_VALUE"""),65500.0)</f>
        <v>65500</v>
      </c>
      <c r="D2966" s="1">
        <f>IFERROR(__xludf.DUMMYFUNCTION("""COMPUTED_VALUE"""),63400.0)</f>
        <v>63400</v>
      </c>
      <c r="E2966" s="1">
        <f>IFERROR(__xludf.DUMMYFUNCTION("""COMPUTED_VALUE"""),64700.0)</f>
        <v>64700</v>
      </c>
      <c r="F2966" s="1">
        <f>IFERROR(__xludf.DUMMYFUNCTION("""COMPUTED_VALUE"""),2588030.0)</f>
        <v>2588030</v>
      </c>
    </row>
    <row r="2967">
      <c r="A2967" s="2">
        <f>IFERROR(__xludf.DUMMYFUNCTION("""COMPUTED_VALUE"""),44956.64583333333)</f>
        <v>44956.64583</v>
      </c>
      <c r="B2967" s="1">
        <f>IFERROR(__xludf.DUMMYFUNCTION("""COMPUTED_VALUE"""),64800.0)</f>
        <v>64800</v>
      </c>
      <c r="C2967" s="1">
        <f>IFERROR(__xludf.DUMMYFUNCTION("""COMPUTED_VALUE"""),65400.0)</f>
        <v>65400</v>
      </c>
      <c r="D2967" s="1">
        <f>IFERROR(__xludf.DUMMYFUNCTION("""COMPUTED_VALUE"""),63200.0)</f>
        <v>63200</v>
      </c>
      <c r="E2967" s="1">
        <f>IFERROR(__xludf.DUMMYFUNCTION("""COMPUTED_VALUE"""),63500.0)</f>
        <v>63500</v>
      </c>
      <c r="F2967" s="1">
        <f>IFERROR(__xludf.DUMMYFUNCTION("""COMPUTED_VALUE"""),1888795.0)</f>
        <v>1888795</v>
      </c>
    </row>
    <row r="2968">
      <c r="A2968" s="2">
        <f>IFERROR(__xludf.DUMMYFUNCTION("""COMPUTED_VALUE"""),44957.64583333333)</f>
        <v>44957.64583</v>
      </c>
      <c r="B2968" s="1">
        <f>IFERROR(__xludf.DUMMYFUNCTION("""COMPUTED_VALUE"""),62700.0)</f>
        <v>62700</v>
      </c>
      <c r="C2968" s="1">
        <f>IFERROR(__xludf.DUMMYFUNCTION("""COMPUTED_VALUE"""),63500.0)</f>
        <v>63500</v>
      </c>
      <c r="D2968" s="1">
        <f>IFERROR(__xludf.DUMMYFUNCTION("""COMPUTED_VALUE"""),61200.0)</f>
        <v>61200</v>
      </c>
      <c r="E2968" s="1">
        <f>IFERROR(__xludf.DUMMYFUNCTION("""COMPUTED_VALUE"""),61400.0)</f>
        <v>61400</v>
      </c>
      <c r="F2968" s="1">
        <f>IFERROR(__xludf.DUMMYFUNCTION("""COMPUTED_VALUE"""),2394547.0)</f>
        <v>2394547</v>
      </c>
    </row>
    <row r="2969">
      <c r="A2969" s="2">
        <f>IFERROR(__xludf.DUMMYFUNCTION("""COMPUTED_VALUE"""),44958.64583333333)</f>
        <v>44958.64583</v>
      </c>
      <c r="B2969" s="1">
        <f>IFERROR(__xludf.DUMMYFUNCTION("""COMPUTED_VALUE"""),62000.0)</f>
        <v>62000</v>
      </c>
      <c r="C2969" s="1">
        <f>IFERROR(__xludf.DUMMYFUNCTION("""COMPUTED_VALUE"""),62900.0)</f>
        <v>62900</v>
      </c>
      <c r="D2969" s="1">
        <f>IFERROR(__xludf.DUMMYFUNCTION("""COMPUTED_VALUE"""),61400.0)</f>
        <v>61400</v>
      </c>
      <c r="E2969" s="1">
        <f>IFERROR(__xludf.DUMMYFUNCTION("""COMPUTED_VALUE"""),62200.0)</f>
        <v>62200</v>
      </c>
      <c r="F2969" s="1">
        <f>IFERROR(__xludf.DUMMYFUNCTION("""COMPUTED_VALUE"""),1582425.0)</f>
        <v>1582425</v>
      </c>
    </row>
    <row r="2970">
      <c r="A2970" s="2">
        <f>IFERROR(__xludf.DUMMYFUNCTION("""COMPUTED_VALUE"""),44959.64583333333)</f>
        <v>44959.64583</v>
      </c>
      <c r="B2970" s="1">
        <f>IFERROR(__xludf.DUMMYFUNCTION("""COMPUTED_VALUE"""),64400.0)</f>
        <v>64400</v>
      </c>
      <c r="C2970" s="1">
        <f>IFERROR(__xludf.DUMMYFUNCTION("""COMPUTED_VALUE"""),65200.0)</f>
        <v>65200</v>
      </c>
      <c r="D2970" s="1">
        <f>IFERROR(__xludf.DUMMYFUNCTION("""COMPUTED_VALUE"""),63700.0)</f>
        <v>63700</v>
      </c>
      <c r="E2970" s="1">
        <f>IFERROR(__xludf.DUMMYFUNCTION("""COMPUTED_VALUE"""),64500.0)</f>
        <v>64500</v>
      </c>
      <c r="F2970" s="1">
        <f>IFERROR(__xludf.DUMMYFUNCTION("""COMPUTED_VALUE"""),2936610.0)</f>
        <v>2936610</v>
      </c>
    </row>
    <row r="2971">
      <c r="A2971" s="2">
        <f>IFERROR(__xludf.DUMMYFUNCTION("""COMPUTED_VALUE"""),44960.64583333333)</f>
        <v>44960.64583</v>
      </c>
      <c r="B2971" s="1">
        <f>IFERROR(__xludf.DUMMYFUNCTION("""COMPUTED_VALUE"""),64900.0)</f>
        <v>64900</v>
      </c>
      <c r="C2971" s="1">
        <f>IFERROR(__xludf.DUMMYFUNCTION("""COMPUTED_VALUE"""),67500.0)</f>
        <v>67500</v>
      </c>
      <c r="D2971" s="1">
        <f>IFERROR(__xludf.DUMMYFUNCTION("""COMPUTED_VALUE"""),64500.0)</f>
        <v>64500</v>
      </c>
      <c r="E2971" s="1">
        <f>IFERROR(__xludf.DUMMYFUNCTION("""COMPUTED_VALUE"""),67200.0)</f>
        <v>67200</v>
      </c>
      <c r="F2971" s="1">
        <f>IFERROR(__xludf.DUMMYFUNCTION("""COMPUTED_VALUE"""),5019685.0)</f>
        <v>5019685</v>
      </c>
    </row>
    <row r="2972">
      <c r="A2972" s="2">
        <f>IFERROR(__xludf.DUMMYFUNCTION("""COMPUTED_VALUE"""),44963.64583333333)</f>
        <v>44963.64583</v>
      </c>
      <c r="B2972" s="1">
        <f>IFERROR(__xludf.DUMMYFUNCTION("""COMPUTED_VALUE"""),66500.0)</f>
        <v>66500</v>
      </c>
      <c r="C2972" s="1">
        <f>IFERROR(__xludf.DUMMYFUNCTION("""COMPUTED_VALUE"""),67100.0)</f>
        <v>67100</v>
      </c>
      <c r="D2972" s="1">
        <f>IFERROR(__xludf.DUMMYFUNCTION("""COMPUTED_VALUE"""),65200.0)</f>
        <v>65200</v>
      </c>
      <c r="E2972" s="1">
        <f>IFERROR(__xludf.DUMMYFUNCTION("""COMPUTED_VALUE"""),65200.0)</f>
        <v>65200</v>
      </c>
      <c r="F2972" s="1">
        <f>IFERROR(__xludf.DUMMYFUNCTION("""COMPUTED_VALUE"""),2276799.0)</f>
        <v>2276799</v>
      </c>
    </row>
    <row r="2973">
      <c r="A2973" s="2">
        <f>IFERROR(__xludf.DUMMYFUNCTION("""COMPUTED_VALUE"""),44964.64583333333)</f>
        <v>44964.64583</v>
      </c>
      <c r="B2973" s="1">
        <f>IFERROR(__xludf.DUMMYFUNCTION("""COMPUTED_VALUE"""),65300.0)</f>
        <v>65300</v>
      </c>
      <c r="C2973" s="1">
        <f>IFERROR(__xludf.DUMMYFUNCTION("""COMPUTED_VALUE"""),68800.0)</f>
        <v>68800</v>
      </c>
      <c r="D2973" s="1">
        <f>IFERROR(__xludf.DUMMYFUNCTION("""COMPUTED_VALUE"""),64900.0)</f>
        <v>64900</v>
      </c>
      <c r="E2973" s="1">
        <f>IFERROR(__xludf.DUMMYFUNCTION("""COMPUTED_VALUE"""),68000.0)</f>
        <v>68000</v>
      </c>
      <c r="F2973" s="1">
        <f>IFERROR(__xludf.DUMMYFUNCTION("""COMPUTED_VALUE"""),3026310.0)</f>
        <v>3026310</v>
      </c>
    </row>
    <row r="2974">
      <c r="A2974" s="2">
        <f>IFERROR(__xludf.DUMMYFUNCTION("""COMPUTED_VALUE"""),44965.64583333333)</f>
        <v>44965.64583</v>
      </c>
      <c r="B2974" s="1">
        <f>IFERROR(__xludf.DUMMYFUNCTION("""COMPUTED_VALUE"""),68500.0)</f>
        <v>68500</v>
      </c>
      <c r="C2974" s="1">
        <f>IFERROR(__xludf.DUMMYFUNCTION("""COMPUTED_VALUE"""),69900.0)</f>
        <v>69900</v>
      </c>
      <c r="D2974" s="1">
        <f>IFERROR(__xludf.DUMMYFUNCTION("""COMPUTED_VALUE"""),68200.0)</f>
        <v>68200</v>
      </c>
      <c r="E2974" s="1">
        <f>IFERROR(__xludf.DUMMYFUNCTION("""COMPUTED_VALUE"""),69100.0)</f>
        <v>69100</v>
      </c>
      <c r="F2974" s="1">
        <f>IFERROR(__xludf.DUMMYFUNCTION("""COMPUTED_VALUE"""),3109216.0)</f>
        <v>3109216</v>
      </c>
    </row>
    <row r="2975">
      <c r="A2975" s="2">
        <f>IFERROR(__xludf.DUMMYFUNCTION("""COMPUTED_VALUE"""),44966.64583333333)</f>
        <v>44966.64583</v>
      </c>
      <c r="B2975" s="1">
        <f>IFERROR(__xludf.DUMMYFUNCTION("""COMPUTED_VALUE"""),67900.0)</f>
        <v>67900</v>
      </c>
      <c r="C2975" s="1">
        <f>IFERROR(__xludf.DUMMYFUNCTION("""COMPUTED_VALUE"""),71300.0)</f>
        <v>71300</v>
      </c>
      <c r="D2975" s="1">
        <f>IFERROR(__xludf.DUMMYFUNCTION("""COMPUTED_VALUE"""),67100.0)</f>
        <v>67100</v>
      </c>
      <c r="E2975" s="1">
        <f>IFERROR(__xludf.DUMMYFUNCTION("""COMPUTED_VALUE"""),70900.0)</f>
        <v>70900</v>
      </c>
      <c r="F2975" s="1">
        <f>IFERROR(__xludf.DUMMYFUNCTION("""COMPUTED_VALUE"""),3602387.0)</f>
        <v>3602387</v>
      </c>
    </row>
    <row r="2976">
      <c r="A2976" s="2">
        <f>IFERROR(__xludf.DUMMYFUNCTION("""COMPUTED_VALUE"""),44967.64583333333)</f>
        <v>44967.64583</v>
      </c>
      <c r="B2976" s="1">
        <f>IFERROR(__xludf.DUMMYFUNCTION("""COMPUTED_VALUE"""),69200.0)</f>
        <v>69200</v>
      </c>
      <c r="C2976" s="1">
        <f>IFERROR(__xludf.DUMMYFUNCTION("""COMPUTED_VALUE"""),70200.0)</f>
        <v>70200</v>
      </c>
      <c r="D2976" s="1">
        <f>IFERROR(__xludf.DUMMYFUNCTION("""COMPUTED_VALUE"""),66300.0)</f>
        <v>66300</v>
      </c>
      <c r="E2976" s="1">
        <f>IFERROR(__xludf.DUMMYFUNCTION("""COMPUTED_VALUE"""),67600.0)</f>
        <v>67600</v>
      </c>
      <c r="F2976" s="1">
        <f>IFERROR(__xludf.DUMMYFUNCTION("""COMPUTED_VALUE"""),5370780.0)</f>
        <v>5370780</v>
      </c>
    </row>
    <row r="2977">
      <c r="A2977" s="2">
        <f>IFERROR(__xludf.DUMMYFUNCTION("""COMPUTED_VALUE"""),44970.64583333333)</f>
        <v>44970.64583</v>
      </c>
      <c r="B2977" s="1">
        <f>IFERROR(__xludf.DUMMYFUNCTION("""COMPUTED_VALUE"""),66700.0)</f>
        <v>66700</v>
      </c>
      <c r="C2977" s="1">
        <f>IFERROR(__xludf.DUMMYFUNCTION("""COMPUTED_VALUE"""),66800.0)</f>
        <v>66800</v>
      </c>
      <c r="D2977" s="1">
        <f>IFERROR(__xludf.DUMMYFUNCTION("""COMPUTED_VALUE"""),64200.0)</f>
        <v>64200</v>
      </c>
      <c r="E2977" s="1">
        <f>IFERROR(__xludf.DUMMYFUNCTION("""COMPUTED_VALUE"""),64300.0)</f>
        <v>64300</v>
      </c>
      <c r="F2977" s="1">
        <f>IFERROR(__xludf.DUMMYFUNCTION("""COMPUTED_VALUE"""),4298565.0)</f>
        <v>4298565</v>
      </c>
    </row>
    <row r="2978">
      <c r="A2978" s="2">
        <f>IFERROR(__xludf.DUMMYFUNCTION("""COMPUTED_VALUE"""),44971.64583333333)</f>
        <v>44971.64583</v>
      </c>
      <c r="B2978" s="1">
        <f>IFERROR(__xludf.DUMMYFUNCTION("""COMPUTED_VALUE"""),65400.0)</f>
        <v>65400</v>
      </c>
      <c r="C2978" s="1">
        <f>IFERROR(__xludf.DUMMYFUNCTION("""COMPUTED_VALUE"""),66400.0)</f>
        <v>66400</v>
      </c>
      <c r="D2978" s="1">
        <f>IFERROR(__xludf.DUMMYFUNCTION("""COMPUTED_VALUE"""),64800.0)</f>
        <v>64800</v>
      </c>
      <c r="E2978" s="1">
        <f>IFERROR(__xludf.DUMMYFUNCTION("""COMPUTED_VALUE"""),65000.0)</f>
        <v>65000</v>
      </c>
      <c r="F2978" s="1">
        <f>IFERROR(__xludf.DUMMYFUNCTION("""COMPUTED_VALUE"""),2249182.0)</f>
        <v>2249182</v>
      </c>
    </row>
    <row r="2979">
      <c r="A2979" s="2">
        <f>IFERROR(__xludf.DUMMYFUNCTION("""COMPUTED_VALUE"""),44972.64583333333)</f>
        <v>44972.64583</v>
      </c>
      <c r="B2979" s="1">
        <f>IFERROR(__xludf.DUMMYFUNCTION("""COMPUTED_VALUE"""),64600.0)</f>
        <v>64600</v>
      </c>
      <c r="C2979" s="1">
        <f>IFERROR(__xludf.DUMMYFUNCTION("""COMPUTED_VALUE"""),64700.0)</f>
        <v>64700</v>
      </c>
      <c r="D2979" s="1">
        <f>IFERROR(__xludf.DUMMYFUNCTION("""COMPUTED_VALUE"""),62600.0)</f>
        <v>62600</v>
      </c>
      <c r="E2979" s="1">
        <f>IFERROR(__xludf.DUMMYFUNCTION("""COMPUTED_VALUE"""),63600.0)</f>
        <v>63600</v>
      </c>
      <c r="F2979" s="1">
        <f>IFERROR(__xludf.DUMMYFUNCTION("""COMPUTED_VALUE"""),2984239.0)</f>
        <v>2984239</v>
      </c>
    </row>
    <row r="2980">
      <c r="A2980" s="2">
        <f>IFERROR(__xludf.DUMMYFUNCTION("""COMPUTED_VALUE"""),44973.64583333333)</f>
        <v>44973.64583</v>
      </c>
      <c r="B2980" s="1">
        <f>IFERROR(__xludf.DUMMYFUNCTION("""COMPUTED_VALUE"""),64400.0)</f>
        <v>64400</v>
      </c>
      <c r="C2980" s="1">
        <f>IFERROR(__xludf.DUMMYFUNCTION("""COMPUTED_VALUE"""),65200.0)</f>
        <v>65200</v>
      </c>
      <c r="D2980" s="1">
        <f>IFERROR(__xludf.DUMMYFUNCTION("""COMPUTED_VALUE"""),63500.0)</f>
        <v>63500</v>
      </c>
      <c r="E2980" s="1">
        <f>IFERROR(__xludf.DUMMYFUNCTION("""COMPUTED_VALUE"""),64200.0)</f>
        <v>64200</v>
      </c>
      <c r="F2980" s="1">
        <f>IFERROR(__xludf.DUMMYFUNCTION("""COMPUTED_VALUE"""),2542941.0)</f>
        <v>2542941</v>
      </c>
    </row>
    <row r="2981">
      <c r="A2981" s="2">
        <f>IFERROR(__xludf.DUMMYFUNCTION("""COMPUTED_VALUE"""),44974.64583333333)</f>
        <v>44974.64583</v>
      </c>
      <c r="B2981" s="1">
        <f>IFERROR(__xludf.DUMMYFUNCTION("""COMPUTED_VALUE"""),63000.0)</f>
        <v>63000</v>
      </c>
      <c r="C2981" s="1">
        <f>IFERROR(__xludf.DUMMYFUNCTION("""COMPUTED_VALUE"""),64400.0)</f>
        <v>64400</v>
      </c>
      <c r="D2981" s="1">
        <f>IFERROR(__xludf.DUMMYFUNCTION("""COMPUTED_VALUE"""),62400.0)</f>
        <v>62400</v>
      </c>
      <c r="E2981" s="1">
        <f>IFERROR(__xludf.DUMMYFUNCTION("""COMPUTED_VALUE"""),63300.0)</f>
        <v>63300</v>
      </c>
      <c r="F2981" s="1">
        <f>IFERROR(__xludf.DUMMYFUNCTION("""COMPUTED_VALUE"""),1584836.0)</f>
        <v>1584836</v>
      </c>
    </row>
    <row r="2982">
      <c r="A2982" s="2">
        <f>IFERROR(__xludf.DUMMYFUNCTION("""COMPUTED_VALUE"""),44977.64583333333)</f>
        <v>44977.64583</v>
      </c>
      <c r="B2982" s="1">
        <f>IFERROR(__xludf.DUMMYFUNCTION("""COMPUTED_VALUE"""),63400.0)</f>
        <v>63400</v>
      </c>
      <c r="C2982" s="1">
        <f>IFERROR(__xludf.DUMMYFUNCTION("""COMPUTED_VALUE"""),64500.0)</f>
        <v>64500</v>
      </c>
      <c r="D2982" s="1">
        <f>IFERROR(__xludf.DUMMYFUNCTION("""COMPUTED_VALUE"""),62800.0)</f>
        <v>62800</v>
      </c>
      <c r="E2982" s="1">
        <f>IFERROR(__xludf.DUMMYFUNCTION("""COMPUTED_VALUE"""),64200.0)</f>
        <v>64200</v>
      </c>
      <c r="F2982" s="1">
        <f>IFERROR(__xludf.DUMMYFUNCTION("""COMPUTED_VALUE"""),1424392.0)</f>
        <v>1424392</v>
      </c>
    </row>
    <row r="2983">
      <c r="A2983" s="2">
        <f>IFERROR(__xludf.DUMMYFUNCTION("""COMPUTED_VALUE"""),44978.64583333333)</f>
        <v>44978.64583</v>
      </c>
      <c r="B2983" s="1">
        <f>IFERROR(__xludf.DUMMYFUNCTION("""COMPUTED_VALUE"""),64500.0)</f>
        <v>64500</v>
      </c>
      <c r="C2983" s="1">
        <f>IFERROR(__xludf.DUMMYFUNCTION("""COMPUTED_VALUE"""),64700.0)</f>
        <v>64700</v>
      </c>
      <c r="D2983" s="1">
        <f>IFERROR(__xludf.DUMMYFUNCTION("""COMPUTED_VALUE"""),63000.0)</f>
        <v>63000</v>
      </c>
      <c r="E2983" s="1">
        <f>IFERROR(__xludf.DUMMYFUNCTION("""COMPUTED_VALUE"""),63100.0)</f>
        <v>63100</v>
      </c>
      <c r="F2983" s="1">
        <f>IFERROR(__xludf.DUMMYFUNCTION("""COMPUTED_VALUE"""),1644407.0)</f>
        <v>1644407</v>
      </c>
    </row>
    <row r="2984">
      <c r="A2984" s="2">
        <f>IFERROR(__xludf.DUMMYFUNCTION("""COMPUTED_VALUE"""),44979.64583333333)</f>
        <v>44979.64583</v>
      </c>
      <c r="B2984" s="1">
        <f>IFERROR(__xludf.DUMMYFUNCTION("""COMPUTED_VALUE"""),61900.0)</f>
        <v>61900</v>
      </c>
      <c r="C2984" s="1">
        <f>IFERROR(__xludf.DUMMYFUNCTION("""COMPUTED_VALUE"""),63000.0)</f>
        <v>63000</v>
      </c>
      <c r="D2984" s="1">
        <f>IFERROR(__xludf.DUMMYFUNCTION("""COMPUTED_VALUE"""),61500.0)</f>
        <v>61500</v>
      </c>
      <c r="E2984" s="1">
        <f>IFERROR(__xludf.DUMMYFUNCTION("""COMPUTED_VALUE"""),62200.0)</f>
        <v>62200</v>
      </c>
      <c r="F2984" s="1">
        <f>IFERROR(__xludf.DUMMYFUNCTION("""COMPUTED_VALUE"""),1904538.0)</f>
        <v>1904538</v>
      </c>
    </row>
    <row r="2985">
      <c r="A2985" s="2">
        <f>IFERROR(__xludf.DUMMYFUNCTION("""COMPUTED_VALUE"""),44980.64583333333)</f>
        <v>44980.64583</v>
      </c>
      <c r="B2985" s="1">
        <f>IFERROR(__xludf.DUMMYFUNCTION("""COMPUTED_VALUE"""),62600.0)</f>
        <v>62600</v>
      </c>
      <c r="C2985" s="1">
        <f>IFERROR(__xludf.DUMMYFUNCTION("""COMPUTED_VALUE"""),63200.0)</f>
        <v>63200</v>
      </c>
      <c r="D2985" s="1">
        <f>IFERROR(__xludf.DUMMYFUNCTION("""COMPUTED_VALUE"""),62200.0)</f>
        <v>62200</v>
      </c>
      <c r="E2985" s="1">
        <f>IFERROR(__xludf.DUMMYFUNCTION("""COMPUTED_VALUE"""),62500.0)</f>
        <v>62500</v>
      </c>
      <c r="F2985" s="1">
        <f>IFERROR(__xludf.DUMMYFUNCTION("""COMPUTED_VALUE"""),1217488.0)</f>
        <v>1217488</v>
      </c>
    </row>
    <row r="2986">
      <c r="A2986" s="2">
        <f>IFERROR(__xludf.DUMMYFUNCTION("""COMPUTED_VALUE"""),44981.64583333333)</f>
        <v>44981.64583</v>
      </c>
      <c r="B2986" s="1">
        <f>IFERROR(__xludf.DUMMYFUNCTION("""COMPUTED_VALUE"""),62500.0)</f>
        <v>62500</v>
      </c>
      <c r="C2986" s="1">
        <f>IFERROR(__xludf.DUMMYFUNCTION("""COMPUTED_VALUE"""),62900.0)</f>
        <v>62900</v>
      </c>
      <c r="D2986" s="1">
        <f>IFERROR(__xludf.DUMMYFUNCTION("""COMPUTED_VALUE"""),61600.0)</f>
        <v>61600</v>
      </c>
      <c r="E2986" s="1">
        <f>IFERROR(__xludf.DUMMYFUNCTION("""COMPUTED_VALUE"""),61800.0)</f>
        <v>61800</v>
      </c>
      <c r="F2986" s="1">
        <f>IFERROR(__xludf.DUMMYFUNCTION("""COMPUTED_VALUE"""),1339514.0)</f>
        <v>1339514</v>
      </c>
    </row>
    <row r="2987">
      <c r="A2987" s="2">
        <f>IFERROR(__xludf.DUMMYFUNCTION("""COMPUTED_VALUE"""),44984.64583333333)</f>
        <v>44984.64583</v>
      </c>
      <c r="B2987" s="1">
        <f>IFERROR(__xludf.DUMMYFUNCTION("""COMPUTED_VALUE"""),61400.0)</f>
        <v>61400</v>
      </c>
      <c r="C2987" s="1">
        <f>IFERROR(__xludf.DUMMYFUNCTION("""COMPUTED_VALUE"""),62200.0)</f>
        <v>62200</v>
      </c>
      <c r="D2987" s="1">
        <f>IFERROR(__xludf.DUMMYFUNCTION("""COMPUTED_VALUE"""),61000.0)</f>
        <v>61000</v>
      </c>
      <c r="E2987" s="1">
        <f>IFERROR(__xludf.DUMMYFUNCTION("""COMPUTED_VALUE"""),61900.0)</f>
        <v>61900</v>
      </c>
      <c r="F2987" s="1">
        <f>IFERROR(__xludf.DUMMYFUNCTION("""COMPUTED_VALUE"""),1407458.0)</f>
        <v>1407458</v>
      </c>
    </row>
    <row r="2988">
      <c r="A2988" s="2">
        <f>IFERROR(__xludf.DUMMYFUNCTION("""COMPUTED_VALUE"""),44985.64583333333)</f>
        <v>44985.64583</v>
      </c>
      <c r="B2988" s="1">
        <f>IFERROR(__xludf.DUMMYFUNCTION("""COMPUTED_VALUE"""),62000.0)</f>
        <v>62000</v>
      </c>
      <c r="C2988" s="1">
        <f>IFERROR(__xludf.DUMMYFUNCTION("""COMPUTED_VALUE"""),63400.0)</f>
        <v>63400</v>
      </c>
      <c r="D2988" s="1">
        <f>IFERROR(__xludf.DUMMYFUNCTION("""COMPUTED_VALUE"""),61900.0)</f>
        <v>61900</v>
      </c>
      <c r="E2988" s="1">
        <f>IFERROR(__xludf.DUMMYFUNCTION("""COMPUTED_VALUE"""),62400.0)</f>
        <v>62400</v>
      </c>
      <c r="F2988" s="1">
        <f>IFERROR(__xludf.DUMMYFUNCTION("""COMPUTED_VALUE"""),1870108.0)</f>
        <v>1870108</v>
      </c>
    </row>
    <row r="2989">
      <c r="A2989" s="2">
        <f>IFERROR(__xludf.DUMMYFUNCTION("""COMPUTED_VALUE"""),44987.64583333333)</f>
        <v>44987.64583</v>
      </c>
      <c r="B2989" s="1">
        <f>IFERROR(__xludf.DUMMYFUNCTION("""COMPUTED_VALUE"""),62200.0)</f>
        <v>62200</v>
      </c>
      <c r="C2989" s="1">
        <f>IFERROR(__xludf.DUMMYFUNCTION("""COMPUTED_VALUE"""),62400.0)</f>
        <v>62400</v>
      </c>
      <c r="D2989" s="1">
        <f>IFERROR(__xludf.DUMMYFUNCTION("""COMPUTED_VALUE"""),60800.0)</f>
        <v>60800</v>
      </c>
      <c r="E2989" s="1">
        <f>IFERROR(__xludf.DUMMYFUNCTION("""COMPUTED_VALUE"""),61200.0)</f>
        <v>61200</v>
      </c>
      <c r="F2989" s="1">
        <f>IFERROR(__xludf.DUMMYFUNCTION("""COMPUTED_VALUE"""),1842975.0)</f>
        <v>1842975</v>
      </c>
    </row>
    <row r="2990">
      <c r="A2990" s="2">
        <f>IFERROR(__xludf.DUMMYFUNCTION("""COMPUTED_VALUE"""),44988.64583333333)</f>
        <v>44988.64583</v>
      </c>
      <c r="B2990" s="1">
        <f>IFERROR(__xludf.DUMMYFUNCTION("""COMPUTED_VALUE"""),61600.0)</f>
        <v>61600</v>
      </c>
      <c r="C2990" s="1">
        <f>IFERROR(__xludf.DUMMYFUNCTION("""COMPUTED_VALUE"""),62200.0)</f>
        <v>62200</v>
      </c>
      <c r="D2990" s="1">
        <f>IFERROR(__xludf.DUMMYFUNCTION("""COMPUTED_VALUE"""),60900.0)</f>
        <v>60900</v>
      </c>
      <c r="E2990" s="1">
        <f>IFERROR(__xludf.DUMMYFUNCTION("""COMPUTED_VALUE"""),61000.0)</f>
        <v>61000</v>
      </c>
      <c r="F2990" s="1">
        <f>IFERROR(__xludf.DUMMYFUNCTION("""COMPUTED_VALUE"""),1250945.0)</f>
        <v>1250945</v>
      </c>
    </row>
    <row r="2991">
      <c r="A2991" s="2">
        <f>IFERROR(__xludf.DUMMYFUNCTION("""COMPUTED_VALUE"""),44991.64583333333)</f>
        <v>44991.64583</v>
      </c>
      <c r="B2991" s="1">
        <f>IFERROR(__xludf.DUMMYFUNCTION("""COMPUTED_VALUE"""),61200.0)</f>
        <v>61200</v>
      </c>
      <c r="C2991" s="1">
        <f>IFERROR(__xludf.DUMMYFUNCTION("""COMPUTED_VALUE"""),63800.0)</f>
        <v>63800</v>
      </c>
      <c r="D2991" s="1">
        <f>IFERROR(__xludf.DUMMYFUNCTION("""COMPUTED_VALUE"""),61100.0)</f>
        <v>61100</v>
      </c>
      <c r="E2991" s="1">
        <f>IFERROR(__xludf.DUMMYFUNCTION("""COMPUTED_VALUE"""),63600.0)</f>
        <v>63600</v>
      </c>
      <c r="F2991" s="1">
        <f>IFERROR(__xludf.DUMMYFUNCTION("""COMPUTED_VALUE"""),2768767.0)</f>
        <v>2768767</v>
      </c>
    </row>
    <row r="2992">
      <c r="A2992" s="2">
        <f>IFERROR(__xludf.DUMMYFUNCTION("""COMPUTED_VALUE"""),44992.64583333333)</f>
        <v>44992.64583</v>
      </c>
      <c r="B2992" s="1">
        <f>IFERROR(__xludf.DUMMYFUNCTION("""COMPUTED_VALUE"""),63000.0)</f>
        <v>63000</v>
      </c>
      <c r="C2992" s="1">
        <f>IFERROR(__xludf.DUMMYFUNCTION("""COMPUTED_VALUE"""),63100.0)</f>
        <v>63100</v>
      </c>
      <c r="D2992" s="1">
        <f>IFERROR(__xludf.DUMMYFUNCTION("""COMPUTED_VALUE"""),61400.0)</f>
        <v>61400</v>
      </c>
      <c r="E2992" s="1">
        <f>IFERROR(__xludf.DUMMYFUNCTION("""COMPUTED_VALUE"""),61500.0)</f>
        <v>61500</v>
      </c>
      <c r="F2992" s="1">
        <f>IFERROR(__xludf.DUMMYFUNCTION("""COMPUTED_VALUE"""),2322926.0)</f>
        <v>2322926</v>
      </c>
    </row>
    <row r="2993">
      <c r="A2993" s="2">
        <f>IFERROR(__xludf.DUMMYFUNCTION("""COMPUTED_VALUE"""),44993.64583333333)</f>
        <v>44993.64583</v>
      </c>
      <c r="B2993" s="1">
        <f>IFERROR(__xludf.DUMMYFUNCTION("""COMPUTED_VALUE"""),61200.0)</f>
        <v>61200</v>
      </c>
      <c r="C2993" s="1">
        <f>IFERROR(__xludf.DUMMYFUNCTION("""COMPUTED_VALUE"""),61200.0)</f>
        <v>61200</v>
      </c>
      <c r="D2993" s="1">
        <f>IFERROR(__xludf.DUMMYFUNCTION("""COMPUTED_VALUE"""),59000.0)</f>
        <v>59000</v>
      </c>
      <c r="E2993" s="1">
        <f>IFERROR(__xludf.DUMMYFUNCTION("""COMPUTED_VALUE"""),59100.0)</f>
        <v>59100</v>
      </c>
      <c r="F2993" s="1">
        <f>IFERROR(__xludf.DUMMYFUNCTION("""COMPUTED_VALUE"""),2935338.0)</f>
        <v>2935338</v>
      </c>
    </row>
    <row r="2994">
      <c r="A2994" s="2">
        <f>IFERROR(__xludf.DUMMYFUNCTION("""COMPUTED_VALUE"""),44994.64583333333)</f>
        <v>44994.64583</v>
      </c>
      <c r="B2994" s="1">
        <f>IFERROR(__xludf.DUMMYFUNCTION("""COMPUTED_VALUE"""),59700.0)</f>
        <v>59700</v>
      </c>
      <c r="C2994" s="1">
        <f>IFERROR(__xludf.DUMMYFUNCTION("""COMPUTED_VALUE"""),60600.0)</f>
        <v>60600</v>
      </c>
      <c r="D2994" s="1">
        <f>IFERROR(__xludf.DUMMYFUNCTION("""COMPUTED_VALUE"""),58900.0)</f>
        <v>58900</v>
      </c>
      <c r="E2994" s="1">
        <f>IFERROR(__xludf.DUMMYFUNCTION("""COMPUTED_VALUE"""),59000.0)</f>
        <v>59000</v>
      </c>
      <c r="F2994" s="1">
        <f>IFERROR(__xludf.DUMMYFUNCTION("""COMPUTED_VALUE"""),1949722.0)</f>
        <v>1949722</v>
      </c>
    </row>
    <row r="2995">
      <c r="A2995" s="2">
        <f>IFERROR(__xludf.DUMMYFUNCTION("""COMPUTED_VALUE"""),44995.64583333333)</f>
        <v>44995.64583</v>
      </c>
      <c r="B2995" s="1">
        <f>IFERROR(__xludf.DUMMYFUNCTION("""COMPUTED_VALUE"""),57900.0)</f>
        <v>57900</v>
      </c>
      <c r="C2995" s="1">
        <f>IFERROR(__xludf.DUMMYFUNCTION("""COMPUTED_VALUE"""),58400.0)</f>
        <v>58400</v>
      </c>
      <c r="D2995" s="1">
        <f>IFERROR(__xludf.DUMMYFUNCTION("""COMPUTED_VALUE"""),57500.0)</f>
        <v>57500</v>
      </c>
      <c r="E2995" s="1">
        <f>IFERROR(__xludf.DUMMYFUNCTION("""COMPUTED_VALUE"""),58100.0)</f>
        <v>58100</v>
      </c>
      <c r="F2995" s="1">
        <f>IFERROR(__xludf.DUMMYFUNCTION("""COMPUTED_VALUE"""),2009728.0)</f>
        <v>2009728</v>
      </c>
    </row>
    <row r="2996">
      <c r="A2996" s="2">
        <f>IFERROR(__xludf.DUMMYFUNCTION("""COMPUTED_VALUE"""),44998.64583333333)</f>
        <v>44998.64583</v>
      </c>
      <c r="B2996" s="1">
        <f>IFERROR(__xludf.DUMMYFUNCTION("""COMPUTED_VALUE"""),60300.0)</f>
        <v>60300</v>
      </c>
      <c r="C2996" s="1">
        <f>IFERROR(__xludf.DUMMYFUNCTION("""COMPUTED_VALUE"""),62400.0)</f>
        <v>62400</v>
      </c>
      <c r="D2996" s="1">
        <f>IFERROR(__xludf.DUMMYFUNCTION("""COMPUTED_VALUE"""),58800.0)</f>
        <v>58800</v>
      </c>
      <c r="E2996" s="1">
        <f>IFERROR(__xludf.DUMMYFUNCTION("""COMPUTED_VALUE"""),60800.0)</f>
        <v>60800</v>
      </c>
      <c r="F2996" s="1">
        <f>IFERROR(__xludf.DUMMYFUNCTION("""COMPUTED_VALUE"""),5720123.0)</f>
        <v>5720123</v>
      </c>
    </row>
    <row r="2997">
      <c r="A2997" s="2">
        <f>IFERROR(__xludf.DUMMYFUNCTION("""COMPUTED_VALUE"""),44999.64583333333)</f>
        <v>44999.64583</v>
      </c>
      <c r="B2997" s="1">
        <f>IFERROR(__xludf.DUMMYFUNCTION("""COMPUTED_VALUE"""),60600.0)</f>
        <v>60600</v>
      </c>
      <c r="C2997" s="1">
        <f>IFERROR(__xludf.DUMMYFUNCTION("""COMPUTED_VALUE"""),61100.0)</f>
        <v>61100</v>
      </c>
      <c r="D2997" s="1">
        <f>IFERROR(__xludf.DUMMYFUNCTION("""COMPUTED_VALUE"""),59200.0)</f>
        <v>59200</v>
      </c>
      <c r="E2997" s="1">
        <f>IFERROR(__xludf.DUMMYFUNCTION("""COMPUTED_VALUE"""),59400.0)</f>
        <v>59400</v>
      </c>
      <c r="F2997" s="1">
        <f>IFERROR(__xludf.DUMMYFUNCTION("""COMPUTED_VALUE"""),2192551.0)</f>
        <v>2192551</v>
      </c>
    </row>
    <row r="2998">
      <c r="A2998" s="2">
        <f>IFERROR(__xludf.DUMMYFUNCTION("""COMPUTED_VALUE"""),45000.64583333333)</f>
        <v>45000.64583</v>
      </c>
      <c r="B2998" s="1">
        <f>IFERROR(__xludf.DUMMYFUNCTION("""COMPUTED_VALUE"""),60600.0)</f>
        <v>60600</v>
      </c>
      <c r="C2998" s="1">
        <f>IFERROR(__xludf.DUMMYFUNCTION("""COMPUTED_VALUE"""),60800.0)</f>
        <v>60800</v>
      </c>
      <c r="D2998" s="1">
        <f>IFERROR(__xludf.DUMMYFUNCTION("""COMPUTED_VALUE"""),58800.0)</f>
        <v>58800</v>
      </c>
      <c r="E2998" s="1">
        <f>IFERROR(__xludf.DUMMYFUNCTION("""COMPUTED_VALUE"""),59300.0)</f>
        <v>59300</v>
      </c>
      <c r="F2998" s="1">
        <f>IFERROR(__xludf.DUMMYFUNCTION("""COMPUTED_VALUE"""),1885060.0)</f>
        <v>1885060</v>
      </c>
    </row>
    <row r="2999">
      <c r="A2999" s="2">
        <f>IFERROR(__xludf.DUMMYFUNCTION("""COMPUTED_VALUE"""),45001.64583333333)</f>
        <v>45001.64583</v>
      </c>
      <c r="B2999" s="1">
        <f>IFERROR(__xludf.DUMMYFUNCTION("""COMPUTED_VALUE"""),58400.0)</f>
        <v>58400</v>
      </c>
      <c r="C2999" s="1">
        <f>IFERROR(__xludf.DUMMYFUNCTION("""COMPUTED_VALUE"""),60300.0)</f>
        <v>60300</v>
      </c>
      <c r="D2999" s="1">
        <f>IFERROR(__xludf.DUMMYFUNCTION("""COMPUTED_VALUE"""),58100.0)</f>
        <v>58100</v>
      </c>
      <c r="E2999" s="1">
        <f>IFERROR(__xludf.DUMMYFUNCTION("""COMPUTED_VALUE"""),59900.0)</f>
        <v>59900</v>
      </c>
      <c r="F2999" s="1">
        <f>IFERROR(__xludf.DUMMYFUNCTION("""COMPUTED_VALUE"""),1976894.0)</f>
        <v>1976894</v>
      </c>
    </row>
    <row r="3000">
      <c r="A3000" s="2">
        <f>IFERROR(__xludf.DUMMYFUNCTION("""COMPUTED_VALUE"""),45002.64583333333)</f>
        <v>45002.64583</v>
      </c>
      <c r="B3000" s="1">
        <f>IFERROR(__xludf.DUMMYFUNCTION("""COMPUTED_VALUE"""),60600.0)</f>
        <v>60600</v>
      </c>
      <c r="C3000" s="1">
        <f>IFERROR(__xludf.DUMMYFUNCTION("""COMPUTED_VALUE"""),61200.0)</f>
        <v>61200</v>
      </c>
      <c r="D3000" s="1">
        <f>IFERROR(__xludf.DUMMYFUNCTION("""COMPUTED_VALUE"""),59800.0)</f>
        <v>59800</v>
      </c>
      <c r="E3000" s="1">
        <f>IFERROR(__xludf.DUMMYFUNCTION("""COMPUTED_VALUE"""),60200.0)</f>
        <v>60200</v>
      </c>
      <c r="F3000" s="1">
        <f>IFERROR(__xludf.DUMMYFUNCTION("""COMPUTED_VALUE"""),1658486.0)</f>
        <v>1658486</v>
      </c>
    </row>
    <row r="3001">
      <c r="A3001" s="2">
        <f>IFERROR(__xludf.DUMMYFUNCTION("""COMPUTED_VALUE"""),45005.64583333333)</f>
        <v>45005.64583</v>
      </c>
      <c r="B3001" s="1">
        <f>IFERROR(__xludf.DUMMYFUNCTION("""COMPUTED_VALUE"""),60200.0)</f>
        <v>60200</v>
      </c>
      <c r="C3001" s="1">
        <f>IFERROR(__xludf.DUMMYFUNCTION("""COMPUTED_VALUE"""),62000.0)</f>
        <v>62000</v>
      </c>
      <c r="D3001" s="1">
        <f>IFERROR(__xludf.DUMMYFUNCTION("""COMPUTED_VALUE"""),60200.0)</f>
        <v>60200</v>
      </c>
      <c r="E3001" s="1">
        <f>IFERROR(__xludf.DUMMYFUNCTION("""COMPUTED_VALUE"""),61000.0)</f>
        <v>61000</v>
      </c>
      <c r="F3001" s="1">
        <f>IFERROR(__xludf.DUMMYFUNCTION("""COMPUTED_VALUE"""),2051491.0)</f>
        <v>2051491</v>
      </c>
    </row>
    <row r="3002">
      <c r="A3002" s="2">
        <f>IFERROR(__xludf.DUMMYFUNCTION("""COMPUTED_VALUE"""),45006.64583333333)</f>
        <v>45006.64583</v>
      </c>
      <c r="B3002" s="1">
        <f>IFERROR(__xludf.DUMMYFUNCTION("""COMPUTED_VALUE"""),61400.0)</f>
        <v>61400</v>
      </c>
      <c r="C3002" s="1">
        <f>IFERROR(__xludf.DUMMYFUNCTION("""COMPUTED_VALUE"""),61700.0)</f>
        <v>61700</v>
      </c>
      <c r="D3002" s="1">
        <f>IFERROR(__xludf.DUMMYFUNCTION("""COMPUTED_VALUE"""),60500.0)</f>
        <v>60500</v>
      </c>
      <c r="E3002" s="1">
        <f>IFERROR(__xludf.DUMMYFUNCTION("""COMPUTED_VALUE"""),60900.0)</f>
        <v>60900</v>
      </c>
      <c r="F3002" s="1">
        <f>IFERROR(__xludf.DUMMYFUNCTION("""COMPUTED_VALUE"""),1093952.0)</f>
        <v>1093952</v>
      </c>
    </row>
    <row r="3003">
      <c r="A3003" s="2">
        <f>IFERROR(__xludf.DUMMYFUNCTION("""COMPUTED_VALUE"""),45007.64583333333)</f>
        <v>45007.64583</v>
      </c>
      <c r="B3003" s="1">
        <f>IFERROR(__xludf.DUMMYFUNCTION("""COMPUTED_VALUE"""),61700.0)</f>
        <v>61700</v>
      </c>
      <c r="C3003" s="1">
        <f>IFERROR(__xludf.DUMMYFUNCTION("""COMPUTED_VALUE"""),62900.0)</f>
        <v>62900</v>
      </c>
      <c r="D3003" s="1">
        <f>IFERROR(__xludf.DUMMYFUNCTION("""COMPUTED_VALUE"""),61300.0)</f>
        <v>61300</v>
      </c>
      <c r="E3003" s="1">
        <f>IFERROR(__xludf.DUMMYFUNCTION("""COMPUTED_VALUE"""),62700.0)</f>
        <v>62700</v>
      </c>
      <c r="F3003" s="1">
        <f>IFERROR(__xludf.DUMMYFUNCTION("""COMPUTED_VALUE"""),2243729.0)</f>
        <v>2243729</v>
      </c>
    </row>
    <row r="3004">
      <c r="A3004" s="2">
        <f>IFERROR(__xludf.DUMMYFUNCTION("""COMPUTED_VALUE"""),45008.64583333333)</f>
        <v>45008.64583</v>
      </c>
      <c r="B3004" s="1">
        <f>IFERROR(__xludf.DUMMYFUNCTION("""COMPUTED_VALUE"""),61800.0)</f>
        <v>61800</v>
      </c>
      <c r="C3004" s="1">
        <f>IFERROR(__xludf.DUMMYFUNCTION("""COMPUTED_VALUE"""),62000.0)</f>
        <v>62000</v>
      </c>
      <c r="D3004" s="1">
        <f>IFERROR(__xludf.DUMMYFUNCTION("""COMPUTED_VALUE"""),60800.0)</f>
        <v>60800</v>
      </c>
      <c r="E3004" s="1">
        <f>IFERROR(__xludf.DUMMYFUNCTION("""COMPUTED_VALUE"""),61600.0)</f>
        <v>61600</v>
      </c>
      <c r="F3004" s="1">
        <f>IFERROR(__xludf.DUMMYFUNCTION("""COMPUTED_VALUE"""),1685484.0)</f>
        <v>1685484</v>
      </c>
    </row>
    <row r="3005">
      <c r="A3005" s="2">
        <f>IFERROR(__xludf.DUMMYFUNCTION("""COMPUTED_VALUE"""),45009.64583333333)</f>
        <v>45009.64583</v>
      </c>
      <c r="B3005" s="1">
        <f>IFERROR(__xludf.DUMMYFUNCTION("""COMPUTED_VALUE"""),61600.0)</f>
        <v>61600</v>
      </c>
      <c r="C3005" s="1">
        <f>IFERROR(__xludf.DUMMYFUNCTION("""COMPUTED_VALUE"""),61900.0)</f>
        <v>61900</v>
      </c>
      <c r="D3005" s="1">
        <f>IFERROR(__xludf.DUMMYFUNCTION("""COMPUTED_VALUE"""),60900.0)</f>
        <v>60900</v>
      </c>
      <c r="E3005" s="1">
        <f>IFERROR(__xludf.DUMMYFUNCTION("""COMPUTED_VALUE"""),61400.0)</f>
        <v>61400</v>
      </c>
      <c r="F3005" s="1">
        <f>IFERROR(__xludf.DUMMYFUNCTION("""COMPUTED_VALUE"""),1323550.0)</f>
        <v>1323550</v>
      </c>
    </row>
    <row r="3006">
      <c r="A3006" s="2">
        <f>IFERROR(__xludf.DUMMYFUNCTION("""COMPUTED_VALUE"""),45012.64583333333)</f>
        <v>45012.64583</v>
      </c>
      <c r="B3006" s="1">
        <f>IFERROR(__xludf.DUMMYFUNCTION("""COMPUTED_VALUE"""),61500.0)</f>
        <v>61500</v>
      </c>
      <c r="C3006" s="1">
        <f>IFERROR(__xludf.DUMMYFUNCTION("""COMPUTED_VALUE"""),61800.0)</f>
        <v>61800</v>
      </c>
      <c r="D3006" s="1">
        <f>IFERROR(__xludf.DUMMYFUNCTION("""COMPUTED_VALUE"""),59800.0)</f>
        <v>59800</v>
      </c>
      <c r="E3006" s="1">
        <f>IFERROR(__xludf.DUMMYFUNCTION("""COMPUTED_VALUE"""),60700.0)</f>
        <v>60700</v>
      </c>
      <c r="F3006" s="1">
        <f>IFERROR(__xludf.DUMMYFUNCTION("""COMPUTED_VALUE"""),1490567.0)</f>
        <v>1490567</v>
      </c>
    </row>
    <row r="3007">
      <c r="A3007" s="2">
        <f>IFERROR(__xludf.DUMMYFUNCTION("""COMPUTED_VALUE"""),45013.64583333333)</f>
        <v>45013.64583</v>
      </c>
      <c r="B3007" s="1">
        <f>IFERROR(__xludf.DUMMYFUNCTION("""COMPUTED_VALUE"""),60600.0)</f>
        <v>60600</v>
      </c>
      <c r="C3007" s="1">
        <f>IFERROR(__xludf.DUMMYFUNCTION("""COMPUTED_VALUE"""),61000.0)</f>
        <v>61000</v>
      </c>
      <c r="D3007" s="1">
        <f>IFERROR(__xludf.DUMMYFUNCTION("""COMPUTED_VALUE"""),59900.0)</f>
        <v>59900</v>
      </c>
      <c r="E3007" s="1">
        <f>IFERROR(__xludf.DUMMYFUNCTION("""COMPUTED_VALUE"""),60700.0)</f>
        <v>60700</v>
      </c>
      <c r="F3007" s="1">
        <f>IFERROR(__xludf.DUMMYFUNCTION("""COMPUTED_VALUE"""),1326335.0)</f>
        <v>1326335</v>
      </c>
    </row>
    <row r="3008">
      <c r="A3008" s="2">
        <f>IFERROR(__xludf.DUMMYFUNCTION("""COMPUTED_VALUE"""),45014.64583333333)</f>
        <v>45014.64583</v>
      </c>
      <c r="B3008" s="1">
        <f>IFERROR(__xludf.DUMMYFUNCTION("""COMPUTED_VALUE"""),60800.0)</f>
        <v>60800</v>
      </c>
      <c r="C3008" s="1">
        <f>IFERROR(__xludf.DUMMYFUNCTION("""COMPUTED_VALUE"""),61400.0)</f>
        <v>61400</v>
      </c>
      <c r="D3008" s="1">
        <f>IFERROR(__xludf.DUMMYFUNCTION("""COMPUTED_VALUE"""),60100.0)</f>
        <v>60100</v>
      </c>
      <c r="E3008" s="1">
        <f>IFERROR(__xludf.DUMMYFUNCTION("""COMPUTED_VALUE"""),60400.0)</f>
        <v>60400</v>
      </c>
      <c r="F3008" s="1">
        <f>IFERROR(__xludf.DUMMYFUNCTION("""COMPUTED_VALUE"""),1144119.0)</f>
        <v>1144119</v>
      </c>
    </row>
    <row r="3009">
      <c r="A3009" s="2">
        <f>IFERROR(__xludf.DUMMYFUNCTION("""COMPUTED_VALUE"""),45015.64583333333)</f>
        <v>45015.64583</v>
      </c>
      <c r="B3009" s="1">
        <f>IFERROR(__xludf.DUMMYFUNCTION("""COMPUTED_VALUE"""),60800.0)</f>
        <v>60800</v>
      </c>
      <c r="C3009" s="1">
        <f>IFERROR(__xludf.DUMMYFUNCTION("""COMPUTED_VALUE"""),60900.0)</f>
        <v>60900</v>
      </c>
      <c r="D3009" s="1">
        <f>IFERROR(__xludf.DUMMYFUNCTION("""COMPUTED_VALUE"""),59900.0)</f>
        <v>59900</v>
      </c>
      <c r="E3009" s="1">
        <f>IFERROR(__xludf.DUMMYFUNCTION("""COMPUTED_VALUE"""),60100.0)</f>
        <v>60100</v>
      </c>
      <c r="F3009" s="1">
        <f>IFERROR(__xludf.DUMMYFUNCTION("""COMPUTED_VALUE"""),1707493.0)</f>
        <v>1707493</v>
      </c>
    </row>
    <row r="3010">
      <c r="A3010" s="2">
        <f>IFERROR(__xludf.DUMMYFUNCTION("""COMPUTED_VALUE"""),45016.64583333333)</f>
        <v>45016.64583</v>
      </c>
      <c r="B3010" s="1">
        <f>IFERROR(__xludf.DUMMYFUNCTION("""COMPUTED_VALUE"""),60600.0)</f>
        <v>60600</v>
      </c>
      <c r="C3010" s="1">
        <f>IFERROR(__xludf.DUMMYFUNCTION("""COMPUTED_VALUE"""),61200.0)</f>
        <v>61200</v>
      </c>
      <c r="D3010" s="1">
        <f>IFERROR(__xludf.DUMMYFUNCTION("""COMPUTED_VALUE"""),60000.0)</f>
        <v>60000</v>
      </c>
      <c r="E3010" s="1">
        <f>IFERROR(__xludf.DUMMYFUNCTION("""COMPUTED_VALUE"""),61100.0)</f>
        <v>61100</v>
      </c>
      <c r="F3010" s="1">
        <f>IFERROR(__xludf.DUMMYFUNCTION("""COMPUTED_VALUE"""),1745559.0)</f>
        <v>1745559</v>
      </c>
    </row>
    <row r="3011">
      <c r="A3011" s="2">
        <f>IFERROR(__xludf.DUMMYFUNCTION("""COMPUTED_VALUE"""),45019.64583333333)</f>
        <v>45019.64583</v>
      </c>
      <c r="B3011" s="1">
        <f>IFERROR(__xludf.DUMMYFUNCTION("""COMPUTED_VALUE"""),61400.0)</f>
        <v>61400</v>
      </c>
      <c r="C3011" s="1">
        <f>IFERROR(__xludf.DUMMYFUNCTION("""COMPUTED_VALUE"""),61600.0)</f>
        <v>61600</v>
      </c>
      <c r="D3011" s="1">
        <f>IFERROR(__xludf.DUMMYFUNCTION("""COMPUTED_VALUE"""),59900.0)</f>
        <v>59900</v>
      </c>
      <c r="E3011" s="1">
        <f>IFERROR(__xludf.DUMMYFUNCTION("""COMPUTED_VALUE"""),60200.0)</f>
        <v>60200</v>
      </c>
      <c r="F3011" s="1">
        <f>IFERROR(__xludf.DUMMYFUNCTION("""COMPUTED_VALUE"""),1683150.0)</f>
        <v>1683150</v>
      </c>
    </row>
    <row r="3012">
      <c r="A3012" s="2">
        <f>IFERROR(__xludf.DUMMYFUNCTION("""COMPUTED_VALUE"""),45020.64583333333)</f>
        <v>45020.64583</v>
      </c>
      <c r="B3012" s="1">
        <f>IFERROR(__xludf.DUMMYFUNCTION("""COMPUTED_VALUE"""),60200.0)</f>
        <v>60200</v>
      </c>
      <c r="C3012" s="1">
        <f>IFERROR(__xludf.DUMMYFUNCTION("""COMPUTED_VALUE"""),60800.0)</f>
        <v>60800</v>
      </c>
      <c r="D3012" s="1">
        <f>IFERROR(__xludf.DUMMYFUNCTION("""COMPUTED_VALUE"""),59800.0)</f>
        <v>59800</v>
      </c>
      <c r="E3012" s="1">
        <f>IFERROR(__xludf.DUMMYFUNCTION("""COMPUTED_VALUE"""),60700.0)</f>
        <v>60700</v>
      </c>
      <c r="F3012" s="1">
        <f>IFERROR(__xludf.DUMMYFUNCTION("""COMPUTED_VALUE"""),1380518.0)</f>
        <v>1380518</v>
      </c>
    </row>
    <row r="3013">
      <c r="A3013" s="2">
        <f>IFERROR(__xludf.DUMMYFUNCTION("""COMPUTED_VALUE"""),45021.64583333333)</f>
        <v>45021.64583</v>
      </c>
      <c r="B3013" s="1">
        <f>IFERROR(__xludf.DUMMYFUNCTION("""COMPUTED_VALUE"""),60500.0)</f>
        <v>60500</v>
      </c>
      <c r="C3013" s="1">
        <f>IFERROR(__xludf.DUMMYFUNCTION("""COMPUTED_VALUE"""),61200.0)</f>
        <v>61200</v>
      </c>
      <c r="D3013" s="1">
        <f>IFERROR(__xludf.DUMMYFUNCTION("""COMPUTED_VALUE"""),60200.0)</f>
        <v>60200</v>
      </c>
      <c r="E3013" s="1">
        <f>IFERROR(__xludf.DUMMYFUNCTION("""COMPUTED_VALUE"""),60500.0)</f>
        <v>60500</v>
      </c>
      <c r="F3013" s="1">
        <f>IFERROR(__xludf.DUMMYFUNCTION("""COMPUTED_VALUE"""),1227329.0)</f>
        <v>1227329</v>
      </c>
    </row>
    <row r="3014">
      <c r="A3014" s="2">
        <f>IFERROR(__xludf.DUMMYFUNCTION("""COMPUTED_VALUE"""),45022.64583333333)</f>
        <v>45022.64583</v>
      </c>
      <c r="B3014" s="1">
        <f>IFERROR(__xludf.DUMMYFUNCTION("""COMPUTED_VALUE"""),60100.0)</f>
        <v>60100</v>
      </c>
      <c r="C3014" s="1">
        <f>IFERROR(__xludf.DUMMYFUNCTION("""COMPUTED_VALUE"""),60100.0)</f>
        <v>60100</v>
      </c>
      <c r="D3014" s="1">
        <f>IFERROR(__xludf.DUMMYFUNCTION("""COMPUTED_VALUE"""),58500.0)</f>
        <v>58500</v>
      </c>
      <c r="E3014" s="1">
        <f>IFERROR(__xludf.DUMMYFUNCTION("""COMPUTED_VALUE"""),58600.0)</f>
        <v>58600</v>
      </c>
      <c r="F3014" s="1">
        <f>IFERROR(__xludf.DUMMYFUNCTION("""COMPUTED_VALUE"""),2659408.0)</f>
        <v>2659408</v>
      </c>
    </row>
    <row r="3015">
      <c r="A3015" s="2">
        <f>IFERROR(__xludf.DUMMYFUNCTION("""COMPUTED_VALUE"""),45023.64583333333)</f>
        <v>45023.64583</v>
      </c>
      <c r="B3015" s="1">
        <f>IFERROR(__xludf.DUMMYFUNCTION("""COMPUTED_VALUE"""),58600.0)</f>
        <v>58600</v>
      </c>
      <c r="C3015" s="1">
        <f>IFERROR(__xludf.DUMMYFUNCTION("""COMPUTED_VALUE"""),59200.0)</f>
        <v>59200</v>
      </c>
      <c r="D3015" s="1">
        <f>IFERROR(__xludf.DUMMYFUNCTION("""COMPUTED_VALUE"""),58100.0)</f>
        <v>58100</v>
      </c>
      <c r="E3015" s="1">
        <f>IFERROR(__xludf.DUMMYFUNCTION("""COMPUTED_VALUE"""),58600.0)</f>
        <v>58600</v>
      </c>
      <c r="F3015" s="1">
        <f>IFERROR(__xludf.DUMMYFUNCTION("""COMPUTED_VALUE"""),1650319.0)</f>
        <v>1650319</v>
      </c>
    </row>
    <row r="3016">
      <c r="A3016" s="2">
        <f>IFERROR(__xludf.DUMMYFUNCTION("""COMPUTED_VALUE"""),45026.64583333333)</f>
        <v>45026.64583</v>
      </c>
      <c r="B3016" s="1">
        <f>IFERROR(__xludf.DUMMYFUNCTION("""COMPUTED_VALUE"""),58300.0)</f>
        <v>58300</v>
      </c>
      <c r="C3016" s="1">
        <f>IFERROR(__xludf.DUMMYFUNCTION("""COMPUTED_VALUE"""),58400.0)</f>
        <v>58400</v>
      </c>
      <c r="D3016" s="1">
        <f>IFERROR(__xludf.DUMMYFUNCTION("""COMPUTED_VALUE"""),57100.0)</f>
        <v>57100</v>
      </c>
      <c r="E3016" s="1">
        <f>IFERROR(__xludf.DUMMYFUNCTION("""COMPUTED_VALUE"""),58100.0)</f>
        <v>58100</v>
      </c>
      <c r="F3016" s="1">
        <f>IFERROR(__xludf.DUMMYFUNCTION("""COMPUTED_VALUE"""),2103339.0)</f>
        <v>2103339</v>
      </c>
    </row>
    <row r="3017">
      <c r="A3017" s="2">
        <f>IFERROR(__xludf.DUMMYFUNCTION("""COMPUTED_VALUE"""),45027.64583333333)</f>
        <v>45027.64583</v>
      </c>
      <c r="B3017" s="1">
        <f>IFERROR(__xludf.DUMMYFUNCTION("""COMPUTED_VALUE"""),58100.0)</f>
        <v>58100</v>
      </c>
      <c r="C3017" s="1">
        <f>IFERROR(__xludf.DUMMYFUNCTION("""COMPUTED_VALUE"""),60000.0)</f>
        <v>60000</v>
      </c>
      <c r="D3017" s="1">
        <f>IFERROR(__xludf.DUMMYFUNCTION("""COMPUTED_VALUE"""),57500.0)</f>
        <v>57500</v>
      </c>
      <c r="E3017" s="1">
        <f>IFERROR(__xludf.DUMMYFUNCTION("""COMPUTED_VALUE"""),59300.0)</f>
        <v>59300</v>
      </c>
      <c r="F3017" s="1">
        <f>IFERROR(__xludf.DUMMYFUNCTION("""COMPUTED_VALUE"""),2184527.0)</f>
        <v>2184527</v>
      </c>
    </row>
    <row r="3018">
      <c r="A3018" s="2">
        <f>IFERROR(__xludf.DUMMYFUNCTION("""COMPUTED_VALUE"""),45028.64583333333)</f>
        <v>45028.64583</v>
      </c>
      <c r="B3018" s="1">
        <f>IFERROR(__xludf.DUMMYFUNCTION("""COMPUTED_VALUE"""),59200.0)</f>
        <v>59200</v>
      </c>
      <c r="C3018" s="1">
        <f>IFERROR(__xludf.DUMMYFUNCTION("""COMPUTED_VALUE"""),59300.0)</f>
        <v>59300</v>
      </c>
      <c r="D3018" s="1">
        <f>IFERROR(__xludf.DUMMYFUNCTION("""COMPUTED_VALUE"""),58500.0)</f>
        <v>58500</v>
      </c>
      <c r="E3018" s="1">
        <f>IFERROR(__xludf.DUMMYFUNCTION("""COMPUTED_VALUE"""),58700.0)</f>
        <v>58700</v>
      </c>
      <c r="F3018" s="1">
        <f>IFERROR(__xludf.DUMMYFUNCTION("""COMPUTED_VALUE"""),1486194.0)</f>
        <v>1486194</v>
      </c>
    </row>
    <row r="3019">
      <c r="A3019" s="2">
        <f>IFERROR(__xludf.DUMMYFUNCTION("""COMPUTED_VALUE"""),45029.64583333333)</f>
        <v>45029.64583</v>
      </c>
      <c r="B3019" s="1">
        <f>IFERROR(__xludf.DUMMYFUNCTION("""COMPUTED_VALUE"""),58500.0)</f>
        <v>58500</v>
      </c>
      <c r="C3019" s="1">
        <f>IFERROR(__xludf.DUMMYFUNCTION("""COMPUTED_VALUE"""),59600.0)</f>
        <v>59600</v>
      </c>
      <c r="D3019" s="1">
        <f>IFERROR(__xludf.DUMMYFUNCTION("""COMPUTED_VALUE"""),58400.0)</f>
        <v>58400</v>
      </c>
      <c r="E3019" s="1">
        <f>IFERROR(__xludf.DUMMYFUNCTION("""COMPUTED_VALUE"""),59500.0)</f>
        <v>59500</v>
      </c>
      <c r="F3019" s="1">
        <f>IFERROR(__xludf.DUMMYFUNCTION("""COMPUTED_VALUE"""),1591961.0)</f>
        <v>1591961</v>
      </c>
    </row>
    <row r="3020">
      <c r="A3020" s="2">
        <f>IFERROR(__xludf.DUMMYFUNCTION("""COMPUTED_VALUE"""),45030.64583333333)</f>
        <v>45030.64583</v>
      </c>
      <c r="B3020" s="1">
        <f>IFERROR(__xludf.DUMMYFUNCTION("""COMPUTED_VALUE"""),60100.0)</f>
        <v>60100</v>
      </c>
      <c r="C3020" s="1">
        <f>IFERROR(__xludf.DUMMYFUNCTION("""COMPUTED_VALUE"""),61000.0)</f>
        <v>61000</v>
      </c>
      <c r="D3020" s="1">
        <f>IFERROR(__xludf.DUMMYFUNCTION("""COMPUTED_VALUE"""),59400.0)</f>
        <v>59400</v>
      </c>
      <c r="E3020" s="1">
        <f>IFERROR(__xludf.DUMMYFUNCTION("""COMPUTED_VALUE"""),60500.0)</f>
        <v>60500</v>
      </c>
      <c r="F3020" s="1">
        <f>IFERROR(__xludf.DUMMYFUNCTION("""COMPUTED_VALUE"""),2464952.0)</f>
        <v>2464952</v>
      </c>
    </row>
    <row r="3021">
      <c r="A3021" s="2">
        <f>IFERROR(__xludf.DUMMYFUNCTION("""COMPUTED_VALUE"""),45033.64583333333)</f>
        <v>45033.64583</v>
      </c>
      <c r="B3021" s="1">
        <f>IFERROR(__xludf.DUMMYFUNCTION("""COMPUTED_VALUE"""),60200.0)</f>
        <v>60200</v>
      </c>
      <c r="C3021" s="1">
        <f>IFERROR(__xludf.DUMMYFUNCTION("""COMPUTED_VALUE"""),60700.0)</f>
        <v>60700</v>
      </c>
      <c r="D3021" s="1">
        <f>IFERROR(__xludf.DUMMYFUNCTION("""COMPUTED_VALUE"""),59600.0)</f>
        <v>59600</v>
      </c>
      <c r="E3021" s="1">
        <f>IFERROR(__xludf.DUMMYFUNCTION("""COMPUTED_VALUE"""),60100.0)</f>
        <v>60100</v>
      </c>
      <c r="F3021" s="1">
        <f>IFERROR(__xludf.DUMMYFUNCTION("""COMPUTED_VALUE"""),1450046.0)</f>
        <v>1450046</v>
      </c>
    </row>
    <row r="3022">
      <c r="A3022" s="2">
        <f>IFERROR(__xludf.DUMMYFUNCTION("""COMPUTED_VALUE"""),45034.64583333333)</f>
        <v>45034.64583</v>
      </c>
      <c r="B3022" s="1">
        <f>IFERROR(__xludf.DUMMYFUNCTION("""COMPUTED_VALUE"""),60200.0)</f>
        <v>60200</v>
      </c>
      <c r="C3022" s="1">
        <f>IFERROR(__xludf.DUMMYFUNCTION("""COMPUTED_VALUE"""),60800.0)</f>
        <v>60800</v>
      </c>
      <c r="D3022" s="1">
        <f>IFERROR(__xludf.DUMMYFUNCTION("""COMPUTED_VALUE"""),58900.0)</f>
        <v>58900</v>
      </c>
      <c r="E3022" s="1">
        <f>IFERROR(__xludf.DUMMYFUNCTION("""COMPUTED_VALUE"""),59000.0)</f>
        <v>59000</v>
      </c>
      <c r="F3022" s="1">
        <f>IFERROR(__xludf.DUMMYFUNCTION("""COMPUTED_VALUE"""),1731564.0)</f>
        <v>1731564</v>
      </c>
    </row>
    <row r="3023">
      <c r="A3023" s="2">
        <f>IFERROR(__xludf.DUMMYFUNCTION("""COMPUTED_VALUE"""),45035.64583333333)</f>
        <v>45035.64583</v>
      </c>
      <c r="B3023" s="1">
        <f>IFERROR(__xludf.DUMMYFUNCTION("""COMPUTED_VALUE"""),59000.0)</f>
        <v>59000</v>
      </c>
      <c r="C3023" s="1">
        <f>IFERROR(__xludf.DUMMYFUNCTION("""COMPUTED_VALUE"""),59100.0)</f>
        <v>59100</v>
      </c>
      <c r="D3023" s="1">
        <f>IFERROR(__xludf.DUMMYFUNCTION("""COMPUTED_VALUE"""),58500.0)</f>
        <v>58500</v>
      </c>
      <c r="E3023" s="1">
        <f>IFERROR(__xludf.DUMMYFUNCTION("""COMPUTED_VALUE"""),58600.0)</f>
        <v>58600</v>
      </c>
      <c r="F3023" s="1">
        <f>IFERROR(__xludf.DUMMYFUNCTION("""COMPUTED_VALUE"""),1086274.0)</f>
        <v>1086274</v>
      </c>
    </row>
    <row r="3024">
      <c r="A3024" s="2">
        <f>IFERROR(__xludf.DUMMYFUNCTION("""COMPUTED_VALUE"""),45036.64583333333)</f>
        <v>45036.64583</v>
      </c>
      <c r="B3024" s="1">
        <f>IFERROR(__xludf.DUMMYFUNCTION("""COMPUTED_VALUE"""),58500.0)</f>
        <v>58500</v>
      </c>
      <c r="C3024" s="1">
        <f>IFERROR(__xludf.DUMMYFUNCTION("""COMPUTED_VALUE"""),58700.0)</f>
        <v>58700</v>
      </c>
      <c r="D3024" s="1">
        <f>IFERROR(__xludf.DUMMYFUNCTION("""COMPUTED_VALUE"""),57800.0)</f>
        <v>57800</v>
      </c>
      <c r="E3024" s="1">
        <f>IFERROR(__xludf.DUMMYFUNCTION("""COMPUTED_VALUE"""),57900.0)</f>
        <v>57900</v>
      </c>
      <c r="F3024" s="1">
        <f>IFERROR(__xludf.DUMMYFUNCTION("""COMPUTED_VALUE"""),1342600.0)</f>
        <v>1342600</v>
      </c>
    </row>
    <row r="3025">
      <c r="A3025" s="2">
        <f>IFERROR(__xludf.DUMMYFUNCTION("""COMPUTED_VALUE"""),45037.64583333333)</f>
        <v>45037.64583</v>
      </c>
      <c r="B3025" s="1">
        <f>IFERROR(__xludf.DUMMYFUNCTION("""COMPUTED_VALUE"""),57700.0)</f>
        <v>57700</v>
      </c>
      <c r="C3025" s="1">
        <f>IFERROR(__xludf.DUMMYFUNCTION("""COMPUTED_VALUE"""),58200.0)</f>
        <v>58200</v>
      </c>
      <c r="D3025" s="1">
        <f>IFERROR(__xludf.DUMMYFUNCTION("""COMPUTED_VALUE"""),57200.0)</f>
        <v>57200</v>
      </c>
      <c r="E3025" s="1">
        <f>IFERROR(__xludf.DUMMYFUNCTION("""COMPUTED_VALUE"""),57900.0)</f>
        <v>57900</v>
      </c>
      <c r="F3025" s="1">
        <f>IFERROR(__xludf.DUMMYFUNCTION("""COMPUTED_VALUE"""),1212125.0)</f>
        <v>1212125</v>
      </c>
    </row>
    <row r="3026">
      <c r="A3026" s="2">
        <f>IFERROR(__xludf.DUMMYFUNCTION("""COMPUTED_VALUE"""),45040.64583333333)</f>
        <v>45040.64583</v>
      </c>
      <c r="B3026" s="1">
        <f>IFERROR(__xludf.DUMMYFUNCTION("""COMPUTED_VALUE"""),57300.0)</f>
        <v>57300</v>
      </c>
      <c r="C3026" s="1">
        <f>IFERROR(__xludf.DUMMYFUNCTION("""COMPUTED_VALUE"""),57800.0)</f>
        <v>57800</v>
      </c>
      <c r="D3026" s="1">
        <f>IFERROR(__xludf.DUMMYFUNCTION("""COMPUTED_VALUE"""),57100.0)</f>
        <v>57100</v>
      </c>
      <c r="E3026" s="1">
        <f>IFERROR(__xludf.DUMMYFUNCTION("""COMPUTED_VALUE"""),57200.0)</f>
        <v>57200</v>
      </c>
      <c r="F3026" s="1">
        <f>IFERROR(__xludf.DUMMYFUNCTION("""COMPUTED_VALUE"""),961915.0)</f>
        <v>961915</v>
      </c>
    </row>
    <row r="3027">
      <c r="A3027" s="2">
        <f>IFERROR(__xludf.DUMMYFUNCTION("""COMPUTED_VALUE"""),45041.64583333333)</f>
        <v>45041.64583</v>
      </c>
      <c r="B3027" s="1">
        <f>IFERROR(__xludf.DUMMYFUNCTION("""COMPUTED_VALUE"""),57000.0)</f>
        <v>57000</v>
      </c>
      <c r="C3027" s="1">
        <f>IFERROR(__xludf.DUMMYFUNCTION("""COMPUTED_VALUE"""),57900.0)</f>
        <v>57900</v>
      </c>
      <c r="D3027" s="1">
        <f>IFERROR(__xludf.DUMMYFUNCTION("""COMPUTED_VALUE"""),55700.0)</f>
        <v>55700</v>
      </c>
      <c r="E3027" s="1">
        <f>IFERROR(__xludf.DUMMYFUNCTION("""COMPUTED_VALUE"""),56000.0)</f>
        <v>56000</v>
      </c>
      <c r="F3027" s="1">
        <f>IFERROR(__xludf.DUMMYFUNCTION("""COMPUTED_VALUE"""),1791028.0)</f>
        <v>1791028</v>
      </c>
    </row>
    <row r="3028">
      <c r="A3028" s="2">
        <f>IFERROR(__xludf.DUMMYFUNCTION("""COMPUTED_VALUE"""),45042.64583333333)</f>
        <v>45042.64583</v>
      </c>
      <c r="B3028" s="1">
        <f>IFERROR(__xludf.DUMMYFUNCTION("""COMPUTED_VALUE"""),55600.0)</f>
        <v>55600</v>
      </c>
      <c r="C3028" s="1">
        <f>IFERROR(__xludf.DUMMYFUNCTION("""COMPUTED_VALUE"""),57200.0)</f>
        <v>57200</v>
      </c>
      <c r="D3028" s="1">
        <f>IFERROR(__xludf.DUMMYFUNCTION("""COMPUTED_VALUE"""),55600.0)</f>
        <v>55600</v>
      </c>
      <c r="E3028" s="1">
        <f>IFERROR(__xludf.DUMMYFUNCTION("""COMPUTED_VALUE"""),56500.0)</f>
        <v>56500</v>
      </c>
      <c r="F3028" s="1">
        <f>IFERROR(__xludf.DUMMYFUNCTION("""COMPUTED_VALUE"""),1452179.0)</f>
        <v>1452179</v>
      </c>
    </row>
    <row r="3029">
      <c r="A3029" s="2">
        <f>IFERROR(__xludf.DUMMYFUNCTION("""COMPUTED_VALUE"""),45043.64583333333)</f>
        <v>45043.64583</v>
      </c>
      <c r="B3029" s="1">
        <f>IFERROR(__xludf.DUMMYFUNCTION("""COMPUTED_VALUE"""),56200.0)</f>
        <v>56200</v>
      </c>
      <c r="C3029" s="1">
        <f>IFERROR(__xludf.DUMMYFUNCTION("""COMPUTED_VALUE"""),56300.0)</f>
        <v>56300</v>
      </c>
      <c r="D3029" s="1">
        <f>IFERROR(__xludf.DUMMYFUNCTION("""COMPUTED_VALUE"""),55300.0)</f>
        <v>55300</v>
      </c>
      <c r="E3029" s="1">
        <f>IFERROR(__xludf.DUMMYFUNCTION("""COMPUTED_VALUE"""),55800.0)</f>
        <v>55800</v>
      </c>
      <c r="F3029" s="1">
        <f>IFERROR(__xludf.DUMMYFUNCTION("""COMPUTED_VALUE"""),1311670.0)</f>
        <v>1311670</v>
      </c>
    </row>
    <row r="3030">
      <c r="A3030" s="2">
        <f>IFERROR(__xludf.DUMMYFUNCTION("""COMPUTED_VALUE"""),45044.64583333333)</f>
        <v>45044.64583</v>
      </c>
      <c r="B3030" s="1">
        <f>IFERROR(__xludf.DUMMYFUNCTION("""COMPUTED_VALUE"""),56400.0)</f>
        <v>56400</v>
      </c>
      <c r="C3030" s="1">
        <f>IFERROR(__xludf.DUMMYFUNCTION("""COMPUTED_VALUE"""),59100.0)</f>
        <v>59100</v>
      </c>
      <c r="D3030" s="1">
        <f>IFERROR(__xludf.DUMMYFUNCTION("""COMPUTED_VALUE"""),56300.0)</f>
        <v>56300</v>
      </c>
      <c r="E3030" s="1">
        <f>IFERROR(__xludf.DUMMYFUNCTION("""COMPUTED_VALUE"""),58100.0)</f>
        <v>58100</v>
      </c>
      <c r="F3030" s="1">
        <f>IFERROR(__xludf.DUMMYFUNCTION("""COMPUTED_VALUE"""),3124682.0)</f>
        <v>3124682</v>
      </c>
    </row>
    <row r="3031">
      <c r="A3031" s="2">
        <f>IFERROR(__xludf.DUMMYFUNCTION("""COMPUTED_VALUE"""),45048.64583333333)</f>
        <v>45048.64583</v>
      </c>
      <c r="B3031" s="1">
        <f>IFERROR(__xludf.DUMMYFUNCTION("""COMPUTED_VALUE"""),58200.0)</f>
        <v>58200</v>
      </c>
      <c r="C3031" s="1">
        <f>IFERROR(__xludf.DUMMYFUNCTION("""COMPUTED_VALUE"""),58600.0)</f>
        <v>58600</v>
      </c>
      <c r="D3031" s="1">
        <f>IFERROR(__xludf.DUMMYFUNCTION("""COMPUTED_VALUE"""),57700.0)</f>
        <v>57700</v>
      </c>
      <c r="E3031" s="1">
        <f>IFERROR(__xludf.DUMMYFUNCTION("""COMPUTED_VALUE"""),58500.0)</f>
        <v>58500</v>
      </c>
      <c r="F3031" s="1">
        <f>IFERROR(__xludf.DUMMYFUNCTION("""COMPUTED_VALUE"""),1124552.0)</f>
        <v>1124552</v>
      </c>
    </row>
    <row r="3032">
      <c r="A3032" s="2">
        <f>IFERROR(__xludf.DUMMYFUNCTION("""COMPUTED_VALUE"""),45049.64583333333)</f>
        <v>45049.64583</v>
      </c>
      <c r="B3032" s="1">
        <f>IFERROR(__xludf.DUMMYFUNCTION("""COMPUTED_VALUE"""),58000.0)</f>
        <v>58000</v>
      </c>
      <c r="C3032" s="1">
        <f>IFERROR(__xludf.DUMMYFUNCTION("""COMPUTED_VALUE"""),58900.0)</f>
        <v>58900</v>
      </c>
      <c r="D3032" s="1">
        <f>IFERROR(__xludf.DUMMYFUNCTION("""COMPUTED_VALUE"""),57800.0)</f>
        <v>57800</v>
      </c>
      <c r="E3032" s="1">
        <f>IFERROR(__xludf.DUMMYFUNCTION("""COMPUTED_VALUE"""),58300.0)</f>
        <v>58300</v>
      </c>
      <c r="F3032" s="1">
        <f>IFERROR(__xludf.DUMMYFUNCTION("""COMPUTED_VALUE"""),1047114.0)</f>
        <v>1047114</v>
      </c>
    </row>
    <row r="3033">
      <c r="A3033" s="2">
        <f>IFERROR(__xludf.DUMMYFUNCTION("""COMPUTED_VALUE"""),45050.64583333333)</f>
        <v>45050.64583</v>
      </c>
      <c r="B3033" s="1">
        <f>IFERROR(__xludf.DUMMYFUNCTION("""COMPUTED_VALUE"""),57200.0)</f>
        <v>57200</v>
      </c>
      <c r="C3033" s="1">
        <f>IFERROR(__xludf.DUMMYFUNCTION("""COMPUTED_VALUE"""),57500.0)</f>
        <v>57500</v>
      </c>
      <c r="D3033" s="1">
        <f>IFERROR(__xludf.DUMMYFUNCTION("""COMPUTED_VALUE"""),56000.0)</f>
        <v>56000</v>
      </c>
      <c r="E3033" s="1">
        <f>IFERROR(__xludf.DUMMYFUNCTION("""COMPUTED_VALUE"""),57200.0)</f>
        <v>57200</v>
      </c>
      <c r="F3033" s="1">
        <f>IFERROR(__xludf.DUMMYFUNCTION("""COMPUTED_VALUE"""),2288474.0)</f>
        <v>2288474</v>
      </c>
    </row>
    <row r="3034">
      <c r="A3034" s="2">
        <f>IFERROR(__xludf.DUMMYFUNCTION("""COMPUTED_VALUE"""),45054.64583333333)</f>
        <v>45054.64583</v>
      </c>
      <c r="B3034" s="1">
        <f>IFERROR(__xludf.DUMMYFUNCTION("""COMPUTED_VALUE"""),57500.0)</f>
        <v>57500</v>
      </c>
      <c r="C3034" s="1">
        <f>IFERROR(__xludf.DUMMYFUNCTION("""COMPUTED_VALUE"""),58200.0)</f>
        <v>58200</v>
      </c>
      <c r="D3034" s="1">
        <f>IFERROR(__xludf.DUMMYFUNCTION("""COMPUTED_VALUE"""),57100.0)</f>
        <v>57100</v>
      </c>
      <c r="E3034" s="1">
        <f>IFERROR(__xludf.DUMMYFUNCTION("""COMPUTED_VALUE"""),57700.0)</f>
        <v>57700</v>
      </c>
      <c r="F3034" s="1">
        <f>IFERROR(__xludf.DUMMYFUNCTION("""COMPUTED_VALUE"""),1821528.0)</f>
        <v>1821528</v>
      </c>
    </row>
    <row r="3035">
      <c r="A3035" s="2">
        <f>IFERROR(__xludf.DUMMYFUNCTION("""COMPUTED_VALUE"""),45055.64583333333)</f>
        <v>45055.64583</v>
      </c>
      <c r="B3035" s="1">
        <f>IFERROR(__xludf.DUMMYFUNCTION("""COMPUTED_VALUE"""),57800.0)</f>
        <v>57800</v>
      </c>
      <c r="C3035" s="1">
        <f>IFERROR(__xludf.DUMMYFUNCTION("""COMPUTED_VALUE"""),58700.0)</f>
        <v>58700</v>
      </c>
      <c r="D3035" s="1">
        <f>IFERROR(__xludf.DUMMYFUNCTION("""COMPUTED_VALUE"""),57300.0)</f>
        <v>57300</v>
      </c>
      <c r="E3035" s="1">
        <f>IFERROR(__xludf.DUMMYFUNCTION("""COMPUTED_VALUE"""),57500.0)</f>
        <v>57500</v>
      </c>
      <c r="F3035" s="1">
        <f>IFERROR(__xludf.DUMMYFUNCTION("""COMPUTED_VALUE"""),1412568.0)</f>
        <v>1412568</v>
      </c>
    </row>
    <row r="3036">
      <c r="A3036" s="2">
        <f>IFERROR(__xludf.DUMMYFUNCTION("""COMPUTED_VALUE"""),45056.64583333333)</f>
        <v>45056.64583</v>
      </c>
      <c r="B3036" s="1">
        <f>IFERROR(__xludf.DUMMYFUNCTION("""COMPUTED_VALUE"""),57100.0)</f>
        <v>57100</v>
      </c>
      <c r="C3036" s="1">
        <f>IFERROR(__xludf.DUMMYFUNCTION("""COMPUTED_VALUE"""),57300.0)</f>
        <v>57300</v>
      </c>
      <c r="D3036" s="1">
        <f>IFERROR(__xludf.DUMMYFUNCTION("""COMPUTED_VALUE"""),56300.0)</f>
        <v>56300</v>
      </c>
      <c r="E3036" s="1">
        <f>IFERROR(__xludf.DUMMYFUNCTION("""COMPUTED_VALUE"""),56500.0)</f>
        <v>56500</v>
      </c>
      <c r="F3036" s="1">
        <f>IFERROR(__xludf.DUMMYFUNCTION("""COMPUTED_VALUE"""),1364811.0)</f>
        <v>1364811</v>
      </c>
    </row>
    <row r="3037">
      <c r="A3037" s="2">
        <f>IFERROR(__xludf.DUMMYFUNCTION("""COMPUTED_VALUE"""),45057.64583333333)</f>
        <v>45057.64583</v>
      </c>
      <c r="B3037" s="1">
        <f>IFERROR(__xludf.DUMMYFUNCTION("""COMPUTED_VALUE"""),56400.0)</f>
        <v>56400</v>
      </c>
      <c r="C3037" s="1">
        <f>IFERROR(__xludf.DUMMYFUNCTION("""COMPUTED_VALUE"""),57100.0)</f>
        <v>57100</v>
      </c>
      <c r="D3037" s="1">
        <f>IFERROR(__xludf.DUMMYFUNCTION("""COMPUTED_VALUE"""),56000.0)</f>
        <v>56000</v>
      </c>
      <c r="E3037" s="1">
        <f>IFERROR(__xludf.DUMMYFUNCTION("""COMPUTED_VALUE"""),56000.0)</f>
        <v>56000</v>
      </c>
      <c r="F3037" s="1">
        <f>IFERROR(__xludf.DUMMYFUNCTION("""COMPUTED_VALUE"""),1190339.0)</f>
        <v>1190339</v>
      </c>
    </row>
    <row r="3038">
      <c r="A3038" s="2">
        <f>IFERROR(__xludf.DUMMYFUNCTION("""COMPUTED_VALUE"""),45058.64583333333)</f>
        <v>45058.64583</v>
      </c>
      <c r="B3038" s="1">
        <f>IFERROR(__xludf.DUMMYFUNCTION("""COMPUTED_VALUE"""),56200.0)</f>
        <v>56200</v>
      </c>
      <c r="C3038" s="1">
        <f>IFERROR(__xludf.DUMMYFUNCTION("""COMPUTED_VALUE"""),57200.0)</f>
        <v>57200</v>
      </c>
      <c r="D3038" s="1">
        <f>IFERROR(__xludf.DUMMYFUNCTION("""COMPUTED_VALUE"""),55600.0)</f>
        <v>55600</v>
      </c>
      <c r="E3038" s="1">
        <f>IFERROR(__xludf.DUMMYFUNCTION("""COMPUTED_VALUE"""),56600.0)</f>
        <v>56600</v>
      </c>
      <c r="F3038" s="1">
        <f>IFERROR(__xludf.DUMMYFUNCTION("""COMPUTED_VALUE"""),1236080.0)</f>
        <v>1236080</v>
      </c>
    </row>
    <row r="3039">
      <c r="A3039" s="2">
        <f>IFERROR(__xludf.DUMMYFUNCTION("""COMPUTED_VALUE"""),45061.64583333333)</f>
        <v>45061.64583</v>
      </c>
      <c r="B3039" s="1">
        <f>IFERROR(__xludf.DUMMYFUNCTION("""COMPUTED_VALUE"""),56500.0)</f>
        <v>56500</v>
      </c>
      <c r="C3039" s="1">
        <f>IFERROR(__xludf.DUMMYFUNCTION("""COMPUTED_VALUE"""),57000.0)</f>
        <v>57000</v>
      </c>
      <c r="D3039" s="1">
        <f>IFERROR(__xludf.DUMMYFUNCTION("""COMPUTED_VALUE"""),56100.0)</f>
        <v>56100</v>
      </c>
      <c r="E3039" s="1">
        <f>IFERROR(__xludf.DUMMYFUNCTION("""COMPUTED_VALUE"""),56800.0)</f>
        <v>56800</v>
      </c>
      <c r="F3039" s="1">
        <f>IFERROR(__xludf.DUMMYFUNCTION("""COMPUTED_VALUE"""),879909.0)</f>
        <v>879909</v>
      </c>
    </row>
    <row r="3040">
      <c r="A3040" s="2">
        <f>IFERROR(__xludf.DUMMYFUNCTION("""COMPUTED_VALUE"""),45062.64583333333)</f>
        <v>45062.64583</v>
      </c>
      <c r="B3040" s="1">
        <f>IFERROR(__xludf.DUMMYFUNCTION("""COMPUTED_VALUE"""),56700.0)</f>
        <v>56700</v>
      </c>
      <c r="C3040" s="1">
        <f>IFERROR(__xludf.DUMMYFUNCTION("""COMPUTED_VALUE"""),57400.0)</f>
        <v>57400</v>
      </c>
      <c r="D3040" s="1">
        <f>IFERROR(__xludf.DUMMYFUNCTION("""COMPUTED_VALUE"""),56000.0)</f>
        <v>56000</v>
      </c>
      <c r="E3040" s="1">
        <f>IFERROR(__xludf.DUMMYFUNCTION("""COMPUTED_VALUE"""),56100.0)</f>
        <v>56100</v>
      </c>
      <c r="F3040" s="1">
        <f>IFERROR(__xludf.DUMMYFUNCTION("""COMPUTED_VALUE"""),922948.0)</f>
        <v>922948</v>
      </c>
    </row>
    <row r="3041">
      <c r="A3041" s="2">
        <f>IFERROR(__xludf.DUMMYFUNCTION("""COMPUTED_VALUE"""),45063.64583333333)</f>
        <v>45063.64583</v>
      </c>
      <c r="B3041" s="1">
        <f>IFERROR(__xludf.DUMMYFUNCTION("""COMPUTED_VALUE"""),55900.0)</f>
        <v>55900</v>
      </c>
      <c r="C3041" s="1">
        <f>IFERROR(__xludf.DUMMYFUNCTION("""COMPUTED_VALUE"""),58800.0)</f>
        <v>58800</v>
      </c>
      <c r="D3041" s="1">
        <f>IFERROR(__xludf.DUMMYFUNCTION("""COMPUTED_VALUE"""),55600.0)</f>
        <v>55600</v>
      </c>
      <c r="E3041" s="1">
        <f>IFERROR(__xludf.DUMMYFUNCTION("""COMPUTED_VALUE"""),57700.0)</f>
        <v>57700</v>
      </c>
      <c r="F3041" s="1">
        <f>IFERROR(__xludf.DUMMYFUNCTION("""COMPUTED_VALUE"""),2035175.0)</f>
        <v>2035175</v>
      </c>
    </row>
    <row r="3042">
      <c r="A3042" s="2">
        <f>IFERROR(__xludf.DUMMYFUNCTION("""COMPUTED_VALUE"""),45064.64583333333)</f>
        <v>45064.64583</v>
      </c>
      <c r="B3042" s="1">
        <f>IFERROR(__xludf.DUMMYFUNCTION("""COMPUTED_VALUE"""),58200.0)</f>
        <v>58200</v>
      </c>
      <c r="C3042" s="1">
        <f>IFERROR(__xludf.DUMMYFUNCTION("""COMPUTED_VALUE"""),58400.0)</f>
        <v>58400</v>
      </c>
      <c r="D3042" s="1">
        <f>IFERROR(__xludf.DUMMYFUNCTION("""COMPUTED_VALUE"""),56800.0)</f>
        <v>56800</v>
      </c>
      <c r="E3042" s="1">
        <f>IFERROR(__xludf.DUMMYFUNCTION("""COMPUTED_VALUE"""),57200.0)</f>
        <v>57200</v>
      </c>
      <c r="F3042" s="1">
        <f>IFERROR(__xludf.DUMMYFUNCTION("""COMPUTED_VALUE"""),1112295.0)</f>
        <v>1112295</v>
      </c>
    </row>
    <row r="3043">
      <c r="A3043" s="2">
        <f>IFERROR(__xludf.DUMMYFUNCTION("""COMPUTED_VALUE"""),45065.64583333333)</f>
        <v>45065.64583</v>
      </c>
      <c r="B3043" s="1">
        <f>IFERROR(__xludf.DUMMYFUNCTION("""COMPUTED_VALUE"""),57400.0)</f>
        <v>57400</v>
      </c>
      <c r="C3043" s="1">
        <f>IFERROR(__xludf.DUMMYFUNCTION("""COMPUTED_VALUE"""),58200.0)</f>
        <v>58200</v>
      </c>
      <c r="D3043" s="1">
        <f>IFERROR(__xludf.DUMMYFUNCTION("""COMPUTED_VALUE"""),57200.0)</f>
        <v>57200</v>
      </c>
      <c r="E3043" s="1">
        <f>IFERROR(__xludf.DUMMYFUNCTION("""COMPUTED_VALUE"""),57900.0)</f>
        <v>57900</v>
      </c>
      <c r="F3043" s="1">
        <f>IFERROR(__xludf.DUMMYFUNCTION("""COMPUTED_VALUE"""),1375866.0)</f>
        <v>1375866</v>
      </c>
    </row>
    <row r="3044">
      <c r="A3044" s="2">
        <f>IFERROR(__xludf.DUMMYFUNCTION("""COMPUTED_VALUE"""),45068.64583333333)</f>
        <v>45068.64583</v>
      </c>
      <c r="B3044" s="1">
        <f>IFERROR(__xludf.DUMMYFUNCTION("""COMPUTED_VALUE"""),57900.0)</f>
        <v>57900</v>
      </c>
      <c r="C3044" s="1">
        <f>IFERROR(__xludf.DUMMYFUNCTION("""COMPUTED_VALUE"""),58100.0)</f>
        <v>58100</v>
      </c>
      <c r="D3044" s="1">
        <f>IFERROR(__xludf.DUMMYFUNCTION("""COMPUTED_VALUE"""),57600.0)</f>
        <v>57600</v>
      </c>
      <c r="E3044" s="1">
        <f>IFERROR(__xludf.DUMMYFUNCTION("""COMPUTED_VALUE"""),57900.0)</f>
        <v>57900</v>
      </c>
      <c r="F3044" s="1">
        <f>IFERROR(__xludf.DUMMYFUNCTION("""COMPUTED_VALUE"""),985462.0)</f>
        <v>985462</v>
      </c>
    </row>
    <row r="3045">
      <c r="A3045" s="2">
        <f>IFERROR(__xludf.DUMMYFUNCTION("""COMPUTED_VALUE"""),45069.64583333333)</f>
        <v>45069.64583</v>
      </c>
      <c r="B3045" s="1">
        <f>IFERROR(__xludf.DUMMYFUNCTION("""COMPUTED_VALUE"""),58100.0)</f>
        <v>58100</v>
      </c>
      <c r="C3045" s="1">
        <f>IFERROR(__xludf.DUMMYFUNCTION("""COMPUTED_VALUE"""),58200.0)</f>
        <v>58200</v>
      </c>
      <c r="D3045" s="1">
        <f>IFERROR(__xludf.DUMMYFUNCTION("""COMPUTED_VALUE"""),57600.0)</f>
        <v>57600</v>
      </c>
      <c r="E3045" s="1">
        <f>IFERROR(__xludf.DUMMYFUNCTION("""COMPUTED_VALUE"""),58000.0)</f>
        <v>58000</v>
      </c>
      <c r="F3045" s="1">
        <f>IFERROR(__xludf.DUMMYFUNCTION("""COMPUTED_VALUE"""),1015317.0)</f>
        <v>1015317</v>
      </c>
    </row>
    <row r="3046">
      <c r="A3046" s="2">
        <f>IFERROR(__xludf.DUMMYFUNCTION("""COMPUTED_VALUE"""),45070.64583333333)</f>
        <v>45070.64583</v>
      </c>
      <c r="B3046" s="1">
        <f>IFERROR(__xludf.DUMMYFUNCTION("""COMPUTED_VALUE"""),57500.0)</f>
        <v>57500</v>
      </c>
      <c r="C3046" s="1">
        <f>IFERROR(__xludf.DUMMYFUNCTION("""COMPUTED_VALUE"""),57600.0)</f>
        <v>57600</v>
      </c>
      <c r="D3046" s="1">
        <f>IFERROR(__xludf.DUMMYFUNCTION("""COMPUTED_VALUE"""),56700.0)</f>
        <v>56700</v>
      </c>
      <c r="E3046" s="1">
        <f>IFERROR(__xludf.DUMMYFUNCTION("""COMPUTED_VALUE"""),56800.0)</f>
        <v>56800</v>
      </c>
      <c r="F3046" s="1">
        <f>IFERROR(__xludf.DUMMYFUNCTION("""COMPUTED_VALUE"""),1258754.0)</f>
        <v>1258754</v>
      </c>
    </row>
    <row r="3047">
      <c r="A3047" s="2">
        <f>IFERROR(__xludf.DUMMYFUNCTION("""COMPUTED_VALUE"""),45071.64583333333)</f>
        <v>45071.64583</v>
      </c>
      <c r="B3047" s="1">
        <f>IFERROR(__xludf.DUMMYFUNCTION("""COMPUTED_VALUE"""),56600.0)</f>
        <v>56600</v>
      </c>
      <c r="C3047" s="1">
        <f>IFERROR(__xludf.DUMMYFUNCTION("""COMPUTED_VALUE"""),57000.0)</f>
        <v>57000</v>
      </c>
      <c r="D3047" s="1">
        <f>IFERROR(__xludf.DUMMYFUNCTION("""COMPUTED_VALUE"""),56300.0)</f>
        <v>56300</v>
      </c>
      <c r="E3047" s="1">
        <f>IFERROR(__xludf.DUMMYFUNCTION("""COMPUTED_VALUE"""),56700.0)</f>
        <v>56700</v>
      </c>
      <c r="F3047" s="1">
        <f>IFERROR(__xludf.DUMMYFUNCTION("""COMPUTED_VALUE"""),1177829.0)</f>
        <v>1177829</v>
      </c>
    </row>
    <row r="3048">
      <c r="A3048" s="2">
        <f>IFERROR(__xludf.DUMMYFUNCTION("""COMPUTED_VALUE"""),45072.64583333333)</f>
        <v>45072.64583</v>
      </c>
      <c r="B3048" s="1">
        <f>IFERROR(__xludf.DUMMYFUNCTION("""COMPUTED_VALUE"""),56400.0)</f>
        <v>56400</v>
      </c>
      <c r="C3048" s="1">
        <f>IFERROR(__xludf.DUMMYFUNCTION("""COMPUTED_VALUE"""),57000.0)</f>
        <v>57000</v>
      </c>
      <c r="D3048" s="1">
        <f>IFERROR(__xludf.DUMMYFUNCTION("""COMPUTED_VALUE"""),56400.0)</f>
        <v>56400</v>
      </c>
      <c r="E3048" s="1">
        <f>IFERROR(__xludf.DUMMYFUNCTION("""COMPUTED_VALUE"""),56600.0)</f>
        <v>56600</v>
      </c>
      <c r="F3048" s="1">
        <f>IFERROR(__xludf.DUMMYFUNCTION("""COMPUTED_VALUE"""),709988.0)</f>
        <v>709988</v>
      </c>
    </row>
    <row r="3049">
      <c r="A3049" s="2">
        <f>IFERROR(__xludf.DUMMYFUNCTION("""COMPUTED_VALUE"""),45076.64583333333)</f>
        <v>45076.64583</v>
      </c>
      <c r="B3049" s="1">
        <f>IFERROR(__xludf.DUMMYFUNCTION("""COMPUTED_VALUE"""),57000.0)</f>
        <v>57000</v>
      </c>
      <c r="C3049" s="1">
        <f>IFERROR(__xludf.DUMMYFUNCTION("""COMPUTED_VALUE"""),57100.0)</f>
        <v>57100</v>
      </c>
      <c r="D3049" s="1">
        <f>IFERROR(__xludf.DUMMYFUNCTION("""COMPUTED_VALUE"""),56400.0)</f>
        <v>56400</v>
      </c>
      <c r="E3049" s="1">
        <f>IFERROR(__xludf.DUMMYFUNCTION("""COMPUTED_VALUE"""),56800.0)</f>
        <v>56800</v>
      </c>
      <c r="F3049" s="1">
        <f>IFERROR(__xludf.DUMMYFUNCTION("""COMPUTED_VALUE"""),1155964.0)</f>
        <v>1155964</v>
      </c>
    </row>
    <row r="3050">
      <c r="A3050" s="2">
        <f>IFERROR(__xludf.DUMMYFUNCTION("""COMPUTED_VALUE"""),45077.64583333333)</f>
        <v>45077.64583</v>
      </c>
      <c r="B3050" s="1">
        <f>IFERROR(__xludf.DUMMYFUNCTION("""COMPUTED_VALUE"""),56500.0)</f>
        <v>56500</v>
      </c>
      <c r="C3050" s="1">
        <f>IFERROR(__xludf.DUMMYFUNCTION("""COMPUTED_VALUE"""),56900.0)</f>
        <v>56900</v>
      </c>
      <c r="D3050" s="1">
        <f>IFERROR(__xludf.DUMMYFUNCTION("""COMPUTED_VALUE"""),56100.0)</f>
        <v>56100</v>
      </c>
      <c r="E3050" s="1">
        <f>IFERROR(__xludf.DUMMYFUNCTION("""COMPUTED_VALUE"""),56200.0)</f>
        <v>56200</v>
      </c>
      <c r="F3050" s="1">
        <f>IFERROR(__xludf.DUMMYFUNCTION("""COMPUTED_VALUE"""),1992398.0)</f>
        <v>1992398</v>
      </c>
    </row>
    <row r="3051">
      <c r="A3051" s="2">
        <f>IFERROR(__xludf.DUMMYFUNCTION("""COMPUTED_VALUE"""),45078.64583333333)</f>
        <v>45078.64583</v>
      </c>
      <c r="B3051" s="1">
        <f>IFERROR(__xludf.DUMMYFUNCTION("""COMPUTED_VALUE"""),56300.0)</f>
        <v>56300</v>
      </c>
      <c r="C3051" s="1">
        <f>IFERROR(__xludf.DUMMYFUNCTION("""COMPUTED_VALUE"""),56600.0)</f>
        <v>56600</v>
      </c>
      <c r="D3051" s="1">
        <f>IFERROR(__xludf.DUMMYFUNCTION("""COMPUTED_VALUE"""),56000.0)</f>
        <v>56000</v>
      </c>
      <c r="E3051" s="1">
        <f>IFERROR(__xludf.DUMMYFUNCTION("""COMPUTED_VALUE"""),56100.0)</f>
        <v>56100</v>
      </c>
      <c r="F3051" s="1">
        <f>IFERROR(__xludf.DUMMYFUNCTION("""COMPUTED_VALUE"""),1004709.0)</f>
        <v>1004709</v>
      </c>
    </row>
    <row r="3052">
      <c r="A3052" s="2">
        <f>IFERROR(__xludf.DUMMYFUNCTION("""COMPUTED_VALUE"""),45079.64583333333)</f>
        <v>45079.64583</v>
      </c>
      <c r="B3052" s="1">
        <f>IFERROR(__xludf.DUMMYFUNCTION("""COMPUTED_VALUE"""),56300.0)</f>
        <v>56300</v>
      </c>
      <c r="C3052" s="1">
        <f>IFERROR(__xludf.DUMMYFUNCTION("""COMPUTED_VALUE"""),57500.0)</f>
        <v>57500</v>
      </c>
      <c r="D3052" s="1">
        <f>IFERROR(__xludf.DUMMYFUNCTION("""COMPUTED_VALUE"""),56000.0)</f>
        <v>56000</v>
      </c>
      <c r="E3052" s="1">
        <f>IFERROR(__xludf.DUMMYFUNCTION("""COMPUTED_VALUE"""),57200.0)</f>
        <v>57200</v>
      </c>
      <c r="F3052" s="1">
        <f>IFERROR(__xludf.DUMMYFUNCTION("""COMPUTED_VALUE"""),1677624.0)</f>
        <v>1677624</v>
      </c>
    </row>
    <row r="3053">
      <c r="A3053" s="2">
        <f>IFERROR(__xludf.DUMMYFUNCTION("""COMPUTED_VALUE"""),45082.64583333333)</f>
        <v>45082.64583</v>
      </c>
      <c r="B3053" s="1">
        <f>IFERROR(__xludf.DUMMYFUNCTION("""COMPUTED_VALUE"""),57600.0)</f>
        <v>57600</v>
      </c>
      <c r="C3053" s="1">
        <f>IFERROR(__xludf.DUMMYFUNCTION("""COMPUTED_VALUE"""),57900.0)</f>
        <v>57900</v>
      </c>
      <c r="D3053" s="1">
        <f>IFERROR(__xludf.DUMMYFUNCTION("""COMPUTED_VALUE"""),57000.0)</f>
        <v>57000</v>
      </c>
      <c r="E3053" s="1">
        <f>IFERROR(__xludf.DUMMYFUNCTION("""COMPUTED_VALUE"""),57100.0)</f>
        <v>57100</v>
      </c>
      <c r="F3053" s="1">
        <f>IFERROR(__xludf.DUMMYFUNCTION("""COMPUTED_VALUE"""),1035494.0)</f>
        <v>1035494</v>
      </c>
    </row>
    <row r="3054">
      <c r="A3054" s="2">
        <f>IFERROR(__xludf.DUMMYFUNCTION("""COMPUTED_VALUE"""),45084.64583333333)</f>
        <v>45084.64583</v>
      </c>
      <c r="B3054" s="1">
        <f>IFERROR(__xludf.DUMMYFUNCTION("""COMPUTED_VALUE"""),57700.0)</f>
        <v>57700</v>
      </c>
      <c r="C3054" s="1">
        <f>IFERROR(__xludf.DUMMYFUNCTION("""COMPUTED_VALUE"""),58000.0)</f>
        <v>58000</v>
      </c>
      <c r="D3054" s="1">
        <f>IFERROR(__xludf.DUMMYFUNCTION("""COMPUTED_VALUE"""),57300.0)</f>
        <v>57300</v>
      </c>
      <c r="E3054" s="1">
        <f>IFERROR(__xludf.DUMMYFUNCTION("""COMPUTED_VALUE"""),57400.0)</f>
        <v>57400</v>
      </c>
      <c r="F3054" s="1">
        <f>IFERROR(__xludf.DUMMYFUNCTION("""COMPUTED_VALUE"""),1012086.0)</f>
        <v>1012086</v>
      </c>
    </row>
    <row r="3055">
      <c r="A3055" s="2">
        <f>IFERROR(__xludf.DUMMYFUNCTION("""COMPUTED_VALUE"""),45085.64583333333)</f>
        <v>45085.64583</v>
      </c>
      <c r="B3055" s="1">
        <f>IFERROR(__xludf.DUMMYFUNCTION("""COMPUTED_VALUE"""),57000.0)</f>
        <v>57000</v>
      </c>
      <c r="C3055" s="1">
        <f>IFERROR(__xludf.DUMMYFUNCTION("""COMPUTED_VALUE"""),57000.0)</f>
        <v>57000</v>
      </c>
      <c r="D3055" s="1">
        <f>IFERROR(__xludf.DUMMYFUNCTION("""COMPUTED_VALUE"""),56300.0)</f>
        <v>56300</v>
      </c>
      <c r="E3055" s="1">
        <f>IFERROR(__xludf.DUMMYFUNCTION("""COMPUTED_VALUE"""),56500.0)</f>
        <v>56500</v>
      </c>
      <c r="F3055" s="1">
        <f>IFERROR(__xludf.DUMMYFUNCTION("""COMPUTED_VALUE"""),1734613.0)</f>
        <v>1734613</v>
      </c>
    </row>
    <row r="3056">
      <c r="A3056" s="2">
        <f>IFERROR(__xludf.DUMMYFUNCTION("""COMPUTED_VALUE"""),45086.64583333333)</f>
        <v>45086.64583</v>
      </c>
      <c r="B3056" s="1">
        <f>IFERROR(__xludf.DUMMYFUNCTION("""COMPUTED_VALUE"""),56800.0)</f>
        <v>56800</v>
      </c>
      <c r="C3056" s="1">
        <f>IFERROR(__xludf.DUMMYFUNCTION("""COMPUTED_VALUE"""),57200.0)</f>
        <v>57200</v>
      </c>
      <c r="D3056" s="1">
        <f>IFERROR(__xludf.DUMMYFUNCTION("""COMPUTED_VALUE"""),56300.0)</f>
        <v>56300</v>
      </c>
      <c r="E3056" s="1">
        <f>IFERROR(__xludf.DUMMYFUNCTION("""COMPUTED_VALUE"""),56400.0)</f>
        <v>56400</v>
      </c>
      <c r="F3056" s="1">
        <f>IFERROR(__xludf.DUMMYFUNCTION("""COMPUTED_VALUE"""),1732451.0)</f>
        <v>1732451</v>
      </c>
    </row>
    <row r="3057">
      <c r="A3057" s="2">
        <f>IFERROR(__xludf.DUMMYFUNCTION("""COMPUTED_VALUE"""),45089.64583333333)</f>
        <v>45089.64583</v>
      </c>
      <c r="B3057" s="1">
        <f>IFERROR(__xludf.DUMMYFUNCTION("""COMPUTED_VALUE"""),56900.0)</f>
        <v>56900</v>
      </c>
      <c r="C3057" s="1">
        <f>IFERROR(__xludf.DUMMYFUNCTION("""COMPUTED_VALUE"""),57200.0)</f>
        <v>57200</v>
      </c>
      <c r="D3057" s="1">
        <f>IFERROR(__xludf.DUMMYFUNCTION("""COMPUTED_VALUE"""),56400.0)</f>
        <v>56400</v>
      </c>
      <c r="E3057" s="1">
        <f>IFERROR(__xludf.DUMMYFUNCTION("""COMPUTED_VALUE"""),56600.0)</f>
        <v>56600</v>
      </c>
      <c r="F3057" s="1">
        <f>IFERROR(__xludf.DUMMYFUNCTION("""COMPUTED_VALUE"""),867990.0)</f>
        <v>867990</v>
      </c>
    </row>
    <row r="3058">
      <c r="A3058" s="2">
        <f>IFERROR(__xludf.DUMMYFUNCTION("""COMPUTED_VALUE"""),45090.64583333333)</f>
        <v>45090.64583</v>
      </c>
      <c r="B3058" s="1">
        <f>IFERROR(__xludf.DUMMYFUNCTION("""COMPUTED_VALUE"""),57000.0)</f>
        <v>57000</v>
      </c>
      <c r="C3058" s="1">
        <f>IFERROR(__xludf.DUMMYFUNCTION("""COMPUTED_VALUE"""),57100.0)</f>
        <v>57100</v>
      </c>
      <c r="D3058" s="1">
        <f>IFERROR(__xludf.DUMMYFUNCTION("""COMPUTED_VALUE"""),56200.0)</f>
        <v>56200</v>
      </c>
      <c r="E3058" s="1">
        <f>IFERROR(__xludf.DUMMYFUNCTION("""COMPUTED_VALUE"""),56400.0)</f>
        <v>56400</v>
      </c>
      <c r="F3058" s="1">
        <f>IFERROR(__xludf.DUMMYFUNCTION("""COMPUTED_VALUE"""),1101921.0)</f>
        <v>1101921</v>
      </c>
    </row>
    <row r="3059">
      <c r="A3059" s="2">
        <f>IFERROR(__xludf.DUMMYFUNCTION("""COMPUTED_VALUE"""),45091.64583333333)</f>
        <v>45091.64583</v>
      </c>
      <c r="B3059" s="1">
        <f>IFERROR(__xludf.DUMMYFUNCTION("""COMPUTED_VALUE"""),56400.0)</f>
        <v>56400</v>
      </c>
      <c r="C3059" s="1">
        <f>IFERROR(__xludf.DUMMYFUNCTION("""COMPUTED_VALUE"""),56600.0)</f>
        <v>56600</v>
      </c>
      <c r="D3059" s="1">
        <f>IFERROR(__xludf.DUMMYFUNCTION("""COMPUTED_VALUE"""),55300.0)</f>
        <v>55300</v>
      </c>
      <c r="E3059" s="1">
        <f>IFERROR(__xludf.DUMMYFUNCTION("""COMPUTED_VALUE"""),55700.0)</f>
        <v>55700</v>
      </c>
      <c r="F3059" s="1">
        <f>IFERROR(__xludf.DUMMYFUNCTION("""COMPUTED_VALUE"""),2051297.0)</f>
        <v>2051297</v>
      </c>
    </row>
    <row r="3060">
      <c r="A3060" s="2">
        <f>IFERROR(__xludf.DUMMYFUNCTION("""COMPUTED_VALUE"""),45092.64583333333)</f>
        <v>45092.64583</v>
      </c>
      <c r="B3060" s="1">
        <f>IFERROR(__xludf.DUMMYFUNCTION("""COMPUTED_VALUE"""),55700.0)</f>
        <v>55700</v>
      </c>
      <c r="C3060" s="1">
        <f>IFERROR(__xludf.DUMMYFUNCTION("""COMPUTED_VALUE"""),56100.0)</f>
        <v>56100</v>
      </c>
      <c r="D3060" s="1">
        <f>IFERROR(__xludf.DUMMYFUNCTION("""COMPUTED_VALUE"""),53700.0)</f>
        <v>53700</v>
      </c>
      <c r="E3060" s="1">
        <f>IFERROR(__xludf.DUMMYFUNCTION("""COMPUTED_VALUE"""),53900.0)</f>
        <v>53900</v>
      </c>
      <c r="F3060" s="1">
        <f>IFERROR(__xludf.DUMMYFUNCTION("""COMPUTED_VALUE"""),2719928.0)</f>
        <v>2719928</v>
      </c>
    </row>
    <row r="3061">
      <c r="A3061" s="2">
        <f>IFERROR(__xludf.DUMMYFUNCTION("""COMPUTED_VALUE"""),45093.64583333333)</f>
        <v>45093.64583</v>
      </c>
      <c r="B3061" s="1">
        <f>IFERROR(__xludf.DUMMYFUNCTION("""COMPUTED_VALUE"""),54300.0)</f>
        <v>54300</v>
      </c>
      <c r="C3061" s="1">
        <f>IFERROR(__xludf.DUMMYFUNCTION("""COMPUTED_VALUE"""),54600.0)</f>
        <v>54600</v>
      </c>
      <c r="D3061" s="1">
        <f>IFERROR(__xludf.DUMMYFUNCTION("""COMPUTED_VALUE"""),53400.0)</f>
        <v>53400</v>
      </c>
      <c r="E3061" s="1">
        <f>IFERROR(__xludf.DUMMYFUNCTION("""COMPUTED_VALUE"""),53600.0)</f>
        <v>53600</v>
      </c>
      <c r="F3061" s="1">
        <f>IFERROR(__xludf.DUMMYFUNCTION("""COMPUTED_VALUE"""),1745708.0)</f>
        <v>1745708</v>
      </c>
    </row>
    <row r="3062">
      <c r="A3062" s="2">
        <f>IFERROR(__xludf.DUMMYFUNCTION("""COMPUTED_VALUE"""),45096.64583333333)</f>
        <v>45096.64583</v>
      </c>
      <c r="B3062" s="1">
        <f>IFERROR(__xludf.DUMMYFUNCTION("""COMPUTED_VALUE"""),53400.0)</f>
        <v>53400</v>
      </c>
      <c r="C3062" s="1">
        <f>IFERROR(__xludf.DUMMYFUNCTION("""COMPUTED_VALUE"""),53400.0)</f>
        <v>53400</v>
      </c>
      <c r="D3062" s="1">
        <f>IFERROR(__xludf.DUMMYFUNCTION("""COMPUTED_VALUE"""),52000.0)</f>
        <v>52000</v>
      </c>
      <c r="E3062" s="1">
        <f>IFERROR(__xludf.DUMMYFUNCTION("""COMPUTED_VALUE"""),52500.0)</f>
        <v>52500</v>
      </c>
      <c r="F3062" s="1">
        <f>IFERROR(__xludf.DUMMYFUNCTION("""COMPUTED_VALUE"""),2131119.0)</f>
        <v>2131119</v>
      </c>
    </row>
    <row r="3063">
      <c r="A3063" s="2">
        <f>IFERROR(__xludf.DUMMYFUNCTION("""COMPUTED_VALUE"""),45097.64583333333)</f>
        <v>45097.64583</v>
      </c>
      <c r="B3063" s="1">
        <f>IFERROR(__xludf.DUMMYFUNCTION("""COMPUTED_VALUE"""),52400.0)</f>
        <v>52400</v>
      </c>
      <c r="C3063" s="1">
        <f>IFERROR(__xludf.DUMMYFUNCTION("""COMPUTED_VALUE"""),52900.0)</f>
        <v>52900</v>
      </c>
      <c r="D3063" s="1">
        <f>IFERROR(__xludf.DUMMYFUNCTION("""COMPUTED_VALUE"""),51500.0)</f>
        <v>51500</v>
      </c>
      <c r="E3063" s="1">
        <f>IFERROR(__xludf.DUMMYFUNCTION("""COMPUTED_VALUE"""),51700.0)</f>
        <v>51700</v>
      </c>
      <c r="F3063" s="1">
        <f>IFERROR(__xludf.DUMMYFUNCTION("""COMPUTED_VALUE"""),1767021.0)</f>
        <v>1767021</v>
      </c>
    </row>
    <row r="3064">
      <c r="A3064" s="2">
        <f>IFERROR(__xludf.DUMMYFUNCTION("""COMPUTED_VALUE"""),45098.64583333333)</f>
        <v>45098.64583</v>
      </c>
      <c r="B3064" s="1">
        <f>IFERROR(__xludf.DUMMYFUNCTION("""COMPUTED_VALUE"""),51700.0)</f>
        <v>51700</v>
      </c>
      <c r="C3064" s="1">
        <f>IFERROR(__xludf.DUMMYFUNCTION("""COMPUTED_VALUE"""),52000.0)</f>
        <v>52000</v>
      </c>
      <c r="D3064" s="1">
        <f>IFERROR(__xludf.DUMMYFUNCTION("""COMPUTED_VALUE"""),50300.0)</f>
        <v>50300</v>
      </c>
      <c r="E3064" s="1">
        <f>IFERROR(__xludf.DUMMYFUNCTION("""COMPUTED_VALUE"""),50500.0)</f>
        <v>50500</v>
      </c>
      <c r="F3064" s="1">
        <f>IFERROR(__xludf.DUMMYFUNCTION("""COMPUTED_VALUE"""),2027881.0)</f>
        <v>2027881</v>
      </c>
    </row>
    <row r="3065">
      <c r="A3065" s="2">
        <f>IFERROR(__xludf.DUMMYFUNCTION("""COMPUTED_VALUE"""),45099.64583333333)</f>
        <v>45099.64583</v>
      </c>
      <c r="B3065" s="1">
        <f>IFERROR(__xludf.DUMMYFUNCTION("""COMPUTED_VALUE"""),50200.0)</f>
        <v>50200</v>
      </c>
      <c r="C3065" s="1">
        <f>IFERROR(__xludf.DUMMYFUNCTION("""COMPUTED_VALUE"""),51100.0)</f>
        <v>51100</v>
      </c>
      <c r="D3065" s="1">
        <f>IFERROR(__xludf.DUMMYFUNCTION("""COMPUTED_VALUE"""),50100.0)</f>
        <v>50100</v>
      </c>
      <c r="E3065" s="1">
        <f>IFERROR(__xludf.DUMMYFUNCTION("""COMPUTED_VALUE"""),50300.0)</f>
        <v>50300</v>
      </c>
      <c r="F3065" s="1">
        <f>IFERROR(__xludf.DUMMYFUNCTION("""COMPUTED_VALUE"""),1336297.0)</f>
        <v>1336297</v>
      </c>
    </row>
    <row r="3066">
      <c r="A3066" s="2">
        <f>IFERROR(__xludf.DUMMYFUNCTION("""COMPUTED_VALUE"""),45100.64583333333)</f>
        <v>45100.64583</v>
      </c>
      <c r="B3066" s="1">
        <f>IFERROR(__xludf.DUMMYFUNCTION("""COMPUTED_VALUE"""),50200.0)</f>
        <v>50200</v>
      </c>
      <c r="C3066" s="1">
        <f>IFERROR(__xludf.DUMMYFUNCTION("""COMPUTED_VALUE"""),50500.0)</f>
        <v>50500</v>
      </c>
      <c r="D3066" s="1">
        <f>IFERROR(__xludf.DUMMYFUNCTION("""COMPUTED_VALUE"""),49550.0)</f>
        <v>49550</v>
      </c>
      <c r="E3066" s="1">
        <f>IFERROR(__xludf.DUMMYFUNCTION("""COMPUTED_VALUE"""),49700.0)</f>
        <v>49700</v>
      </c>
      <c r="F3066" s="1">
        <f>IFERROR(__xludf.DUMMYFUNCTION("""COMPUTED_VALUE"""),1755166.0)</f>
        <v>1755166</v>
      </c>
    </row>
  </sheetData>
  <drawing r:id="rId1"/>
</worksheet>
</file>