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5년" sheetId="1" r:id="rId4"/>
    <sheet state="visible" name="2016년" sheetId="2" r:id="rId5"/>
    <sheet state="visible" name="2017년" sheetId="3" r:id="rId6"/>
    <sheet state="visible" name="2018년" sheetId="4" r:id="rId7"/>
    <sheet state="visible" name="2019년" sheetId="5" r:id="rId8"/>
    <sheet state="visible" name="2020년" sheetId="6" r:id="rId9"/>
    <sheet state="visible" name="2021년" sheetId="7" r:id="rId10"/>
    <sheet state="visible" name="2022년" sheetId="8" r:id="rId11"/>
    <sheet state="visible" name="2023년" sheetId="9" r:id="rId12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월 d일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IFERROR(__xludf.DUMMYFUNCTION("IMPORTHTML(""https://ko.wikipedia.org/wiki/%EC%95%84%EB%8A%94_%ED%98%95%EB%8B%98"",""table"",5)"),"회차")</f>
        <v>회차</v>
      </c>
      <c r="B1" s="1" t="str">
        <f>IFERROR(__xludf.DUMMYFUNCTION("""COMPUTED_VALUE"""),"방송일자")</f>
        <v>방송일자</v>
      </c>
      <c r="C1" s="1" t="str">
        <f>IFERROR(__xludf.DUMMYFUNCTION("""COMPUTED_VALUE"""),"AGB 시청률[2]")</f>
        <v>AGB 시청률[2]</v>
      </c>
    </row>
    <row r="2">
      <c r="A2" s="1" t="str">
        <f>IFERROR(__xludf.DUMMYFUNCTION("""COMPUTED_VALUE"""),"1회")</f>
        <v>1회</v>
      </c>
      <c r="B2" s="2">
        <f>IFERROR(__xludf.DUMMYFUNCTION("""COMPUTED_VALUE"""),45265.0)</f>
        <v>45265</v>
      </c>
      <c r="C2" s="3">
        <f>IFERROR(__xludf.DUMMYFUNCTION("""COMPUTED_VALUE"""),0.018)</f>
        <v>0.018</v>
      </c>
    </row>
    <row r="3">
      <c r="A3" s="1" t="str">
        <f>IFERROR(__xludf.DUMMYFUNCTION("""COMPUTED_VALUE"""),"2회")</f>
        <v>2회</v>
      </c>
      <c r="B3" s="2">
        <f>IFERROR(__xludf.DUMMYFUNCTION("""COMPUTED_VALUE"""),45272.0)</f>
        <v>45272</v>
      </c>
      <c r="C3" s="1" t="str">
        <f>IFERROR(__xludf.DUMMYFUNCTION("""COMPUTED_VALUE"""),"*1.1%*")</f>
        <v>*1.1%*</v>
      </c>
    </row>
    <row r="4">
      <c r="A4" s="1" t="str">
        <f>IFERROR(__xludf.DUMMYFUNCTION("""COMPUTED_VALUE"""),"3회")</f>
        <v>3회</v>
      </c>
      <c r="B4" s="2">
        <f>IFERROR(__xludf.DUMMYFUNCTION("""COMPUTED_VALUE"""),45279.0)</f>
        <v>45279</v>
      </c>
      <c r="C4" s="3">
        <f>IFERROR(__xludf.DUMMYFUNCTION("""COMPUTED_VALUE"""),0.015)</f>
        <v>0.015</v>
      </c>
    </row>
    <row r="5">
      <c r="A5" s="1" t="str">
        <f>IFERROR(__xludf.DUMMYFUNCTION("""COMPUTED_VALUE"""),"4회")</f>
        <v>4회</v>
      </c>
      <c r="B5" s="2">
        <f>IFERROR(__xludf.DUMMYFUNCTION("""COMPUTED_VALUE"""),45286.0)</f>
        <v>45286</v>
      </c>
      <c r="C5" s="3">
        <f>IFERROR(__xludf.DUMMYFUNCTION("""COMPUTED_VALUE"""),0.014)</f>
        <v>0.014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IFERROR(__xludf.DUMMYFUNCTION("IMPORTHTML(""https://ko.wikipedia.org/wiki/%EC%95%84%EB%8A%94_%ED%98%95%EB%8B%98"",""table"",6)"),"회차")</f>
        <v>회차</v>
      </c>
      <c r="B1" s="1" t="str">
        <f>IFERROR(__xludf.DUMMYFUNCTION("""COMPUTED_VALUE"""),"방송일자")</f>
        <v>방송일자</v>
      </c>
      <c r="C1" s="1" t="str">
        <f>IFERROR(__xludf.DUMMYFUNCTION("""COMPUTED_VALUE"""),"AGB 시청률[2]")</f>
        <v>AGB 시청률[2]</v>
      </c>
    </row>
    <row r="2">
      <c r="A2" s="1" t="str">
        <f>IFERROR(__xludf.DUMMYFUNCTION("""COMPUTED_VALUE"""),"5회")</f>
        <v>5회</v>
      </c>
      <c r="B2" s="2">
        <f>IFERROR(__xludf.DUMMYFUNCTION("""COMPUTED_VALUE"""),44928.0)</f>
        <v>44928</v>
      </c>
      <c r="C2" s="3">
        <f>IFERROR(__xludf.DUMMYFUNCTION("""COMPUTED_VALUE"""),0.012)</f>
        <v>0.012</v>
      </c>
    </row>
    <row r="3">
      <c r="A3" s="1" t="str">
        <f>IFERROR(__xludf.DUMMYFUNCTION("""COMPUTED_VALUE"""),"6회")</f>
        <v>6회</v>
      </c>
      <c r="B3" s="2">
        <f>IFERROR(__xludf.DUMMYFUNCTION("""COMPUTED_VALUE"""),44935.0)</f>
        <v>44935</v>
      </c>
      <c r="C3" s="1" t="str">
        <f>IFERROR(__xludf.DUMMYFUNCTION("""COMPUTED_VALUE"""),"*1.1%*")</f>
        <v>*1.1%*</v>
      </c>
    </row>
    <row r="4">
      <c r="A4" s="1" t="str">
        <f>IFERROR(__xludf.DUMMYFUNCTION("""COMPUTED_VALUE"""),"7회")</f>
        <v>7회</v>
      </c>
      <c r="B4" s="2">
        <f>IFERROR(__xludf.DUMMYFUNCTION("""COMPUTED_VALUE"""),44942.0)</f>
        <v>44942</v>
      </c>
      <c r="C4" s="3">
        <f>IFERROR(__xludf.DUMMYFUNCTION("""COMPUTED_VALUE"""),0.014)</f>
        <v>0.014</v>
      </c>
    </row>
    <row r="5">
      <c r="A5" s="1" t="str">
        <f>IFERROR(__xludf.DUMMYFUNCTION("""COMPUTED_VALUE"""),"8회")</f>
        <v>8회</v>
      </c>
      <c r="B5" s="2">
        <f>IFERROR(__xludf.DUMMYFUNCTION("""COMPUTED_VALUE"""),44949.0)</f>
        <v>44949</v>
      </c>
      <c r="C5" s="3">
        <f>IFERROR(__xludf.DUMMYFUNCTION("""COMPUTED_VALUE"""),0.019)</f>
        <v>0.019</v>
      </c>
    </row>
    <row r="6">
      <c r="A6" s="1" t="str">
        <f>IFERROR(__xludf.DUMMYFUNCTION("""COMPUTED_VALUE"""),"9회")</f>
        <v>9회</v>
      </c>
      <c r="B6" s="2">
        <f>IFERROR(__xludf.DUMMYFUNCTION("""COMPUTED_VALUE"""),44956.0)</f>
        <v>44956</v>
      </c>
      <c r="C6" s="3">
        <f>IFERROR(__xludf.DUMMYFUNCTION("""COMPUTED_VALUE"""),0.013)</f>
        <v>0.013</v>
      </c>
    </row>
    <row r="7">
      <c r="A7" s="1" t="str">
        <f>IFERROR(__xludf.DUMMYFUNCTION("""COMPUTED_VALUE"""),"10회")</f>
        <v>10회</v>
      </c>
      <c r="B7" s="2">
        <f>IFERROR(__xludf.DUMMYFUNCTION("""COMPUTED_VALUE"""),44963.0)</f>
        <v>44963</v>
      </c>
      <c r="C7" s="3">
        <f>IFERROR(__xludf.DUMMYFUNCTION("""COMPUTED_VALUE"""),0.017)</f>
        <v>0.017</v>
      </c>
    </row>
    <row r="8">
      <c r="A8" s="1" t="str">
        <f>IFERROR(__xludf.DUMMYFUNCTION("""COMPUTED_VALUE"""),"11회")</f>
        <v>11회</v>
      </c>
      <c r="B8" s="2">
        <f>IFERROR(__xludf.DUMMYFUNCTION("""COMPUTED_VALUE"""),44970.0)</f>
        <v>44970</v>
      </c>
      <c r="C8" s="3">
        <f>IFERROR(__xludf.DUMMYFUNCTION("""COMPUTED_VALUE"""),0.019)</f>
        <v>0.019</v>
      </c>
    </row>
    <row r="9">
      <c r="A9" s="1" t="str">
        <f>IFERROR(__xludf.DUMMYFUNCTION("""COMPUTED_VALUE"""),"12회")</f>
        <v>12회</v>
      </c>
      <c r="B9" s="2">
        <f>IFERROR(__xludf.DUMMYFUNCTION("""COMPUTED_VALUE"""),44977.0)</f>
        <v>44977</v>
      </c>
      <c r="C9" s="3">
        <f>IFERROR(__xludf.DUMMYFUNCTION("""COMPUTED_VALUE"""),0.016)</f>
        <v>0.016</v>
      </c>
    </row>
    <row r="10">
      <c r="A10" s="1" t="str">
        <f>IFERROR(__xludf.DUMMYFUNCTION("""COMPUTED_VALUE"""),"13회")</f>
        <v>13회</v>
      </c>
      <c r="B10" s="2">
        <f>IFERROR(__xludf.DUMMYFUNCTION("""COMPUTED_VALUE"""),44984.0)</f>
        <v>44984</v>
      </c>
      <c r="C10" s="3">
        <f>IFERROR(__xludf.DUMMYFUNCTION("""COMPUTED_VALUE"""),0.017)</f>
        <v>0.017</v>
      </c>
    </row>
    <row r="11">
      <c r="A11" s="1" t="str">
        <f>IFERROR(__xludf.DUMMYFUNCTION("""COMPUTED_VALUE"""),"14회")</f>
        <v>14회</v>
      </c>
      <c r="B11" s="2">
        <f>IFERROR(__xludf.DUMMYFUNCTION("""COMPUTED_VALUE"""),44990.0)</f>
        <v>44990</v>
      </c>
      <c r="C11" s="3">
        <f>IFERROR(__xludf.DUMMYFUNCTION("""COMPUTED_VALUE"""),0.014)</f>
        <v>0.014</v>
      </c>
    </row>
    <row r="12">
      <c r="A12" s="1" t="str">
        <f>IFERROR(__xludf.DUMMYFUNCTION("""COMPUTED_VALUE"""),"15회")</f>
        <v>15회</v>
      </c>
      <c r="B12" s="2">
        <f>IFERROR(__xludf.DUMMYFUNCTION("""COMPUTED_VALUE"""),44997.0)</f>
        <v>44997</v>
      </c>
      <c r="C12" s="3">
        <f>IFERROR(__xludf.DUMMYFUNCTION("""COMPUTED_VALUE"""),0.015)</f>
        <v>0.015</v>
      </c>
    </row>
    <row r="13">
      <c r="A13" s="1" t="str">
        <f>IFERROR(__xludf.DUMMYFUNCTION("""COMPUTED_VALUE"""),"16회")</f>
        <v>16회</v>
      </c>
      <c r="B13" s="2">
        <f>IFERROR(__xludf.DUMMYFUNCTION("""COMPUTED_VALUE"""),45004.0)</f>
        <v>45004</v>
      </c>
      <c r="C13" s="3">
        <f>IFERROR(__xludf.DUMMYFUNCTION("""COMPUTED_VALUE"""),0.015)</f>
        <v>0.015</v>
      </c>
    </row>
    <row r="14">
      <c r="A14" s="1" t="str">
        <f>IFERROR(__xludf.DUMMYFUNCTION("""COMPUTED_VALUE"""),"17회")</f>
        <v>17회</v>
      </c>
      <c r="B14" s="2">
        <f>IFERROR(__xludf.DUMMYFUNCTION("""COMPUTED_VALUE"""),45011.0)</f>
        <v>45011</v>
      </c>
      <c r="C14" s="3">
        <f>IFERROR(__xludf.DUMMYFUNCTION("""COMPUTED_VALUE"""),0.017)</f>
        <v>0.017</v>
      </c>
    </row>
    <row r="15">
      <c r="A15" s="1" t="str">
        <f>IFERROR(__xludf.DUMMYFUNCTION("""COMPUTED_VALUE"""),"18회")</f>
        <v>18회</v>
      </c>
      <c r="B15" s="2">
        <f>IFERROR(__xludf.DUMMYFUNCTION("""COMPUTED_VALUE"""),45018.0)</f>
        <v>45018</v>
      </c>
      <c r="C15" s="3">
        <f>IFERROR(__xludf.DUMMYFUNCTION("""COMPUTED_VALUE"""),0.015)</f>
        <v>0.015</v>
      </c>
    </row>
    <row r="16">
      <c r="A16" s="1" t="str">
        <f>IFERROR(__xludf.DUMMYFUNCTION("""COMPUTED_VALUE"""),"19회")</f>
        <v>19회</v>
      </c>
      <c r="B16" s="2">
        <f>IFERROR(__xludf.DUMMYFUNCTION("""COMPUTED_VALUE"""),45025.0)</f>
        <v>45025</v>
      </c>
      <c r="C16" s="3">
        <f>IFERROR(__xludf.DUMMYFUNCTION("""COMPUTED_VALUE"""),0.015)</f>
        <v>0.015</v>
      </c>
    </row>
    <row r="17">
      <c r="A17" s="1" t="str">
        <f>IFERROR(__xludf.DUMMYFUNCTION("""COMPUTED_VALUE"""),"20회")</f>
        <v>20회</v>
      </c>
      <c r="B17" s="2">
        <f>IFERROR(__xludf.DUMMYFUNCTION("""COMPUTED_VALUE"""),45032.0)</f>
        <v>45032</v>
      </c>
      <c r="C17" s="3">
        <f>IFERROR(__xludf.DUMMYFUNCTION("""COMPUTED_VALUE"""),0.012)</f>
        <v>0.012</v>
      </c>
    </row>
    <row r="18">
      <c r="A18" s="1" t="str">
        <f>IFERROR(__xludf.DUMMYFUNCTION("""COMPUTED_VALUE"""),"21회")</f>
        <v>21회</v>
      </c>
      <c r="B18" s="2">
        <f>IFERROR(__xludf.DUMMYFUNCTION("""COMPUTED_VALUE"""),45039.0)</f>
        <v>45039</v>
      </c>
      <c r="C18" s="3">
        <f>IFERROR(__xludf.DUMMYFUNCTION("""COMPUTED_VALUE"""),0.013)</f>
        <v>0.013</v>
      </c>
    </row>
    <row r="19">
      <c r="A19" s="1" t="str">
        <f>IFERROR(__xludf.DUMMYFUNCTION("""COMPUTED_VALUE"""),"22회")</f>
        <v>22회</v>
      </c>
      <c r="B19" s="2">
        <f>IFERROR(__xludf.DUMMYFUNCTION("""COMPUTED_VALUE"""),45046.0)</f>
        <v>45046</v>
      </c>
      <c r="C19" s="3">
        <f>IFERROR(__xludf.DUMMYFUNCTION("""COMPUTED_VALUE"""),0.016)</f>
        <v>0.016</v>
      </c>
    </row>
    <row r="20">
      <c r="A20" s="1" t="str">
        <f>IFERROR(__xludf.DUMMYFUNCTION("""COMPUTED_VALUE"""),"23회")</f>
        <v>23회</v>
      </c>
      <c r="B20" s="2">
        <f>IFERROR(__xludf.DUMMYFUNCTION("""COMPUTED_VALUE"""),45053.0)</f>
        <v>45053</v>
      </c>
      <c r="C20" s="3">
        <f>IFERROR(__xludf.DUMMYFUNCTION("""COMPUTED_VALUE"""),0.022)</f>
        <v>0.022</v>
      </c>
    </row>
    <row r="21">
      <c r="A21" s="1" t="str">
        <f>IFERROR(__xludf.DUMMYFUNCTION("""COMPUTED_VALUE"""),"24회")</f>
        <v>24회</v>
      </c>
      <c r="B21" s="2">
        <f>IFERROR(__xludf.DUMMYFUNCTION("""COMPUTED_VALUE"""),45060.0)</f>
        <v>45060</v>
      </c>
      <c r="C21" s="3">
        <f>IFERROR(__xludf.DUMMYFUNCTION("""COMPUTED_VALUE"""),0.019)</f>
        <v>0.019</v>
      </c>
    </row>
    <row r="22">
      <c r="A22" s="1" t="str">
        <f>IFERROR(__xludf.DUMMYFUNCTION("""COMPUTED_VALUE"""),"25회")</f>
        <v>25회</v>
      </c>
      <c r="B22" s="2">
        <f>IFERROR(__xludf.DUMMYFUNCTION("""COMPUTED_VALUE"""),45067.0)</f>
        <v>45067</v>
      </c>
      <c r="C22" s="3">
        <f>IFERROR(__xludf.DUMMYFUNCTION("""COMPUTED_VALUE"""),0.019)</f>
        <v>0.019</v>
      </c>
    </row>
    <row r="23">
      <c r="A23" s="1" t="str">
        <f>IFERROR(__xludf.DUMMYFUNCTION("""COMPUTED_VALUE"""),"26회")</f>
        <v>26회</v>
      </c>
      <c r="B23" s="2">
        <f>IFERROR(__xludf.DUMMYFUNCTION("""COMPUTED_VALUE"""),45074.0)</f>
        <v>45074</v>
      </c>
      <c r="C23" s="3">
        <f>IFERROR(__xludf.DUMMYFUNCTION("""COMPUTED_VALUE"""),0.019)</f>
        <v>0.019</v>
      </c>
    </row>
    <row r="24">
      <c r="A24" s="1" t="str">
        <f>IFERROR(__xludf.DUMMYFUNCTION("""COMPUTED_VALUE"""),"27회")</f>
        <v>27회</v>
      </c>
      <c r="B24" s="2">
        <f>IFERROR(__xludf.DUMMYFUNCTION("""COMPUTED_VALUE"""),45081.0)</f>
        <v>45081</v>
      </c>
      <c r="C24" s="3">
        <f>IFERROR(__xludf.DUMMYFUNCTION("""COMPUTED_VALUE"""),0.027)</f>
        <v>0.027</v>
      </c>
    </row>
    <row r="25">
      <c r="A25" s="1" t="str">
        <f>IFERROR(__xludf.DUMMYFUNCTION("""COMPUTED_VALUE"""),"28회")</f>
        <v>28회</v>
      </c>
      <c r="B25" s="2">
        <f>IFERROR(__xludf.DUMMYFUNCTION("""COMPUTED_VALUE"""),45088.0)</f>
        <v>45088</v>
      </c>
      <c r="C25" s="3">
        <f>IFERROR(__xludf.DUMMYFUNCTION("""COMPUTED_VALUE"""),0.02)</f>
        <v>0.02</v>
      </c>
    </row>
    <row r="26">
      <c r="A26" s="1" t="str">
        <f>IFERROR(__xludf.DUMMYFUNCTION("""COMPUTED_VALUE"""),"29회")</f>
        <v>29회</v>
      </c>
      <c r="B26" s="2">
        <f>IFERROR(__xludf.DUMMYFUNCTION("""COMPUTED_VALUE"""),45095.0)</f>
        <v>45095</v>
      </c>
      <c r="C26" s="3">
        <f>IFERROR(__xludf.DUMMYFUNCTION("""COMPUTED_VALUE"""),0.022)</f>
        <v>0.022</v>
      </c>
    </row>
    <row r="27">
      <c r="A27" s="1" t="str">
        <f>IFERROR(__xludf.DUMMYFUNCTION("""COMPUTED_VALUE"""),"30회")</f>
        <v>30회</v>
      </c>
      <c r="B27" s="2">
        <f>IFERROR(__xludf.DUMMYFUNCTION("""COMPUTED_VALUE"""),45102.0)</f>
        <v>45102</v>
      </c>
      <c r="C27" s="3">
        <f>IFERROR(__xludf.DUMMYFUNCTION("""COMPUTED_VALUE"""),0.029)</f>
        <v>0.029</v>
      </c>
    </row>
    <row r="28">
      <c r="A28" s="1" t="str">
        <f>IFERROR(__xludf.DUMMYFUNCTION("""COMPUTED_VALUE"""),"31회")</f>
        <v>31회</v>
      </c>
      <c r="B28" s="2">
        <f>IFERROR(__xludf.DUMMYFUNCTION("""COMPUTED_VALUE"""),45109.0)</f>
        <v>45109</v>
      </c>
      <c r="C28" s="3">
        <f>IFERROR(__xludf.DUMMYFUNCTION("""COMPUTED_VALUE"""),0.031)</f>
        <v>0.031</v>
      </c>
    </row>
    <row r="29">
      <c r="A29" s="1" t="str">
        <f>IFERROR(__xludf.DUMMYFUNCTION("""COMPUTED_VALUE"""),"32회")</f>
        <v>32회</v>
      </c>
      <c r="B29" s="2">
        <f>IFERROR(__xludf.DUMMYFUNCTION("""COMPUTED_VALUE"""),45116.0)</f>
        <v>45116</v>
      </c>
      <c r="C29" s="3">
        <f>IFERROR(__xludf.DUMMYFUNCTION("""COMPUTED_VALUE"""),0.031)</f>
        <v>0.031</v>
      </c>
    </row>
    <row r="30">
      <c r="A30" s="1" t="str">
        <f>IFERROR(__xludf.DUMMYFUNCTION("""COMPUTED_VALUE"""),"33회")</f>
        <v>33회</v>
      </c>
      <c r="B30" s="2">
        <f>IFERROR(__xludf.DUMMYFUNCTION("""COMPUTED_VALUE"""),45123.0)</f>
        <v>45123</v>
      </c>
      <c r="C30" s="3">
        <f>IFERROR(__xludf.DUMMYFUNCTION("""COMPUTED_VALUE"""),0.037)</f>
        <v>0.037</v>
      </c>
    </row>
    <row r="31">
      <c r="A31" s="1" t="str">
        <f>IFERROR(__xludf.DUMMYFUNCTION("""COMPUTED_VALUE"""),"34회")</f>
        <v>34회</v>
      </c>
      <c r="B31" s="2">
        <f>IFERROR(__xludf.DUMMYFUNCTION("""COMPUTED_VALUE"""),45130.0)</f>
        <v>45130</v>
      </c>
      <c r="C31" s="3">
        <f>IFERROR(__xludf.DUMMYFUNCTION("""COMPUTED_VALUE"""),0.024)</f>
        <v>0.024</v>
      </c>
    </row>
    <row r="32">
      <c r="A32" s="1" t="str">
        <f>IFERROR(__xludf.DUMMYFUNCTION("""COMPUTED_VALUE"""),"35회")</f>
        <v>35회</v>
      </c>
      <c r="B32" s="2">
        <f>IFERROR(__xludf.DUMMYFUNCTION("""COMPUTED_VALUE"""),45137.0)</f>
        <v>45137</v>
      </c>
      <c r="C32" s="3">
        <f>IFERROR(__xludf.DUMMYFUNCTION("""COMPUTED_VALUE"""),0.034)</f>
        <v>0.034</v>
      </c>
    </row>
    <row r="33">
      <c r="A33" s="1" t="str">
        <f>IFERROR(__xludf.DUMMYFUNCTION("""COMPUTED_VALUE"""),"36회")</f>
        <v>36회</v>
      </c>
      <c r="B33" s="2">
        <f>IFERROR(__xludf.DUMMYFUNCTION("""COMPUTED_VALUE"""),45144.0)</f>
        <v>45144</v>
      </c>
      <c r="C33" s="3">
        <f>IFERROR(__xludf.DUMMYFUNCTION("""COMPUTED_VALUE"""),0.028)</f>
        <v>0.028</v>
      </c>
    </row>
    <row r="34">
      <c r="A34" s="1" t="str">
        <f>IFERROR(__xludf.DUMMYFUNCTION("""COMPUTED_VALUE"""),"37회")</f>
        <v>37회</v>
      </c>
      <c r="B34" s="2">
        <f>IFERROR(__xludf.DUMMYFUNCTION("""COMPUTED_VALUE"""),45151.0)</f>
        <v>45151</v>
      </c>
      <c r="C34" s="3">
        <f>IFERROR(__xludf.DUMMYFUNCTION("""COMPUTED_VALUE"""),0.031)</f>
        <v>0.031</v>
      </c>
    </row>
    <row r="35">
      <c r="A35" s="1" t="str">
        <f>IFERROR(__xludf.DUMMYFUNCTION("""COMPUTED_VALUE"""),"38회")</f>
        <v>38회</v>
      </c>
      <c r="B35" s="2">
        <f>IFERROR(__xludf.DUMMYFUNCTION("""COMPUTED_VALUE"""),45158.0)</f>
        <v>45158</v>
      </c>
      <c r="C35" s="3">
        <f>IFERROR(__xludf.DUMMYFUNCTION("""COMPUTED_VALUE"""),0.03)</f>
        <v>0.03</v>
      </c>
    </row>
    <row r="36">
      <c r="A36" s="1" t="str">
        <f>IFERROR(__xludf.DUMMYFUNCTION("""COMPUTED_VALUE"""),"39회")</f>
        <v>39회</v>
      </c>
      <c r="B36" s="2">
        <f>IFERROR(__xludf.DUMMYFUNCTION("""COMPUTED_VALUE"""),45165.0)</f>
        <v>45165</v>
      </c>
      <c r="C36" s="3">
        <f>IFERROR(__xludf.DUMMYFUNCTION("""COMPUTED_VALUE"""),0.024)</f>
        <v>0.024</v>
      </c>
    </row>
    <row r="37">
      <c r="A37" s="1" t="str">
        <f>IFERROR(__xludf.DUMMYFUNCTION("""COMPUTED_VALUE"""),"40회")</f>
        <v>40회</v>
      </c>
      <c r="B37" s="2">
        <f>IFERROR(__xludf.DUMMYFUNCTION("""COMPUTED_VALUE"""),45172.0)</f>
        <v>45172</v>
      </c>
      <c r="C37" s="3">
        <f>IFERROR(__xludf.DUMMYFUNCTION("""COMPUTED_VALUE"""),0.029)</f>
        <v>0.029</v>
      </c>
    </row>
    <row r="38">
      <c r="A38" s="1" t="str">
        <f>IFERROR(__xludf.DUMMYFUNCTION("""COMPUTED_VALUE"""),"41회")</f>
        <v>41회</v>
      </c>
      <c r="B38" s="2">
        <f>IFERROR(__xludf.DUMMYFUNCTION("""COMPUTED_VALUE"""),45179.0)</f>
        <v>45179</v>
      </c>
      <c r="C38" s="3">
        <f>IFERROR(__xludf.DUMMYFUNCTION("""COMPUTED_VALUE"""),0.03)</f>
        <v>0.03</v>
      </c>
    </row>
    <row r="39">
      <c r="A39" s="1" t="str">
        <f>IFERROR(__xludf.DUMMYFUNCTION("""COMPUTED_VALUE"""),"42회")</f>
        <v>42회</v>
      </c>
      <c r="B39" s="2">
        <f>IFERROR(__xludf.DUMMYFUNCTION("""COMPUTED_VALUE"""),45186.0)</f>
        <v>45186</v>
      </c>
      <c r="C39" s="3">
        <f>IFERROR(__xludf.DUMMYFUNCTION("""COMPUTED_VALUE"""),0.024)</f>
        <v>0.024</v>
      </c>
    </row>
    <row r="40">
      <c r="A40" s="1" t="str">
        <f>IFERROR(__xludf.DUMMYFUNCTION("""COMPUTED_VALUE"""),"43회")</f>
        <v>43회</v>
      </c>
      <c r="B40" s="2">
        <f>IFERROR(__xludf.DUMMYFUNCTION("""COMPUTED_VALUE"""),45193.0)</f>
        <v>45193</v>
      </c>
      <c r="C40" s="3">
        <f>IFERROR(__xludf.DUMMYFUNCTION("""COMPUTED_VALUE"""),0.026)</f>
        <v>0.026</v>
      </c>
    </row>
    <row r="41">
      <c r="A41" s="1" t="str">
        <f>IFERROR(__xludf.DUMMYFUNCTION("""COMPUTED_VALUE"""),"44회")</f>
        <v>44회</v>
      </c>
      <c r="B41" s="2">
        <f>IFERROR(__xludf.DUMMYFUNCTION("""COMPUTED_VALUE"""),45200.0)</f>
        <v>45200</v>
      </c>
      <c r="C41" s="3">
        <f>IFERROR(__xludf.DUMMYFUNCTION("""COMPUTED_VALUE"""),0.022)</f>
        <v>0.022</v>
      </c>
    </row>
    <row r="42">
      <c r="A42" s="1" t="str">
        <f>IFERROR(__xludf.DUMMYFUNCTION("""COMPUTED_VALUE"""),"45회")</f>
        <v>45회</v>
      </c>
      <c r="B42" s="2">
        <f>IFERROR(__xludf.DUMMYFUNCTION("""COMPUTED_VALUE"""),45207.0)</f>
        <v>45207</v>
      </c>
      <c r="C42" s="1" t="str">
        <f>IFERROR(__xludf.DUMMYFUNCTION("""COMPUTED_VALUE"""),"*3.9%*")</f>
        <v>*3.9%*</v>
      </c>
    </row>
    <row r="43">
      <c r="A43" s="1" t="str">
        <f>IFERROR(__xludf.DUMMYFUNCTION("""COMPUTED_VALUE"""),"46회")</f>
        <v>46회</v>
      </c>
      <c r="B43" s="2">
        <f>IFERROR(__xludf.DUMMYFUNCTION("""COMPUTED_VALUE"""),45214.0)</f>
        <v>45214</v>
      </c>
      <c r="C43" s="3">
        <f>IFERROR(__xludf.DUMMYFUNCTION("""COMPUTED_VALUE"""),0.03)</f>
        <v>0.03</v>
      </c>
    </row>
    <row r="44">
      <c r="A44" s="1" t="str">
        <f>IFERROR(__xludf.DUMMYFUNCTION("""COMPUTED_VALUE"""),"47회")</f>
        <v>47회</v>
      </c>
      <c r="B44" s="2">
        <f>IFERROR(__xludf.DUMMYFUNCTION("""COMPUTED_VALUE"""),45221.0)</f>
        <v>45221</v>
      </c>
      <c r="C44" s="3">
        <f>IFERROR(__xludf.DUMMYFUNCTION("""COMPUTED_VALUE"""),0.031)</f>
        <v>0.031</v>
      </c>
    </row>
    <row r="45">
      <c r="A45" s="1" t="str">
        <f>IFERROR(__xludf.DUMMYFUNCTION("""COMPUTED_VALUE"""),"48회")</f>
        <v>48회</v>
      </c>
      <c r="B45" s="2">
        <f>IFERROR(__xludf.DUMMYFUNCTION("""COMPUTED_VALUE"""),45228.0)</f>
        <v>45228</v>
      </c>
      <c r="C45" s="3">
        <f>IFERROR(__xludf.DUMMYFUNCTION("""COMPUTED_VALUE"""),0.035)</f>
        <v>0.035</v>
      </c>
    </row>
    <row r="46">
      <c r="A46" s="1" t="str">
        <f>IFERROR(__xludf.DUMMYFUNCTION("""COMPUTED_VALUE"""),"49회")</f>
        <v>49회</v>
      </c>
      <c r="B46" s="2">
        <f>IFERROR(__xludf.DUMMYFUNCTION("""COMPUTED_VALUE"""),45235.0)</f>
        <v>45235</v>
      </c>
      <c r="C46" s="3">
        <f>IFERROR(__xludf.DUMMYFUNCTION("""COMPUTED_VALUE"""),0.033)</f>
        <v>0.033</v>
      </c>
    </row>
    <row r="47">
      <c r="A47" s="1" t="str">
        <f>IFERROR(__xludf.DUMMYFUNCTION("""COMPUTED_VALUE"""),"50회")</f>
        <v>50회</v>
      </c>
      <c r="B47" s="2">
        <f>IFERROR(__xludf.DUMMYFUNCTION("""COMPUTED_VALUE"""),45242.0)</f>
        <v>45242</v>
      </c>
      <c r="C47" s="3">
        <f>IFERROR(__xludf.DUMMYFUNCTION("""COMPUTED_VALUE"""),0.036)</f>
        <v>0.036</v>
      </c>
    </row>
    <row r="48">
      <c r="A48" s="1" t="str">
        <f>IFERROR(__xludf.DUMMYFUNCTION("""COMPUTED_VALUE"""),"51회")</f>
        <v>51회</v>
      </c>
      <c r="B48" s="2">
        <f>IFERROR(__xludf.DUMMYFUNCTION("""COMPUTED_VALUE"""),45249.0)</f>
        <v>45249</v>
      </c>
      <c r="C48" s="3">
        <f>IFERROR(__xludf.DUMMYFUNCTION("""COMPUTED_VALUE"""),0.022)</f>
        <v>0.022</v>
      </c>
    </row>
    <row r="49">
      <c r="A49" s="1" t="str">
        <f>IFERROR(__xludf.DUMMYFUNCTION("""COMPUTED_VALUE"""),"52회")</f>
        <v>52회</v>
      </c>
      <c r="B49" s="2">
        <f>IFERROR(__xludf.DUMMYFUNCTION("""COMPUTED_VALUE"""),45256.0)</f>
        <v>45256</v>
      </c>
      <c r="C49" s="3">
        <f>IFERROR(__xludf.DUMMYFUNCTION("""COMPUTED_VALUE"""),0.03)</f>
        <v>0.03</v>
      </c>
    </row>
    <row r="50">
      <c r="A50" s="1" t="str">
        <f>IFERROR(__xludf.DUMMYFUNCTION("""COMPUTED_VALUE"""),"53회")</f>
        <v>53회</v>
      </c>
      <c r="B50" s="2">
        <f>IFERROR(__xludf.DUMMYFUNCTION("""COMPUTED_VALUE"""),45263.0)</f>
        <v>45263</v>
      </c>
      <c r="C50" s="3">
        <f>IFERROR(__xludf.DUMMYFUNCTION("""COMPUTED_VALUE"""),0.035)</f>
        <v>0.035</v>
      </c>
    </row>
    <row r="51">
      <c r="A51" s="1" t="str">
        <f>IFERROR(__xludf.DUMMYFUNCTION("""COMPUTED_VALUE"""),"54회")</f>
        <v>54회</v>
      </c>
      <c r="B51" s="2">
        <f>IFERROR(__xludf.DUMMYFUNCTION("""COMPUTED_VALUE"""),45270.0)</f>
        <v>45270</v>
      </c>
      <c r="C51" s="3">
        <f>IFERROR(__xludf.DUMMYFUNCTION("""COMPUTED_VALUE"""),0.032)</f>
        <v>0.032</v>
      </c>
    </row>
    <row r="52">
      <c r="A52" s="1" t="str">
        <f>IFERROR(__xludf.DUMMYFUNCTION("""COMPUTED_VALUE"""),"55회")</f>
        <v>55회</v>
      </c>
      <c r="B52" s="2">
        <f>IFERROR(__xludf.DUMMYFUNCTION("""COMPUTED_VALUE"""),45277.0)</f>
        <v>45277</v>
      </c>
      <c r="C52" s="3">
        <f>IFERROR(__xludf.DUMMYFUNCTION("""COMPUTED_VALUE"""),0.038)</f>
        <v>0.038</v>
      </c>
    </row>
    <row r="53">
      <c r="A53" s="1" t="str">
        <f>IFERROR(__xludf.DUMMYFUNCTION("""COMPUTED_VALUE"""),"56회")</f>
        <v>56회</v>
      </c>
      <c r="B53" s="2">
        <f>IFERROR(__xludf.DUMMYFUNCTION("""COMPUTED_VALUE"""),45284.0)</f>
        <v>45284</v>
      </c>
      <c r="C53" s="3">
        <f>IFERROR(__xludf.DUMMYFUNCTION("""COMPUTED_VALUE"""),0.029)</f>
        <v>0.029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IFERROR(__xludf.DUMMYFUNCTION("IMPORTHTML(""https://ko.wikipedia.org/wiki/%EC%95%84%EB%8A%94_%ED%98%95%EB%8B%98"",""table"",7)"),"회차")</f>
        <v>회차</v>
      </c>
      <c r="B1" s="1" t="str">
        <f>IFERROR(__xludf.DUMMYFUNCTION("""COMPUTED_VALUE"""),"방송일자")</f>
        <v>방송일자</v>
      </c>
      <c r="C1" s="1" t="str">
        <f>IFERROR(__xludf.DUMMYFUNCTION("""COMPUTED_VALUE"""),"AGB 시청률[2]")</f>
        <v>AGB 시청률[2]</v>
      </c>
    </row>
    <row r="2">
      <c r="A2" s="1" t="str">
        <f>IFERROR(__xludf.DUMMYFUNCTION("""COMPUTED_VALUE"""),"57회")</f>
        <v>57회</v>
      </c>
      <c r="B2" s="2">
        <f>IFERROR(__xludf.DUMMYFUNCTION("""COMPUTED_VALUE"""),44933.0)</f>
        <v>44933</v>
      </c>
      <c r="C2" s="3">
        <f>IFERROR(__xludf.DUMMYFUNCTION("""COMPUTED_VALUE"""),0.042)</f>
        <v>0.042</v>
      </c>
    </row>
    <row r="3">
      <c r="A3" s="1" t="str">
        <f>IFERROR(__xludf.DUMMYFUNCTION("""COMPUTED_VALUE"""),"58회")</f>
        <v>58회</v>
      </c>
      <c r="B3" s="2">
        <f>IFERROR(__xludf.DUMMYFUNCTION("""COMPUTED_VALUE"""),44940.0)</f>
        <v>44940</v>
      </c>
      <c r="C3" s="3">
        <f>IFERROR(__xludf.DUMMYFUNCTION("""COMPUTED_VALUE"""),0.048)</f>
        <v>0.048</v>
      </c>
    </row>
    <row r="4">
      <c r="A4" s="1" t="str">
        <f>IFERROR(__xludf.DUMMYFUNCTION("""COMPUTED_VALUE"""),"59회")</f>
        <v>59회</v>
      </c>
      <c r="B4" s="2">
        <f>IFERROR(__xludf.DUMMYFUNCTION("""COMPUTED_VALUE"""),44947.0)</f>
        <v>44947</v>
      </c>
      <c r="C4" s="1" t="str">
        <f>IFERROR(__xludf.DUMMYFUNCTION("""COMPUTED_VALUE"""),"*3.0%*")</f>
        <v>*3.0%*</v>
      </c>
    </row>
    <row r="5">
      <c r="A5" s="1" t="str">
        <f>IFERROR(__xludf.DUMMYFUNCTION("""COMPUTED_VALUE"""),"60회")</f>
        <v>60회</v>
      </c>
      <c r="B5" s="2">
        <f>IFERROR(__xludf.DUMMYFUNCTION("""COMPUTED_VALUE"""),44954.0)</f>
        <v>44954</v>
      </c>
      <c r="C5" s="3">
        <f>IFERROR(__xludf.DUMMYFUNCTION("""COMPUTED_VALUE"""),0.033)</f>
        <v>0.033</v>
      </c>
    </row>
    <row r="6">
      <c r="A6" s="1" t="str">
        <f>IFERROR(__xludf.DUMMYFUNCTION("""COMPUTED_VALUE"""),"61회")</f>
        <v>61회</v>
      </c>
      <c r="B6" s="2">
        <f>IFERROR(__xludf.DUMMYFUNCTION("""COMPUTED_VALUE"""),44961.0)</f>
        <v>44961</v>
      </c>
      <c r="C6" s="3">
        <f>IFERROR(__xludf.DUMMYFUNCTION("""COMPUTED_VALUE"""),0.039)</f>
        <v>0.039</v>
      </c>
    </row>
    <row r="7">
      <c r="A7" s="1" t="str">
        <f>IFERROR(__xludf.DUMMYFUNCTION("""COMPUTED_VALUE"""),"62회")</f>
        <v>62회</v>
      </c>
      <c r="B7" s="2">
        <f>IFERROR(__xludf.DUMMYFUNCTION("""COMPUTED_VALUE"""),44968.0)</f>
        <v>44968</v>
      </c>
      <c r="C7" s="3">
        <f>IFERROR(__xludf.DUMMYFUNCTION("""COMPUTED_VALUE"""),0.042)</f>
        <v>0.042</v>
      </c>
    </row>
    <row r="8">
      <c r="A8" s="1" t="str">
        <f>IFERROR(__xludf.DUMMYFUNCTION("""COMPUTED_VALUE"""),"63회")</f>
        <v>63회</v>
      </c>
      <c r="B8" s="2">
        <f>IFERROR(__xludf.DUMMYFUNCTION("""COMPUTED_VALUE"""),44975.0)</f>
        <v>44975</v>
      </c>
      <c r="C8" s="3">
        <f>IFERROR(__xludf.DUMMYFUNCTION("""COMPUTED_VALUE"""),0.042)</f>
        <v>0.042</v>
      </c>
    </row>
    <row r="9">
      <c r="A9" s="1" t="str">
        <f>IFERROR(__xludf.DUMMYFUNCTION("""COMPUTED_VALUE"""),"64회")</f>
        <v>64회</v>
      </c>
      <c r="B9" s="2">
        <f>IFERROR(__xludf.DUMMYFUNCTION("""COMPUTED_VALUE"""),44982.0)</f>
        <v>44982</v>
      </c>
      <c r="C9" s="3">
        <f>IFERROR(__xludf.DUMMYFUNCTION("""COMPUTED_VALUE"""),0.039)</f>
        <v>0.039</v>
      </c>
    </row>
    <row r="10">
      <c r="A10" s="1" t="str">
        <f>IFERROR(__xludf.DUMMYFUNCTION("""COMPUTED_VALUE"""),"65회")</f>
        <v>65회</v>
      </c>
      <c r="B10" s="2">
        <f>IFERROR(__xludf.DUMMYFUNCTION("""COMPUTED_VALUE"""),44989.0)</f>
        <v>44989</v>
      </c>
      <c r="C10" s="3">
        <f>IFERROR(__xludf.DUMMYFUNCTION("""COMPUTED_VALUE"""),0.042)</f>
        <v>0.042</v>
      </c>
    </row>
    <row r="11">
      <c r="A11" s="1" t="str">
        <f>IFERROR(__xludf.DUMMYFUNCTION("""COMPUTED_VALUE"""),"66회")</f>
        <v>66회</v>
      </c>
      <c r="B11" s="2">
        <f>IFERROR(__xludf.DUMMYFUNCTION("""COMPUTED_VALUE"""),44996.0)</f>
        <v>44996</v>
      </c>
      <c r="C11" s="3">
        <f>IFERROR(__xludf.DUMMYFUNCTION("""COMPUTED_VALUE"""),0.053)</f>
        <v>0.053</v>
      </c>
    </row>
    <row r="12">
      <c r="A12" s="1" t="str">
        <f>IFERROR(__xludf.DUMMYFUNCTION("""COMPUTED_VALUE"""),"67회")</f>
        <v>67회</v>
      </c>
      <c r="B12" s="2">
        <f>IFERROR(__xludf.DUMMYFUNCTION("""COMPUTED_VALUE"""),45003.0)</f>
        <v>45003</v>
      </c>
      <c r="C12" s="3">
        <f>IFERROR(__xludf.DUMMYFUNCTION("""COMPUTED_VALUE"""),0.041)</f>
        <v>0.041</v>
      </c>
    </row>
    <row r="13">
      <c r="A13" s="1" t="str">
        <f>IFERROR(__xludf.DUMMYFUNCTION("""COMPUTED_VALUE"""),"68회")</f>
        <v>68회</v>
      </c>
      <c r="B13" s="2">
        <f>IFERROR(__xludf.DUMMYFUNCTION("""COMPUTED_VALUE"""),45010.0)</f>
        <v>45010</v>
      </c>
      <c r="C13" s="3">
        <f>IFERROR(__xludf.DUMMYFUNCTION("""COMPUTED_VALUE"""),0.044)</f>
        <v>0.044</v>
      </c>
    </row>
    <row r="14">
      <c r="A14" s="1" t="str">
        <f>IFERROR(__xludf.DUMMYFUNCTION("""COMPUTED_VALUE"""),"69회")</f>
        <v>69회</v>
      </c>
      <c r="B14" s="2">
        <f>IFERROR(__xludf.DUMMYFUNCTION("""COMPUTED_VALUE"""),45017.0)</f>
        <v>45017</v>
      </c>
      <c r="C14" s="3">
        <f>IFERROR(__xludf.DUMMYFUNCTION("""COMPUTED_VALUE"""),0.056)</f>
        <v>0.056</v>
      </c>
    </row>
    <row r="15">
      <c r="A15" s="1" t="str">
        <f>IFERROR(__xludf.DUMMYFUNCTION("""COMPUTED_VALUE"""),"70회")</f>
        <v>70회</v>
      </c>
      <c r="B15" s="2">
        <f>IFERROR(__xludf.DUMMYFUNCTION("""COMPUTED_VALUE"""),45024.0)</f>
        <v>45024</v>
      </c>
      <c r="C15" s="3">
        <f>IFERROR(__xludf.DUMMYFUNCTION("""COMPUTED_VALUE"""),0.043)</f>
        <v>0.043</v>
      </c>
    </row>
    <row r="16">
      <c r="A16" s="1" t="str">
        <f>IFERROR(__xludf.DUMMYFUNCTION("""COMPUTED_VALUE"""),"71회")</f>
        <v>71회</v>
      </c>
      <c r="B16" s="2">
        <f>IFERROR(__xludf.DUMMYFUNCTION("""COMPUTED_VALUE"""),45031.0)</f>
        <v>45031</v>
      </c>
      <c r="C16" s="3">
        <f>IFERROR(__xludf.DUMMYFUNCTION("""COMPUTED_VALUE"""),0.045)</f>
        <v>0.045</v>
      </c>
    </row>
    <row r="17">
      <c r="A17" s="1" t="str">
        <f>IFERROR(__xludf.DUMMYFUNCTION("""COMPUTED_VALUE"""),"72회")</f>
        <v>72회</v>
      </c>
      <c r="B17" s="2">
        <f>IFERROR(__xludf.DUMMYFUNCTION("""COMPUTED_VALUE"""),45038.0)</f>
        <v>45038</v>
      </c>
      <c r="C17" s="3">
        <f>IFERROR(__xludf.DUMMYFUNCTION("""COMPUTED_VALUE"""),0.059)</f>
        <v>0.059</v>
      </c>
    </row>
    <row r="18">
      <c r="A18" s="1" t="str">
        <f>IFERROR(__xludf.DUMMYFUNCTION("""COMPUTED_VALUE"""),"73회")</f>
        <v>73회</v>
      </c>
      <c r="B18" s="2">
        <f>IFERROR(__xludf.DUMMYFUNCTION("""COMPUTED_VALUE"""),45045.0)</f>
        <v>45045</v>
      </c>
      <c r="C18" s="3">
        <f>IFERROR(__xludf.DUMMYFUNCTION("""COMPUTED_VALUE"""),0.053)</f>
        <v>0.053</v>
      </c>
    </row>
    <row r="19">
      <c r="A19" s="1" t="str">
        <f>IFERROR(__xludf.DUMMYFUNCTION("""COMPUTED_VALUE"""),"74회")</f>
        <v>74회</v>
      </c>
      <c r="B19" s="2">
        <f>IFERROR(__xludf.DUMMYFUNCTION("""COMPUTED_VALUE"""),45052.0)</f>
        <v>45052</v>
      </c>
      <c r="C19" s="3">
        <f>IFERROR(__xludf.DUMMYFUNCTION("""COMPUTED_VALUE"""),0.053)</f>
        <v>0.053</v>
      </c>
    </row>
    <row r="20">
      <c r="A20" s="1" t="str">
        <f>IFERROR(__xludf.DUMMYFUNCTION("""COMPUTED_VALUE"""),"75회")</f>
        <v>75회</v>
      </c>
      <c r="B20" s="2">
        <f>IFERROR(__xludf.DUMMYFUNCTION("""COMPUTED_VALUE"""),45059.0)</f>
        <v>45059</v>
      </c>
      <c r="C20" s="1" t="str">
        <f>IFERROR(__xludf.DUMMYFUNCTION("""COMPUTED_VALUE"""),"*7.0%*")</f>
        <v>*7.0%*</v>
      </c>
    </row>
    <row r="21">
      <c r="A21" s="1" t="str">
        <f>IFERROR(__xludf.DUMMYFUNCTION("""COMPUTED_VALUE"""),"76회")</f>
        <v>76회</v>
      </c>
      <c r="B21" s="2">
        <f>IFERROR(__xludf.DUMMYFUNCTION("""COMPUTED_VALUE"""),45066.0)</f>
        <v>45066</v>
      </c>
      <c r="C21" s="3">
        <f>IFERROR(__xludf.DUMMYFUNCTION("""COMPUTED_VALUE"""),0.048)</f>
        <v>0.048</v>
      </c>
    </row>
    <row r="22">
      <c r="A22" s="1" t="str">
        <f>IFERROR(__xludf.DUMMYFUNCTION("""COMPUTED_VALUE"""),"77회")</f>
        <v>77회</v>
      </c>
      <c r="B22" s="2">
        <f>IFERROR(__xludf.DUMMYFUNCTION("""COMPUTED_VALUE"""),45073.0)</f>
        <v>45073</v>
      </c>
      <c r="C22" s="3">
        <f>IFERROR(__xludf.DUMMYFUNCTION("""COMPUTED_VALUE"""),0.049)</f>
        <v>0.049</v>
      </c>
    </row>
    <row r="23">
      <c r="A23" s="1" t="str">
        <f>IFERROR(__xludf.DUMMYFUNCTION("""COMPUTED_VALUE"""),"78회")</f>
        <v>78회</v>
      </c>
      <c r="B23" s="2">
        <f>IFERROR(__xludf.DUMMYFUNCTION("""COMPUTED_VALUE"""),45080.0)</f>
        <v>45080</v>
      </c>
      <c r="C23" s="3">
        <f>IFERROR(__xludf.DUMMYFUNCTION("""COMPUTED_VALUE"""),0.043)</f>
        <v>0.043</v>
      </c>
    </row>
    <row r="24">
      <c r="A24" s="1" t="str">
        <f>IFERROR(__xludf.DUMMYFUNCTION("""COMPUTED_VALUE"""),"79회")</f>
        <v>79회</v>
      </c>
      <c r="B24" s="2">
        <f>IFERROR(__xludf.DUMMYFUNCTION("""COMPUTED_VALUE"""),45087.0)</f>
        <v>45087</v>
      </c>
      <c r="C24" s="3">
        <f>IFERROR(__xludf.DUMMYFUNCTION("""COMPUTED_VALUE"""),0.052)</f>
        <v>0.052</v>
      </c>
    </row>
    <row r="25">
      <c r="A25" s="1" t="str">
        <f>IFERROR(__xludf.DUMMYFUNCTION("""COMPUTED_VALUE"""),"80회")</f>
        <v>80회</v>
      </c>
      <c r="B25" s="2">
        <f>IFERROR(__xludf.DUMMYFUNCTION("""COMPUTED_VALUE"""),45094.0)</f>
        <v>45094</v>
      </c>
      <c r="C25" s="3">
        <f>IFERROR(__xludf.DUMMYFUNCTION("""COMPUTED_VALUE"""),0.042)</f>
        <v>0.042</v>
      </c>
    </row>
    <row r="26">
      <c r="A26" s="1" t="str">
        <f>IFERROR(__xludf.DUMMYFUNCTION("""COMPUTED_VALUE"""),"81회")</f>
        <v>81회</v>
      </c>
      <c r="B26" s="2">
        <f>IFERROR(__xludf.DUMMYFUNCTION("""COMPUTED_VALUE"""),45101.0)</f>
        <v>45101</v>
      </c>
      <c r="C26" s="3">
        <f>IFERROR(__xludf.DUMMYFUNCTION("""COMPUTED_VALUE"""),0.055)</f>
        <v>0.055</v>
      </c>
    </row>
    <row r="27">
      <c r="A27" s="1" t="str">
        <f>IFERROR(__xludf.DUMMYFUNCTION("""COMPUTED_VALUE"""),"82회")</f>
        <v>82회</v>
      </c>
      <c r="B27" s="2">
        <f>IFERROR(__xludf.DUMMYFUNCTION("""COMPUTED_VALUE"""),45108.0)</f>
        <v>45108</v>
      </c>
      <c r="C27" s="3">
        <f>IFERROR(__xludf.DUMMYFUNCTION("""COMPUTED_VALUE"""),0.046)</f>
        <v>0.046</v>
      </c>
    </row>
    <row r="28">
      <c r="A28" s="1" t="str">
        <f>IFERROR(__xludf.DUMMYFUNCTION("""COMPUTED_VALUE"""),"83회")</f>
        <v>83회</v>
      </c>
      <c r="B28" s="2">
        <f>IFERROR(__xludf.DUMMYFUNCTION("""COMPUTED_VALUE"""),45115.0)</f>
        <v>45115</v>
      </c>
      <c r="C28" s="3">
        <f>IFERROR(__xludf.DUMMYFUNCTION("""COMPUTED_VALUE"""),0.046)</f>
        <v>0.046</v>
      </c>
    </row>
    <row r="29">
      <c r="A29" s="1" t="str">
        <f>IFERROR(__xludf.DUMMYFUNCTION("""COMPUTED_VALUE"""),"84회")</f>
        <v>84회</v>
      </c>
      <c r="B29" s="2">
        <f>IFERROR(__xludf.DUMMYFUNCTION("""COMPUTED_VALUE"""),45122.0)</f>
        <v>45122</v>
      </c>
      <c r="C29" s="3">
        <f>IFERROR(__xludf.DUMMYFUNCTION("""COMPUTED_VALUE"""),0.044)</f>
        <v>0.044</v>
      </c>
    </row>
    <row r="30">
      <c r="A30" s="1" t="str">
        <f>IFERROR(__xludf.DUMMYFUNCTION("""COMPUTED_VALUE"""),"85회")</f>
        <v>85회</v>
      </c>
      <c r="B30" s="2">
        <f>IFERROR(__xludf.DUMMYFUNCTION("""COMPUTED_VALUE"""),45129.0)</f>
        <v>45129</v>
      </c>
      <c r="C30" s="3">
        <f>IFERROR(__xludf.DUMMYFUNCTION("""COMPUTED_VALUE"""),0.045)</f>
        <v>0.045</v>
      </c>
    </row>
    <row r="31">
      <c r="A31" s="1" t="str">
        <f>IFERROR(__xludf.DUMMYFUNCTION("""COMPUTED_VALUE"""),"86회")</f>
        <v>86회</v>
      </c>
      <c r="B31" s="2">
        <f>IFERROR(__xludf.DUMMYFUNCTION("""COMPUTED_VALUE"""),45136.0)</f>
        <v>45136</v>
      </c>
      <c r="C31" s="3">
        <f>IFERROR(__xludf.DUMMYFUNCTION("""COMPUTED_VALUE"""),0.052)</f>
        <v>0.052</v>
      </c>
    </row>
    <row r="32">
      <c r="A32" s="1" t="str">
        <f>IFERROR(__xludf.DUMMYFUNCTION("""COMPUTED_VALUE"""),"87회")</f>
        <v>87회</v>
      </c>
      <c r="B32" s="2">
        <f>IFERROR(__xludf.DUMMYFUNCTION("""COMPUTED_VALUE"""),45143.0)</f>
        <v>45143</v>
      </c>
      <c r="C32" s="3">
        <f>IFERROR(__xludf.DUMMYFUNCTION("""COMPUTED_VALUE"""),0.047)</f>
        <v>0.047</v>
      </c>
    </row>
    <row r="33">
      <c r="A33" s="1" t="str">
        <f>IFERROR(__xludf.DUMMYFUNCTION("""COMPUTED_VALUE"""),"88회")</f>
        <v>88회</v>
      </c>
      <c r="B33" s="2">
        <f>IFERROR(__xludf.DUMMYFUNCTION("""COMPUTED_VALUE"""),45150.0)</f>
        <v>45150</v>
      </c>
      <c r="C33" s="3">
        <f>IFERROR(__xludf.DUMMYFUNCTION("""COMPUTED_VALUE"""),0.061)</f>
        <v>0.061</v>
      </c>
    </row>
    <row r="34">
      <c r="A34" s="1" t="str">
        <f>IFERROR(__xludf.DUMMYFUNCTION("""COMPUTED_VALUE"""),"89회")</f>
        <v>89회</v>
      </c>
      <c r="B34" s="2">
        <f>IFERROR(__xludf.DUMMYFUNCTION("""COMPUTED_VALUE"""),45157.0)</f>
        <v>45157</v>
      </c>
      <c r="C34" s="3">
        <f>IFERROR(__xludf.DUMMYFUNCTION("""COMPUTED_VALUE"""),0.049)</f>
        <v>0.049</v>
      </c>
    </row>
    <row r="35">
      <c r="A35" s="1" t="str">
        <f>IFERROR(__xludf.DUMMYFUNCTION("""COMPUTED_VALUE"""),"90회")</f>
        <v>90회</v>
      </c>
      <c r="B35" s="2">
        <f>IFERROR(__xludf.DUMMYFUNCTION("""COMPUTED_VALUE"""),45164.0)</f>
        <v>45164</v>
      </c>
      <c r="C35" s="3">
        <f>IFERROR(__xludf.DUMMYFUNCTION("""COMPUTED_VALUE"""),0.051)</f>
        <v>0.051</v>
      </c>
    </row>
    <row r="36">
      <c r="A36" s="1" t="str">
        <f>IFERROR(__xludf.DUMMYFUNCTION("""COMPUTED_VALUE"""),"91회")</f>
        <v>91회</v>
      </c>
      <c r="B36" s="2">
        <f>IFERROR(__xludf.DUMMYFUNCTION("""COMPUTED_VALUE"""),45171.0)</f>
        <v>45171</v>
      </c>
      <c r="C36" s="3">
        <f>IFERROR(__xludf.DUMMYFUNCTION("""COMPUTED_VALUE"""),0.053)</f>
        <v>0.053</v>
      </c>
    </row>
    <row r="37">
      <c r="A37" s="1" t="str">
        <f>IFERROR(__xludf.DUMMYFUNCTION("""COMPUTED_VALUE"""),"92회")</f>
        <v>92회</v>
      </c>
      <c r="B37" s="2">
        <f>IFERROR(__xludf.DUMMYFUNCTION("""COMPUTED_VALUE"""),45178.0)</f>
        <v>45178</v>
      </c>
      <c r="C37" s="3">
        <f>IFERROR(__xludf.DUMMYFUNCTION("""COMPUTED_VALUE"""),0.047)</f>
        <v>0.047</v>
      </c>
    </row>
    <row r="38">
      <c r="A38" s="1" t="str">
        <f>IFERROR(__xludf.DUMMYFUNCTION("""COMPUTED_VALUE"""),"93회")</f>
        <v>93회</v>
      </c>
      <c r="B38" s="2">
        <f>IFERROR(__xludf.DUMMYFUNCTION("""COMPUTED_VALUE"""),45185.0)</f>
        <v>45185</v>
      </c>
      <c r="C38" s="3">
        <f>IFERROR(__xludf.DUMMYFUNCTION("""COMPUTED_VALUE"""),0.04)</f>
        <v>0.04</v>
      </c>
    </row>
    <row r="39">
      <c r="A39" s="1" t="str">
        <f>IFERROR(__xludf.DUMMYFUNCTION("""COMPUTED_VALUE"""),"94회")</f>
        <v>94회</v>
      </c>
      <c r="B39" s="2">
        <f>IFERROR(__xludf.DUMMYFUNCTION("""COMPUTED_VALUE"""),45192.0)</f>
        <v>45192</v>
      </c>
      <c r="C39" s="3">
        <f>IFERROR(__xludf.DUMMYFUNCTION("""COMPUTED_VALUE"""),0.044)</f>
        <v>0.044</v>
      </c>
    </row>
    <row r="40">
      <c r="A40" s="1" t="str">
        <f>IFERROR(__xludf.DUMMYFUNCTION("""COMPUTED_VALUE"""),"95회")</f>
        <v>95회</v>
      </c>
      <c r="B40" s="2">
        <f>IFERROR(__xludf.DUMMYFUNCTION("""COMPUTED_VALUE"""),45199.0)</f>
        <v>45199</v>
      </c>
      <c r="C40" s="3">
        <f>IFERROR(__xludf.DUMMYFUNCTION("""COMPUTED_VALUE"""),0.051)</f>
        <v>0.051</v>
      </c>
    </row>
    <row r="41">
      <c r="A41" s="1" t="str">
        <f>IFERROR(__xludf.DUMMYFUNCTION("""COMPUTED_VALUE"""),"96회")</f>
        <v>96회</v>
      </c>
      <c r="B41" s="2">
        <f>IFERROR(__xludf.DUMMYFUNCTION("""COMPUTED_VALUE"""),45206.0)</f>
        <v>45206</v>
      </c>
      <c r="C41" s="3">
        <f>IFERROR(__xludf.DUMMYFUNCTION("""COMPUTED_VALUE"""),0.048)</f>
        <v>0.048</v>
      </c>
    </row>
    <row r="42">
      <c r="A42" s="1" t="str">
        <f>IFERROR(__xludf.DUMMYFUNCTION("""COMPUTED_VALUE"""),"97회")</f>
        <v>97회</v>
      </c>
      <c r="B42" s="2">
        <f>IFERROR(__xludf.DUMMYFUNCTION("""COMPUTED_VALUE"""),45213.0)</f>
        <v>45213</v>
      </c>
      <c r="C42" s="3">
        <f>IFERROR(__xludf.DUMMYFUNCTION("""COMPUTED_VALUE"""),0.045)</f>
        <v>0.045</v>
      </c>
    </row>
    <row r="43">
      <c r="A43" s="1" t="str">
        <f>IFERROR(__xludf.DUMMYFUNCTION("""COMPUTED_VALUE"""),"98회")</f>
        <v>98회</v>
      </c>
      <c r="B43" s="2">
        <f>IFERROR(__xludf.DUMMYFUNCTION("""COMPUTED_VALUE"""),45220.0)</f>
        <v>45220</v>
      </c>
      <c r="C43" s="3">
        <f>IFERROR(__xludf.DUMMYFUNCTION("""COMPUTED_VALUE"""),0.057)</f>
        <v>0.057</v>
      </c>
    </row>
    <row r="44">
      <c r="A44" s="1" t="str">
        <f>IFERROR(__xludf.DUMMYFUNCTION("""COMPUTED_VALUE"""),"99회")</f>
        <v>99회</v>
      </c>
      <c r="B44" s="2">
        <f>IFERROR(__xludf.DUMMYFUNCTION("""COMPUTED_VALUE"""),45227.0)</f>
        <v>45227</v>
      </c>
      <c r="C44" s="3">
        <f>IFERROR(__xludf.DUMMYFUNCTION("""COMPUTED_VALUE"""),0.056)</f>
        <v>0.056</v>
      </c>
    </row>
    <row r="45">
      <c r="A45" s="1" t="str">
        <f>IFERROR(__xludf.DUMMYFUNCTION("""COMPUTED_VALUE"""),"100회")</f>
        <v>100회</v>
      </c>
      <c r="B45" s="2">
        <f>IFERROR(__xludf.DUMMYFUNCTION("""COMPUTED_VALUE"""),45234.0)</f>
        <v>45234</v>
      </c>
      <c r="C45" s="3">
        <f>IFERROR(__xludf.DUMMYFUNCTION("""COMPUTED_VALUE"""),0.054)</f>
        <v>0.054</v>
      </c>
    </row>
    <row r="46">
      <c r="A46" s="1" t="str">
        <f>IFERROR(__xludf.DUMMYFUNCTION("""COMPUTED_VALUE"""),"101회")</f>
        <v>101회</v>
      </c>
      <c r="B46" s="2">
        <f>IFERROR(__xludf.DUMMYFUNCTION("""COMPUTED_VALUE"""),45241.0)</f>
        <v>45241</v>
      </c>
      <c r="C46" s="3">
        <f>IFERROR(__xludf.DUMMYFUNCTION("""COMPUTED_VALUE"""),0.061)</f>
        <v>0.061</v>
      </c>
    </row>
    <row r="47">
      <c r="A47" s="1" t="str">
        <f>IFERROR(__xludf.DUMMYFUNCTION("""COMPUTED_VALUE"""),"102회")</f>
        <v>102회</v>
      </c>
      <c r="B47" s="2">
        <f>IFERROR(__xludf.DUMMYFUNCTION("""COMPUTED_VALUE"""),45248.0)</f>
        <v>45248</v>
      </c>
      <c r="C47" s="3">
        <f>IFERROR(__xludf.DUMMYFUNCTION("""COMPUTED_VALUE"""),0.065)</f>
        <v>0.065</v>
      </c>
    </row>
    <row r="48">
      <c r="A48" s="1" t="str">
        <f>IFERROR(__xludf.DUMMYFUNCTION("""COMPUTED_VALUE"""),"103회")</f>
        <v>103회</v>
      </c>
      <c r="B48" s="2">
        <f>IFERROR(__xludf.DUMMYFUNCTION("""COMPUTED_VALUE"""),45255.0)</f>
        <v>45255</v>
      </c>
      <c r="C48" s="3">
        <f>IFERROR(__xludf.DUMMYFUNCTION("""COMPUTED_VALUE"""),0.053)</f>
        <v>0.053</v>
      </c>
    </row>
    <row r="49">
      <c r="A49" s="1" t="str">
        <f>IFERROR(__xludf.DUMMYFUNCTION("""COMPUTED_VALUE"""),"104회")</f>
        <v>104회</v>
      </c>
      <c r="B49" s="2">
        <f>IFERROR(__xludf.DUMMYFUNCTION("""COMPUTED_VALUE"""),45262.0)</f>
        <v>45262</v>
      </c>
      <c r="C49" s="3">
        <f>IFERROR(__xludf.DUMMYFUNCTION("""COMPUTED_VALUE"""),0.059)</f>
        <v>0.059</v>
      </c>
    </row>
    <row r="50">
      <c r="A50" s="1" t="str">
        <f>IFERROR(__xludf.DUMMYFUNCTION("""COMPUTED_VALUE"""),"105회")</f>
        <v>105회</v>
      </c>
      <c r="B50" s="2">
        <f>IFERROR(__xludf.DUMMYFUNCTION("""COMPUTED_VALUE"""),45269.0)</f>
        <v>45269</v>
      </c>
      <c r="C50" s="3">
        <f>IFERROR(__xludf.DUMMYFUNCTION("""COMPUTED_VALUE"""),0.061)</f>
        <v>0.061</v>
      </c>
    </row>
    <row r="51">
      <c r="A51" s="1" t="str">
        <f>IFERROR(__xludf.DUMMYFUNCTION("""COMPUTED_VALUE"""),"106회")</f>
        <v>106회</v>
      </c>
      <c r="B51" s="2">
        <f>IFERROR(__xludf.DUMMYFUNCTION("""COMPUTED_VALUE"""),45276.0)</f>
        <v>45276</v>
      </c>
      <c r="C51" s="3">
        <f>IFERROR(__xludf.DUMMYFUNCTION("""COMPUTED_VALUE"""),0.057)</f>
        <v>0.057</v>
      </c>
    </row>
    <row r="52">
      <c r="A52" s="1" t="str">
        <f>IFERROR(__xludf.DUMMYFUNCTION("""COMPUTED_VALUE"""),"107회")</f>
        <v>107회</v>
      </c>
      <c r="B52" s="2">
        <f>IFERROR(__xludf.DUMMYFUNCTION("""COMPUTED_VALUE"""),45283.0)</f>
        <v>45283</v>
      </c>
      <c r="C52" s="3">
        <f>IFERROR(__xludf.DUMMYFUNCTION("""COMPUTED_VALUE"""),0.054)</f>
        <v>0.054</v>
      </c>
    </row>
    <row r="53">
      <c r="A53" s="1" t="str">
        <f>IFERROR(__xludf.DUMMYFUNCTION("""COMPUTED_VALUE"""),"108회")</f>
        <v>108회</v>
      </c>
      <c r="B53" s="2">
        <f>IFERROR(__xludf.DUMMYFUNCTION("""COMPUTED_VALUE"""),45290.0)</f>
        <v>45290</v>
      </c>
      <c r="C53" s="3">
        <f>IFERROR(__xludf.DUMMYFUNCTION("""COMPUTED_VALUE"""),0.041)</f>
        <v>0.041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IFERROR(__xludf.DUMMYFUNCTION("IMPORTHTML(""https://ko.wikipedia.org/wiki/%EC%95%84%EB%8A%94_%ED%98%95%EB%8B%98"",""table"",8)"),"회차")</f>
        <v>회차</v>
      </c>
      <c r="B1" s="1" t="str">
        <f>IFERROR(__xludf.DUMMYFUNCTION("""COMPUTED_VALUE"""),"방송일자")</f>
        <v>방송일자</v>
      </c>
      <c r="C1" s="1" t="str">
        <f>IFERROR(__xludf.DUMMYFUNCTION("""COMPUTED_VALUE"""),"AGB 시청률[2]")</f>
        <v>AGB 시청률[2]</v>
      </c>
    </row>
    <row r="2">
      <c r="A2" s="1" t="str">
        <f>IFERROR(__xludf.DUMMYFUNCTION("""COMPUTED_VALUE"""),"109회")</f>
        <v>109회</v>
      </c>
      <c r="B2" s="2">
        <f>IFERROR(__xludf.DUMMYFUNCTION("""COMPUTED_VALUE"""),44932.0)</f>
        <v>44932</v>
      </c>
      <c r="C2" s="3">
        <f>IFERROR(__xludf.DUMMYFUNCTION("""COMPUTED_VALUE"""),0.063)</f>
        <v>0.063</v>
      </c>
    </row>
    <row r="3">
      <c r="A3" s="1" t="str">
        <f>IFERROR(__xludf.DUMMYFUNCTION("""COMPUTED_VALUE"""),"110회")</f>
        <v>110회</v>
      </c>
      <c r="B3" s="2">
        <f>IFERROR(__xludf.DUMMYFUNCTION("""COMPUTED_VALUE"""),44939.0)</f>
        <v>44939</v>
      </c>
      <c r="C3" s="3">
        <f>IFERROR(__xludf.DUMMYFUNCTION("""COMPUTED_VALUE"""),0.056)</f>
        <v>0.056</v>
      </c>
    </row>
    <row r="4">
      <c r="A4" s="1" t="str">
        <f>IFERROR(__xludf.DUMMYFUNCTION("""COMPUTED_VALUE"""),"111회")</f>
        <v>111회</v>
      </c>
      <c r="B4" s="2">
        <f>IFERROR(__xludf.DUMMYFUNCTION("""COMPUTED_VALUE"""),44946.0)</f>
        <v>44946</v>
      </c>
      <c r="C4" s="3">
        <f>IFERROR(__xludf.DUMMYFUNCTION("""COMPUTED_VALUE"""),0.055)</f>
        <v>0.055</v>
      </c>
    </row>
    <row r="5">
      <c r="A5" s="1" t="str">
        <f>IFERROR(__xludf.DUMMYFUNCTION("""COMPUTED_VALUE"""),"112회")</f>
        <v>112회</v>
      </c>
      <c r="B5" s="2">
        <f>IFERROR(__xludf.DUMMYFUNCTION("""COMPUTED_VALUE"""),44953.0)</f>
        <v>44953</v>
      </c>
      <c r="C5" s="3">
        <f>IFERROR(__xludf.DUMMYFUNCTION("""COMPUTED_VALUE"""),0.058)</f>
        <v>0.058</v>
      </c>
    </row>
    <row r="6">
      <c r="A6" s="1" t="str">
        <f>IFERROR(__xludf.DUMMYFUNCTION("""COMPUTED_VALUE"""),"113회")</f>
        <v>113회</v>
      </c>
      <c r="B6" s="2">
        <f>IFERROR(__xludf.DUMMYFUNCTION("""COMPUTED_VALUE"""),44960.0)</f>
        <v>44960</v>
      </c>
      <c r="C6" s="3">
        <f>IFERROR(__xludf.DUMMYFUNCTION("""COMPUTED_VALUE"""),0.049)</f>
        <v>0.049</v>
      </c>
    </row>
    <row r="7">
      <c r="A7" s="1" t="str">
        <f>IFERROR(__xludf.DUMMYFUNCTION("""COMPUTED_VALUE"""),"114회")</f>
        <v>114회</v>
      </c>
      <c r="B7" s="2">
        <f>IFERROR(__xludf.DUMMYFUNCTION("""COMPUTED_VALUE"""),44967.0)</f>
        <v>44967</v>
      </c>
      <c r="C7" s="3">
        <f>IFERROR(__xludf.DUMMYFUNCTION("""COMPUTED_VALUE"""),0.037)</f>
        <v>0.037</v>
      </c>
    </row>
    <row r="8">
      <c r="A8" s="1" t="str">
        <f>IFERROR(__xludf.DUMMYFUNCTION("""COMPUTED_VALUE"""),"115회")</f>
        <v>115회</v>
      </c>
      <c r="B8" s="2">
        <f>IFERROR(__xludf.DUMMYFUNCTION("""COMPUTED_VALUE"""),44974.0)</f>
        <v>44974</v>
      </c>
      <c r="C8" s="3">
        <f>IFERROR(__xludf.DUMMYFUNCTION("""COMPUTED_VALUE"""),0.029)</f>
        <v>0.029</v>
      </c>
    </row>
    <row r="9">
      <c r="A9" s="1" t="str">
        <f>IFERROR(__xludf.DUMMYFUNCTION("""COMPUTED_VALUE"""),"116회")</f>
        <v>116회</v>
      </c>
      <c r="B9" s="2">
        <f>IFERROR(__xludf.DUMMYFUNCTION("""COMPUTED_VALUE"""),44981.0)</f>
        <v>44981</v>
      </c>
      <c r="C9" s="3">
        <f>IFERROR(__xludf.DUMMYFUNCTION("""COMPUTED_VALUE"""),0.027)</f>
        <v>0.027</v>
      </c>
    </row>
    <row r="10">
      <c r="A10" s="1" t="str">
        <f>IFERROR(__xludf.DUMMYFUNCTION("""COMPUTED_VALUE"""),"117회")</f>
        <v>117회</v>
      </c>
      <c r="B10" s="2">
        <f>IFERROR(__xludf.DUMMYFUNCTION("""COMPUTED_VALUE"""),44988.0)</f>
        <v>44988</v>
      </c>
      <c r="C10" s="3">
        <f>IFERROR(__xludf.DUMMYFUNCTION("""COMPUTED_VALUE"""),0.046)</f>
        <v>0.046</v>
      </c>
    </row>
    <row r="11">
      <c r="A11" s="1" t="str">
        <f>IFERROR(__xludf.DUMMYFUNCTION("""COMPUTED_VALUE"""),"118회")</f>
        <v>118회</v>
      </c>
      <c r="B11" s="2">
        <f>IFERROR(__xludf.DUMMYFUNCTION("""COMPUTED_VALUE"""),44995.0)</f>
        <v>44995</v>
      </c>
      <c r="C11" s="3">
        <f>IFERROR(__xludf.DUMMYFUNCTION("""COMPUTED_VALUE"""),0.057)</f>
        <v>0.057</v>
      </c>
    </row>
    <row r="12">
      <c r="A12" s="1" t="str">
        <f>IFERROR(__xludf.DUMMYFUNCTION("""COMPUTED_VALUE"""),"119회")</f>
        <v>119회</v>
      </c>
      <c r="B12" s="2">
        <f>IFERROR(__xludf.DUMMYFUNCTION("""COMPUTED_VALUE"""),45002.0)</f>
        <v>45002</v>
      </c>
      <c r="C12" s="3">
        <f>IFERROR(__xludf.DUMMYFUNCTION("""COMPUTED_VALUE"""),0.042)</f>
        <v>0.042</v>
      </c>
    </row>
    <row r="13">
      <c r="A13" s="1" t="str">
        <f>IFERROR(__xludf.DUMMYFUNCTION("""COMPUTED_VALUE"""),"120회")</f>
        <v>120회</v>
      </c>
      <c r="B13" s="2">
        <f>IFERROR(__xludf.DUMMYFUNCTION("""COMPUTED_VALUE"""),45009.0)</f>
        <v>45009</v>
      </c>
      <c r="C13" s="3">
        <f>IFERROR(__xludf.DUMMYFUNCTION("""COMPUTED_VALUE"""),0.056)</f>
        <v>0.056</v>
      </c>
    </row>
    <row r="14">
      <c r="A14" s="1" t="str">
        <f>IFERROR(__xludf.DUMMYFUNCTION("""COMPUTED_VALUE"""),"121회")</f>
        <v>121회</v>
      </c>
      <c r="B14" s="2">
        <f>IFERROR(__xludf.DUMMYFUNCTION("""COMPUTED_VALUE"""),45016.0)</f>
        <v>45016</v>
      </c>
      <c r="C14" s="3">
        <f>IFERROR(__xludf.DUMMYFUNCTION("""COMPUTED_VALUE"""),0.054)</f>
        <v>0.054</v>
      </c>
    </row>
    <row r="15">
      <c r="A15" s="1" t="str">
        <f>IFERROR(__xludf.DUMMYFUNCTION("""COMPUTED_VALUE"""),"122회")</f>
        <v>122회</v>
      </c>
      <c r="B15" s="2">
        <f>IFERROR(__xludf.DUMMYFUNCTION("""COMPUTED_VALUE"""),45023.0)</f>
        <v>45023</v>
      </c>
      <c r="C15" s="3">
        <f>IFERROR(__xludf.DUMMYFUNCTION("""COMPUTED_VALUE"""),0.053)</f>
        <v>0.053</v>
      </c>
    </row>
    <row r="16">
      <c r="A16" s="1" t="str">
        <f>IFERROR(__xludf.DUMMYFUNCTION("""COMPUTED_VALUE"""),"123회")</f>
        <v>123회</v>
      </c>
      <c r="B16" s="2">
        <f>IFERROR(__xludf.DUMMYFUNCTION("""COMPUTED_VALUE"""),45030.0)</f>
        <v>45030</v>
      </c>
      <c r="C16" s="3">
        <f>IFERROR(__xludf.DUMMYFUNCTION("""COMPUTED_VALUE"""),0.061)</f>
        <v>0.061</v>
      </c>
    </row>
    <row r="17">
      <c r="A17" s="1" t="str">
        <f>IFERROR(__xludf.DUMMYFUNCTION("""COMPUTED_VALUE"""),"124회")</f>
        <v>124회</v>
      </c>
      <c r="B17" s="2">
        <f>IFERROR(__xludf.DUMMYFUNCTION("""COMPUTED_VALUE"""),45037.0)</f>
        <v>45037</v>
      </c>
      <c r="C17" s="3">
        <f>IFERROR(__xludf.DUMMYFUNCTION("""COMPUTED_VALUE"""),0.062)</f>
        <v>0.062</v>
      </c>
    </row>
    <row r="18">
      <c r="A18" s="1" t="str">
        <f>IFERROR(__xludf.DUMMYFUNCTION("""COMPUTED_VALUE"""),"125회")</f>
        <v>125회</v>
      </c>
      <c r="B18" s="2">
        <f>IFERROR(__xludf.DUMMYFUNCTION("""COMPUTED_VALUE"""),45044.0)</f>
        <v>45044</v>
      </c>
      <c r="C18" s="3">
        <f>IFERROR(__xludf.DUMMYFUNCTION("""COMPUTED_VALUE"""),0.046)</f>
        <v>0.046</v>
      </c>
    </row>
    <row r="19">
      <c r="A19" s="1" t="str">
        <f>IFERROR(__xludf.DUMMYFUNCTION("""COMPUTED_VALUE"""),"126회")</f>
        <v>126회</v>
      </c>
      <c r="B19" s="2">
        <f>IFERROR(__xludf.DUMMYFUNCTION("""COMPUTED_VALUE"""),45051.0)</f>
        <v>45051</v>
      </c>
      <c r="C19" s="3">
        <f>IFERROR(__xludf.DUMMYFUNCTION("""COMPUTED_VALUE"""),0.05)</f>
        <v>0.05</v>
      </c>
    </row>
    <row r="20">
      <c r="A20" s="1" t="str">
        <f>IFERROR(__xludf.DUMMYFUNCTION("""COMPUTED_VALUE"""),"127회")</f>
        <v>127회</v>
      </c>
      <c r="B20" s="2">
        <f>IFERROR(__xludf.DUMMYFUNCTION("""COMPUTED_VALUE"""),45058.0)</f>
        <v>45058</v>
      </c>
      <c r="C20" s="3">
        <f>IFERROR(__xludf.DUMMYFUNCTION("""COMPUTED_VALUE"""),0.054)</f>
        <v>0.054</v>
      </c>
    </row>
    <row r="21">
      <c r="A21" s="1" t="str">
        <f>IFERROR(__xludf.DUMMYFUNCTION("""COMPUTED_VALUE"""),"128회")</f>
        <v>128회</v>
      </c>
      <c r="B21" s="2">
        <f>IFERROR(__xludf.DUMMYFUNCTION("""COMPUTED_VALUE"""),45065.0)</f>
        <v>45065</v>
      </c>
      <c r="C21" s="3">
        <f>IFERROR(__xludf.DUMMYFUNCTION("""COMPUTED_VALUE"""),0.054)</f>
        <v>0.054</v>
      </c>
    </row>
    <row r="22">
      <c r="A22" s="1" t="str">
        <f>IFERROR(__xludf.DUMMYFUNCTION("""COMPUTED_VALUE"""),"129회")</f>
        <v>129회</v>
      </c>
      <c r="B22" s="2">
        <f>IFERROR(__xludf.DUMMYFUNCTION("""COMPUTED_VALUE"""),45072.0)</f>
        <v>45072</v>
      </c>
      <c r="C22" s="3">
        <f>IFERROR(__xludf.DUMMYFUNCTION("""COMPUTED_VALUE"""),0.062)</f>
        <v>0.062</v>
      </c>
    </row>
    <row r="23">
      <c r="A23" s="1" t="str">
        <f>IFERROR(__xludf.DUMMYFUNCTION("""COMPUTED_VALUE"""),"130회")</f>
        <v>130회</v>
      </c>
      <c r="B23" s="2">
        <f>IFERROR(__xludf.DUMMYFUNCTION("""COMPUTED_VALUE"""),45079.0)</f>
        <v>45079</v>
      </c>
      <c r="C23" s="3">
        <f>IFERROR(__xludf.DUMMYFUNCTION("""COMPUTED_VALUE"""),0.052)</f>
        <v>0.052</v>
      </c>
    </row>
    <row r="24">
      <c r="A24" s="1" t="str">
        <f>IFERROR(__xludf.DUMMYFUNCTION("""COMPUTED_VALUE"""),"131회")</f>
        <v>131회</v>
      </c>
      <c r="B24" s="2">
        <f>IFERROR(__xludf.DUMMYFUNCTION("""COMPUTED_VALUE"""),45086.0)</f>
        <v>45086</v>
      </c>
      <c r="C24" s="3">
        <f>IFERROR(__xludf.DUMMYFUNCTION("""COMPUTED_VALUE"""),0.056)</f>
        <v>0.056</v>
      </c>
    </row>
    <row r="25">
      <c r="A25" s="1" t="str">
        <f>IFERROR(__xludf.DUMMYFUNCTION("""COMPUTED_VALUE"""),"132회")</f>
        <v>132회</v>
      </c>
      <c r="B25" s="2">
        <f>IFERROR(__xludf.DUMMYFUNCTION("""COMPUTED_VALUE"""),45093.0)</f>
        <v>45093</v>
      </c>
      <c r="C25" s="3">
        <f>IFERROR(__xludf.DUMMYFUNCTION("""COMPUTED_VALUE"""),0.046)</f>
        <v>0.046</v>
      </c>
    </row>
    <row r="26">
      <c r="A26" s="1" t="str">
        <f>IFERROR(__xludf.DUMMYFUNCTION("""COMPUTED_VALUE"""),"133회")</f>
        <v>133회</v>
      </c>
      <c r="B26" s="2">
        <f>IFERROR(__xludf.DUMMYFUNCTION("""COMPUTED_VALUE"""),45100.0)</f>
        <v>45100</v>
      </c>
      <c r="C26" s="3">
        <f>IFERROR(__xludf.DUMMYFUNCTION("""COMPUTED_VALUE"""),0.06)</f>
        <v>0.06</v>
      </c>
    </row>
    <row r="27">
      <c r="A27" s="1" t="str">
        <f>IFERROR(__xludf.DUMMYFUNCTION("""COMPUTED_VALUE"""),"134회")</f>
        <v>134회</v>
      </c>
      <c r="B27" s="2">
        <f>IFERROR(__xludf.DUMMYFUNCTION("""COMPUTED_VALUE"""),45107.0)</f>
        <v>45107</v>
      </c>
      <c r="C27" s="3">
        <f>IFERROR(__xludf.DUMMYFUNCTION("""COMPUTED_VALUE"""),0.057)</f>
        <v>0.057</v>
      </c>
    </row>
    <row r="28">
      <c r="A28" s="1" t="str">
        <f>IFERROR(__xludf.DUMMYFUNCTION("""COMPUTED_VALUE"""),"135회")</f>
        <v>135회</v>
      </c>
      <c r="B28" s="2">
        <f>IFERROR(__xludf.DUMMYFUNCTION("""COMPUTED_VALUE"""),45114.0)</f>
        <v>45114</v>
      </c>
      <c r="C28" s="3">
        <f>IFERROR(__xludf.DUMMYFUNCTION("""COMPUTED_VALUE"""),0.051)</f>
        <v>0.051</v>
      </c>
    </row>
    <row r="29">
      <c r="A29" s="1" t="str">
        <f>IFERROR(__xludf.DUMMYFUNCTION("""COMPUTED_VALUE"""),"136회")</f>
        <v>136회</v>
      </c>
      <c r="B29" s="2">
        <f>IFERROR(__xludf.DUMMYFUNCTION("""COMPUTED_VALUE"""),45121.0)</f>
        <v>45121</v>
      </c>
      <c r="C29" s="3">
        <f>IFERROR(__xludf.DUMMYFUNCTION("""COMPUTED_VALUE"""),0.045)</f>
        <v>0.045</v>
      </c>
    </row>
    <row r="30">
      <c r="A30" s="1" t="str">
        <f>IFERROR(__xludf.DUMMYFUNCTION("""COMPUTED_VALUE"""),"137회")</f>
        <v>137회</v>
      </c>
      <c r="B30" s="2">
        <f>IFERROR(__xludf.DUMMYFUNCTION("""COMPUTED_VALUE"""),45128.0)</f>
        <v>45128</v>
      </c>
      <c r="C30" s="3">
        <f>IFERROR(__xludf.DUMMYFUNCTION("""COMPUTED_VALUE"""),0.042)</f>
        <v>0.042</v>
      </c>
    </row>
    <row r="31">
      <c r="A31" s="1" t="str">
        <f>IFERROR(__xludf.DUMMYFUNCTION("""COMPUTED_VALUE"""),"138회")</f>
        <v>138회</v>
      </c>
      <c r="B31" s="2">
        <f>IFERROR(__xludf.DUMMYFUNCTION("""COMPUTED_VALUE"""),45135.0)</f>
        <v>45135</v>
      </c>
      <c r="C31" s="3">
        <f>IFERROR(__xludf.DUMMYFUNCTION("""COMPUTED_VALUE"""),0.047)</f>
        <v>0.047</v>
      </c>
    </row>
    <row r="32">
      <c r="A32" s="1" t="str">
        <f>IFERROR(__xludf.DUMMYFUNCTION("""COMPUTED_VALUE"""),"139회")</f>
        <v>139회</v>
      </c>
      <c r="B32" s="2">
        <f>IFERROR(__xludf.DUMMYFUNCTION("""COMPUTED_VALUE"""),45142.0)</f>
        <v>45142</v>
      </c>
      <c r="C32" s="3">
        <f>IFERROR(__xludf.DUMMYFUNCTION("""COMPUTED_VALUE"""),0.046)</f>
        <v>0.046</v>
      </c>
    </row>
    <row r="33">
      <c r="A33" s="1" t="str">
        <f>IFERROR(__xludf.DUMMYFUNCTION("""COMPUTED_VALUE"""),"140회")</f>
        <v>140회</v>
      </c>
      <c r="B33" s="2">
        <f>IFERROR(__xludf.DUMMYFUNCTION("""COMPUTED_VALUE"""),45149.0)</f>
        <v>45149</v>
      </c>
      <c r="C33" s="3">
        <f>IFERROR(__xludf.DUMMYFUNCTION("""COMPUTED_VALUE"""),0.051)</f>
        <v>0.051</v>
      </c>
    </row>
    <row r="34">
      <c r="A34" s="1" t="str">
        <f>IFERROR(__xludf.DUMMYFUNCTION("""COMPUTED_VALUE"""),"141회")</f>
        <v>141회</v>
      </c>
      <c r="B34" s="2">
        <f>IFERROR(__xludf.DUMMYFUNCTION("""COMPUTED_VALUE"""),45156.0)</f>
        <v>45156</v>
      </c>
      <c r="C34" s="3">
        <f>IFERROR(__xludf.DUMMYFUNCTION("""COMPUTED_VALUE"""),0.045)</f>
        <v>0.045</v>
      </c>
    </row>
    <row r="35">
      <c r="A35" s="1" t="str">
        <f>IFERROR(__xludf.DUMMYFUNCTION("""COMPUTED_VALUE"""),"142회")</f>
        <v>142회</v>
      </c>
      <c r="B35" s="2">
        <f>IFERROR(__xludf.DUMMYFUNCTION("""COMPUTED_VALUE"""),45163.0)</f>
        <v>45163</v>
      </c>
      <c r="C35" s="3">
        <f>IFERROR(__xludf.DUMMYFUNCTION("""COMPUTED_VALUE"""),0.05)</f>
        <v>0.05</v>
      </c>
    </row>
    <row r="36">
      <c r="A36" s="1" t="str">
        <f>IFERROR(__xludf.DUMMYFUNCTION("""COMPUTED_VALUE"""),"143회")</f>
        <v>143회</v>
      </c>
      <c r="B36" s="2">
        <f>IFERROR(__xludf.DUMMYFUNCTION("""COMPUTED_VALUE"""),45170.0)</f>
        <v>45170</v>
      </c>
      <c r="C36" s="1" t="str">
        <f>IFERROR(__xludf.DUMMYFUNCTION("""COMPUTED_VALUE"""),"*2.1%*")</f>
        <v>*2.1%*</v>
      </c>
    </row>
    <row r="37">
      <c r="A37" s="1" t="str">
        <f>IFERROR(__xludf.DUMMYFUNCTION("""COMPUTED_VALUE"""),"144회")</f>
        <v>144회</v>
      </c>
      <c r="B37" s="2">
        <f>IFERROR(__xludf.DUMMYFUNCTION("""COMPUTED_VALUE"""),45177.0)</f>
        <v>45177</v>
      </c>
      <c r="C37" s="3">
        <f>IFERROR(__xludf.DUMMYFUNCTION("""COMPUTED_VALUE"""),0.042)</f>
        <v>0.042</v>
      </c>
    </row>
    <row r="38">
      <c r="A38" s="1" t="str">
        <f>IFERROR(__xludf.DUMMYFUNCTION("""COMPUTED_VALUE"""),"145회")</f>
        <v>145회</v>
      </c>
      <c r="B38" s="2">
        <f>IFERROR(__xludf.DUMMYFUNCTION("""COMPUTED_VALUE"""),45184.0)</f>
        <v>45184</v>
      </c>
      <c r="C38" s="3">
        <f>IFERROR(__xludf.DUMMYFUNCTION("""COMPUTED_VALUE"""),0.036)</f>
        <v>0.036</v>
      </c>
    </row>
    <row r="39">
      <c r="A39" s="1" t="str">
        <f>IFERROR(__xludf.DUMMYFUNCTION("""COMPUTED_VALUE"""),"146회")</f>
        <v>146회</v>
      </c>
      <c r="B39" s="2">
        <f>IFERROR(__xludf.DUMMYFUNCTION("""COMPUTED_VALUE"""),45191.0)</f>
        <v>45191</v>
      </c>
      <c r="C39" s="3">
        <f>IFERROR(__xludf.DUMMYFUNCTION("""COMPUTED_VALUE"""),0.058)</f>
        <v>0.058</v>
      </c>
    </row>
    <row r="40">
      <c r="A40" s="1" t="str">
        <f>IFERROR(__xludf.DUMMYFUNCTION("""COMPUTED_VALUE"""),"147회")</f>
        <v>147회</v>
      </c>
      <c r="B40" s="2">
        <f>IFERROR(__xludf.DUMMYFUNCTION("""COMPUTED_VALUE"""),45198.0)</f>
        <v>45198</v>
      </c>
      <c r="C40" s="3">
        <f>IFERROR(__xludf.DUMMYFUNCTION("""COMPUTED_VALUE"""),0.047)</f>
        <v>0.047</v>
      </c>
    </row>
    <row r="41">
      <c r="A41" s="1" t="str">
        <f>IFERROR(__xludf.DUMMYFUNCTION("""COMPUTED_VALUE"""),"148회")</f>
        <v>148회</v>
      </c>
      <c r="B41" s="2">
        <f>IFERROR(__xludf.DUMMYFUNCTION("""COMPUTED_VALUE"""),45205.0)</f>
        <v>45205</v>
      </c>
      <c r="C41" s="3">
        <f>IFERROR(__xludf.DUMMYFUNCTION("""COMPUTED_VALUE"""),0.055)</f>
        <v>0.055</v>
      </c>
    </row>
    <row r="42">
      <c r="A42" s="1" t="str">
        <f>IFERROR(__xludf.DUMMYFUNCTION("""COMPUTED_VALUE"""),"149회")</f>
        <v>149회</v>
      </c>
      <c r="B42" s="2">
        <f>IFERROR(__xludf.DUMMYFUNCTION("""COMPUTED_VALUE"""),45212.0)</f>
        <v>45212</v>
      </c>
      <c r="C42" s="3">
        <f>IFERROR(__xludf.DUMMYFUNCTION("""COMPUTED_VALUE"""),0.055)</f>
        <v>0.055</v>
      </c>
    </row>
    <row r="43">
      <c r="A43" s="1" t="str">
        <f>IFERROR(__xludf.DUMMYFUNCTION("""COMPUTED_VALUE"""),"150회")</f>
        <v>150회</v>
      </c>
      <c r="B43" s="2">
        <f>IFERROR(__xludf.DUMMYFUNCTION("""COMPUTED_VALUE"""),45219.0)</f>
        <v>45219</v>
      </c>
      <c r="C43" s="3">
        <f>IFERROR(__xludf.DUMMYFUNCTION("""COMPUTED_VALUE"""),0.064)</f>
        <v>0.064</v>
      </c>
    </row>
    <row r="44">
      <c r="A44" s="1" t="str">
        <f>IFERROR(__xludf.DUMMYFUNCTION("""COMPUTED_VALUE"""),"151회")</f>
        <v>151회</v>
      </c>
      <c r="B44" s="2">
        <f>IFERROR(__xludf.DUMMYFUNCTION("""COMPUTED_VALUE"""),45226.0)</f>
        <v>45226</v>
      </c>
      <c r="C44" s="3">
        <f>IFERROR(__xludf.DUMMYFUNCTION("""COMPUTED_VALUE"""),0.059)</f>
        <v>0.059</v>
      </c>
    </row>
    <row r="45">
      <c r="A45" s="1" t="str">
        <f>IFERROR(__xludf.DUMMYFUNCTION("""COMPUTED_VALUE"""),"152회")</f>
        <v>152회</v>
      </c>
      <c r="B45" s="2">
        <f>IFERROR(__xludf.DUMMYFUNCTION("""COMPUTED_VALUE"""),45233.0)</f>
        <v>45233</v>
      </c>
      <c r="C45" s="3">
        <f>IFERROR(__xludf.DUMMYFUNCTION("""COMPUTED_VALUE"""),0.059)</f>
        <v>0.059</v>
      </c>
    </row>
    <row r="46">
      <c r="A46" s="1" t="str">
        <f>IFERROR(__xludf.DUMMYFUNCTION("""COMPUTED_VALUE"""),"153회")</f>
        <v>153회</v>
      </c>
      <c r="B46" s="2">
        <f>IFERROR(__xludf.DUMMYFUNCTION("""COMPUTED_VALUE"""),45240.0)</f>
        <v>45240</v>
      </c>
      <c r="C46" s="3">
        <f>IFERROR(__xludf.DUMMYFUNCTION("""COMPUTED_VALUE"""),0.056)</f>
        <v>0.056</v>
      </c>
    </row>
    <row r="47">
      <c r="A47" s="1" t="str">
        <f>IFERROR(__xludf.DUMMYFUNCTION("""COMPUTED_VALUE"""),"154회")</f>
        <v>154회</v>
      </c>
      <c r="B47" s="2">
        <f>IFERROR(__xludf.DUMMYFUNCTION("""COMPUTED_VALUE"""),45247.0)</f>
        <v>45247</v>
      </c>
      <c r="C47" s="1" t="str">
        <f>IFERROR(__xludf.DUMMYFUNCTION("""COMPUTED_VALUE"""),"*6.5%*")</f>
        <v>*6.5%*</v>
      </c>
    </row>
    <row r="48">
      <c r="A48" s="1" t="str">
        <f>IFERROR(__xludf.DUMMYFUNCTION("""COMPUTED_VALUE"""),"155회")</f>
        <v>155회</v>
      </c>
      <c r="B48" s="2">
        <f>IFERROR(__xludf.DUMMYFUNCTION("""COMPUTED_VALUE"""),45254.0)</f>
        <v>45254</v>
      </c>
      <c r="C48" s="3">
        <f>IFERROR(__xludf.DUMMYFUNCTION("""COMPUTED_VALUE"""),0.06)</f>
        <v>0.06</v>
      </c>
    </row>
    <row r="49">
      <c r="A49" s="1" t="str">
        <f>IFERROR(__xludf.DUMMYFUNCTION("""COMPUTED_VALUE"""),"156회")</f>
        <v>156회</v>
      </c>
      <c r="B49" s="2">
        <f>IFERROR(__xludf.DUMMYFUNCTION("""COMPUTED_VALUE"""),45261.0)</f>
        <v>45261</v>
      </c>
      <c r="C49" s="3">
        <f>IFERROR(__xludf.DUMMYFUNCTION("""COMPUTED_VALUE"""),0.044)</f>
        <v>0.044</v>
      </c>
    </row>
    <row r="50">
      <c r="A50" s="1" t="str">
        <f>IFERROR(__xludf.DUMMYFUNCTION("""COMPUTED_VALUE"""),"157회")</f>
        <v>157회</v>
      </c>
      <c r="B50" s="2">
        <f>IFERROR(__xludf.DUMMYFUNCTION("""COMPUTED_VALUE"""),45268.0)</f>
        <v>45268</v>
      </c>
      <c r="C50" s="3">
        <f>IFERROR(__xludf.DUMMYFUNCTION("""COMPUTED_VALUE"""),0.052)</f>
        <v>0.052</v>
      </c>
    </row>
    <row r="51">
      <c r="A51" s="1" t="str">
        <f>IFERROR(__xludf.DUMMYFUNCTION("""COMPUTED_VALUE"""),"158회")</f>
        <v>158회</v>
      </c>
      <c r="B51" s="2">
        <f>IFERROR(__xludf.DUMMYFUNCTION("""COMPUTED_VALUE"""),45275.0)</f>
        <v>45275</v>
      </c>
      <c r="C51" s="3">
        <f>IFERROR(__xludf.DUMMYFUNCTION("""COMPUTED_VALUE"""),0.05)</f>
        <v>0.05</v>
      </c>
    </row>
    <row r="52">
      <c r="A52" s="1" t="str">
        <f>IFERROR(__xludf.DUMMYFUNCTION("""COMPUTED_VALUE"""),"159회")</f>
        <v>159회</v>
      </c>
      <c r="B52" s="2">
        <f>IFERROR(__xludf.DUMMYFUNCTION("""COMPUTED_VALUE"""),45282.0)</f>
        <v>45282</v>
      </c>
      <c r="C52" s="3">
        <f>IFERROR(__xludf.DUMMYFUNCTION("""COMPUTED_VALUE"""),0.051)</f>
        <v>0.051</v>
      </c>
    </row>
    <row r="53">
      <c r="A53" s="1" t="str">
        <f>IFERROR(__xludf.DUMMYFUNCTION("""COMPUTED_VALUE"""),"160회")</f>
        <v>160회</v>
      </c>
      <c r="B53" s="2">
        <f>IFERROR(__xludf.DUMMYFUNCTION("""COMPUTED_VALUE"""),45289.0)</f>
        <v>45289</v>
      </c>
      <c r="C53" s="3">
        <f>IFERROR(__xludf.DUMMYFUNCTION("""COMPUTED_VALUE"""),0.042)</f>
        <v>0.042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IFERROR(__xludf.DUMMYFUNCTION("IMPORTHTML(""https://ko.wikipedia.org/wiki/%EC%95%84%EB%8A%94_%ED%98%95%EB%8B%98"",""table"",9)"),"회차")</f>
        <v>회차</v>
      </c>
      <c r="B1" s="1" t="str">
        <f>IFERROR(__xludf.DUMMYFUNCTION("""COMPUTED_VALUE"""),"방송일자")</f>
        <v>방송일자</v>
      </c>
      <c r="C1" s="1" t="str">
        <f>IFERROR(__xludf.DUMMYFUNCTION("""COMPUTED_VALUE"""),"AGB 시청률[2]")</f>
        <v>AGB 시청률[2]</v>
      </c>
    </row>
    <row r="2">
      <c r="A2" s="1" t="str">
        <f>IFERROR(__xludf.DUMMYFUNCTION("""COMPUTED_VALUE"""),"161회")</f>
        <v>161회</v>
      </c>
      <c r="B2" s="2">
        <f>IFERROR(__xludf.DUMMYFUNCTION("""COMPUTED_VALUE"""),44931.0)</f>
        <v>44931</v>
      </c>
      <c r="C2" s="3">
        <f>IFERROR(__xludf.DUMMYFUNCTION("""COMPUTED_VALUE"""),0.068)</f>
        <v>0.068</v>
      </c>
    </row>
    <row r="3">
      <c r="A3" s="1" t="str">
        <f>IFERROR(__xludf.DUMMYFUNCTION("""COMPUTED_VALUE"""),"162회")</f>
        <v>162회</v>
      </c>
      <c r="B3" s="2">
        <f>IFERROR(__xludf.DUMMYFUNCTION("""COMPUTED_VALUE"""),44938.0)</f>
        <v>44938</v>
      </c>
      <c r="C3" s="3">
        <f>IFERROR(__xludf.DUMMYFUNCTION("""COMPUTED_VALUE"""),0.064)</f>
        <v>0.064</v>
      </c>
    </row>
    <row r="4">
      <c r="A4" s="1" t="str">
        <f>IFERROR(__xludf.DUMMYFUNCTION("""COMPUTED_VALUE"""),"163회")</f>
        <v>163회</v>
      </c>
      <c r="B4" s="2">
        <f>IFERROR(__xludf.DUMMYFUNCTION("""COMPUTED_VALUE"""),44945.0)</f>
        <v>44945</v>
      </c>
      <c r="C4" s="3">
        <f>IFERROR(__xludf.DUMMYFUNCTION("""COMPUTED_VALUE"""),0.063)</f>
        <v>0.063</v>
      </c>
    </row>
    <row r="5">
      <c r="A5" s="1" t="str">
        <f>IFERROR(__xludf.DUMMYFUNCTION("""COMPUTED_VALUE"""),"164회")</f>
        <v>164회</v>
      </c>
      <c r="B5" s="2">
        <f>IFERROR(__xludf.DUMMYFUNCTION("""COMPUTED_VALUE"""),44952.0)</f>
        <v>44952</v>
      </c>
      <c r="C5" s="3">
        <f>IFERROR(__xludf.DUMMYFUNCTION("""COMPUTED_VALUE"""),0.068)</f>
        <v>0.068</v>
      </c>
    </row>
    <row r="6">
      <c r="A6" s="1" t="str">
        <f>IFERROR(__xludf.DUMMYFUNCTION("""COMPUTED_VALUE"""),"165회")</f>
        <v>165회</v>
      </c>
      <c r="B6" s="2">
        <f>IFERROR(__xludf.DUMMYFUNCTION("""COMPUTED_VALUE"""),44959.0)</f>
        <v>44959</v>
      </c>
      <c r="C6" s="3">
        <f>IFERROR(__xludf.DUMMYFUNCTION("""COMPUTED_VALUE"""),0.061)</f>
        <v>0.061</v>
      </c>
    </row>
    <row r="7">
      <c r="A7" s="1" t="str">
        <f>IFERROR(__xludf.DUMMYFUNCTION("""COMPUTED_VALUE"""),"166회")</f>
        <v>166회</v>
      </c>
      <c r="B7" s="2">
        <f>IFERROR(__xludf.DUMMYFUNCTION("""COMPUTED_VALUE"""),44966.0)</f>
        <v>44966</v>
      </c>
      <c r="C7" s="1" t="str">
        <f>IFERROR(__xludf.DUMMYFUNCTION("""COMPUTED_VALUE"""),"*9.6%*")</f>
        <v>*9.6%*</v>
      </c>
    </row>
    <row r="8">
      <c r="A8" s="1" t="str">
        <f>IFERROR(__xludf.DUMMYFUNCTION("""COMPUTED_VALUE"""),"167회")</f>
        <v>167회</v>
      </c>
      <c r="B8" s="2">
        <f>IFERROR(__xludf.DUMMYFUNCTION("""COMPUTED_VALUE"""),44973.0)</f>
        <v>44973</v>
      </c>
      <c r="C8" s="3">
        <f>IFERROR(__xludf.DUMMYFUNCTION("""COMPUTED_VALUE"""),0.06)</f>
        <v>0.06</v>
      </c>
    </row>
    <row r="9">
      <c r="A9" s="1" t="str">
        <f>IFERROR(__xludf.DUMMYFUNCTION("""COMPUTED_VALUE"""),"168회")</f>
        <v>168회</v>
      </c>
      <c r="B9" s="2">
        <f>IFERROR(__xludf.DUMMYFUNCTION("""COMPUTED_VALUE"""),44980.0)</f>
        <v>44980</v>
      </c>
      <c r="C9" s="3">
        <f>IFERROR(__xludf.DUMMYFUNCTION("""COMPUTED_VALUE"""),0.065)</f>
        <v>0.065</v>
      </c>
    </row>
    <row r="10">
      <c r="A10" s="1" t="str">
        <f>IFERROR(__xludf.DUMMYFUNCTION("""COMPUTED_VALUE"""),"169회")</f>
        <v>169회</v>
      </c>
      <c r="B10" s="2">
        <f>IFERROR(__xludf.DUMMYFUNCTION("""COMPUTED_VALUE"""),44987.0)</f>
        <v>44987</v>
      </c>
      <c r="C10" s="3">
        <f>IFERROR(__xludf.DUMMYFUNCTION("""COMPUTED_VALUE"""),0.054)</f>
        <v>0.054</v>
      </c>
    </row>
    <row r="11">
      <c r="A11" s="1" t="str">
        <f>IFERROR(__xludf.DUMMYFUNCTION("""COMPUTED_VALUE"""),"170회")</f>
        <v>170회</v>
      </c>
      <c r="B11" s="2">
        <f>IFERROR(__xludf.DUMMYFUNCTION("""COMPUTED_VALUE"""),44994.0)</f>
        <v>44994</v>
      </c>
      <c r="C11" s="3">
        <f>IFERROR(__xludf.DUMMYFUNCTION("""COMPUTED_VALUE"""),0.051)</f>
        <v>0.051</v>
      </c>
    </row>
    <row r="12">
      <c r="A12" s="1" t="str">
        <f>IFERROR(__xludf.DUMMYFUNCTION("""COMPUTED_VALUE"""),"171회")</f>
        <v>171회</v>
      </c>
      <c r="B12" s="2">
        <f>IFERROR(__xludf.DUMMYFUNCTION("""COMPUTED_VALUE"""),45001.0)</f>
        <v>45001</v>
      </c>
      <c r="C12" s="3">
        <f>IFERROR(__xludf.DUMMYFUNCTION("""COMPUTED_VALUE"""),0.057)</f>
        <v>0.057</v>
      </c>
    </row>
    <row r="13">
      <c r="A13" s="1" t="str">
        <f>IFERROR(__xludf.DUMMYFUNCTION("""COMPUTED_VALUE"""),"172회")</f>
        <v>172회</v>
      </c>
      <c r="B13" s="2">
        <f>IFERROR(__xludf.DUMMYFUNCTION("""COMPUTED_VALUE"""),45008.0)</f>
        <v>45008</v>
      </c>
      <c r="C13" s="3">
        <f>IFERROR(__xludf.DUMMYFUNCTION("""COMPUTED_VALUE"""),0.058)</f>
        <v>0.058</v>
      </c>
    </row>
    <row r="14">
      <c r="A14" s="1" t="str">
        <f>IFERROR(__xludf.DUMMYFUNCTION("""COMPUTED_VALUE"""),"173회")</f>
        <v>173회</v>
      </c>
      <c r="B14" s="2">
        <f>IFERROR(__xludf.DUMMYFUNCTION("""COMPUTED_VALUE"""),45015.0)</f>
        <v>45015</v>
      </c>
      <c r="C14" s="3">
        <f>IFERROR(__xludf.DUMMYFUNCTION("""COMPUTED_VALUE"""),0.049)</f>
        <v>0.049</v>
      </c>
    </row>
    <row r="15">
      <c r="A15" s="1" t="str">
        <f>IFERROR(__xludf.DUMMYFUNCTION("""COMPUTED_VALUE"""),"174회")</f>
        <v>174회</v>
      </c>
      <c r="B15" s="2">
        <f>IFERROR(__xludf.DUMMYFUNCTION("""COMPUTED_VALUE"""),45022.0)</f>
        <v>45022</v>
      </c>
      <c r="C15" s="3">
        <f>IFERROR(__xludf.DUMMYFUNCTION("""COMPUTED_VALUE"""),0.042)</f>
        <v>0.042</v>
      </c>
    </row>
    <row r="16">
      <c r="A16" s="1" t="str">
        <f>IFERROR(__xludf.DUMMYFUNCTION("""COMPUTED_VALUE"""),"175회")</f>
        <v>175회</v>
      </c>
      <c r="B16" s="2">
        <f>IFERROR(__xludf.DUMMYFUNCTION("""COMPUTED_VALUE"""),45029.0)</f>
        <v>45029</v>
      </c>
      <c r="C16" s="3">
        <f>IFERROR(__xludf.DUMMYFUNCTION("""COMPUTED_VALUE"""),0.051)</f>
        <v>0.051</v>
      </c>
    </row>
    <row r="17">
      <c r="A17" s="1" t="str">
        <f>IFERROR(__xludf.DUMMYFUNCTION("""COMPUTED_VALUE"""),"176회")</f>
        <v>176회</v>
      </c>
      <c r="B17" s="2">
        <f>IFERROR(__xludf.DUMMYFUNCTION("""COMPUTED_VALUE"""),45036.0)</f>
        <v>45036</v>
      </c>
      <c r="C17" s="3">
        <f>IFERROR(__xludf.DUMMYFUNCTION("""COMPUTED_VALUE"""),0.038)</f>
        <v>0.038</v>
      </c>
    </row>
    <row r="18">
      <c r="A18" s="1" t="str">
        <f>IFERROR(__xludf.DUMMYFUNCTION("""COMPUTED_VALUE"""),"177회")</f>
        <v>177회</v>
      </c>
      <c r="B18" s="2">
        <f>IFERROR(__xludf.DUMMYFUNCTION("""COMPUTED_VALUE"""),45043.0)</f>
        <v>45043</v>
      </c>
      <c r="C18" s="3">
        <f>IFERROR(__xludf.DUMMYFUNCTION("""COMPUTED_VALUE"""),0.044)</f>
        <v>0.044</v>
      </c>
    </row>
    <row r="19">
      <c r="A19" s="1" t="str">
        <f>IFERROR(__xludf.DUMMYFUNCTION("""COMPUTED_VALUE"""),"178회")</f>
        <v>178회</v>
      </c>
      <c r="B19" s="2">
        <f>IFERROR(__xludf.DUMMYFUNCTION("""COMPUTED_VALUE"""),45050.0)</f>
        <v>45050</v>
      </c>
      <c r="C19" s="3">
        <f>IFERROR(__xludf.DUMMYFUNCTION("""COMPUTED_VALUE"""),0.044)</f>
        <v>0.044</v>
      </c>
    </row>
    <row r="20">
      <c r="A20" s="1" t="str">
        <f>IFERROR(__xludf.DUMMYFUNCTION("""COMPUTED_VALUE"""),"179회")</f>
        <v>179회</v>
      </c>
      <c r="B20" s="2">
        <f>IFERROR(__xludf.DUMMYFUNCTION("""COMPUTED_VALUE"""),45057.0)</f>
        <v>45057</v>
      </c>
      <c r="C20" s="3">
        <f>IFERROR(__xludf.DUMMYFUNCTION("""COMPUTED_VALUE"""),0.058)</f>
        <v>0.058</v>
      </c>
    </row>
    <row r="21">
      <c r="A21" s="1" t="str">
        <f>IFERROR(__xludf.DUMMYFUNCTION("""COMPUTED_VALUE"""),"180회")</f>
        <v>180회</v>
      </c>
      <c r="B21" s="2">
        <f>IFERROR(__xludf.DUMMYFUNCTION("""COMPUTED_VALUE"""),45064.0)</f>
        <v>45064</v>
      </c>
      <c r="C21" s="3">
        <f>IFERROR(__xludf.DUMMYFUNCTION("""COMPUTED_VALUE"""),0.047)</f>
        <v>0.047</v>
      </c>
    </row>
    <row r="22">
      <c r="A22" s="1" t="str">
        <f>IFERROR(__xludf.DUMMYFUNCTION("""COMPUTED_VALUE"""),"181회")</f>
        <v>181회</v>
      </c>
      <c r="B22" s="2">
        <f>IFERROR(__xludf.DUMMYFUNCTION("""COMPUTED_VALUE"""),45071.0)</f>
        <v>45071</v>
      </c>
      <c r="C22" s="3">
        <f>IFERROR(__xludf.DUMMYFUNCTION("""COMPUTED_VALUE"""),0.052)</f>
        <v>0.052</v>
      </c>
    </row>
    <row r="23">
      <c r="A23" s="1" t="str">
        <f>IFERROR(__xludf.DUMMYFUNCTION("""COMPUTED_VALUE"""),"182회")</f>
        <v>182회</v>
      </c>
      <c r="B23" s="2">
        <f>IFERROR(__xludf.DUMMYFUNCTION("""COMPUTED_VALUE"""),45078.0)</f>
        <v>45078</v>
      </c>
      <c r="C23" s="3">
        <f>IFERROR(__xludf.DUMMYFUNCTION("""COMPUTED_VALUE"""),0.055)</f>
        <v>0.055</v>
      </c>
    </row>
    <row r="24">
      <c r="A24" s="1" t="str">
        <f>IFERROR(__xludf.DUMMYFUNCTION("""COMPUTED_VALUE"""),"183회")</f>
        <v>183회</v>
      </c>
      <c r="B24" s="2">
        <f>IFERROR(__xludf.DUMMYFUNCTION("""COMPUTED_VALUE"""),45085.0)</f>
        <v>45085</v>
      </c>
      <c r="C24" s="3">
        <f>IFERROR(__xludf.DUMMYFUNCTION("""COMPUTED_VALUE"""),0.06)</f>
        <v>0.06</v>
      </c>
    </row>
    <row r="25">
      <c r="A25" s="1" t="str">
        <f>IFERROR(__xludf.DUMMYFUNCTION("""COMPUTED_VALUE"""),"184회")</f>
        <v>184회</v>
      </c>
      <c r="B25" s="2">
        <f>IFERROR(__xludf.DUMMYFUNCTION("""COMPUTED_VALUE"""),45092.0)</f>
        <v>45092</v>
      </c>
      <c r="C25" s="3">
        <f>IFERROR(__xludf.DUMMYFUNCTION("""COMPUTED_VALUE"""),0.053)</f>
        <v>0.053</v>
      </c>
    </row>
    <row r="26">
      <c r="A26" s="1" t="str">
        <f>IFERROR(__xludf.DUMMYFUNCTION("""COMPUTED_VALUE"""),"185회")</f>
        <v>185회</v>
      </c>
      <c r="B26" s="2">
        <f>IFERROR(__xludf.DUMMYFUNCTION("""COMPUTED_VALUE"""),45099.0)</f>
        <v>45099</v>
      </c>
      <c r="C26" s="3">
        <f>IFERROR(__xludf.DUMMYFUNCTION("""COMPUTED_VALUE"""),0.067)</f>
        <v>0.067</v>
      </c>
    </row>
    <row r="27">
      <c r="A27" s="1" t="str">
        <f>IFERROR(__xludf.DUMMYFUNCTION("""COMPUTED_VALUE"""),"186회")</f>
        <v>186회</v>
      </c>
      <c r="B27" s="2">
        <f>IFERROR(__xludf.DUMMYFUNCTION("""COMPUTED_VALUE"""),45106.0)</f>
        <v>45106</v>
      </c>
      <c r="C27" s="3">
        <f>IFERROR(__xludf.DUMMYFUNCTION("""COMPUTED_VALUE"""),0.072)</f>
        <v>0.072</v>
      </c>
    </row>
    <row r="28">
      <c r="A28" s="1" t="str">
        <f>IFERROR(__xludf.DUMMYFUNCTION("""COMPUTED_VALUE"""),"187회")</f>
        <v>187회</v>
      </c>
      <c r="B28" s="2">
        <f>IFERROR(__xludf.DUMMYFUNCTION("""COMPUTED_VALUE"""),45113.0)</f>
        <v>45113</v>
      </c>
      <c r="C28" s="3">
        <f>IFERROR(__xludf.DUMMYFUNCTION("""COMPUTED_VALUE"""),0.058)</f>
        <v>0.058</v>
      </c>
    </row>
    <row r="29">
      <c r="A29" s="1" t="str">
        <f>IFERROR(__xludf.DUMMYFUNCTION("""COMPUTED_VALUE"""),"188회")</f>
        <v>188회</v>
      </c>
      <c r="B29" s="2">
        <f>IFERROR(__xludf.DUMMYFUNCTION("""COMPUTED_VALUE"""),45120.0)</f>
        <v>45120</v>
      </c>
      <c r="C29" s="3">
        <f>IFERROR(__xludf.DUMMYFUNCTION("""COMPUTED_VALUE"""),0.043)</f>
        <v>0.043</v>
      </c>
    </row>
    <row r="30">
      <c r="A30" s="1" t="str">
        <f>IFERROR(__xludf.DUMMYFUNCTION("""COMPUTED_VALUE"""),"189회")</f>
        <v>189회</v>
      </c>
      <c r="B30" s="2">
        <f>IFERROR(__xludf.DUMMYFUNCTION("""COMPUTED_VALUE"""),45127.0)</f>
        <v>45127</v>
      </c>
      <c r="C30" s="3">
        <f>IFERROR(__xludf.DUMMYFUNCTION("""COMPUTED_VALUE"""),0.057)</f>
        <v>0.057</v>
      </c>
    </row>
    <row r="31">
      <c r="A31" s="1" t="str">
        <f>IFERROR(__xludf.DUMMYFUNCTION("""COMPUTED_VALUE"""),"190회")</f>
        <v>190회</v>
      </c>
      <c r="B31" s="2">
        <f>IFERROR(__xludf.DUMMYFUNCTION("""COMPUTED_VALUE"""),45134.0)</f>
        <v>45134</v>
      </c>
      <c r="C31" s="3">
        <f>IFERROR(__xludf.DUMMYFUNCTION("""COMPUTED_VALUE"""),0.057)</f>
        <v>0.057</v>
      </c>
    </row>
    <row r="32">
      <c r="A32" s="1" t="str">
        <f>IFERROR(__xludf.DUMMYFUNCTION("""COMPUTED_VALUE"""),"191회")</f>
        <v>191회</v>
      </c>
      <c r="B32" s="2">
        <f>IFERROR(__xludf.DUMMYFUNCTION("""COMPUTED_VALUE"""),45141.0)</f>
        <v>45141</v>
      </c>
      <c r="C32" s="3">
        <f>IFERROR(__xludf.DUMMYFUNCTION("""COMPUTED_VALUE"""),0.046)</f>
        <v>0.046</v>
      </c>
    </row>
    <row r="33">
      <c r="A33" s="1" t="str">
        <f>IFERROR(__xludf.DUMMYFUNCTION("""COMPUTED_VALUE"""),"192회")</f>
        <v>192회</v>
      </c>
      <c r="B33" s="2">
        <f>IFERROR(__xludf.DUMMYFUNCTION("""COMPUTED_VALUE"""),45148.0)</f>
        <v>45148</v>
      </c>
      <c r="C33" s="3">
        <f>IFERROR(__xludf.DUMMYFUNCTION("""COMPUTED_VALUE"""),0.037)</f>
        <v>0.037</v>
      </c>
    </row>
    <row r="34">
      <c r="A34" s="1" t="str">
        <f>IFERROR(__xludf.DUMMYFUNCTION("""COMPUTED_VALUE"""),"193회")</f>
        <v>193회</v>
      </c>
      <c r="B34" s="2">
        <f>IFERROR(__xludf.DUMMYFUNCTION("""COMPUTED_VALUE"""),45155.0)</f>
        <v>45155</v>
      </c>
      <c r="C34" s="3">
        <f>IFERROR(__xludf.DUMMYFUNCTION("""COMPUTED_VALUE"""),0.043)</f>
        <v>0.043</v>
      </c>
    </row>
    <row r="35">
      <c r="A35" s="1" t="str">
        <f>IFERROR(__xludf.DUMMYFUNCTION("""COMPUTED_VALUE"""),"194회")</f>
        <v>194회</v>
      </c>
      <c r="B35" s="2">
        <f>IFERROR(__xludf.DUMMYFUNCTION("""COMPUTED_VALUE"""),45162.0)</f>
        <v>45162</v>
      </c>
      <c r="C35" s="3">
        <f>IFERROR(__xludf.DUMMYFUNCTION("""COMPUTED_VALUE"""),0.051)</f>
        <v>0.051</v>
      </c>
    </row>
    <row r="36">
      <c r="A36" s="1" t="str">
        <f>IFERROR(__xludf.DUMMYFUNCTION("""COMPUTED_VALUE"""),"195회")</f>
        <v>195회</v>
      </c>
      <c r="B36" s="2">
        <f>IFERROR(__xludf.DUMMYFUNCTION("""COMPUTED_VALUE"""),45169.0)</f>
        <v>45169</v>
      </c>
      <c r="C36" s="3">
        <f>IFERROR(__xludf.DUMMYFUNCTION("""COMPUTED_VALUE"""),0.04)</f>
        <v>0.04</v>
      </c>
    </row>
    <row r="37">
      <c r="A37" s="1" t="str">
        <f>IFERROR(__xludf.DUMMYFUNCTION("""COMPUTED_VALUE"""),"196회")</f>
        <v>196회</v>
      </c>
      <c r="B37" s="2">
        <f>IFERROR(__xludf.DUMMYFUNCTION("""COMPUTED_VALUE"""),45176.0)</f>
        <v>45176</v>
      </c>
      <c r="C37" s="3">
        <f>IFERROR(__xludf.DUMMYFUNCTION("""COMPUTED_VALUE"""),0.044)</f>
        <v>0.044</v>
      </c>
    </row>
    <row r="38">
      <c r="A38" s="1" t="str">
        <f>IFERROR(__xludf.DUMMYFUNCTION("""COMPUTED_VALUE"""),"197회")</f>
        <v>197회</v>
      </c>
      <c r="B38" s="2">
        <f>IFERROR(__xludf.DUMMYFUNCTION("""COMPUTED_VALUE"""),45190.0)</f>
        <v>45190</v>
      </c>
      <c r="C38" s="3">
        <f>IFERROR(__xludf.DUMMYFUNCTION("""COMPUTED_VALUE"""),0.055)</f>
        <v>0.055</v>
      </c>
    </row>
    <row r="39">
      <c r="A39" s="1" t="str">
        <f>IFERROR(__xludf.DUMMYFUNCTION("""COMPUTED_VALUE"""),"198회")</f>
        <v>198회</v>
      </c>
      <c r="B39" s="2">
        <f>IFERROR(__xludf.DUMMYFUNCTION("""COMPUTED_VALUE"""),45197.0)</f>
        <v>45197</v>
      </c>
      <c r="C39" s="3">
        <f>IFERROR(__xludf.DUMMYFUNCTION("""COMPUTED_VALUE"""),0.049)</f>
        <v>0.049</v>
      </c>
    </row>
    <row r="40">
      <c r="A40" s="1" t="str">
        <f>IFERROR(__xludf.DUMMYFUNCTION("""COMPUTED_VALUE"""),"199회")</f>
        <v>199회</v>
      </c>
      <c r="B40" s="2">
        <f>IFERROR(__xludf.DUMMYFUNCTION("""COMPUTED_VALUE"""),45204.0)</f>
        <v>45204</v>
      </c>
      <c r="C40" s="3">
        <f>IFERROR(__xludf.DUMMYFUNCTION("""COMPUTED_VALUE"""),0.048)</f>
        <v>0.048</v>
      </c>
    </row>
    <row r="41">
      <c r="A41" s="1" t="str">
        <f>IFERROR(__xludf.DUMMYFUNCTION("""COMPUTED_VALUE"""),"200회")</f>
        <v>200회</v>
      </c>
      <c r="B41" s="2">
        <f>IFERROR(__xludf.DUMMYFUNCTION("""COMPUTED_VALUE"""),45211.0)</f>
        <v>45211</v>
      </c>
      <c r="C41" s="3">
        <f>IFERROR(__xludf.DUMMYFUNCTION("""COMPUTED_VALUE"""),0.051)</f>
        <v>0.051</v>
      </c>
    </row>
    <row r="42">
      <c r="A42" s="1" t="str">
        <f>IFERROR(__xludf.DUMMYFUNCTION("""COMPUTED_VALUE"""),"201회")</f>
        <v>201회</v>
      </c>
      <c r="B42" s="2">
        <f>IFERROR(__xludf.DUMMYFUNCTION("""COMPUTED_VALUE"""),45218.0)</f>
        <v>45218</v>
      </c>
      <c r="C42" s="3">
        <f>IFERROR(__xludf.DUMMYFUNCTION("""COMPUTED_VALUE"""),0.054)</f>
        <v>0.054</v>
      </c>
    </row>
    <row r="43">
      <c r="A43" s="1" t="str">
        <f>IFERROR(__xludf.DUMMYFUNCTION("""COMPUTED_VALUE"""),"202회")</f>
        <v>202회</v>
      </c>
      <c r="B43" s="2">
        <f>IFERROR(__xludf.DUMMYFUNCTION("""COMPUTED_VALUE"""),45225.0)</f>
        <v>45225</v>
      </c>
      <c r="C43" s="3">
        <f>IFERROR(__xludf.DUMMYFUNCTION("""COMPUTED_VALUE"""),0.048)</f>
        <v>0.048</v>
      </c>
    </row>
    <row r="44">
      <c r="A44" s="1" t="str">
        <f>IFERROR(__xludf.DUMMYFUNCTION("""COMPUTED_VALUE"""),"203회")</f>
        <v>203회</v>
      </c>
      <c r="B44" s="2">
        <f>IFERROR(__xludf.DUMMYFUNCTION("""COMPUTED_VALUE"""),45232.0)</f>
        <v>45232</v>
      </c>
      <c r="C44" s="3">
        <f>IFERROR(__xludf.DUMMYFUNCTION("""COMPUTED_VALUE"""),0.063)</f>
        <v>0.063</v>
      </c>
    </row>
    <row r="45">
      <c r="A45" s="1" t="str">
        <f>IFERROR(__xludf.DUMMYFUNCTION("""COMPUTED_VALUE"""),"204회")</f>
        <v>204회</v>
      </c>
      <c r="B45" s="2">
        <f>IFERROR(__xludf.DUMMYFUNCTION("""COMPUTED_VALUE"""),45239.0)</f>
        <v>45239</v>
      </c>
      <c r="C45" s="3">
        <f>IFERROR(__xludf.DUMMYFUNCTION("""COMPUTED_VALUE"""),0.041)</f>
        <v>0.041</v>
      </c>
    </row>
    <row r="46">
      <c r="A46" s="1" t="str">
        <f>IFERROR(__xludf.DUMMYFUNCTION("""COMPUTED_VALUE"""),"205회")</f>
        <v>205회</v>
      </c>
      <c r="B46" s="2">
        <f>IFERROR(__xludf.DUMMYFUNCTION("""COMPUTED_VALUE"""),45246.0)</f>
        <v>45246</v>
      </c>
      <c r="C46" s="3">
        <f>IFERROR(__xludf.DUMMYFUNCTION("""COMPUTED_VALUE"""),0.057)</f>
        <v>0.057</v>
      </c>
    </row>
    <row r="47">
      <c r="A47" s="1" t="str">
        <f>IFERROR(__xludf.DUMMYFUNCTION("""COMPUTED_VALUE"""),"206회")</f>
        <v>206회</v>
      </c>
      <c r="B47" s="2">
        <f>IFERROR(__xludf.DUMMYFUNCTION("""COMPUTED_VALUE"""),45253.0)</f>
        <v>45253</v>
      </c>
      <c r="C47" s="1" t="str">
        <f>IFERROR(__xludf.DUMMYFUNCTION("""COMPUTED_VALUE"""),"*3.6%*")</f>
        <v>*3.6%*</v>
      </c>
    </row>
    <row r="48">
      <c r="A48" s="1" t="str">
        <f>IFERROR(__xludf.DUMMYFUNCTION("""COMPUTED_VALUE"""),"207회")</f>
        <v>207회</v>
      </c>
      <c r="B48" s="2">
        <f>IFERROR(__xludf.DUMMYFUNCTION("""COMPUTED_VALUE"""),45260.0)</f>
        <v>45260</v>
      </c>
      <c r="C48" s="3">
        <f>IFERROR(__xludf.DUMMYFUNCTION("""COMPUTED_VALUE"""),0.069)</f>
        <v>0.069</v>
      </c>
    </row>
    <row r="49">
      <c r="A49" s="1" t="str">
        <f>IFERROR(__xludf.DUMMYFUNCTION("""COMPUTED_VALUE"""),"208회")</f>
        <v>208회</v>
      </c>
      <c r="B49" s="2">
        <f>IFERROR(__xludf.DUMMYFUNCTION("""COMPUTED_VALUE"""),45267.0)</f>
        <v>45267</v>
      </c>
      <c r="C49" s="3">
        <f>IFERROR(__xludf.DUMMYFUNCTION("""COMPUTED_VALUE"""),0.05)</f>
        <v>0.05</v>
      </c>
    </row>
    <row r="50">
      <c r="A50" s="1" t="str">
        <f>IFERROR(__xludf.DUMMYFUNCTION("""COMPUTED_VALUE"""),"209회")</f>
        <v>209회</v>
      </c>
      <c r="B50" s="2">
        <f>IFERROR(__xludf.DUMMYFUNCTION("""COMPUTED_VALUE"""),45274.0)</f>
        <v>45274</v>
      </c>
      <c r="C50" s="3">
        <f>IFERROR(__xludf.DUMMYFUNCTION("""COMPUTED_VALUE"""),0.046)</f>
        <v>0.046</v>
      </c>
    </row>
    <row r="51">
      <c r="A51" s="1" t="str">
        <f>IFERROR(__xludf.DUMMYFUNCTION("""COMPUTED_VALUE"""),"210회")</f>
        <v>210회</v>
      </c>
      <c r="B51" s="2">
        <f>IFERROR(__xludf.DUMMYFUNCTION("""COMPUTED_VALUE"""),45281.0)</f>
        <v>45281</v>
      </c>
      <c r="C51" s="3">
        <f>IFERROR(__xludf.DUMMYFUNCTION("""COMPUTED_VALUE"""),0.05)</f>
        <v>0.05</v>
      </c>
    </row>
    <row r="52">
      <c r="A52" s="1" t="str">
        <f>IFERROR(__xludf.DUMMYFUNCTION("""COMPUTED_VALUE"""),"211회")</f>
        <v>211회</v>
      </c>
      <c r="B52" s="2">
        <f>IFERROR(__xludf.DUMMYFUNCTION("""COMPUTED_VALUE"""),45288.0)</f>
        <v>45288</v>
      </c>
      <c r="C52" s="3">
        <f>IFERROR(__xludf.DUMMYFUNCTION("""COMPUTED_VALUE"""),0.041)</f>
        <v>0.041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IFERROR(__xludf.DUMMYFUNCTION("IMPORTHTML(""https://ko.wikipedia.org/wiki/%EC%95%84%EB%8A%94_%ED%98%95%EB%8B%98"",""table"",10)"),"회차")</f>
        <v>회차</v>
      </c>
      <c r="B1" s="1" t="str">
        <f>IFERROR(__xludf.DUMMYFUNCTION("""COMPUTED_VALUE"""),"방송일자")</f>
        <v>방송일자</v>
      </c>
      <c r="C1" s="1" t="str">
        <f>IFERROR(__xludf.DUMMYFUNCTION("""COMPUTED_VALUE"""),"AGB 시청률[2]")</f>
        <v>AGB 시청률[2]</v>
      </c>
    </row>
    <row r="2">
      <c r="A2" s="1" t="str">
        <f>IFERROR(__xludf.DUMMYFUNCTION("""COMPUTED_VALUE"""),"212회")</f>
        <v>212회</v>
      </c>
      <c r="B2" s="2">
        <f>IFERROR(__xludf.DUMMYFUNCTION("""COMPUTED_VALUE"""),44930.0)</f>
        <v>44930</v>
      </c>
      <c r="C2" s="3">
        <f>IFERROR(__xludf.DUMMYFUNCTION("""COMPUTED_VALUE"""),0.059)</f>
        <v>0.059</v>
      </c>
    </row>
    <row r="3">
      <c r="A3" s="1" t="str">
        <f>IFERROR(__xludf.DUMMYFUNCTION("""COMPUTED_VALUE"""),"213회")</f>
        <v>213회</v>
      </c>
      <c r="B3" s="2">
        <f>IFERROR(__xludf.DUMMYFUNCTION("""COMPUTED_VALUE"""),44937.0)</f>
        <v>44937</v>
      </c>
      <c r="C3" s="3">
        <f>IFERROR(__xludf.DUMMYFUNCTION("""COMPUTED_VALUE"""),0.043)</f>
        <v>0.043</v>
      </c>
    </row>
    <row r="4">
      <c r="A4" s="1" t="str">
        <f>IFERROR(__xludf.DUMMYFUNCTION("""COMPUTED_VALUE"""),"214회")</f>
        <v>214회</v>
      </c>
      <c r="B4" s="2">
        <f>IFERROR(__xludf.DUMMYFUNCTION("""COMPUTED_VALUE"""),44944.0)</f>
        <v>44944</v>
      </c>
      <c r="C4" s="3">
        <f>IFERROR(__xludf.DUMMYFUNCTION("""COMPUTED_VALUE"""),0.042)</f>
        <v>0.042</v>
      </c>
    </row>
    <row r="5">
      <c r="A5" s="1" t="str">
        <f>IFERROR(__xludf.DUMMYFUNCTION("""COMPUTED_VALUE"""),"215회")</f>
        <v>215회</v>
      </c>
      <c r="B5" s="2">
        <f>IFERROR(__xludf.DUMMYFUNCTION("""COMPUTED_VALUE"""),44958.0)</f>
        <v>44958</v>
      </c>
      <c r="C5" s="3">
        <f>IFERROR(__xludf.DUMMYFUNCTION("""COMPUTED_VALUE"""),0.033)</f>
        <v>0.033</v>
      </c>
    </row>
    <row r="6">
      <c r="A6" s="1" t="str">
        <f>IFERROR(__xludf.DUMMYFUNCTION("""COMPUTED_VALUE"""),"216회")</f>
        <v>216회</v>
      </c>
      <c r="B6" s="2">
        <f>IFERROR(__xludf.DUMMYFUNCTION("""COMPUTED_VALUE"""),44965.0)</f>
        <v>44965</v>
      </c>
      <c r="C6" s="3">
        <f>IFERROR(__xludf.DUMMYFUNCTION("""COMPUTED_VALUE"""),0.037)</f>
        <v>0.037</v>
      </c>
    </row>
    <row r="7">
      <c r="A7" s="1" t="str">
        <f>IFERROR(__xludf.DUMMYFUNCTION("""COMPUTED_VALUE"""),"217회")</f>
        <v>217회</v>
      </c>
      <c r="B7" s="2">
        <f>IFERROR(__xludf.DUMMYFUNCTION("""COMPUTED_VALUE"""),44972.0)</f>
        <v>44972</v>
      </c>
      <c r="C7" s="3">
        <f>IFERROR(__xludf.DUMMYFUNCTION("""COMPUTED_VALUE"""),0.039)</f>
        <v>0.039</v>
      </c>
    </row>
    <row r="8">
      <c r="A8" s="1" t="str">
        <f>IFERROR(__xludf.DUMMYFUNCTION("""COMPUTED_VALUE"""),"218회")</f>
        <v>218회</v>
      </c>
      <c r="B8" s="2">
        <f>IFERROR(__xludf.DUMMYFUNCTION("""COMPUTED_VALUE"""),44979.0)</f>
        <v>44979</v>
      </c>
      <c r="C8" s="3">
        <f>IFERROR(__xludf.DUMMYFUNCTION("""COMPUTED_VALUE"""),0.05)</f>
        <v>0.05</v>
      </c>
    </row>
    <row r="9">
      <c r="A9" s="1" t="str">
        <f>IFERROR(__xludf.DUMMYFUNCTION("""COMPUTED_VALUE"""),"219회")</f>
        <v>219회</v>
      </c>
      <c r="B9" s="1" t="str">
        <f>IFERROR(__xludf.DUMMYFUNCTION("""COMPUTED_VALUE"""),"2월 29일")</f>
        <v>2월 29일</v>
      </c>
      <c r="C9" s="3">
        <f>IFERROR(__xludf.DUMMYFUNCTION("""COMPUTED_VALUE"""),0.068)</f>
        <v>0.068</v>
      </c>
    </row>
    <row r="10">
      <c r="A10" s="1" t="str">
        <f>IFERROR(__xludf.DUMMYFUNCTION("""COMPUTED_VALUE"""),"220회")</f>
        <v>220회</v>
      </c>
      <c r="B10" s="2">
        <f>IFERROR(__xludf.DUMMYFUNCTION("""COMPUTED_VALUE"""),44992.0)</f>
        <v>44992</v>
      </c>
      <c r="C10" s="3">
        <f>IFERROR(__xludf.DUMMYFUNCTION("""COMPUTED_VALUE"""),0.063)</f>
        <v>0.063</v>
      </c>
    </row>
    <row r="11">
      <c r="A11" s="1" t="str">
        <f>IFERROR(__xludf.DUMMYFUNCTION("""COMPUTED_VALUE"""),"221회")</f>
        <v>221회</v>
      </c>
      <c r="B11" s="2">
        <f>IFERROR(__xludf.DUMMYFUNCTION("""COMPUTED_VALUE"""),44999.0)</f>
        <v>44999</v>
      </c>
      <c r="C11" s="3">
        <f>IFERROR(__xludf.DUMMYFUNCTION("""COMPUTED_VALUE"""),0.056)</f>
        <v>0.056</v>
      </c>
    </row>
    <row r="12">
      <c r="A12" s="1" t="str">
        <f>IFERROR(__xludf.DUMMYFUNCTION("""COMPUTED_VALUE"""),"222회")</f>
        <v>222회</v>
      </c>
      <c r="B12" s="2">
        <f>IFERROR(__xludf.DUMMYFUNCTION("""COMPUTED_VALUE"""),45006.0)</f>
        <v>45006</v>
      </c>
      <c r="C12" s="3">
        <f>IFERROR(__xludf.DUMMYFUNCTION("""COMPUTED_VALUE"""),0.062)</f>
        <v>0.062</v>
      </c>
    </row>
    <row r="13">
      <c r="A13" s="1" t="str">
        <f>IFERROR(__xludf.DUMMYFUNCTION("""COMPUTED_VALUE"""),"223회")</f>
        <v>223회</v>
      </c>
      <c r="B13" s="2">
        <f>IFERROR(__xludf.DUMMYFUNCTION("""COMPUTED_VALUE"""),45013.0)</f>
        <v>45013</v>
      </c>
      <c r="C13" s="3">
        <f>IFERROR(__xludf.DUMMYFUNCTION("""COMPUTED_VALUE"""),0.059)</f>
        <v>0.059</v>
      </c>
    </row>
    <row r="14">
      <c r="A14" s="1" t="str">
        <f>IFERROR(__xludf.DUMMYFUNCTION("""COMPUTED_VALUE"""),"224회")</f>
        <v>224회</v>
      </c>
      <c r="B14" s="2">
        <f>IFERROR(__xludf.DUMMYFUNCTION("""COMPUTED_VALUE"""),45020.0)</f>
        <v>45020</v>
      </c>
      <c r="C14" s="3">
        <f>IFERROR(__xludf.DUMMYFUNCTION("""COMPUTED_VALUE"""),0.06)</f>
        <v>0.06</v>
      </c>
    </row>
    <row r="15">
      <c r="A15" s="1" t="str">
        <f>IFERROR(__xludf.DUMMYFUNCTION("""COMPUTED_VALUE"""),"225회")</f>
        <v>225회</v>
      </c>
      <c r="B15" s="2">
        <f>IFERROR(__xludf.DUMMYFUNCTION("""COMPUTED_VALUE"""),45027.0)</f>
        <v>45027</v>
      </c>
      <c r="C15" s="3">
        <f>IFERROR(__xludf.DUMMYFUNCTION("""COMPUTED_VALUE"""),0.084)</f>
        <v>0.084</v>
      </c>
    </row>
    <row r="16">
      <c r="A16" s="1" t="str">
        <f>IFERROR(__xludf.DUMMYFUNCTION("""COMPUTED_VALUE"""),"226회")</f>
        <v>226회</v>
      </c>
      <c r="B16" s="2">
        <f>IFERROR(__xludf.DUMMYFUNCTION("""COMPUTED_VALUE"""),45034.0)</f>
        <v>45034</v>
      </c>
      <c r="C16" s="3">
        <f>IFERROR(__xludf.DUMMYFUNCTION("""COMPUTED_VALUE"""),0.061)</f>
        <v>0.061</v>
      </c>
    </row>
    <row r="17">
      <c r="A17" s="1" t="str">
        <f>IFERROR(__xludf.DUMMYFUNCTION("""COMPUTED_VALUE"""),"227회")</f>
        <v>227회</v>
      </c>
      <c r="B17" s="2">
        <f>IFERROR(__xludf.DUMMYFUNCTION("""COMPUTED_VALUE"""),45041.0)</f>
        <v>45041</v>
      </c>
      <c r="C17" s="3">
        <f>IFERROR(__xludf.DUMMYFUNCTION("""COMPUTED_VALUE"""),0.05)</f>
        <v>0.05</v>
      </c>
    </row>
    <row r="18">
      <c r="A18" s="1" t="str">
        <f>IFERROR(__xludf.DUMMYFUNCTION("""COMPUTED_VALUE"""),"228회")</f>
        <v>228회</v>
      </c>
      <c r="B18" s="2">
        <f>IFERROR(__xludf.DUMMYFUNCTION("""COMPUTED_VALUE"""),45048.0)</f>
        <v>45048</v>
      </c>
      <c r="C18" s="3">
        <f>IFERROR(__xludf.DUMMYFUNCTION("""COMPUTED_VALUE"""),0.079)</f>
        <v>0.079</v>
      </c>
    </row>
    <row r="19">
      <c r="A19" s="1" t="str">
        <f>IFERROR(__xludf.DUMMYFUNCTION("""COMPUTED_VALUE"""),"229회")</f>
        <v>229회</v>
      </c>
      <c r="B19" s="2">
        <f>IFERROR(__xludf.DUMMYFUNCTION("""COMPUTED_VALUE"""),45055.0)</f>
        <v>45055</v>
      </c>
      <c r="C19" s="1" t="str">
        <f>IFERROR(__xludf.DUMMYFUNCTION("""COMPUTED_VALUE"""),"*15.5%*")</f>
        <v>*15.5%*</v>
      </c>
    </row>
    <row r="20">
      <c r="A20" s="1" t="str">
        <f>IFERROR(__xludf.DUMMYFUNCTION("""COMPUTED_VALUE"""),"230회")</f>
        <v>230회</v>
      </c>
      <c r="B20" s="2">
        <f>IFERROR(__xludf.DUMMYFUNCTION("""COMPUTED_VALUE"""),45062.0)</f>
        <v>45062</v>
      </c>
      <c r="C20" s="3">
        <f>IFERROR(__xludf.DUMMYFUNCTION("""COMPUTED_VALUE"""),0.153)</f>
        <v>0.153</v>
      </c>
    </row>
    <row r="21">
      <c r="A21" s="1" t="str">
        <f>IFERROR(__xludf.DUMMYFUNCTION("""COMPUTED_VALUE"""),"231회")</f>
        <v>231회</v>
      </c>
      <c r="B21" s="2">
        <f>IFERROR(__xludf.DUMMYFUNCTION("""COMPUTED_VALUE"""),45069.0)</f>
        <v>45069</v>
      </c>
      <c r="C21" s="3">
        <f>IFERROR(__xludf.DUMMYFUNCTION("""COMPUTED_VALUE"""),0.147)</f>
        <v>0.147</v>
      </c>
    </row>
    <row r="22">
      <c r="A22" s="1" t="str">
        <f>IFERROR(__xludf.DUMMYFUNCTION("""COMPUTED_VALUE"""),"232회")</f>
        <v>232회</v>
      </c>
      <c r="B22" s="2">
        <f>IFERROR(__xludf.DUMMYFUNCTION("""COMPUTED_VALUE"""),45076.0)</f>
        <v>45076</v>
      </c>
      <c r="C22" s="3">
        <f>IFERROR(__xludf.DUMMYFUNCTION("""COMPUTED_VALUE"""),0.061)</f>
        <v>0.061</v>
      </c>
    </row>
    <row r="23">
      <c r="A23" s="1" t="str">
        <f>IFERROR(__xludf.DUMMYFUNCTION("""COMPUTED_VALUE"""),"233회")</f>
        <v>233회</v>
      </c>
      <c r="B23" s="2">
        <f>IFERROR(__xludf.DUMMYFUNCTION("""COMPUTED_VALUE"""),45083.0)</f>
        <v>45083</v>
      </c>
      <c r="C23" s="3">
        <f>IFERROR(__xludf.DUMMYFUNCTION("""COMPUTED_VALUE"""),0.065)</f>
        <v>0.065</v>
      </c>
    </row>
    <row r="24">
      <c r="A24" s="1" t="str">
        <f>IFERROR(__xludf.DUMMYFUNCTION("""COMPUTED_VALUE"""),"234회")</f>
        <v>234회</v>
      </c>
      <c r="B24" s="2">
        <f>IFERROR(__xludf.DUMMYFUNCTION("""COMPUTED_VALUE"""),45090.0)</f>
        <v>45090</v>
      </c>
      <c r="C24" s="3">
        <f>IFERROR(__xludf.DUMMYFUNCTION("""COMPUTED_VALUE"""),0.064)</f>
        <v>0.064</v>
      </c>
    </row>
    <row r="25">
      <c r="A25" s="1" t="str">
        <f>IFERROR(__xludf.DUMMYFUNCTION("""COMPUTED_VALUE"""),"235회")</f>
        <v>235회</v>
      </c>
      <c r="B25" s="2">
        <f>IFERROR(__xludf.DUMMYFUNCTION("""COMPUTED_VALUE"""),45097.0)</f>
        <v>45097</v>
      </c>
      <c r="C25" s="3">
        <f>IFERROR(__xludf.DUMMYFUNCTION("""COMPUTED_VALUE"""),0.05)</f>
        <v>0.05</v>
      </c>
    </row>
    <row r="26">
      <c r="A26" s="1" t="str">
        <f>IFERROR(__xludf.DUMMYFUNCTION("""COMPUTED_VALUE"""),"236회")</f>
        <v>236회</v>
      </c>
      <c r="B26" s="2">
        <f>IFERROR(__xludf.DUMMYFUNCTION("""COMPUTED_VALUE"""),45104.0)</f>
        <v>45104</v>
      </c>
      <c r="C26" s="3">
        <f>IFERROR(__xludf.DUMMYFUNCTION("""COMPUTED_VALUE"""),0.05)</f>
        <v>0.05</v>
      </c>
    </row>
    <row r="27">
      <c r="A27" s="1" t="str">
        <f>IFERROR(__xludf.DUMMYFUNCTION("""COMPUTED_VALUE"""),"237회")</f>
        <v>237회</v>
      </c>
      <c r="B27" s="2">
        <f>IFERROR(__xludf.DUMMYFUNCTION("""COMPUTED_VALUE"""),45111.0)</f>
        <v>45111</v>
      </c>
      <c r="C27" s="3">
        <f>IFERROR(__xludf.DUMMYFUNCTION("""COMPUTED_VALUE"""),0.052)</f>
        <v>0.052</v>
      </c>
    </row>
    <row r="28">
      <c r="A28" s="1" t="str">
        <f>IFERROR(__xludf.DUMMYFUNCTION("""COMPUTED_VALUE"""),"238회")</f>
        <v>238회</v>
      </c>
      <c r="B28" s="2">
        <f>IFERROR(__xludf.DUMMYFUNCTION("""COMPUTED_VALUE"""),45118.0)</f>
        <v>45118</v>
      </c>
      <c r="C28" s="3">
        <f>IFERROR(__xludf.DUMMYFUNCTION("""COMPUTED_VALUE"""),0.039)</f>
        <v>0.039</v>
      </c>
    </row>
    <row r="29">
      <c r="A29" s="1" t="str">
        <f>IFERROR(__xludf.DUMMYFUNCTION("""COMPUTED_VALUE"""),"239회")</f>
        <v>239회</v>
      </c>
      <c r="B29" s="2">
        <f>IFERROR(__xludf.DUMMYFUNCTION("""COMPUTED_VALUE"""),45125.0)</f>
        <v>45125</v>
      </c>
      <c r="C29" s="3">
        <f>IFERROR(__xludf.DUMMYFUNCTION("""COMPUTED_VALUE"""),0.065)</f>
        <v>0.065</v>
      </c>
    </row>
    <row r="30">
      <c r="A30" s="1" t="str">
        <f>IFERROR(__xludf.DUMMYFUNCTION("""COMPUTED_VALUE"""),"240회")</f>
        <v>240회</v>
      </c>
      <c r="B30" s="2">
        <f>IFERROR(__xludf.DUMMYFUNCTION("""COMPUTED_VALUE"""),45132.0)</f>
        <v>45132</v>
      </c>
      <c r="C30" s="3">
        <f>IFERROR(__xludf.DUMMYFUNCTION("""COMPUTED_VALUE"""),0.053)</f>
        <v>0.053</v>
      </c>
    </row>
    <row r="31">
      <c r="A31" s="1" t="str">
        <f>IFERROR(__xludf.DUMMYFUNCTION("""COMPUTED_VALUE"""),"241회")</f>
        <v>241회</v>
      </c>
      <c r="B31" s="2">
        <f>IFERROR(__xludf.DUMMYFUNCTION("""COMPUTED_VALUE"""),45139.0)</f>
        <v>45139</v>
      </c>
      <c r="C31" s="3">
        <f>IFERROR(__xludf.DUMMYFUNCTION("""COMPUTED_VALUE"""),0.065)</f>
        <v>0.065</v>
      </c>
    </row>
    <row r="32">
      <c r="A32" s="1" t="str">
        <f>IFERROR(__xludf.DUMMYFUNCTION("""COMPUTED_VALUE"""),"242회")</f>
        <v>242회</v>
      </c>
      <c r="B32" s="2">
        <f>IFERROR(__xludf.DUMMYFUNCTION("""COMPUTED_VALUE"""),45146.0)</f>
        <v>45146</v>
      </c>
      <c r="C32" s="3">
        <f>IFERROR(__xludf.DUMMYFUNCTION("""COMPUTED_VALUE"""),0.055)</f>
        <v>0.055</v>
      </c>
    </row>
    <row r="33">
      <c r="A33" s="1" t="str">
        <f>IFERROR(__xludf.DUMMYFUNCTION("""COMPUTED_VALUE"""),"243회")</f>
        <v>243회</v>
      </c>
      <c r="B33" s="2">
        <f>IFERROR(__xludf.DUMMYFUNCTION("""COMPUTED_VALUE"""),45153.0)</f>
        <v>45153</v>
      </c>
      <c r="C33" s="3">
        <f>IFERROR(__xludf.DUMMYFUNCTION("""COMPUTED_VALUE"""),0.048)</f>
        <v>0.048</v>
      </c>
    </row>
    <row r="34">
      <c r="A34" s="1" t="str">
        <f>IFERROR(__xludf.DUMMYFUNCTION("""COMPUTED_VALUE"""),"244회")</f>
        <v>244회</v>
      </c>
      <c r="B34" s="2">
        <f>IFERROR(__xludf.DUMMYFUNCTION("""COMPUTED_VALUE"""),45160.0)</f>
        <v>45160</v>
      </c>
      <c r="C34" s="3">
        <f>IFERROR(__xludf.DUMMYFUNCTION("""COMPUTED_VALUE"""),0.072)</f>
        <v>0.072</v>
      </c>
    </row>
    <row r="35">
      <c r="A35" s="1" t="str">
        <f>IFERROR(__xludf.DUMMYFUNCTION("""COMPUTED_VALUE"""),"245회")</f>
        <v>245회</v>
      </c>
      <c r="B35" s="2">
        <f>IFERROR(__xludf.DUMMYFUNCTION("""COMPUTED_VALUE"""),45167.0)</f>
        <v>45167</v>
      </c>
      <c r="C35" s="3">
        <f>IFERROR(__xludf.DUMMYFUNCTION("""COMPUTED_VALUE"""),0.04)</f>
        <v>0.04</v>
      </c>
    </row>
    <row r="36">
      <c r="A36" s="1" t="str">
        <f>IFERROR(__xludf.DUMMYFUNCTION("""COMPUTED_VALUE"""),"246회")</f>
        <v>246회</v>
      </c>
      <c r="B36" s="2">
        <f>IFERROR(__xludf.DUMMYFUNCTION("""COMPUTED_VALUE"""),45174.0)</f>
        <v>45174</v>
      </c>
      <c r="C36" s="3">
        <f>IFERROR(__xludf.DUMMYFUNCTION("""COMPUTED_VALUE"""),0.052)</f>
        <v>0.052</v>
      </c>
    </row>
    <row r="37">
      <c r="A37" s="1" t="str">
        <f>IFERROR(__xludf.DUMMYFUNCTION("""COMPUTED_VALUE"""),"247회")</f>
        <v>247회</v>
      </c>
      <c r="B37" s="2">
        <f>IFERROR(__xludf.DUMMYFUNCTION("""COMPUTED_VALUE"""),45181.0)</f>
        <v>45181</v>
      </c>
      <c r="C37" s="3">
        <f>IFERROR(__xludf.DUMMYFUNCTION("""COMPUTED_VALUE"""),0.047)</f>
        <v>0.047</v>
      </c>
    </row>
    <row r="38">
      <c r="A38" s="1" t="str">
        <f>IFERROR(__xludf.DUMMYFUNCTION("""COMPUTED_VALUE"""),"248회")</f>
        <v>248회</v>
      </c>
      <c r="B38" s="2">
        <f>IFERROR(__xludf.DUMMYFUNCTION("""COMPUTED_VALUE"""),45188.0)</f>
        <v>45188</v>
      </c>
      <c r="C38" s="3">
        <f>IFERROR(__xludf.DUMMYFUNCTION("""COMPUTED_VALUE"""),0.062)</f>
        <v>0.062</v>
      </c>
    </row>
    <row r="39">
      <c r="A39" s="1" t="str">
        <f>IFERROR(__xludf.DUMMYFUNCTION("""COMPUTED_VALUE"""),"249회")</f>
        <v>249회</v>
      </c>
      <c r="B39" s="2">
        <f>IFERROR(__xludf.DUMMYFUNCTION("""COMPUTED_VALUE"""),45195.0)</f>
        <v>45195</v>
      </c>
      <c r="C39" s="3">
        <f>IFERROR(__xludf.DUMMYFUNCTION("""COMPUTED_VALUE"""),0.056)</f>
        <v>0.056</v>
      </c>
    </row>
    <row r="40">
      <c r="A40" s="1" t="str">
        <f>IFERROR(__xludf.DUMMYFUNCTION("""COMPUTED_VALUE"""),"250회")</f>
        <v>250회</v>
      </c>
      <c r="B40" s="2">
        <f>IFERROR(__xludf.DUMMYFUNCTION("""COMPUTED_VALUE"""),45209.0)</f>
        <v>45209</v>
      </c>
      <c r="C40" s="3">
        <f>IFERROR(__xludf.DUMMYFUNCTION("""COMPUTED_VALUE"""),0.055)</f>
        <v>0.055</v>
      </c>
    </row>
    <row r="41">
      <c r="A41" s="1" t="str">
        <f>IFERROR(__xludf.DUMMYFUNCTION("""COMPUTED_VALUE"""),"251회")</f>
        <v>251회</v>
      </c>
      <c r="B41" s="2">
        <f>IFERROR(__xludf.DUMMYFUNCTION("""COMPUTED_VALUE"""),45216.0)</f>
        <v>45216</v>
      </c>
      <c r="C41" s="3">
        <f>IFERROR(__xludf.DUMMYFUNCTION("""COMPUTED_VALUE"""),0.048)</f>
        <v>0.048</v>
      </c>
    </row>
    <row r="42">
      <c r="A42" s="1" t="str">
        <f>IFERROR(__xludf.DUMMYFUNCTION("""COMPUTED_VALUE"""),"252회")</f>
        <v>252회</v>
      </c>
      <c r="B42" s="2">
        <f>IFERROR(__xludf.DUMMYFUNCTION("""COMPUTED_VALUE"""),45223.0)</f>
        <v>45223</v>
      </c>
      <c r="C42" s="3">
        <f>IFERROR(__xludf.DUMMYFUNCTION("""COMPUTED_VALUE"""),0.031)</f>
        <v>0.031</v>
      </c>
    </row>
    <row r="43">
      <c r="A43" s="1" t="str">
        <f>IFERROR(__xludf.DUMMYFUNCTION("""COMPUTED_VALUE"""),"253회")</f>
        <v>253회</v>
      </c>
      <c r="B43" s="2">
        <f>IFERROR(__xludf.DUMMYFUNCTION("""COMPUTED_VALUE"""),45230.0)</f>
        <v>45230</v>
      </c>
      <c r="C43" s="3">
        <f>IFERROR(__xludf.DUMMYFUNCTION("""COMPUTED_VALUE"""),0.037)</f>
        <v>0.037</v>
      </c>
    </row>
    <row r="44">
      <c r="A44" s="1" t="str">
        <f>IFERROR(__xludf.DUMMYFUNCTION("""COMPUTED_VALUE"""),"254회")</f>
        <v>254회</v>
      </c>
      <c r="B44" s="2">
        <f>IFERROR(__xludf.DUMMYFUNCTION("""COMPUTED_VALUE"""),45237.0)</f>
        <v>45237</v>
      </c>
      <c r="C44" s="3">
        <f>IFERROR(__xludf.DUMMYFUNCTION("""COMPUTED_VALUE"""),0.052)</f>
        <v>0.052</v>
      </c>
    </row>
    <row r="45">
      <c r="A45" s="1" t="str">
        <f>IFERROR(__xludf.DUMMYFUNCTION("""COMPUTED_VALUE"""),"255회")</f>
        <v>255회</v>
      </c>
      <c r="B45" s="2">
        <f>IFERROR(__xludf.DUMMYFUNCTION("""COMPUTED_VALUE"""),45244.0)</f>
        <v>45244</v>
      </c>
      <c r="C45" s="3">
        <f>IFERROR(__xludf.DUMMYFUNCTION("""COMPUTED_VALUE"""),0.05)</f>
        <v>0.05</v>
      </c>
    </row>
    <row r="46">
      <c r="A46" s="1" t="str">
        <f>IFERROR(__xludf.DUMMYFUNCTION("""COMPUTED_VALUE"""),"256회")</f>
        <v>256회</v>
      </c>
      <c r="B46" s="2">
        <f>IFERROR(__xludf.DUMMYFUNCTION("""COMPUTED_VALUE"""),45251.0)</f>
        <v>45251</v>
      </c>
      <c r="C46" s="3">
        <f>IFERROR(__xludf.DUMMYFUNCTION("""COMPUTED_VALUE"""),0.045)</f>
        <v>0.045</v>
      </c>
    </row>
    <row r="47">
      <c r="A47" s="1" t="str">
        <f>IFERROR(__xludf.DUMMYFUNCTION("""COMPUTED_VALUE"""),"257회")</f>
        <v>257회</v>
      </c>
      <c r="B47" s="2">
        <f>IFERROR(__xludf.DUMMYFUNCTION("""COMPUTED_VALUE"""),45258.0)</f>
        <v>45258</v>
      </c>
      <c r="C47" s="3">
        <f>IFERROR(__xludf.DUMMYFUNCTION("""COMPUTED_VALUE"""),0.045)</f>
        <v>0.045</v>
      </c>
    </row>
    <row r="48">
      <c r="A48" s="1" t="str">
        <f>IFERROR(__xludf.DUMMYFUNCTION("""COMPUTED_VALUE"""),"258회")</f>
        <v>258회</v>
      </c>
      <c r="B48" s="2">
        <f>IFERROR(__xludf.DUMMYFUNCTION("""COMPUTED_VALUE"""),45265.0)</f>
        <v>45265</v>
      </c>
      <c r="C48" s="3">
        <f>IFERROR(__xludf.DUMMYFUNCTION("""COMPUTED_VALUE"""),0.047)</f>
        <v>0.047</v>
      </c>
    </row>
    <row r="49">
      <c r="A49" s="1" t="str">
        <f>IFERROR(__xludf.DUMMYFUNCTION("""COMPUTED_VALUE"""),"259회")</f>
        <v>259회</v>
      </c>
      <c r="B49" s="2">
        <f>IFERROR(__xludf.DUMMYFUNCTION("""COMPUTED_VALUE"""),45272.0)</f>
        <v>45272</v>
      </c>
      <c r="C49" s="3">
        <f>IFERROR(__xludf.DUMMYFUNCTION("""COMPUTED_VALUE"""),0.046)</f>
        <v>0.046</v>
      </c>
    </row>
    <row r="50">
      <c r="A50" s="1" t="str">
        <f>IFERROR(__xludf.DUMMYFUNCTION("""COMPUTED_VALUE"""),"260회")</f>
        <v>260회</v>
      </c>
      <c r="B50" s="2">
        <f>IFERROR(__xludf.DUMMYFUNCTION("""COMPUTED_VALUE"""),45279.0)</f>
        <v>45279</v>
      </c>
      <c r="C50" s="3">
        <f>IFERROR(__xludf.DUMMYFUNCTION("""COMPUTED_VALUE"""),0.042)</f>
        <v>0.042</v>
      </c>
    </row>
    <row r="51">
      <c r="A51" s="1" t="str">
        <f>IFERROR(__xludf.DUMMYFUNCTION("""COMPUTED_VALUE"""),"261회")</f>
        <v>261회</v>
      </c>
      <c r="B51" s="2">
        <f>IFERROR(__xludf.DUMMYFUNCTION("""COMPUTED_VALUE"""),45286.0)</f>
        <v>45286</v>
      </c>
      <c r="C51" s="3">
        <f>IFERROR(__xludf.DUMMYFUNCTION("""COMPUTED_VALUE"""),0.042)</f>
        <v>0.042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IFERROR(__xludf.DUMMYFUNCTION("IMPORTHTML(""https://ko.wikipedia.org/wiki/%EC%95%84%EB%8A%94_%ED%98%95%EB%8B%98"",""table"",11)"),"회차")</f>
        <v>회차</v>
      </c>
      <c r="B1" s="1" t="str">
        <f>IFERROR(__xludf.DUMMYFUNCTION("""COMPUTED_VALUE"""),"방송일자")</f>
        <v>방송일자</v>
      </c>
      <c r="C1" s="1" t="str">
        <f>IFERROR(__xludf.DUMMYFUNCTION("""COMPUTED_VALUE"""),"AGB 시청률[2]")</f>
        <v>AGB 시청률[2]</v>
      </c>
    </row>
    <row r="2">
      <c r="A2" s="1" t="str">
        <f>IFERROR(__xludf.DUMMYFUNCTION("""COMPUTED_VALUE"""),"262회")</f>
        <v>262회</v>
      </c>
      <c r="B2" s="2">
        <f>IFERROR(__xludf.DUMMYFUNCTION("""COMPUTED_VALUE"""),44928.0)</f>
        <v>44928</v>
      </c>
      <c r="C2" s="3">
        <f>IFERROR(__xludf.DUMMYFUNCTION("""COMPUTED_VALUE"""),0.072)</f>
        <v>0.072</v>
      </c>
    </row>
    <row r="3">
      <c r="A3" s="1" t="str">
        <f>IFERROR(__xludf.DUMMYFUNCTION("""COMPUTED_VALUE"""),"263회")</f>
        <v>263회</v>
      </c>
      <c r="B3" s="2">
        <f>IFERROR(__xludf.DUMMYFUNCTION("""COMPUTED_VALUE"""),44935.0)</f>
        <v>44935</v>
      </c>
      <c r="C3" s="3">
        <f>IFERROR(__xludf.DUMMYFUNCTION("""COMPUTED_VALUE"""),0.057)</f>
        <v>0.057</v>
      </c>
    </row>
    <row r="4">
      <c r="A4" s="1" t="str">
        <f>IFERROR(__xludf.DUMMYFUNCTION("""COMPUTED_VALUE"""),"264회")</f>
        <v>264회</v>
      </c>
      <c r="B4" s="2">
        <f>IFERROR(__xludf.DUMMYFUNCTION("""COMPUTED_VALUE"""),44942.0)</f>
        <v>44942</v>
      </c>
      <c r="C4" s="3">
        <f>IFERROR(__xludf.DUMMYFUNCTION("""COMPUTED_VALUE"""),0.042)</f>
        <v>0.042</v>
      </c>
    </row>
    <row r="5">
      <c r="A5" s="1" t="str">
        <f>IFERROR(__xludf.DUMMYFUNCTION("""COMPUTED_VALUE"""),"265회")</f>
        <v>265회</v>
      </c>
      <c r="B5" s="2">
        <f>IFERROR(__xludf.DUMMYFUNCTION("""COMPUTED_VALUE"""),44949.0)</f>
        <v>44949</v>
      </c>
      <c r="C5" s="3">
        <f>IFERROR(__xludf.DUMMYFUNCTION("""COMPUTED_VALUE"""),0.041)</f>
        <v>0.041</v>
      </c>
    </row>
    <row r="6">
      <c r="A6" s="1" t="str">
        <f>IFERROR(__xludf.DUMMYFUNCTION("""COMPUTED_VALUE"""),"266회")</f>
        <v>266회</v>
      </c>
      <c r="B6" s="2">
        <f>IFERROR(__xludf.DUMMYFUNCTION("""COMPUTED_VALUE"""),44956.0)</f>
        <v>44956</v>
      </c>
      <c r="C6" s="3">
        <f>IFERROR(__xludf.DUMMYFUNCTION("""COMPUTED_VALUE"""),0.045)</f>
        <v>0.045</v>
      </c>
    </row>
    <row r="7">
      <c r="A7" s="1" t="str">
        <f>IFERROR(__xludf.DUMMYFUNCTION("""COMPUTED_VALUE"""),"267회")</f>
        <v>267회</v>
      </c>
      <c r="B7" s="2">
        <f>IFERROR(__xludf.DUMMYFUNCTION("""COMPUTED_VALUE"""),44963.0)</f>
        <v>44963</v>
      </c>
      <c r="C7" s="3">
        <f>IFERROR(__xludf.DUMMYFUNCTION("""COMPUTED_VALUE"""),0.045)</f>
        <v>0.045</v>
      </c>
    </row>
    <row r="8">
      <c r="A8" s="1" t="str">
        <f>IFERROR(__xludf.DUMMYFUNCTION("""COMPUTED_VALUE"""),"268회")</f>
        <v>268회</v>
      </c>
      <c r="B8" s="2">
        <f>IFERROR(__xludf.DUMMYFUNCTION("""COMPUTED_VALUE"""),44977.0)</f>
        <v>44977</v>
      </c>
      <c r="C8" s="3">
        <f>IFERROR(__xludf.DUMMYFUNCTION("""COMPUTED_VALUE"""),0.03)</f>
        <v>0.03</v>
      </c>
    </row>
    <row r="9">
      <c r="A9" s="1" t="str">
        <f>IFERROR(__xludf.DUMMYFUNCTION("""COMPUTED_VALUE"""),"269회")</f>
        <v>269회</v>
      </c>
      <c r="B9" s="2">
        <f>IFERROR(__xludf.DUMMYFUNCTION("""COMPUTED_VALUE"""),44984.0)</f>
        <v>44984</v>
      </c>
      <c r="C9" s="3">
        <f>IFERROR(__xludf.DUMMYFUNCTION("""COMPUTED_VALUE"""),0.046)</f>
        <v>0.046</v>
      </c>
    </row>
    <row r="10">
      <c r="A10" s="1" t="str">
        <f>IFERROR(__xludf.DUMMYFUNCTION("""COMPUTED_VALUE"""),"270회")</f>
        <v>270회</v>
      </c>
      <c r="B10" s="2">
        <f>IFERROR(__xludf.DUMMYFUNCTION("""COMPUTED_VALUE"""),44991.0)</f>
        <v>44991</v>
      </c>
      <c r="C10" s="3">
        <f>IFERROR(__xludf.DUMMYFUNCTION("""COMPUTED_VALUE"""),0.044)</f>
        <v>0.044</v>
      </c>
    </row>
    <row r="11">
      <c r="A11" s="1" t="str">
        <f>IFERROR(__xludf.DUMMYFUNCTION("""COMPUTED_VALUE"""),"271회")</f>
        <v>271회</v>
      </c>
      <c r="B11" s="2">
        <f>IFERROR(__xludf.DUMMYFUNCTION("""COMPUTED_VALUE"""),44998.0)</f>
        <v>44998</v>
      </c>
      <c r="C11" s="3">
        <f>IFERROR(__xludf.DUMMYFUNCTION("""COMPUTED_VALUE"""),0.037)</f>
        <v>0.037</v>
      </c>
    </row>
    <row r="12">
      <c r="A12" s="1" t="str">
        <f>IFERROR(__xludf.DUMMYFUNCTION("""COMPUTED_VALUE"""),"272회")</f>
        <v>272회</v>
      </c>
      <c r="B12" s="2">
        <f>IFERROR(__xludf.DUMMYFUNCTION("""COMPUTED_VALUE"""),45005.0)</f>
        <v>45005</v>
      </c>
      <c r="C12" s="3">
        <f>IFERROR(__xludf.DUMMYFUNCTION("""COMPUTED_VALUE"""),0.037)</f>
        <v>0.037</v>
      </c>
    </row>
    <row r="13">
      <c r="A13" s="1" t="str">
        <f>IFERROR(__xludf.DUMMYFUNCTION("""COMPUTED_VALUE"""),"273회")</f>
        <v>273회</v>
      </c>
      <c r="B13" s="2">
        <f>IFERROR(__xludf.DUMMYFUNCTION("""COMPUTED_VALUE"""),45012.0)</f>
        <v>45012</v>
      </c>
      <c r="C13" s="3">
        <f>IFERROR(__xludf.DUMMYFUNCTION("""COMPUTED_VALUE"""),0.053)</f>
        <v>0.053</v>
      </c>
    </row>
    <row r="14">
      <c r="A14" s="1" t="str">
        <f>IFERROR(__xludf.DUMMYFUNCTION("""COMPUTED_VALUE"""),"274회")</f>
        <v>274회</v>
      </c>
      <c r="B14" s="2">
        <f>IFERROR(__xludf.DUMMYFUNCTION("""COMPUTED_VALUE"""),45019.0)</f>
        <v>45019</v>
      </c>
      <c r="C14" s="3">
        <f>IFERROR(__xludf.DUMMYFUNCTION("""COMPUTED_VALUE"""),0.038)</f>
        <v>0.038</v>
      </c>
    </row>
    <row r="15">
      <c r="A15" s="1" t="str">
        <f>IFERROR(__xludf.DUMMYFUNCTION("""COMPUTED_VALUE"""),"275회")</f>
        <v>275회</v>
      </c>
      <c r="B15" s="2">
        <f>IFERROR(__xludf.DUMMYFUNCTION("""COMPUTED_VALUE"""),45026.0)</f>
        <v>45026</v>
      </c>
      <c r="C15" s="3">
        <f>IFERROR(__xludf.DUMMYFUNCTION("""COMPUTED_VALUE"""),0.049)</f>
        <v>0.049</v>
      </c>
    </row>
    <row r="16">
      <c r="A16" s="1" t="str">
        <f>IFERROR(__xludf.DUMMYFUNCTION("""COMPUTED_VALUE"""),"276회")</f>
        <v>276회</v>
      </c>
      <c r="B16" s="2">
        <f>IFERROR(__xludf.DUMMYFUNCTION("""COMPUTED_VALUE"""),45033.0)</f>
        <v>45033</v>
      </c>
      <c r="C16" s="3">
        <f>IFERROR(__xludf.DUMMYFUNCTION("""COMPUTED_VALUE"""),0.041)</f>
        <v>0.041</v>
      </c>
    </row>
    <row r="17">
      <c r="A17" s="1" t="str">
        <f>IFERROR(__xludf.DUMMYFUNCTION("""COMPUTED_VALUE"""),"277회")</f>
        <v>277회</v>
      </c>
      <c r="B17" s="2">
        <f>IFERROR(__xludf.DUMMYFUNCTION("""COMPUTED_VALUE"""),45040.0)</f>
        <v>45040</v>
      </c>
      <c r="C17" s="3">
        <f>IFERROR(__xludf.DUMMYFUNCTION("""COMPUTED_VALUE"""),0.03)</f>
        <v>0.03</v>
      </c>
    </row>
    <row r="18">
      <c r="A18" s="1" t="str">
        <f>IFERROR(__xludf.DUMMYFUNCTION("""COMPUTED_VALUE"""),"278회")</f>
        <v>278회</v>
      </c>
      <c r="B18" s="2">
        <f>IFERROR(__xludf.DUMMYFUNCTION("""COMPUTED_VALUE"""),45047.0)</f>
        <v>45047</v>
      </c>
      <c r="C18" s="3">
        <f>IFERROR(__xludf.DUMMYFUNCTION("""COMPUTED_VALUE"""),0.024)</f>
        <v>0.024</v>
      </c>
    </row>
    <row r="19">
      <c r="A19" s="1" t="str">
        <f>IFERROR(__xludf.DUMMYFUNCTION("""COMPUTED_VALUE"""),"279회")</f>
        <v>279회</v>
      </c>
      <c r="B19" s="2">
        <f>IFERROR(__xludf.DUMMYFUNCTION("""COMPUTED_VALUE"""),45054.0)</f>
        <v>45054</v>
      </c>
      <c r="C19" s="3">
        <f>IFERROR(__xludf.DUMMYFUNCTION("""COMPUTED_VALUE"""),0.033)</f>
        <v>0.033</v>
      </c>
    </row>
    <row r="20">
      <c r="A20" s="1" t="str">
        <f>IFERROR(__xludf.DUMMYFUNCTION("""COMPUTED_VALUE"""),"280회")</f>
        <v>280회</v>
      </c>
      <c r="B20" s="2">
        <f>IFERROR(__xludf.DUMMYFUNCTION("""COMPUTED_VALUE"""),45061.0)</f>
        <v>45061</v>
      </c>
      <c r="C20" s="3">
        <f>IFERROR(__xludf.DUMMYFUNCTION("""COMPUTED_VALUE"""),0.037)</f>
        <v>0.037</v>
      </c>
    </row>
    <row r="21">
      <c r="A21" s="1" t="str">
        <f>IFERROR(__xludf.DUMMYFUNCTION("""COMPUTED_VALUE"""),"281회")</f>
        <v>281회</v>
      </c>
      <c r="B21" s="2">
        <f>IFERROR(__xludf.DUMMYFUNCTION("""COMPUTED_VALUE"""),45068.0)</f>
        <v>45068</v>
      </c>
      <c r="C21" s="3">
        <f>IFERROR(__xludf.DUMMYFUNCTION("""COMPUTED_VALUE"""),0.039)</f>
        <v>0.039</v>
      </c>
    </row>
    <row r="22">
      <c r="A22" s="1" t="str">
        <f>IFERROR(__xludf.DUMMYFUNCTION("""COMPUTED_VALUE"""),"282회")</f>
        <v>282회</v>
      </c>
      <c r="B22" s="2">
        <f>IFERROR(__xludf.DUMMYFUNCTION("""COMPUTED_VALUE"""),45075.0)</f>
        <v>45075</v>
      </c>
      <c r="C22" s="3">
        <f>IFERROR(__xludf.DUMMYFUNCTION("""COMPUTED_VALUE"""),0.03)</f>
        <v>0.03</v>
      </c>
    </row>
    <row r="23">
      <c r="A23" s="1" t="str">
        <f>IFERROR(__xludf.DUMMYFUNCTION("""COMPUTED_VALUE"""),"283회")</f>
        <v>283회</v>
      </c>
      <c r="B23" s="2">
        <f>IFERROR(__xludf.DUMMYFUNCTION("""COMPUTED_VALUE"""),45082.0)</f>
        <v>45082</v>
      </c>
      <c r="C23" s="3">
        <f>IFERROR(__xludf.DUMMYFUNCTION("""COMPUTED_VALUE"""),0.025)</f>
        <v>0.025</v>
      </c>
    </row>
    <row r="24">
      <c r="A24" s="1" t="str">
        <f>IFERROR(__xludf.DUMMYFUNCTION("""COMPUTED_VALUE"""),"284회")</f>
        <v>284회</v>
      </c>
      <c r="B24" s="2">
        <f>IFERROR(__xludf.DUMMYFUNCTION("""COMPUTED_VALUE"""),45089.0)</f>
        <v>45089</v>
      </c>
      <c r="C24" s="3">
        <f>IFERROR(__xludf.DUMMYFUNCTION("""COMPUTED_VALUE"""),0.037)</f>
        <v>0.037</v>
      </c>
    </row>
    <row r="25">
      <c r="A25" s="1" t="str">
        <f>IFERROR(__xludf.DUMMYFUNCTION("""COMPUTED_VALUE"""),"285회")</f>
        <v>285회</v>
      </c>
      <c r="B25" s="2">
        <f>IFERROR(__xludf.DUMMYFUNCTION("""COMPUTED_VALUE"""),45096.0)</f>
        <v>45096</v>
      </c>
      <c r="C25" s="3">
        <f>IFERROR(__xludf.DUMMYFUNCTION("""COMPUTED_VALUE"""),0.034)</f>
        <v>0.034</v>
      </c>
    </row>
    <row r="26">
      <c r="A26" s="1" t="str">
        <f>IFERROR(__xludf.DUMMYFUNCTION("""COMPUTED_VALUE"""),"286회")</f>
        <v>286회</v>
      </c>
      <c r="B26" s="2">
        <f>IFERROR(__xludf.DUMMYFUNCTION("""COMPUTED_VALUE"""),45103.0)</f>
        <v>45103</v>
      </c>
      <c r="C26" s="3">
        <f>IFERROR(__xludf.DUMMYFUNCTION("""COMPUTED_VALUE"""),0.034)</f>
        <v>0.034</v>
      </c>
    </row>
    <row r="27">
      <c r="A27" s="1" t="str">
        <f>IFERROR(__xludf.DUMMYFUNCTION("""COMPUTED_VALUE"""),"287회")</f>
        <v>287회</v>
      </c>
      <c r="B27" s="2">
        <f>IFERROR(__xludf.DUMMYFUNCTION("""COMPUTED_VALUE"""),45110.0)</f>
        <v>45110</v>
      </c>
      <c r="C27" s="3">
        <f>IFERROR(__xludf.DUMMYFUNCTION("""COMPUTED_VALUE"""),0.043)</f>
        <v>0.043</v>
      </c>
    </row>
    <row r="28">
      <c r="A28" s="1" t="str">
        <f>IFERROR(__xludf.DUMMYFUNCTION("""COMPUTED_VALUE"""),"288회")</f>
        <v>288회</v>
      </c>
      <c r="B28" s="2">
        <f>IFERROR(__xludf.DUMMYFUNCTION("""COMPUTED_VALUE"""),45117.0)</f>
        <v>45117</v>
      </c>
      <c r="C28" s="3">
        <f>IFERROR(__xludf.DUMMYFUNCTION("""COMPUTED_VALUE"""),0.039)</f>
        <v>0.039</v>
      </c>
    </row>
    <row r="29">
      <c r="A29" s="1" t="str">
        <f>IFERROR(__xludf.DUMMYFUNCTION("""COMPUTED_VALUE"""),"289회")</f>
        <v>289회</v>
      </c>
      <c r="B29" s="2">
        <f>IFERROR(__xludf.DUMMYFUNCTION("""COMPUTED_VALUE"""),45124.0)</f>
        <v>45124</v>
      </c>
      <c r="C29" s="3">
        <f>IFERROR(__xludf.DUMMYFUNCTION("""COMPUTED_VALUE"""),0.042)</f>
        <v>0.042</v>
      </c>
    </row>
    <row r="30">
      <c r="A30" s="1" t="str">
        <f>IFERROR(__xludf.DUMMYFUNCTION("""COMPUTED_VALUE"""),"290회")</f>
        <v>290회</v>
      </c>
      <c r="B30" s="2">
        <f>IFERROR(__xludf.DUMMYFUNCTION("""COMPUTED_VALUE"""),45131.0)</f>
        <v>45131</v>
      </c>
      <c r="C30" s="3">
        <f>IFERROR(__xludf.DUMMYFUNCTION("""COMPUTED_VALUE"""),0.036)</f>
        <v>0.036</v>
      </c>
    </row>
    <row r="31">
      <c r="A31" s="1" t="str">
        <f>IFERROR(__xludf.DUMMYFUNCTION("""COMPUTED_VALUE"""),"291회")</f>
        <v>291회</v>
      </c>
      <c r="B31" s="2">
        <f>IFERROR(__xludf.DUMMYFUNCTION("""COMPUTED_VALUE"""),45138.0)</f>
        <v>45138</v>
      </c>
      <c r="C31" s="3">
        <f>IFERROR(__xludf.DUMMYFUNCTION("""COMPUTED_VALUE"""),0.036)</f>
        <v>0.036</v>
      </c>
    </row>
    <row r="32">
      <c r="A32" s="1" t="str">
        <f>IFERROR(__xludf.DUMMYFUNCTION("""COMPUTED_VALUE"""),"292회")</f>
        <v>292회</v>
      </c>
      <c r="B32" s="2">
        <f>IFERROR(__xludf.DUMMYFUNCTION("""COMPUTED_VALUE"""),45145.0)</f>
        <v>45145</v>
      </c>
      <c r="C32" s="3">
        <f>IFERROR(__xludf.DUMMYFUNCTION("""COMPUTED_VALUE"""),0.037)</f>
        <v>0.037</v>
      </c>
    </row>
    <row r="33">
      <c r="A33" s="1" t="str">
        <f>IFERROR(__xludf.DUMMYFUNCTION("""COMPUTED_VALUE"""),"293회")</f>
        <v>293회</v>
      </c>
      <c r="B33" s="2">
        <f>IFERROR(__xludf.DUMMYFUNCTION("""COMPUTED_VALUE"""),45152.0)</f>
        <v>45152</v>
      </c>
      <c r="C33" s="3">
        <f>IFERROR(__xludf.DUMMYFUNCTION("""COMPUTED_VALUE"""),0.066)</f>
        <v>0.066</v>
      </c>
    </row>
    <row r="34">
      <c r="A34" s="1" t="str">
        <f>IFERROR(__xludf.DUMMYFUNCTION("""COMPUTED_VALUE"""),"294회")</f>
        <v>294회</v>
      </c>
      <c r="B34" s="2">
        <f>IFERROR(__xludf.DUMMYFUNCTION("""COMPUTED_VALUE"""),45159.0)</f>
        <v>45159</v>
      </c>
      <c r="C34" s="3">
        <f>IFERROR(__xludf.DUMMYFUNCTION("""COMPUTED_VALUE"""),0.056)</f>
        <v>0.056</v>
      </c>
    </row>
    <row r="35">
      <c r="A35" s="1" t="str">
        <f>IFERROR(__xludf.DUMMYFUNCTION("""COMPUTED_VALUE"""),"295회")</f>
        <v>295회</v>
      </c>
      <c r="B35" s="2">
        <f>IFERROR(__xludf.DUMMYFUNCTION("""COMPUTED_VALUE"""),45166.0)</f>
        <v>45166</v>
      </c>
      <c r="C35" s="3">
        <f>IFERROR(__xludf.DUMMYFUNCTION("""COMPUTED_VALUE"""),0.04)</f>
        <v>0.04</v>
      </c>
    </row>
    <row r="36">
      <c r="A36" s="1" t="str">
        <f>IFERROR(__xludf.DUMMYFUNCTION("""COMPUTED_VALUE"""),"296회")</f>
        <v>296회</v>
      </c>
      <c r="B36" s="2">
        <f>IFERROR(__xludf.DUMMYFUNCTION("""COMPUTED_VALUE"""),45173.0)</f>
        <v>45173</v>
      </c>
      <c r="C36" s="3">
        <f>IFERROR(__xludf.DUMMYFUNCTION("""COMPUTED_VALUE"""),0.036)</f>
        <v>0.036</v>
      </c>
    </row>
    <row r="37">
      <c r="A37" s="1" t="str">
        <f>IFERROR(__xludf.DUMMYFUNCTION("""COMPUTED_VALUE"""),"297회")</f>
        <v>297회</v>
      </c>
      <c r="B37" s="2">
        <f>IFERROR(__xludf.DUMMYFUNCTION("""COMPUTED_VALUE"""),45180.0)</f>
        <v>45180</v>
      </c>
      <c r="C37" s="3">
        <f>IFERROR(__xludf.DUMMYFUNCTION("""COMPUTED_VALUE"""),0.019)</f>
        <v>0.019</v>
      </c>
    </row>
    <row r="38">
      <c r="A38" s="1" t="str">
        <f>IFERROR(__xludf.DUMMYFUNCTION("""COMPUTED_VALUE"""),"298회")</f>
        <v>298회</v>
      </c>
      <c r="B38" s="2">
        <f>IFERROR(__xludf.DUMMYFUNCTION("""COMPUTED_VALUE"""),45187.0)</f>
        <v>45187</v>
      </c>
      <c r="C38" s="3">
        <f>IFERROR(__xludf.DUMMYFUNCTION("""COMPUTED_VALUE"""),0.02)</f>
        <v>0.02</v>
      </c>
    </row>
    <row r="39">
      <c r="A39" s="1" t="str">
        <f>IFERROR(__xludf.DUMMYFUNCTION("""COMPUTED_VALUE"""),"299회")</f>
        <v>299회</v>
      </c>
      <c r="B39" s="2">
        <f>IFERROR(__xludf.DUMMYFUNCTION("""COMPUTED_VALUE"""),45194.0)</f>
        <v>45194</v>
      </c>
      <c r="C39" s="3">
        <f>IFERROR(__xludf.DUMMYFUNCTION("""COMPUTED_VALUE"""),0.026)</f>
        <v>0.026</v>
      </c>
    </row>
    <row r="40">
      <c r="A40" s="1" t="str">
        <f>IFERROR(__xludf.DUMMYFUNCTION("""COMPUTED_VALUE"""),"300회")</f>
        <v>300회</v>
      </c>
      <c r="B40" s="2">
        <f>IFERROR(__xludf.DUMMYFUNCTION("""COMPUTED_VALUE"""),45201.0)</f>
        <v>45201</v>
      </c>
      <c r="C40" s="3">
        <f>IFERROR(__xludf.DUMMYFUNCTION("""COMPUTED_VALUE"""),0.03)</f>
        <v>0.03</v>
      </c>
    </row>
    <row r="41">
      <c r="A41" s="1" t="str">
        <f>IFERROR(__xludf.DUMMYFUNCTION("""COMPUTED_VALUE"""),"301회")</f>
        <v>301회</v>
      </c>
      <c r="B41" s="2">
        <f>IFERROR(__xludf.DUMMYFUNCTION("""COMPUTED_VALUE"""),45208.0)</f>
        <v>45208</v>
      </c>
      <c r="C41" s="3">
        <f>IFERROR(__xludf.DUMMYFUNCTION("""COMPUTED_VALUE"""),0.026)</f>
        <v>0.026</v>
      </c>
    </row>
    <row r="42">
      <c r="A42" s="1" t="str">
        <f>IFERROR(__xludf.DUMMYFUNCTION("""COMPUTED_VALUE"""),"302회")</f>
        <v>302회</v>
      </c>
      <c r="B42" s="2">
        <f>IFERROR(__xludf.DUMMYFUNCTION("""COMPUTED_VALUE"""),45215.0)</f>
        <v>45215</v>
      </c>
      <c r="C42" s="3">
        <f>IFERROR(__xludf.DUMMYFUNCTION("""COMPUTED_VALUE"""),0.025)</f>
        <v>0.025</v>
      </c>
    </row>
    <row r="43">
      <c r="A43" s="1" t="str">
        <f>IFERROR(__xludf.DUMMYFUNCTION("""COMPUTED_VALUE"""),"303회")</f>
        <v>303회</v>
      </c>
      <c r="B43" s="2">
        <f>IFERROR(__xludf.DUMMYFUNCTION("""COMPUTED_VALUE"""),45222.0)</f>
        <v>45222</v>
      </c>
      <c r="C43" s="3">
        <f>IFERROR(__xludf.DUMMYFUNCTION("""COMPUTED_VALUE"""),0.019)</f>
        <v>0.019</v>
      </c>
    </row>
    <row r="44">
      <c r="A44" s="1" t="str">
        <f>IFERROR(__xludf.DUMMYFUNCTION("""COMPUTED_VALUE"""),"304회")</f>
        <v>304회</v>
      </c>
      <c r="B44" s="2">
        <f>IFERROR(__xludf.DUMMYFUNCTION("""COMPUTED_VALUE"""),45229.0)</f>
        <v>45229</v>
      </c>
      <c r="C44" s="3">
        <f>IFERROR(__xludf.DUMMYFUNCTION("""COMPUTED_VALUE"""),0.024)</f>
        <v>0.024</v>
      </c>
    </row>
    <row r="45">
      <c r="A45" s="1" t="str">
        <f>IFERROR(__xludf.DUMMYFUNCTION("""COMPUTED_VALUE"""),"305회")</f>
        <v>305회</v>
      </c>
      <c r="B45" s="2">
        <f>IFERROR(__xludf.DUMMYFUNCTION("""COMPUTED_VALUE"""),45236.0)</f>
        <v>45236</v>
      </c>
      <c r="C45" s="3">
        <f>IFERROR(__xludf.DUMMYFUNCTION("""COMPUTED_VALUE"""),0.023)</f>
        <v>0.023</v>
      </c>
    </row>
    <row r="46">
      <c r="A46" s="1" t="str">
        <f>IFERROR(__xludf.DUMMYFUNCTION("""COMPUTED_VALUE"""),"306회")</f>
        <v>306회</v>
      </c>
      <c r="B46" s="2">
        <f>IFERROR(__xludf.DUMMYFUNCTION("""COMPUTED_VALUE"""),45243.0)</f>
        <v>45243</v>
      </c>
      <c r="C46" s="3">
        <f>IFERROR(__xludf.DUMMYFUNCTION("""COMPUTED_VALUE"""),0.023)</f>
        <v>0.023</v>
      </c>
    </row>
    <row r="47">
      <c r="A47" s="1" t="str">
        <f>IFERROR(__xludf.DUMMYFUNCTION("""COMPUTED_VALUE"""),"307회")</f>
        <v>307회</v>
      </c>
      <c r="B47" s="2">
        <f>IFERROR(__xludf.DUMMYFUNCTION("""COMPUTED_VALUE"""),45250.0)</f>
        <v>45250</v>
      </c>
      <c r="C47" s="3">
        <f>IFERROR(__xludf.DUMMYFUNCTION("""COMPUTED_VALUE"""),0.035)</f>
        <v>0.035</v>
      </c>
    </row>
    <row r="48">
      <c r="A48" s="1" t="str">
        <f>IFERROR(__xludf.DUMMYFUNCTION("""COMPUTED_VALUE"""),"308회")</f>
        <v>308회</v>
      </c>
      <c r="B48" s="2">
        <f>IFERROR(__xludf.DUMMYFUNCTION("""COMPUTED_VALUE"""),45257.0)</f>
        <v>45257</v>
      </c>
      <c r="C48" s="3">
        <f>IFERROR(__xludf.DUMMYFUNCTION("""COMPUTED_VALUE"""),0.028)</f>
        <v>0.028</v>
      </c>
    </row>
    <row r="49">
      <c r="A49" s="1" t="str">
        <f>IFERROR(__xludf.DUMMYFUNCTION("""COMPUTED_VALUE"""),"309회")</f>
        <v>309회</v>
      </c>
      <c r="B49" s="2">
        <f>IFERROR(__xludf.DUMMYFUNCTION("""COMPUTED_VALUE"""),45264.0)</f>
        <v>45264</v>
      </c>
      <c r="C49" s="3">
        <f>IFERROR(__xludf.DUMMYFUNCTION("""COMPUTED_VALUE"""),0.03)</f>
        <v>0.03</v>
      </c>
    </row>
    <row r="50">
      <c r="A50" s="1" t="str">
        <f>IFERROR(__xludf.DUMMYFUNCTION("""COMPUTED_VALUE"""),"310회")</f>
        <v>310회</v>
      </c>
      <c r="B50" s="2">
        <f>IFERROR(__xludf.DUMMYFUNCTION("""COMPUTED_VALUE"""),45271.0)</f>
        <v>45271</v>
      </c>
      <c r="C50" s="3">
        <f>IFERROR(__xludf.DUMMYFUNCTION("""COMPUTED_VALUE"""),0.038)</f>
        <v>0.038</v>
      </c>
    </row>
    <row r="51">
      <c r="A51" s="1" t="str">
        <f>IFERROR(__xludf.DUMMYFUNCTION("""COMPUTED_VALUE"""),"311회")</f>
        <v>311회</v>
      </c>
      <c r="B51" s="2">
        <f>IFERROR(__xludf.DUMMYFUNCTION("""COMPUTED_VALUE"""),45278.0)</f>
        <v>45278</v>
      </c>
      <c r="C51" s="3">
        <f>IFERROR(__xludf.DUMMYFUNCTION("""COMPUTED_VALUE"""),0.023)</f>
        <v>0.023</v>
      </c>
    </row>
    <row r="52">
      <c r="A52" s="1" t="str">
        <f>IFERROR(__xludf.DUMMYFUNCTION("""COMPUTED_VALUE"""),"312회")</f>
        <v>312회</v>
      </c>
      <c r="B52" s="2">
        <f>IFERROR(__xludf.DUMMYFUNCTION("""COMPUTED_VALUE"""),45285.0)</f>
        <v>45285</v>
      </c>
      <c r="C52" s="3">
        <f>IFERROR(__xludf.DUMMYFUNCTION("""COMPUTED_VALUE"""),0.028)</f>
        <v>0.028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IFERROR(__xludf.DUMMYFUNCTION("IMPORTHTML(""https://ko.wikipedia.org/wiki/%EC%95%84%EB%8A%94_%ED%98%95%EB%8B%98"",""table"",12)"),"회차")</f>
        <v>회차</v>
      </c>
      <c r="B1" s="1" t="str">
        <f>IFERROR(__xludf.DUMMYFUNCTION("""COMPUTED_VALUE"""),"방송일자")</f>
        <v>방송일자</v>
      </c>
      <c r="C1" s="1" t="str">
        <f>IFERROR(__xludf.DUMMYFUNCTION("""COMPUTED_VALUE"""),"AGB 시청률[2]")</f>
        <v>AGB 시청률[2]</v>
      </c>
    </row>
    <row r="2">
      <c r="A2" s="1" t="str">
        <f>IFERROR(__xludf.DUMMYFUNCTION("""COMPUTED_VALUE"""),"313회")</f>
        <v>313회</v>
      </c>
      <c r="B2" s="2">
        <f>IFERROR(__xludf.DUMMYFUNCTION("""COMPUTED_VALUE"""),44927.0)</f>
        <v>44927</v>
      </c>
      <c r="C2" s="3">
        <f>IFERROR(__xludf.DUMMYFUNCTION("""COMPUTED_VALUE"""),0.034)</f>
        <v>0.034</v>
      </c>
    </row>
    <row r="3">
      <c r="A3" s="1" t="str">
        <f>IFERROR(__xludf.DUMMYFUNCTION("""COMPUTED_VALUE"""),"314회")</f>
        <v>314회</v>
      </c>
      <c r="B3" s="2">
        <f>IFERROR(__xludf.DUMMYFUNCTION("""COMPUTED_VALUE"""),44934.0)</f>
        <v>44934</v>
      </c>
      <c r="C3" s="3">
        <f>IFERROR(__xludf.DUMMYFUNCTION("""COMPUTED_VALUE"""),0.035)</f>
        <v>0.035</v>
      </c>
    </row>
    <row r="4">
      <c r="A4" s="1" t="str">
        <f>IFERROR(__xludf.DUMMYFUNCTION("""COMPUTED_VALUE"""),"315회")</f>
        <v>315회</v>
      </c>
      <c r="B4" s="2">
        <f>IFERROR(__xludf.DUMMYFUNCTION("""COMPUTED_VALUE"""),44941.0)</f>
        <v>44941</v>
      </c>
      <c r="C4" s="3">
        <f>IFERROR(__xludf.DUMMYFUNCTION("""COMPUTED_VALUE"""),0.039)</f>
        <v>0.039</v>
      </c>
    </row>
    <row r="5">
      <c r="A5" s="1" t="str">
        <f>IFERROR(__xludf.DUMMYFUNCTION("""COMPUTED_VALUE"""),"316회")</f>
        <v>316회</v>
      </c>
      <c r="B5" s="2">
        <f>IFERROR(__xludf.DUMMYFUNCTION("""COMPUTED_VALUE"""),44948.0)</f>
        <v>44948</v>
      </c>
      <c r="C5" s="3">
        <f>IFERROR(__xludf.DUMMYFUNCTION("""COMPUTED_VALUE"""),0.031)</f>
        <v>0.031</v>
      </c>
    </row>
    <row r="6">
      <c r="A6" s="1" t="str">
        <f>IFERROR(__xludf.DUMMYFUNCTION("""COMPUTED_VALUE"""),"317회")</f>
        <v>317회</v>
      </c>
      <c r="B6" s="2">
        <f>IFERROR(__xludf.DUMMYFUNCTION("""COMPUTED_VALUE"""),44955.0)</f>
        <v>44955</v>
      </c>
      <c r="C6" s="3">
        <f>IFERROR(__xludf.DUMMYFUNCTION("""COMPUTED_VALUE"""),0.035)</f>
        <v>0.035</v>
      </c>
    </row>
    <row r="7">
      <c r="A7" s="1" t="str">
        <f>IFERROR(__xludf.DUMMYFUNCTION("""COMPUTED_VALUE"""),"318회")</f>
        <v>318회</v>
      </c>
      <c r="B7" s="2">
        <f>IFERROR(__xludf.DUMMYFUNCTION("""COMPUTED_VALUE"""),44962.0)</f>
        <v>44962</v>
      </c>
      <c r="C7" s="3">
        <f>IFERROR(__xludf.DUMMYFUNCTION("""COMPUTED_VALUE"""),0.038)</f>
        <v>0.038</v>
      </c>
    </row>
    <row r="8">
      <c r="A8" s="1" t="str">
        <f>IFERROR(__xludf.DUMMYFUNCTION("""COMPUTED_VALUE"""),"319회")</f>
        <v>319회</v>
      </c>
      <c r="B8" s="2">
        <f>IFERROR(__xludf.DUMMYFUNCTION("""COMPUTED_VALUE"""),44969.0)</f>
        <v>44969</v>
      </c>
      <c r="C8" s="3">
        <f>IFERROR(__xludf.DUMMYFUNCTION("""COMPUTED_VALUE"""),0.04)</f>
        <v>0.04</v>
      </c>
    </row>
    <row r="9">
      <c r="A9" s="1" t="str">
        <f>IFERROR(__xludf.DUMMYFUNCTION("""COMPUTED_VALUE"""),"320회")</f>
        <v>320회</v>
      </c>
      <c r="B9" s="2">
        <f>IFERROR(__xludf.DUMMYFUNCTION("""COMPUTED_VALUE"""),44976.0)</f>
        <v>44976</v>
      </c>
      <c r="C9" s="3">
        <f>IFERROR(__xludf.DUMMYFUNCTION("""COMPUTED_VALUE"""),0.052)</f>
        <v>0.052</v>
      </c>
    </row>
    <row r="10">
      <c r="A10" s="1" t="str">
        <f>IFERROR(__xludf.DUMMYFUNCTION("""COMPUTED_VALUE"""),"321회")</f>
        <v>321회</v>
      </c>
      <c r="B10" s="2">
        <f>IFERROR(__xludf.DUMMYFUNCTION("""COMPUTED_VALUE"""),44983.0)</f>
        <v>44983</v>
      </c>
      <c r="C10" s="3">
        <f>IFERROR(__xludf.DUMMYFUNCTION("""COMPUTED_VALUE"""),0.022)</f>
        <v>0.022</v>
      </c>
    </row>
    <row r="11">
      <c r="A11" s="1" t="str">
        <f>IFERROR(__xludf.DUMMYFUNCTION("""COMPUTED_VALUE"""),"322회")</f>
        <v>322회</v>
      </c>
      <c r="B11" s="2">
        <f>IFERROR(__xludf.DUMMYFUNCTION("""COMPUTED_VALUE"""),44990.0)</f>
        <v>44990</v>
      </c>
      <c r="C11" s="3">
        <f>IFERROR(__xludf.DUMMYFUNCTION("""COMPUTED_VALUE"""),0.043)</f>
        <v>0.043</v>
      </c>
    </row>
    <row r="12">
      <c r="A12" s="1" t="str">
        <f>IFERROR(__xludf.DUMMYFUNCTION("""COMPUTED_VALUE"""),"323회")</f>
        <v>323회</v>
      </c>
      <c r="B12" s="2">
        <f>IFERROR(__xludf.DUMMYFUNCTION("""COMPUTED_VALUE"""),44997.0)</f>
        <v>44997</v>
      </c>
      <c r="C12" s="3">
        <f>IFERROR(__xludf.DUMMYFUNCTION("""COMPUTED_VALUE"""),0.02)</f>
        <v>0.02</v>
      </c>
    </row>
    <row r="13">
      <c r="A13" s="1" t="str">
        <f>IFERROR(__xludf.DUMMYFUNCTION("""COMPUTED_VALUE"""),"324회")</f>
        <v>324회</v>
      </c>
      <c r="B13" s="2">
        <f>IFERROR(__xludf.DUMMYFUNCTION("""COMPUTED_VALUE"""),45004.0)</f>
        <v>45004</v>
      </c>
      <c r="C13" s="3">
        <f>IFERROR(__xludf.DUMMYFUNCTION("""COMPUTED_VALUE"""),0.032)</f>
        <v>0.032</v>
      </c>
    </row>
    <row r="14">
      <c r="A14" s="1" t="str">
        <f>IFERROR(__xludf.DUMMYFUNCTION("""COMPUTED_VALUE"""),"325회")</f>
        <v>325회</v>
      </c>
      <c r="B14" s="2">
        <f>IFERROR(__xludf.DUMMYFUNCTION("""COMPUTED_VALUE"""),45011.0)</f>
        <v>45011</v>
      </c>
      <c r="C14" s="3">
        <f>IFERROR(__xludf.DUMMYFUNCTION("""COMPUTED_VALUE"""),0.023)</f>
        <v>0.023</v>
      </c>
    </row>
    <row r="15">
      <c r="A15" s="1" t="str">
        <f>IFERROR(__xludf.DUMMYFUNCTION("""COMPUTED_VALUE"""),"326회")</f>
        <v>326회</v>
      </c>
      <c r="B15" s="2">
        <f>IFERROR(__xludf.DUMMYFUNCTION("""COMPUTED_VALUE"""),45018.0)</f>
        <v>45018</v>
      </c>
      <c r="C15" s="3">
        <f>IFERROR(__xludf.DUMMYFUNCTION("""COMPUTED_VALUE"""),0.025)</f>
        <v>0.025</v>
      </c>
    </row>
    <row r="16">
      <c r="A16" s="1" t="str">
        <f>IFERROR(__xludf.DUMMYFUNCTION("""COMPUTED_VALUE"""),"327회")</f>
        <v>327회</v>
      </c>
      <c r="B16" s="2">
        <f>IFERROR(__xludf.DUMMYFUNCTION("""COMPUTED_VALUE"""),45025.0)</f>
        <v>45025</v>
      </c>
      <c r="C16" s="3">
        <f>IFERROR(__xludf.DUMMYFUNCTION("""COMPUTED_VALUE"""),0.033)</f>
        <v>0.033</v>
      </c>
    </row>
    <row r="17">
      <c r="A17" s="1" t="str">
        <f>IFERROR(__xludf.DUMMYFUNCTION("""COMPUTED_VALUE"""),"328회")</f>
        <v>328회</v>
      </c>
      <c r="B17" s="2">
        <f>IFERROR(__xludf.DUMMYFUNCTION("""COMPUTED_VALUE"""),45032.0)</f>
        <v>45032</v>
      </c>
      <c r="C17" s="3">
        <f>IFERROR(__xludf.DUMMYFUNCTION("""COMPUTED_VALUE"""),0.032)</f>
        <v>0.032</v>
      </c>
    </row>
    <row r="18">
      <c r="A18" s="1" t="str">
        <f>IFERROR(__xludf.DUMMYFUNCTION("""COMPUTED_VALUE"""),"329회")</f>
        <v>329회</v>
      </c>
      <c r="B18" s="2">
        <f>IFERROR(__xludf.DUMMYFUNCTION("""COMPUTED_VALUE"""),45039.0)</f>
        <v>45039</v>
      </c>
      <c r="C18" s="3">
        <f>IFERROR(__xludf.DUMMYFUNCTION("""COMPUTED_VALUE"""),0.033)</f>
        <v>0.033</v>
      </c>
    </row>
    <row r="19">
      <c r="A19" s="1" t="str">
        <f>IFERROR(__xludf.DUMMYFUNCTION("""COMPUTED_VALUE"""),"330회")</f>
        <v>330회</v>
      </c>
      <c r="B19" s="2">
        <f>IFERROR(__xludf.DUMMYFUNCTION("""COMPUTED_VALUE"""),45046.0)</f>
        <v>45046</v>
      </c>
      <c r="C19" s="3">
        <f>IFERROR(__xludf.DUMMYFUNCTION("""COMPUTED_VALUE"""),0.035)</f>
        <v>0.035</v>
      </c>
    </row>
    <row r="20">
      <c r="A20" s="1" t="str">
        <f>IFERROR(__xludf.DUMMYFUNCTION("""COMPUTED_VALUE"""),"331회")</f>
        <v>331회</v>
      </c>
      <c r="B20" s="2">
        <f>IFERROR(__xludf.DUMMYFUNCTION("""COMPUTED_VALUE"""),45053.0)</f>
        <v>45053</v>
      </c>
      <c r="C20" s="3">
        <f>IFERROR(__xludf.DUMMYFUNCTION("""COMPUTED_VALUE"""),0.022)</f>
        <v>0.022</v>
      </c>
    </row>
    <row r="21">
      <c r="A21" s="1" t="str">
        <f>IFERROR(__xludf.DUMMYFUNCTION("""COMPUTED_VALUE"""),"332회")</f>
        <v>332회</v>
      </c>
      <c r="B21" s="2">
        <f>IFERROR(__xludf.DUMMYFUNCTION("""COMPUTED_VALUE"""),45060.0)</f>
        <v>45060</v>
      </c>
      <c r="C21" s="3">
        <f>IFERROR(__xludf.DUMMYFUNCTION("""COMPUTED_VALUE"""),0.02)</f>
        <v>0.02</v>
      </c>
    </row>
    <row r="22">
      <c r="A22" s="1" t="str">
        <f>IFERROR(__xludf.DUMMYFUNCTION("""COMPUTED_VALUE"""),"333회")</f>
        <v>333회</v>
      </c>
      <c r="B22" s="2">
        <f>IFERROR(__xludf.DUMMYFUNCTION("""COMPUTED_VALUE"""),45067.0)</f>
        <v>45067</v>
      </c>
      <c r="C22" s="3">
        <f>IFERROR(__xludf.DUMMYFUNCTION("""COMPUTED_VALUE"""),0.024)</f>
        <v>0.024</v>
      </c>
    </row>
    <row r="23">
      <c r="A23" s="1" t="str">
        <f>IFERROR(__xludf.DUMMYFUNCTION("""COMPUTED_VALUE"""),"334회")</f>
        <v>334회</v>
      </c>
      <c r="B23" s="2">
        <f>IFERROR(__xludf.DUMMYFUNCTION("""COMPUTED_VALUE"""),45074.0)</f>
        <v>45074</v>
      </c>
      <c r="C23" s="3">
        <f>IFERROR(__xludf.DUMMYFUNCTION("""COMPUTED_VALUE"""),0.02)</f>
        <v>0.02</v>
      </c>
    </row>
    <row r="24">
      <c r="A24" s="1" t="str">
        <f>IFERROR(__xludf.DUMMYFUNCTION("""COMPUTED_VALUE"""),"335회")</f>
        <v>335회</v>
      </c>
      <c r="B24" s="2">
        <f>IFERROR(__xludf.DUMMYFUNCTION("""COMPUTED_VALUE"""),45081.0)</f>
        <v>45081</v>
      </c>
      <c r="C24" s="3">
        <f>IFERROR(__xludf.DUMMYFUNCTION("""COMPUTED_VALUE"""),0.024)</f>
        <v>0.024</v>
      </c>
    </row>
    <row r="25">
      <c r="A25" s="1" t="str">
        <f>IFERROR(__xludf.DUMMYFUNCTION("""COMPUTED_VALUE"""),"336회")</f>
        <v>336회</v>
      </c>
      <c r="B25" s="2">
        <f>IFERROR(__xludf.DUMMYFUNCTION("""COMPUTED_VALUE"""),45088.0)</f>
        <v>45088</v>
      </c>
      <c r="C25" s="3">
        <f>IFERROR(__xludf.DUMMYFUNCTION("""COMPUTED_VALUE"""),0.023)</f>
        <v>0.023</v>
      </c>
    </row>
    <row r="26">
      <c r="A26" s="1" t="str">
        <f>IFERROR(__xludf.DUMMYFUNCTION("""COMPUTED_VALUE"""),"337회")</f>
        <v>337회</v>
      </c>
      <c r="B26" s="2">
        <f>IFERROR(__xludf.DUMMYFUNCTION("""COMPUTED_VALUE"""),45095.0)</f>
        <v>45095</v>
      </c>
      <c r="C26" s="3">
        <f>IFERROR(__xludf.DUMMYFUNCTION("""COMPUTED_VALUE"""),0.031)</f>
        <v>0.031</v>
      </c>
    </row>
    <row r="27">
      <c r="A27" s="1" t="str">
        <f>IFERROR(__xludf.DUMMYFUNCTION("""COMPUTED_VALUE"""),"338회")</f>
        <v>338회</v>
      </c>
      <c r="B27" s="2">
        <f>IFERROR(__xludf.DUMMYFUNCTION("""COMPUTED_VALUE"""),45102.0)</f>
        <v>45102</v>
      </c>
      <c r="C27" s="3">
        <f>IFERROR(__xludf.DUMMYFUNCTION("""COMPUTED_VALUE"""),0.024)</f>
        <v>0.024</v>
      </c>
    </row>
    <row r="28">
      <c r="A28" s="1" t="str">
        <f>IFERROR(__xludf.DUMMYFUNCTION("""COMPUTED_VALUE"""),"339회")</f>
        <v>339회</v>
      </c>
      <c r="B28" s="2">
        <f>IFERROR(__xludf.DUMMYFUNCTION("""COMPUTED_VALUE"""),45109.0)</f>
        <v>45109</v>
      </c>
      <c r="C28" s="3">
        <f>IFERROR(__xludf.DUMMYFUNCTION("""COMPUTED_VALUE"""),0.026)</f>
        <v>0.026</v>
      </c>
    </row>
    <row r="29">
      <c r="A29" s="1" t="str">
        <f>IFERROR(__xludf.DUMMYFUNCTION("""COMPUTED_VALUE"""),"340회")</f>
        <v>340회</v>
      </c>
      <c r="B29" s="2">
        <f>IFERROR(__xludf.DUMMYFUNCTION("""COMPUTED_VALUE"""),45116.0)</f>
        <v>45116</v>
      </c>
      <c r="C29" s="3">
        <f>IFERROR(__xludf.DUMMYFUNCTION("""COMPUTED_VALUE"""),0.031)</f>
        <v>0.031</v>
      </c>
    </row>
    <row r="30">
      <c r="A30" s="1" t="str">
        <f>IFERROR(__xludf.DUMMYFUNCTION("""COMPUTED_VALUE"""),"341회")</f>
        <v>341회</v>
      </c>
      <c r="B30" s="2">
        <f>IFERROR(__xludf.DUMMYFUNCTION("""COMPUTED_VALUE"""),45123.0)</f>
        <v>45123</v>
      </c>
      <c r="C30" s="3">
        <f>IFERROR(__xludf.DUMMYFUNCTION("""COMPUTED_VALUE"""),0.026)</f>
        <v>0.026</v>
      </c>
    </row>
    <row r="31">
      <c r="A31" s="1" t="str">
        <f>IFERROR(__xludf.DUMMYFUNCTION("""COMPUTED_VALUE"""),"342회")</f>
        <v>342회</v>
      </c>
      <c r="B31" s="2">
        <f>IFERROR(__xludf.DUMMYFUNCTION("""COMPUTED_VALUE"""),45130.0)</f>
        <v>45130</v>
      </c>
      <c r="C31" s="3">
        <f>IFERROR(__xludf.DUMMYFUNCTION("""COMPUTED_VALUE"""),0.03)</f>
        <v>0.03</v>
      </c>
    </row>
    <row r="32">
      <c r="A32" s="1" t="str">
        <f>IFERROR(__xludf.DUMMYFUNCTION("""COMPUTED_VALUE"""),"343회")</f>
        <v>343회</v>
      </c>
      <c r="B32" s="2">
        <f>IFERROR(__xludf.DUMMYFUNCTION("""COMPUTED_VALUE"""),45137.0)</f>
        <v>45137</v>
      </c>
      <c r="C32" s="3">
        <f>IFERROR(__xludf.DUMMYFUNCTION("""COMPUTED_VALUE"""),0.036)</f>
        <v>0.036</v>
      </c>
    </row>
    <row r="33">
      <c r="A33" s="1" t="str">
        <f>IFERROR(__xludf.DUMMYFUNCTION("""COMPUTED_VALUE"""),"344회")</f>
        <v>344회</v>
      </c>
      <c r="B33" s="2">
        <f>IFERROR(__xludf.DUMMYFUNCTION("""COMPUTED_VALUE"""),45144.0)</f>
        <v>45144</v>
      </c>
      <c r="C33" s="3">
        <f>IFERROR(__xludf.DUMMYFUNCTION("""COMPUTED_VALUE"""),0.023)</f>
        <v>0.023</v>
      </c>
    </row>
    <row r="34">
      <c r="A34" s="1" t="str">
        <f>IFERROR(__xludf.DUMMYFUNCTION("""COMPUTED_VALUE"""),"345회")</f>
        <v>345회</v>
      </c>
      <c r="B34" s="2">
        <f>IFERROR(__xludf.DUMMYFUNCTION("""COMPUTED_VALUE"""),45151.0)</f>
        <v>45151</v>
      </c>
      <c r="C34" s="3">
        <f>IFERROR(__xludf.DUMMYFUNCTION("""COMPUTED_VALUE"""),0.035)</f>
        <v>0.035</v>
      </c>
    </row>
    <row r="35">
      <c r="A35" s="1" t="str">
        <f>IFERROR(__xludf.DUMMYFUNCTION("""COMPUTED_VALUE"""),"346회")</f>
        <v>346회</v>
      </c>
      <c r="B35" s="2">
        <f>IFERROR(__xludf.DUMMYFUNCTION("""COMPUTED_VALUE"""),45158.0)</f>
        <v>45158</v>
      </c>
      <c r="C35" s="3">
        <f>IFERROR(__xludf.DUMMYFUNCTION("""COMPUTED_VALUE"""),0.034)</f>
        <v>0.034</v>
      </c>
    </row>
    <row r="36">
      <c r="A36" s="1" t="str">
        <f>IFERROR(__xludf.DUMMYFUNCTION("""COMPUTED_VALUE"""),"347회")</f>
        <v>347회</v>
      </c>
      <c r="B36" s="2">
        <f>IFERROR(__xludf.DUMMYFUNCTION("""COMPUTED_VALUE"""),45165.0)</f>
        <v>45165</v>
      </c>
      <c r="C36" s="3">
        <f>IFERROR(__xludf.DUMMYFUNCTION("""COMPUTED_VALUE"""),0.024)</f>
        <v>0.024</v>
      </c>
    </row>
    <row r="37">
      <c r="A37" s="1" t="str">
        <f>IFERROR(__xludf.DUMMYFUNCTION("""COMPUTED_VALUE"""),"348회")</f>
        <v>348회</v>
      </c>
      <c r="B37" s="2">
        <f>IFERROR(__xludf.DUMMYFUNCTION("""COMPUTED_VALUE"""),45172.0)</f>
        <v>45172</v>
      </c>
      <c r="C37" s="3">
        <f>IFERROR(__xludf.DUMMYFUNCTION("""COMPUTED_VALUE"""),0.03)</f>
        <v>0.03</v>
      </c>
    </row>
    <row r="38">
      <c r="A38" s="1" t="str">
        <f>IFERROR(__xludf.DUMMYFUNCTION("""COMPUTED_VALUE"""),"349회")</f>
        <v>349회</v>
      </c>
      <c r="B38" s="2">
        <f>IFERROR(__xludf.DUMMYFUNCTION("""COMPUTED_VALUE"""),45179.0)</f>
        <v>45179</v>
      </c>
      <c r="C38" s="3">
        <f>IFERROR(__xludf.DUMMYFUNCTION("""COMPUTED_VALUE"""),0.023)</f>
        <v>0.023</v>
      </c>
    </row>
    <row r="39">
      <c r="A39" s="1" t="str">
        <f>IFERROR(__xludf.DUMMYFUNCTION("""COMPUTED_VALUE"""),"350회")</f>
        <v>350회</v>
      </c>
      <c r="B39" s="2">
        <f>IFERROR(__xludf.DUMMYFUNCTION("""COMPUTED_VALUE"""),45186.0)</f>
        <v>45186</v>
      </c>
      <c r="C39" s="3">
        <f>IFERROR(__xludf.DUMMYFUNCTION("""COMPUTED_VALUE"""),0.023)</f>
        <v>0.023</v>
      </c>
    </row>
    <row r="40">
      <c r="A40" s="1" t="str">
        <f>IFERROR(__xludf.DUMMYFUNCTION("""COMPUTED_VALUE"""),"351회")</f>
        <v>351회</v>
      </c>
      <c r="B40" s="2">
        <f>IFERROR(__xludf.DUMMYFUNCTION("""COMPUTED_VALUE"""),45193.0)</f>
        <v>45193</v>
      </c>
      <c r="C40" s="3">
        <f>IFERROR(__xludf.DUMMYFUNCTION("""COMPUTED_VALUE"""),0.031)</f>
        <v>0.031</v>
      </c>
    </row>
    <row r="41">
      <c r="A41" s="1" t="str">
        <f>IFERROR(__xludf.DUMMYFUNCTION("""COMPUTED_VALUE"""),"352회")</f>
        <v>352회</v>
      </c>
      <c r="B41" s="2">
        <f>IFERROR(__xludf.DUMMYFUNCTION("""COMPUTED_VALUE"""),45200.0)</f>
        <v>45200</v>
      </c>
      <c r="C41" s="3">
        <f>IFERROR(__xludf.DUMMYFUNCTION("""COMPUTED_VALUE"""),0.026)</f>
        <v>0.026</v>
      </c>
    </row>
    <row r="42">
      <c r="A42" s="1" t="str">
        <f>IFERROR(__xludf.DUMMYFUNCTION("""COMPUTED_VALUE"""),"353회")</f>
        <v>353회</v>
      </c>
      <c r="B42" s="2">
        <f>IFERROR(__xludf.DUMMYFUNCTION("""COMPUTED_VALUE"""),45207.0)</f>
        <v>45207</v>
      </c>
      <c r="C42" s="3">
        <f>IFERROR(__xludf.DUMMYFUNCTION("""COMPUTED_VALUE"""),0.024)</f>
        <v>0.024</v>
      </c>
    </row>
    <row r="43">
      <c r="A43" s="1" t="str">
        <f>IFERROR(__xludf.DUMMYFUNCTION("""COMPUTED_VALUE"""),"354회")</f>
        <v>354회</v>
      </c>
      <c r="B43" s="2">
        <f>IFERROR(__xludf.DUMMYFUNCTION("""COMPUTED_VALUE"""),45214.0)</f>
        <v>45214</v>
      </c>
      <c r="C43" s="3">
        <f>IFERROR(__xludf.DUMMYFUNCTION("""COMPUTED_VALUE"""),0.027)</f>
        <v>0.027</v>
      </c>
    </row>
    <row r="44">
      <c r="A44" s="1" t="str">
        <f>IFERROR(__xludf.DUMMYFUNCTION("""COMPUTED_VALUE"""),"355회")</f>
        <v>355회</v>
      </c>
      <c r="B44" s="2">
        <f>IFERROR(__xludf.DUMMYFUNCTION("""COMPUTED_VALUE"""),45221.0)</f>
        <v>45221</v>
      </c>
      <c r="C44" s="3">
        <f>IFERROR(__xludf.DUMMYFUNCTION("""COMPUTED_VALUE"""),0.028)</f>
        <v>0.028</v>
      </c>
    </row>
    <row r="45">
      <c r="A45" s="1" t="str">
        <f>IFERROR(__xludf.DUMMYFUNCTION("""COMPUTED_VALUE"""),"356회")</f>
        <v>356회</v>
      </c>
      <c r="B45" s="2">
        <f>IFERROR(__xludf.DUMMYFUNCTION("""COMPUTED_VALUE"""),45228.0)</f>
        <v>45228</v>
      </c>
      <c r="C45" s="3">
        <f>IFERROR(__xludf.DUMMYFUNCTION("""COMPUTED_VALUE"""),0.024)</f>
        <v>0.024</v>
      </c>
    </row>
    <row r="46">
      <c r="A46" s="1" t="str">
        <f>IFERROR(__xludf.DUMMYFUNCTION("""COMPUTED_VALUE"""),"357회")</f>
        <v>357회</v>
      </c>
      <c r="B46" s="2">
        <f>IFERROR(__xludf.DUMMYFUNCTION("""COMPUTED_VALUE"""),45242.0)</f>
        <v>45242</v>
      </c>
      <c r="C46" s="3">
        <f>IFERROR(__xludf.DUMMYFUNCTION("""COMPUTED_VALUE"""),0.021)</f>
        <v>0.021</v>
      </c>
    </row>
    <row r="47">
      <c r="A47" s="1" t="str">
        <f>IFERROR(__xludf.DUMMYFUNCTION("""COMPUTED_VALUE"""),"358회")</f>
        <v>358회</v>
      </c>
      <c r="B47" s="2">
        <f>IFERROR(__xludf.DUMMYFUNCTION("""COMPUTED_VALUE"""),45249.0)</f>
        <v>45249</v>
      </c>
      <c r="C47" s="3">
        <f>IFERROR(__xludf.DUMMYFUNCTION("""COMPUTED_VALUE"""),0.03)</f>
        <v>0.03</v>
      </c>
    </row>
    <row r="48">
      <c r="A48" s="1" t="str">
        <f>IFERROR(__xludf.DUMMYFUNCTION("""COMPUTED_VALUE"""),"359회")</f>
        <v>359회</v>
      </c>
      <c r="B48" s="2">
        <f>IFERROR(__xludf.DUMMYFUNCTION("""COMPUTED_VALUE"""),45256.0)</f>
        <v>45256</v>
      </c>
      <c r="C48" s="3">
        <f>IFERROR(__xludf.DUMMYFUNCTION("""COMPUTED_VALUE"""),0.029)</f>
        <v>0.029</v>
      </c>
    </row>
    <row r="49">
      <c r="A49" s="1" t="str">
        <f>IFERROR(__xludf.DUMMYFUNCTION("""COMPUTED_VALUE"""),"360회")</f>
        <v>360회</v>
      </c>
      <c r="B49" s="2">
        <f>IFERROR(__xludf.DUMMYFUNCTION("""COMPUTED_VALUE"""),45263.0)</f>
        <v>45263</v>
      </c>
      <c r="C49" s="3">
        <f>IFERROR(__xludf.DUMMYFUNCTION("""COMPUTED_VALUE"""),0.026)</f>
        <v>0.026</v>
      </c>
    </row>
    <row r="50">
      <c r="A50" s="1" t="str">
        <f>IFERROR(__xludf.DUMMYFUNCTION("""COMPUTED_VALUE"""),"361회")</f>
        <v>361회</v>
      </c>
      <c r="B50" s="2">
        <f>IFERROR(__xludf.DUMMYFUNCTION("""COMPUTED_VALUE"""),45270.0)</f>
        <v>45270</v>
      </c>
      <c r="C50" s="3">
        <f>IFERROR(__xludf.DUMMYFUNCTION("""COMPUTED_VALUE"""),0.032)</f>
        <v>0.032</v>
      </c>
    </row>
    <row r="51">
      <c r="A51" s="1" t="str">
        <f>IFERROR(__xludf.DUMMYFUNCTION("""COMPUTED_VALUE"""),"362회")</f>
        <v>362회</v>
      </c>
      <c r="B51" s="2">
        <f>IFERROR(__xludf.DUMMYFUNCTION("""COMPUTED_VALUE"""),45277.0)</f>
        <v>45277</v>
      </c>
      <c r="C51" s="3">
        <f>IFERROR(__xludf.DUMMYFUNCTION("""COMPUTED_VALUE"""),0.029)</f>
        <v>0.029</v>
      </c>
    </row>
    <row r="52">
      <c r="A52" s="1" t="str">
        <f>IFERROR(__xludf.DUMMYFUNCTION("""COMPUTED_VALUE"""),"363회")</f>
        <v>363회</v>
      </c>
      <c r="B52" s="2">
        <f>IFERROR(__xludf.DUMMYFUNCTION("""COMPUTED_VALUE"""),45284.0)</f>
        <v>45284</v>
      </c>
      <c r="C52" s="3">
        <f>IFERROR(__xludf.DUMMYFUNCTION("""COMPUTED_VALUE"""),0.04)</f>
        <v>0.04</v>
      </c>
    </row>
    <row r="53">
      <c r="A53" s="1" t="str">
        <f>IFERROR(__xludf.DUMMYFUNCTION("""COMPUTED_VALUE"""),"364회")</f>
        <v>364회</v>
      </c>
      <c r="B53" s="2">
        <f>IFERROR(__xludf.DUMMYFUNCTION("""COMPUTED_VALUE"""),45291.0)</f>
        <v>45291</v>
      </c>
      <c r="C53" s="3">
        <f>IFERROR(__xludf.DUMMYFUNCTION("""COMPUTED_VALUE"""),0.019)</f>
        <v>0.019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IFERROR(__xludf.DUMMYFUNCTION("IMPORTHTML(""https://ko.wikipedia.org/wiki/%EC%95%84%EB%8A%94_%ED%98%95%EB%8B%98"",""table"",13)"),"회차")</f>
        <v>회차</v>
      </c>
      <c r="B1" s="1" t="str">
        <f>IFERROR(__xludf.DUMMYFUNCTION("""COMPUTED_VALUE"""),"방송일자")</f>
        <v>방송일자</v>
      </c>
      <c r="C1" s="1" t="str">
        <f>IFERROR(__xludf.DUMMYFUNCTION("""COMPUTED_VALUE"""),"AGB 시청률[2]")</f>
        <v>AGB 시청률[2]</v>
      </c>
    </row>
    <row r="2">
      <c r="A2" s="1" t="str">
        <f>IFERROR(__xludf.DUMMYFUNCTION("""COMPUTED_VALUE"""),"365회")</f>
        <v>365회</v>
      </c>
      <c r="B2" s="2">
        <f>IFERROR(__xludf.DUMMYFUNCTION("""COMPUTED_VALUE"""),44933.0)</f>
        <v>44933</v>
      </c>
      <c r="C2" s="3">
        <f>IFERROR(__xludf.DUMMYFUNCTION("""COMPUTED_VALUE"""),0.042)</f>
        <v>0.042</v>
      </c>
    </row>
    <row r="3">
      <c r="A3" s="1" t="str">
        <f>IFERROR(__xludf.DUMMYFUNCTION("""COMPUTED_VALUE"""),"366회")</f>
        <v>366회</v>
      </c>
      <c r="B3" s="2">
        <f>IFERROR(__xludf.DUMMYFUNCTION("""COMPUTED_VALUE"""),44940.0)</f>
        <v>44940</v>
      </c>
      <c r="C3" s="3">
        <f>IFERROR(__xludf.DUMMYFUNCTION("""COMPUTED_VALUE"""),0.035)</f>
        <v>0.035</v>
      </c>
    </row>
    <row r="4">
      <c r="A4" s="1" t="str">
        <f>IFERROR(__xludf.DUMMYFUNCTION("""COMPUTED_VALUE"""),"367회")</f>
        <v>367회</v>
      </c>
      <c r="B4" s="2">
        <f>IFERROR(__xludf.DUMMYFUNCTION("""COMPUTED_VALUE"""),44947.0)</f>
        <v>44947</v>
      </c>
      <c r="C4" s="3">
        <f>IFERROR(__xludf.DUMMYFUNCTION("""COMPUTED_VALUE"""),0.033)</f>
        <v>0.033</v>
      </c>
    </row>
    <row r="5">
      <c r="A5" s="1" t="str">
        <f>IFERROR(__xludf.DUMMYFUNCTION("""COMPUTED_VALUE"""),"368회")</f>
        <v>368회</v>
      </c>
      <c r="B5" s="2">
        <f>IFERROR(__xludf.DUMMYFUNCTION("""COMPUTED_VALUE"""),44954.0)</f>
        <v>44954</v>
      </c>
      <c r="C5" s="3">
        <f>IFERROR(__xludf.DUMMYFUNCTION("""COMPUTED_VALUE"""),0.03)</f>
        <v>0.03</v>
      </c>
    </row>
    <row r="6">
      <c r="A6" s="1" t="str">
        <f>IFERROR(__xludf.DUMMYFUNCTION("""COMPUTED_VALUE"""),"369회")</f>
        <v>369회</v>
      </c>
      <c r="B6" s="2">
        <f>IFERROR(__xludf.DUMMYFUNCTION("""COMPUTED_VALUE"""),44961.0)</f>
        <v>44961</v>
      </c>
      <c r="C6" s="3">
        <f>IFERROR(__xludf.DUMMYFUNCTION("""COMPUTED_VALUE"""),0.037)</f>
        <v>0.037</v>
      </c>
    </row>
    <row r="7">
      <c r="A7" s="1" t="str">
        <f>IFERROR(__xludf.DUMMYFUNCTION("""COMPUTED_VALUE"""),"370회")</f>
        <v>370회</v>
      </c>
      <c r="B7" s="2">
        <f>IFERROR(__xludf.DUMMYFUNCTION("""COMPUTED_VALUE"""),44968.0)</f>
        <v>44968</v>
      </c>
      <c r="C7" s="3">
        <f>IFERROR(__xludf.DUMMYFUNCTION("""COMPUTED_VALUE"""),0.028)</f>
        <v>0.028</v>
      </c>
    </row>
    <row r="8">
      <c r="A8" s="1" t="str">
        <f>IFERROR(__xludf.DUMMYFUNCTION("""COMPUTED_VALUE"""),"371회")</f>
        <v>371회</v>
      </c>
      <c r="B8" s="2">
        <f>IFERROR(__xludf.DUMMYFUNCTION("""COMPUTED_VALUE"""),44975.0)</f>
        <v>44975</v>
      </c>
      <c r="C8" s="3">
        <f>IFERROR(__xludf.DUMMYFUNCTION("""COMPUTED_VALUE"""),0.024)</f>
        <v>0.024</v>
      </c>
    </row>
    <row r="9">
      <c r="A9" s="1" t="str">
        <f>IFERROR(__xludf.DUMMYFUNCTION("""COMPUTED_VALUE"""),"372회")</f>
        <v>372회</v>
      </c>
      <c r="B9" s="2">
        <f>IFERROR(__xludf.DUMMYFUNCTION("""COMPUTED_VALUE"""),44982.0)</f>
        <v>44982</v>
      </c>
      <c r="C9" s="3">
        <f>IFERROR(__xludf.DUMMYFUNCTION("""COMPUTED_VALUE"""),0.028)</f>
        <v>0.028</v>
      </c>
    </row>
    <row r="10">
      <c r="A10" s="1" t="str">
        <f>IFERROR(__xludf.DUMMYFUNCTION("""COMPUTED_VALUE"""),"373회")</f>
        <v>373회</v>
      </c>
      <c r="B10" s="2">
        <f>IFERROR(__xludf.DUMMYFUNCTION("""COMPUTED_VALUE"""),44989.0)</f>
        <v>44989</v>
      </c>
      <c r="C10" s="3">
        <f>IFERROR(__xludf.DUMMYFUNCTION("""COMPUTED_VALUE"""),0.032)</f>
        <v>0.032</v>
      </c>
    </row>
    <row r="11">
      <c r="A11" s="1" t="str">
        <f>IFERROR(__xludf.DUMMYFUNCTION("""COMPUTED_VALUE"""),"374회")</f>
        <v>374회</v>
      </c>
      <c r="B11" s="2">
        <f>IFERROR(__xludf.DUMMYFUNCTION("""COMPUTED_VALUE"""),44996.0)</f>
        <v>44996</v>
      </c>
      <c r="C11" s="3">
        <f>IFERROR(__xludf.DUMMYFUNCTION("""COMPUTED_VALUE"""),0.029)</f>
        <v>0.029</v>
      </c>
    </row>
    <row r="12">
      <c r="A12" s="1" t="str">
        <f>IFERROR(__xludf.DUMMYFUNCTION("""COMPUTED_VALUE"""),"375회")</f>
        <v>375회</v>
      </c>
      <c r="B12" s="2">
        <f>IFERROR(__xludf.DUMMYFUNCTION("""COMPUTED_VALUE"""),45003.0)</f>
        <v>45003</v>
      </c>
      <c r="C12" s="3">
        <f>IFERROR(__xludf.DUMMYFUNCTION("""COMPUTED_VALUE"""),0.026)</f>
        <v>0.026</v>
      </c>
    </row>
    <row r="13">
      <c r="A13" s="1" t="str">
        <f>IFERROR(__xludf.DUMMYFUNCTION("""COMPUTED_VALUE"""),"376회")</f>
        <v>376회</v>
      </c>
      <c r="B13" s="2">
        <f>IFERROR(__xludf.DUMMYFUNCTION("""COMPUTED_VALUE"""),45010.0)</f>
        <v>45010</v>
      </c>
      <c r="C13" s="3">
        <f>IFERROR(__xludf.DUMMYFUNCTION("""COMPUTED_VALUE"""),0.028)</f>
        <v>0.028</v>
      </c>
    </row>
    <row r="14">
      <c r="A14" s="1" t="str">
        <f>IFERROR(__xludf.DUMMYFUNCTION("""COMPUTED_VALUE"""),"377회")</f>
        <v>377회</v>
      </c>
      <c r="B14" s="2">
        <f>IFERROR(__xludf.DUMMYFUNCTION("""COMPUTED_VALUE"""),45017.0)</f>
        <v>45017</v>
      </c>
      <c r="C14" s="3">
        <f>IFERROR(__xludf.DUMMYFUNCTION("""COMPUTED_VALUE"""),0.021)</f>
        <v>0.021</v>
      </c>
    </row>
    <row r="15">
      <c r="A15" s="1" t="str">
        <f>IFERROR(__xludf.DUMMYFUNCTION("""COMPUTED_VALUE"""),"378회")</f>
        <v>378회</v>
      </c>
      <c r="B15" s="2">
        <f>IFERROR(__xludf.DUMMYFUNCTION("""COMPUTED_VALUE"""),45024.0)</f>
        <v>45024</v>
      </c>
      <c r="C15" s="3">
        <f>IFERROR(__xludf.DUMMYFUNCTION("""COMPUTED_VALUE"""),0.028)</f>
        <v>0.028</v>
      </c>
    </row>
    <row r="16">
      <c r="A16" s="1" t="str">
        <f>IFERROR(__xludf.DUMMYFUNCTION("""COMPUTED_VALUE"""),"379회")</f>
        <v>379회</v>
      </c>
      <c r="B16" s="2">
        <f>IFERROR(__xludf.DUMMYFUNCTION("""COMPUTED_VALUE"""),45031.0)</f>
        <v>45031</v>
      </c>
      <c r="C16" s="3">
        <f>IFERROR(__xludf.DUMMYFUNCTION("""COMPUTED_VALUE"""),0.021)</f>
        <v>0.021</v>
      </c>
    </row>
    <row r="17">
      <c r="A17" s="1" t="str">
        <f>IFERROR(__xludf.DUMMYFUNCTION("""COMPUTED_VALUE"""),"380회")</f>
        <v>380회</v>
      </c>
      <c r="B17" s="2">
        <f>IFERROR(__xludf.DUMMYFUNCTION("""COMPUTED_VALUE"""),45038.0)</f>
        <v>45038</v>
      </c>
      <c r="C17" s="3">
        <f>IFERROR(__xludf.DUMMYFUNCTION("""COMPUTED_VALUE"""),0.025)</f>
        <v>0.025</v>
      </c>
    </row>
    <row r="18">
      <c r="A18" s="1" t="str">
        <f>IFERROR(__xludf.DUMMYFUNCTION("""COMPUTED_VALUE"""),"381회")</f>
        <v>381회</v>
      </c>
      <c r="B18" s="2">
        <f>IFERROR(__xludf.DUMMYFUNCTION("""COMPUTED_VALUE"""),45045.0)</f>
        <v>45045</v>
      </c>
      <c r="C18" s="3">
        <f>IFERROR(__xludf.DUMMYFUNCTION("""COMPUTED_VALUE"""),0.028)</f>
        <v>0.028</v>
      </c>
    </row>
    <row r="19">
      <c r="A19" s="1" t="str">
        <f>IFERROR(__xludf.DUMMYFUNCTION("""COMPUTED_VALUE"""),"382회")</f>
        <v>382회</v>
      </c>
      <c r="B19" s="2">
        <f>IFERROR(__xludf.DUMMYFUNCTION("""COMPUTED_VALUE"""),45052.0)</f>
        <v>45052</v>
      </c>
      <c r="C19" s="3">
        <f>IFERROR(__xludf.DUMMYFUNCTION("""COMPUTED_VALUE"""),0.038)</f>
        <v>0.038</v>
      </c>
    </row>
    <row r="20">
      <c r="A20" s="1" t="str">
        <f>IFERROR(__xludf.DUMMYFUNCTION("""COMPUTED_VALUE"""),"383회")</f>
        <v>383회</v>
      </c>
      <c r="B20" s="2">
        <f>IFERROR(__xludf.DUMMYFUNCTION("""COMPUTED_VALUE"""),45059.0)</f>
        <v>45059</v>
      </c>
      <c r="C20" s="3">
        <f>IFERROR(__xludf.DUMMYFUNCTION("""COMPUTED_VALUE"""),0.038)</f>
        <v>0.038</v>
      </c>
    </row>
    <row r="21">
      <c r="A21" s="1" t="str">
        <f>IFERROR(__xludf.DUMMYFUNCTION("""COMPUTED_VALUE"""),"384회")</f>
        <v>384회</v>
      </c>
      <c r="B21" s="2">
        <f>IFERROR(__xludf.DUMMYFUNCTION("""COMPUTED_VALUE"""),45066.0)</f>
        <v>45066</v>
      </c>
      <c r="C21" s="3">
        <f>IFERROR(__xludf.DUMMYFUNCTION("""COMPUTED_VALUE"""),0.025)</f>
        <v>0.025</v>
      </c>
    </row>
    <row r="22">
      <c r="A22" s="1" t="str">
        <f>IFERROR(__xludf.DUMMYFUNCTION("""COMPUTED_VALUE"""),"385회")</f>
        <v>385회</v>
      </c>
      <c r="B22" s="2">
        <f>IFERROR(__xludf.DUMMYFUNCTION("""COMPUTED_VALUE"""),45073.0)</f>
        <v>45073</v>
      </c>
      <c r="C22" s="3">
        <f>IFERROR(__xludf.DUMMYFUNCTION("""COMPUTED_VALUE"""),0.034)</f>
        <v>0.034</v>
      </c>
    </row>
    <row r="23">
      <c r="A23" s="1" t="str">
        <f>IFERROR(__xludf.DUMMYFUNCTION("""COMPUTED_VALUE"""),"386회")</f>
        <v>386회</v>
      </c>
      <c r="B23" s="2">
        <f>IFERROR(__xludf.DUMMYFUNCTION("""COMPUTED_VALUE"""),45080.0)</f>
        <v>45080</v>
      </c>
      <c r="C23" s="3">
        <f>IFERROR(__xludf.DUMMYFUNCTION("""COMPUTED_VALUE"""),0.023)</f>
        <v>0.023</v>
      </c>
    </row>
    <row r="24">
      <c r="A24" s="1" t="str">
        <f>IFERROR(__xludf.DUMMYFUNCTION("""COMPUTED_VALUE"""),"387회")</f>
        <v>387회</v>
      </c>
      <c r="B24" s="2">
        <f>IFERROR(__xludf.DUMMYFUNCTION("""COMPUTED_VALUE"""),45087.0)</f>
        <v>45087</v>
      </c>
      <c r="C24" s="3">
        <f>IFERROR(__xludf.DUMMYFUNCTION("""COMPUTED_VALUE"""),0.023)</f>
        <v>0.023</v>
      </c>
    </row>
    <row r="25">
      <c r="A25" s="1" t="str">
        <f>IFERROR(__xludf.DUMMYFUNCTION("""COMPUTED_VALUE"""),"388회")</f>
        <v>388회</v>
      </c>
      <c r="B25" s="2">
        <f>IFERROR(__xludf.DUMMYFUNCTION("""COMPUTED_VALUE"""),45094.0)</f>
        <v>45094</v>
      </c>
      <c r="C25" s="3">
        <f>IFERROR(__xludf.DUMMYFUNCTION("""COMPUTED_VALUE"""),0.031)</f>
        <v>0.031</v>
      </c>
    </row>
    <row r="26">
      <c r="A26" s="1" t="str">
        <f>IFERROR(__xludf.DUMMYFUNCTION("""COMPUTED_VALUE"""),"389회")</f>
        <v>389회</v>
      </c>
      <c r="B26" s="2">
        <f>IFERROR(__xludf.DUMMYFUNCTION("""COMPUTED_VALUE"""),45101.0)</f>
        <v>45101</v>
      </c>
      <c r="C26" s="3">
        <f>IFERROR(__xludf.DUMMYFUNCTION("""COMPUTED_VALUE"""),0.026)</f>
        <v>0.026</v>
      </c>
    </row>
    <row r="27">
      <c r="A27" s="1" t="str">
        <f>IFERROR(__xludf.DUMMYFUNCTION("""COMPUTED_VALUE"""),"390회")</f>
        <v>390회</v>
      </c>
      <c r="B27" s="2">
        <f>IFERROR(__xludf.DUMMYFUNCTION("""COMPUTED_VALUE"""),45108.0)</f>
        <v>45108</v>
      </c>
      <c r="C27" s="1" t="str">
        <f>IFERROR(__xludf.DUMMYFUNCTION("""COMPUTED_VALUE"""),"%")</f>
        <v>%</v>
      </c>
    </row>
    <row r="28">
      <c r="A28" s="1" t="str">
        <f>IFERROR(__xludf.DUMMYFUNCTION("""COMPUTED_VALUE"""),"391회")</f>
        <v>391회</v>
      </c>
      <c r="B28" s="2">
        <f>IFERROR(__xludf.DUMMYFUNCTION("""COMPUTED_VALUE"""),45115.0)</f>
        <v>45115</v>
      </c>
      <c r="C28" s="1" t="str">
        <f>IFERROR(__xludf.DUMMYFUNCTION("""COMPUTED_VALUE"""),"%")</f>
        <v>%</v>
      </c>
    </row>
    <row r="29">
      <c r="A29" s="1" t="str">
        <f>IFERROR(__xludf.DUMMYFUNCTION("""COMPUTED_VALUE"""),"392회")</f>
        <v>392회</v>
      </c>
      <c r="B29" s="2">
        <f>IFERROR(__xludf.DUMMYFUNCTION("""COMPUTED_VALUE"""),45122.0)</f>
        <v>45122</v>
      </c>
      <c r="C29" s="1" t="str">
        <f>IFERROR(__xludf.DUMMYFUNCTION("""COMPUTED_VALUE"""),"%")</f>
        <v>%</v>
      </c>
    </row>
    <row r="30">
      <c r="A30" s="1" t="str">
        <f>IFERROR(__xludf.DUMMYFUNCTION("""COMPUTED_VALUE"""),"393회")</f>
        <v>393회</v>
      </c>
      <c r="B30" s="2">
        <f>IFERROR(__xludf.DUMMYFUNCTION("""COMPUTED_VALUE"""),45129.0)</f>
        <v>45129</v>
      </c>
      <c r="C30" s="1" t="str">
        <f>IFERROR(__xludf.DUMMYFUNCTION("""COMPUTED_VALUE"""),"%")</f>
        <v>%</v>
      </c>
    </row>
    <row r="31">
      <c r="A31" s="1" t="str">
        <f>IFERROR(__xludf.DUMMYFUNCTION("""COMPUTED_VALUE"""),"394회")</f>
        <v>394회</v>
      </c>
      <c r="B31" s="2">
        <f>IFERROR(__xludf.DUMMYFUNCTION("""COMPUTED_VALUE"""),45136.0)</f>
        <v>45136</v>
      </c>
      <c r="C31" s="1" t="str">
        <f>IFERROR(__xludf.DUMMYFUNCTION("""COMPUTED_VALUE"""),"%")</f>
        <v>%</v>
      </c>
    </row>
    <row r="32">
      <c r="A32" s="1" t="str">
        <f>IFERROR(__xludf.DUMMYFUNCTION("""COMPUTED_VALUE"""),"395회")</f>
        <v>395회</v>
      </c>
      <c r="B32" s="2">
        <f>IFERROR(__xludf.DUMMYFUNCTION("""COMPUTED_VALUE"""),45143.0)</f>
        <v>45143</v>
      </c>
      <c r="C32" s="1" t="str">
        <f>IFERROR(__xludf.DUMMYFUNCTION("""COMPUTED_VALUE"""),"%")</f>
        <v>%</v>
      </c>
    </row>
    <row r="33">
      <c r="A33" s="1" t="str">
        <f>IFERROR(__xludf.DUMMYFUNCTION("""COMPUTED_VALUE"""),"396회")</f>
        <v>396회</v>
      </c>
      <c r="B33" s="2">
        <f>IFERROR(__xludf.DUMMYFUNCTION("""COMPUTED_VALUE"""),45150.0)</f>
        <v>45150</v>
      </c>
      <c r="C33" s="1" t="str">
        <f>IFERROR(__xludf.DUMMYFUNCTION("""COMPUTED_VALUE"""),"%")</f>
        <v>%</v>
      </c>
    </row>
    <row r="34">
      <c r="A34" s="1" t="str">
        <f>IFERROR(__xludf.DUMMYFUNCTION("""COMPUTED_VALUE"""),"397회")</f>
        <v>397회</v>
      </c>
      <c r="B34" s="2">
        <f>IFERROR(__xludf.DUMMYFUNCTION("""COMPUTED_VALUE"""),45157.0)</f>
        <v>45157</v>
      </c>
      <c r="C34" s="1" t="str">
        <f>IFERROR(__xludf.DUMMYFUNCTION("""COMPUTED_VALUE"""),"%")</f>
        <v>%</v>
      </c>
    </row>
    <row r="35">
      <c r="A35" s="1" t="str">
        <f>IFERROR(__xludf.DUMMYFUNCTION("""COMPUTED_VALUE"""),"398회")</f>
        <v>398회</v>
      </c>
      <c r="B35" s="2">
        <f>IFERROR(__xludf.DUMMYFUNCTION("""COMPUTED_VALUE"""),45164.0)</f>
        <v>45164</v>
      </c>
      <c r="C35" s="1" t="str">
        <f>IFERROR(__xludf.DUMMYFUNCTION("""COMPUTED_VALUE"""),"%")</f>
        <v>%</v>
      </c>
    </row>
    <row r="36">
      <c r="A36" s="1" t="str">
        <f>IFERROR(__xludf.DUMMYFUNCTION("""COMPUTED_VALUE"""),"399회")</f>
        <v>399회</v>
      </c>
      <c r="B36" s="2">
        <f>IFERROR(__xludf.DUMMYFUNCTION("""COMPUTED_VALUE"""),45171.0)</f>
        <v>45171</v>
      </c>
      <c r="C36" s="1" t="str">
        <f>IFERROR(__xludf.DUMMYFUNCTION("""COMPUTED_VALUE"""),"%")</f>
        <v>%</v>
      </c>
    </row>
    <row r="37">
      <c r="A37" s="1" t="str">
        <f>IFERROR(__xludf.DUMMYFUNCTION("""COMPUTED_VALUE"""),"400회")</f>
        <v>400회</v>
      </c>
      <c r="B37" s="2">
        <f>IFERROR(__xludf.DUMMYFUNCTION("""COMPUTED_VALUE"""),45178.0)</f>
        <v>45178</v>
      </c>
      <c r="C37" s="1" t="str">
        <f>IFERROR(__xludf.DUMMYFUNCTION("""COMPUTED_VALUE"""),"%")</f>
        <v>%</v>
      </c>
    </row>
    <row r="38">
      <c r="A38" s="1" t="str">
        <f>IFERROR(__xludf.DUMMYFUNCTION("""COMPUTED_VALUE"""),"401회")</f>
        <v>401회</v>
      </c>
      <c r="B38" s="2">
        <f>IFERROR(__xludf.DUMMYFUNCTION("""COMPUTED_VALUE"""),45185.0)</f>
        <v>45185</v>
      </c>
      <c r="C38" s="1" t="str">
        <f>IFERROR(__xludf.DUMMYFUNCTION("""COMPUTED_VALUE"""),"%")</f>
        <v>%</v>
      </c>
    </row>
    <row r="39">
      <c r="A39" s="1" t="str">
        <f>IFERROR(__xludf.DUMMYFUNCTION("""COMPUTED_VALUE"""),"402회")</f>
        <v>402회</v>
      </c>
      <c r="B39" s="2">
        <f>IFERROR(__xludf.DUMMYFUNCTION("""COMPUTED_VALUE"""),45192.0)</f>
        <v>45192</v>
      </c>
      <c r="C39" s="1" t="str">
        <f>IFERROR(__xludf.DUMMYFUNCTION("""COMPUTED_VALUE"""),"%")</f>
        <v>%</v>
      </c>
    </row>
    <row r="40">
      <c r="A40" s="1" t="str">
        <f>IFERROR(__xludf.DUMMYFUNCTION("""COMPUTED_VALUE"""),"403회")</f>
        <v>403회</v>
      </c>
      <c r="B40" s="2">
        <f>IFERROR(__xludf.DUMMYFUNCTION("""COMPUTED_VALUE"""),45199.0)</f>
        <v>45199</v>
      </c>
      <c r="C40" s="1" t="str">
        <f>IFERROR(__xludf.DUMMYFUNCTION("""COMPUTED_VALUE"""),"%")</f>
        <v>%</v>
      </c>
    </row>
  </sheetData>
  <drawing r:id="rId1"/>
</worksheet>
</file>