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프론테라_메일\"/>
    </mc:Choice>
  </mc:AlternateContent>
  <bookViews>
    <workbookView xWindow="-120" yWindow="-120" windowWidth="29040" windowHeight="15840"/>
  </bookViews>
  <sheets>
    <sheet name="Assumptions &amp; Input" sheetId="2" r:id="rId1"/>
    <sheet name="주요재무 지표" sheetId="6" r:id="rId2"/>
    <sheet name="Calculation" sheetId="1" r:id="rId3"/>
    <sheet name="예산대비 실적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6" l="1"/>
  <c r="P21" i="6"/>
  <c r="O21" i="6"/>
  <c r="N21" i="6"/>
  <c r="M21" i="6"/>
  <c r="R209" i="1"/>
  <c r="Q209" i="1"/>
  <c r="P209" i="1"/>
  <c r="O209" i="1"/>
  <c r="N209" i="1"/>
  <c r="I13" i="6"/>
  <c r="H13" i="6"/>
  <c r="G13" i="6"/>
  <c r="F13" i="6"/>
  <c r="J16" i="6"/>
  <c r="I16" i="6"/>
  <c r="G16" i="6"/>
  <c r="F16" i="6"/>
  <c r="K15" i="6"/>
  <c r="J15" i="6"/>
  <c r="I15" i="6"/>
  <c r="H15" i="6"/>
  <c r="G15" i="6"/>
  <c r="F15" i="6"/>
  <c r="H25" i="6"/>
  <c r="G25" i="6"/>
  <c r="F25" i="6"/>
  <c r="Q22" i="6"/>
  <c r="D193" i="1" l="1"/>
  <c r="G349" i="1" l="1"/>
  <c r="F7" i="6" s="1"/>
  <c r="L360" i="1"/>
  <c r="K21" i="6" s="1"/>
  <c r="K360" i="1"/>
  <c r="J21" i="6" s="1"/>
  <c r="J360" i="1"/>
  <c r="I21" i="6" s="1"/>
  <c r="I360" i="1"/>
  <c r="H21" i="6" s="1"/>
  <c r="H360" i="1"/>
  <c r="G21" i="6" s="1"/>
  <c r="G360" i="1"/>
  <c r="F21" i="6" s="1"/>
  <c r="G357" i="1" l="1"/>
  <c r="F18" i="6" s="1"/>
  <c r="L349" i="1"/>
  <c r="K7" i="6" s="1"/>
  <c r="K349" i="1"/>
  <c r="J7" i="6" s="1"/>
  <c r="J349" i="1"/>
  <c r="I7" i="6" s="1"/>
  <c r="I349" i="1"/>
  <c r="H7" i="6" s="1"/>
  <c r="H349" i="1"/>
  <c r="G7" i="6" s="1"/>
  <c r="L348" i="1"/>
  <c r="K6" i="6" s="1"/>
  <c r="K348" i="1"/>
  <c r="J6" i="6" s="1"/>
  <c r="J348" i="1"/>
  <c r="I6" i="6" s="1"/>
  <c r="I348" i="1"/>
  <c r="H6" i="6" s="1"/>
  <c r="H348" i="1"/>
  <c r="G6" i="6" s="1"/>
  <c r="G348" i="1"/>
  <c r="F6" i="6" s="1"/>
  <c r="R301" i="1"/>
  <c r="Q301" i="1"/>
  <c r="P301" i="1"/>
  <c r="O301" i="1"/>
  <c r="N301" i="1"/>
  <c r="M301" i="1"/>
  <c r="G207" i="1"/>
  <c r="F49" i="1"/>
  <c r="H305" i="1"/>
  <c r="J305" i="1" s="1"/>
  <c r="K305" i="1"/>
  <c r="L303" i="1"/>
  <c r="L301" i="1"/>
  <c r="J303" i="1"/>
  <c r="J301" i="1"/>
  <c r="H300" i="1"/>
  <c r="J300" i="1" s="1"/>
  <c r="M296" i="1"/>
  <c r="L295" i="1"/>
  <c r="K295" i="1"/>
  <c r="M145" i="1"/>
  <c r="G190" i="1"/>
  <c r="S187" i="1"/>
  <c r="T187" i="1"/>
  <c r="U187" i="1"/>
  <c r="V187" i="1"/>
  <c r="T184" i="1"/>
  <c r="U184" i="1"/>
  <c r="V184" i="1"/>
  <c r="S184" i="1"/>
  <c r="L97" i="1"/>
  <c r="M94" i="1" s="1"/>
  <c r="M46" i="1" s="1"/>
  <c r="F46" i="1" s="1"/>
  <c r="K97" i="1"/>
  <c r="L94" i="1" s="1"/>
  <c r="J97" i="1"/>
  <c r="K94" i="1" s="1"/>
  <c r="I97" i="1"/>
  <c r="J94" i="1" s="1"/>
  <c r="H97" i="1"/>
  <c r="I94" i="1" s="1"/>
  <c r="G97" i="1"/>
  <c r="H94" i="1" s="1"/>
  <c r="G94" i="1"/>
  <c r="G350" i="1" l="1"/>
  <c r="F8" i="6" s="1"/>
  <c r="H350" i="1"/>
  <c r="G8" i="6" s="1"/>
  <c r="I350" i="1"/>
  <c r="H8" i="6" s="1"/>
  <c r="K350" i="1"/>
  <c r="J8" i="6" s="1"/>
  <c r="L350" i="1"/>
  <c r="K8" i="6" s="1"/>
  <c r="J350" i="1"/>
  <c r="I8" i="6" s="1"/>
  <c r="M295" i="1"/>
  <c r="N295" i="1" s="1"/>
  <c r="O295" i="1" s="1"/>
  <c r="N296" i="1"/>
  <c r="O296" i="1" s="1"/>
  <c r="P296" i="1" l="1"/>
  <c r="Q296" i="1" s="1"/>
  <c r="P295" i="1"/>
  <c r="R296" i="1" l="1"/>
  <c r="Q295" i="1"/>
  <c r="R295" i="1" l="1"/>
  <c r="L110" i="1" l="1"/>
  <c r="K16" i="6" s="1"/>
  <c r="I178" i="2"/>
  <c r="L208" i="1"/>
  <c r="O7" i="1"/>
  <c r="L123" i="1"/>
  <c r="K123" i="1"/>
  <c r="J123" i="1"/>
  <c r="I123" i="1"/>
  <c r="H123" i="1"/>
  <c r="G123" i="1"/>
  <c r="K132" i="1"/>
  <c r="H132" i="1"/>
  <c r="H202" i="1" s="1"/>
  <c r="G132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L112" i="1"/>
  <c r="K112" i="1"/>
  <c r="J112" i="1"/>
  <c r="I112" i="1"/>
  <c r="H112" i="1"/>
  <c r="D210" i="1"/>
  <c r="G206" i="1"/>
  <c r="I110" i="1"/>
  <c r="H16" i="6" s="1"/>
  <c r="L145" i="1"/>
  <c r="K145" i="1"/>
  <c r="L133" i="1"/>
  <c r="L202" i="1" s="1"/>
  <c r="N13" i="1" l="1"/>
  <c r="M13" i="1"/>
  <c r="G164" i="1"/>
  <c r="H163" i="1"/>
  <c r="I163" i="1" s="1"/>
  <c r="G221" i="1"/>
  <c r="G182" i="1"/>
  <c r="G161" i="1" s="1"/>
  <c r="H143" i="1"/>
  <c r="G143" i="1"/>
  <c r="G170" i="1"/>
  <c r="H169" i="1"/>
  <c r="H170" i="1" s="1"/>
  <c r="R155" i="1"/>
  <c r="Q155" i="1"/>
  <c r="P155" i="1"/>
  <c r="O155" i="1"/>
  <c r="N155" i="1"/>
  <c r="M155" i="1"/>
  <c r="L155" i="1"/>
  <c r="K155" i="1"/>
  <c r="J155" i="1"/>
  <c r="I155" i="1"/>
  <c r="H155" i="1"/>
  <c r="G155" i="1"/>
  <c r="H138" i="1"/>
  <c r="I138" i="1" s="1"/>
  <c r="K138" i="1" s="1"/>
  <c r="L138" i="1" s="1"/>
  <c r="G145" i="1" l="1"/>
  <c r="G148" i="1"/>
  <c r="G146" i="1"/>
  <c r="M138" i="1"/>
  <c r="N138" i="1" s="1"/>
  <c r="O138" i="1" s="1"/>
  <c r="P138" i="1" s="1"/>
  <c r="Q138" i="1" s="1"/>
  <c r="R138" i="1" s="1"/>
  <c r="G220" i="1"/>
  <c r="G222" i="1" s="1"/>
  <c r="G226" i="1" s="1"/>
  <c r="G231" i="1" s="1"/>
  <c r="G236" i="1" s="1"/>
  <c r="G157" i="1"/>
  <c r="I143" i="1"/>
  <c r="H145" i="1"/>
  <c r="H148" i="1" s="1"/>
  <c r="J163" i="1"/>
  <c r="I164" i="1"/>
  <c r="I169" i="1"/>
  <c r="H164" i="1"/>
  <c r="H146" i="1" l="1"/>
  <c r="G229" i="1"/>
  <c r="G234" i="1" s="1"/>
  <c r="G230" i="1"/>
  <c r="G235" i="1" s="1"/>
  <c r="J143" i="1"/>
  <c r="I145" i="1"/>
  <c r="I148" i="1" s="1"/>
  <c r="K163" i="1"/>
  <c r="J164" i="1"/>
  <c r="J169" i="1"/>
  <c r="I170" i="1"/>
  <c r="J145" i="1" l="1"/>
  <c r="J148" i="1" s="1"/>
  <c r="J146" i="1"/>
  <c r="I146" i="1"/>
  <c r="G237" i="1"/>
  <c r="K169" i="1"/>
  <c r="J170" i="1"/>
  <c r="L163" i="1"/>
  <c r="K164" i="1"/>
  <c r="L169" i="1" l="1"/>
  <c r="K170" i="1"/>
  <c r="M163" i="1"/>
  <c r="L164" i="1"/>
  <c r="M169" i="1" l="1"/>
  <c r="L170" i="1"/>
  <c r="N163" i="1"/>
  <c r="M164" i="1"/>
  <c r="N169" i="1" l="1"/>
  <c r="M170" i="1"/>
  <c r="O163" i="1"/>
  <c r="N164" i="1"/>
  <c r="O169" i="1" l="1"/>
  <c r="N170" i="1"/>
  <c r="P163" i="1"/>
  <c r="O164" i="1"/>
  <c r="P169" i="1" l="1"/>
  <c r="O170" i="1"/>
  <c r="Q163" i="1"/>
  <c r="P164" i="1"/>
  <c r="R163" i="1" l="1"/>
  <c r="R164" i="1" s="1"/>
  <c r="Q164" i="1"/>
  <c r="Q169" i="1"/>
  <c r="P170" i="1"/>
  <c r="R169" i="1" l="1"/>
  <c r="Q170" i="1"/>
  <c r="R170" i="1" l="1"/>
  <c r="J27" i="4" l="1"/>
  <c r="I27" i="4"/>
  <c r="I26" i="4"/>
  <c r="H26" i="4"/>
  <c r="G26" i="4"/>
  <c r="F26" i="4"/>
  <c r="E26" i="4"/>
  <c r="I25" i="4"/>
  <c r="H25" i="4"/>
  <c r="G25" i="4"/>
  <c r="F25" i="4"/>
  <c r="E25" i="4"/>
  <c r="D25" i="4"/>
  <c r="AK21" i="4"/>
  <c r="AJ21" i="4"/>
  <c r="AI21" i="4"/>
  <c r="AH21" i="4"/>
  <c r="AG21" i="4"/>
  <c r="AF21" i="4"/>
  <c r="AC21" i="4"/>
  <c r="AB21" i="4"/>
  <c r="AA21" i="4"/>
  <c r="Z21" i="4"/>
  <c r="Y21" i="4"/>
  <c r="X21" i="4"/>
  <c r="O21" i="4"/>
  <c r="N21" i="4"/>
  <c r="M21" i="4"/>
  <c r="L21" i="4"/>
  <c r="K21" i="4"/>
  <c r="AM21" i="4" s="1"/>
  <c r="J21" i="4"/>
  <c r="AD21" i="4" s="1"/>
  <c r="D21" i="4"/>
  <c r="AK19" i="4"/>
  <c r="AJ19" i="4"/>
  <c r="AI19" i="4"/>
  <c r="AH19" i="4"/>
  <c r="AG19" i="4"/>
  <c r="AC19" i="4"/>
  <c r="AB19" i="4"/>
  <c r="AA19" i="4"/>
  <c r="Z19" i="4"/>
  <c r="Y19" i="4"/>
  <c r="D19" i="4"/>
  <c r="X19" i="4" s="1"/>
  <c r="AK17" i="4"/>
  <c r="AJ17" i="4"/>
  <c r="AI17" i="4"/>
  <c r="AH17" i="4"/>
  <c r="AG17" i="4"/>
  <c r="AF17" i="4"/>
  <c r="AC17" i="4"/>
  <c r="AB17" i="4"/>
  <c r="AA17" i="4"/>
  <c r="Z17" i="4"/>
  <c r="Y17" i="4"/>
  <c r="X17" i="4"/>
  <c r="K17" i="4"/>
  <c r="AM17" i="4" s="1"/>
  <c r="J17" i="4"/>
  <c r="AL17" i="4" s="1"/>
  <c r="D17" i="4"/>
  <c r="AK16" i="4"/>
  <c r="AJ16" i="4"/>
  <c r="AI16" i="4"/>
  <c r="AH16" i="4"/>
  <c r="AG16" i="4"/>
  <c r="AF16" i="4"/>
  <c r="AC16" i="4"/>
  <c r="AB16" i="4"/>
  <c r="AA16" i="4"/>
  <c r="Z16" i="4"/>
  <c r="Y16" i="4"/>
  <c r="X16" i="4"/>
  <c r="J16" i="4"/>
  <c r="K16" i="4" s="1"/>
  <c r="D16" i="4"/>
  <c r="AK15" i="4"/>
  <c r="AJ15" i="4"/>
  <c r="AI15" i="4"/>
  <c r="AH15" i="4"/>
  <c r="AG15" i="4"/>
  <c r="AC15" i="4"/>
  <c r="AB15" i="4"/>
  <c r="AA15" i="4"/>
  <c r="Z15" i="4"/>
  <c r="Y15" i="4"/>
  <c r="J15" i="4"/>
  <c r="K15" i="4" s="1"/>
  <c r="D15" i="4"/>
  <c r="AF15" i="4" s="1"/>
  <c r="AK14" i="4"/>
  <c r="AJ14" i="4"/>
  <c r="AI14" i="4"/>
  <c r="AH14" i="4"/>
  <c r="AG14" i="4"/>
  <c r="AF14" i="4"/>
  <c r="AC14" i="4"/>
  <c r="AB14" i="4"/>
  <c r="AA14" i="4"/>
  <c r="Z14" i="4"/>
  <c r="Y14" i="4"/>
  <c r="X14" i="4"/>
  <c r="J14" i="4"/>
  <c r="K14" i="4" s="1"/>
  <c r="D14" i="4"/>
  <c r="W13" i="4"/>
  <c r="W18" i="4" s="1"/>
  <c r="W20" i="4" s="1"/>
  <c r="W22" i="4" s="1"/>
  <c r="U13" i="4"/>
  <c r="U18" i="4" s="1"/>
  <c r="U20" i="4" s="1"/>
  <c r="U22" i="4" s="1"/>
  <c r="P13" i="4"/>
  <c r="D13" i="4" s="1"/>
  <c r="I13" i="4"/>
  <c r="AK13" i="4" s="1"/>
  <c r="G13" i="4"/>
  <c r="G18" i="4" s="1"/>
  <c r="AK12" i="4"/>
  <c r="AJ12" i="4"/>
  <c r="AI12" i="4"/>
  <c r="AH12" i="4"/>
  <c r="AG12" i="4"/>
  <c r="AC12" i="4"/>
  <c r="AB12" i="4"/>
  <c r="AA12" i="4"/>
  <c r="Z12" i="4"/>
  <c r="Y12" i="4"/>
  <c r="D12" i="4"/>
  <c r="AF12" i="4" s="1"/>
  <c r="AG11" i="4"/>
  <c r="W11" i="4"/>
  <c r="V11" i="4"/>
  <c r="V13" i="4" s="1"/>
  <c r="V18" i="4" s="1"/>
  <c r="V20" i="4" s="1"/>
  <c r="V22" i="4" s="1"/>
  <c r="U11" i="4"/>
  <c r="T11" i="4"/>
  <c r="T13" i="4" s="1"/>
  <c r="T18" i="4" s="1"/>
  <c r="T20" i="4" s="1"/>
  <c r="T22" i="4" s="1"/>
  <c r="S11" i="4"/>
  <c r="S13" i="4" s="1"/>
  <c r="S18" i="4" s="1"/>
  <c r="S20" i="4" s="1"/>
  <c r="S22" i="4" s="1"/>
  <c r="R11" i="4"/>
  <c r="R13" i="4" s="1"/>
  <c r="R18" i="4" s="1"/>
  <c r="R20" i="4" s="1"/>
  <c r="R22" i="4" s="1"/>
  <c r="Q11" i="4"/>
  <c r="Q13" i="4" s="1"/>
  <c r="Q18" i="4" s="1"/>
  <c r="Q20" i="4" s="1"/>
  <c r="Q22" i="4" s="1"/>
  <c r="P11" i="4"/>
  <c r="I11" i="4"/>
  <c r="AK11" i="4" s="1"/>
  <c r="H11" i="4"/>
  <c r="AJ11" i="4" s="1"/>
  <c r="G11" i="4"/>
  <c r="AA11" i="4" s="1"/>
  <c r="F11" i="4"/>
  <c r="F13" i="4" s="1"/>
  <c r="E11" i="4"/>
  <c r="E13" i="4" s="1"/>
  <c r="AK10" i="4"/>
  <c r="AJ10" i="4"/>
  <c r="AI10" i="4"/>
  <c r="AH10" i="4"/>
  <c r="AG10" i="4"/>
  <c r="AF10" i="4"/>
  <c r="AC10" i="4"/>
  <c r="AB10" i="4"/>
  <c r="AA10" i="4"/>
  <c r="Z10" i="4"/>
  <c r="Y10" i="4"/>
  <c r="X10" i="4"/>
  <c r="D10" i="4"/>
  <c r="D26" i="4" s="1"/>
  <c r="AK9" i="4"/>
  <c r="AJ9" i="4"/>
  <c r="AI9" i="4"/>
  <c r="AH9" i="4"/>
  <c r="AG9" i="4"/>
  <c r="AF9" i="4"/>
  <c r="AC9" i="4"/>
  <c r="AB9" i="4"/>
  <c r="AA9" i="4"/>
  <c r="Z9" i="4"/>
  <c r="Y9" i="4"/>
  <c r="D9" i="4"/>
  <c r="D11" i="4" s="1"/>
  <c r="K8" i="4"/>
  <c r="K180" i="2" s="1"/>
  <c r="AK7" i="4"/>
  <c r="AJ7" i="4"/>
  <c r="AI7" i="4"/>
  <c r="AH7" i="4"/>
  <c r="AG7" i="4"/>
  <c r="AC7" i="4"/>
  <c r="AB7" i="4"/>
  <c r="AA7" i="4"/>
  <c r="Z7" i="4"/>
  <c r="Y7" i="4"/>
  <c r="X7" i="4"/>
  <c r="J7" i="4"/>
  <c r="AL7" i="4" s="1"/>
  <c r="D7" i="4"/>
  <c r="AF7" i="4" s="1"/>
  <c r="AK6" i="4"/>
  <c r="AJ6" i="4"/>
  <c r="AI6" i="4"/>
  <c r="AH6" i="4"/>
  <c r="AG6" i="4"/>
  <c r="AF6" i="4"/>
  <c r="AC6" i="4"/>
  <c r="AB6" i="4"/>
  <c r="AA6" i="4"/>
  <c r="Z6" i="4"/>
  <c r="Y6" i="4"/>
  <c r="X6" i="4"/>
  <c r="AK5" i="4"/>
  <c r="AJ5" i="4"/>
  <c r="AI5" i="4"/>
  <c r="AH5" i="4"/>
  <c r="AG5" i="4"/>
  <c r="AF5" i="4"/>
  <c r="AC5" i="4"/>
  <c r="AB5" i="4"/>
  <c r="AA5" i="4"/>
  <c r="Z5" i="4"/>
  <c r="Y5" i="4"/>
  <c r="X5" i="4"/>
  <c r="M337" i="1"/>
  <c r="L337" i="1"/>
  <c r="K337" i="1"/>
  <c r="J337" i="1"/>
  <c r="I337" i="1"/>
  <c r="H337" i="1"/>
  <c r="G337" i="1"/>
  <c r="N336" i="1"/>
  <c r="O336" i="1" s="1"/>
  <c r="N335" i="1"/>
  <c r="N334" i="1"/>
  <c r="M331" i="1"/>
  <c r="L331" i="1"/>
  <c r="K331" i="1"/>
  <c r="J331" i="1"/>
  <c r="I331" i="1"/>
  <c r="H331" i="1"/>
  <c r="G331" i="1"/>
  <c r="N330" i="1"/>
  <c r="M323" i="1"/>
  <c r="L323" i="1"/>
  <c r="K323" i="1"/>
  <c r="J323" i="1"/>
  <c r="I323" i="1"/>
  <c r="H323" i="1"/>
  <c r="G323" i="1"/>
  <c r="N322" i="1"/>
  <c r="M79" i="1" s="1"/>
  <c r="N320" i="1"/>
  <c r="M317" i="1"/>
  <c r="L317" i="1"/>
  <c r="K317" i="1"/>
  <c r="J317" i="1"/>
  <c r="I317" i="1"/>
  <c r="H317" i="1"/>
  <c r="G317" i="1"/>
  <c r="N316" i="1"/>
  <c r="N73" i="1" s="1"/>
  <c r="N314" i="1"/>
  <c r="O314" i="1" s="1"/>
  <c r="N313" i="1"/>
  <c r="M59" i="1" s="1"/>
  <c r="R286" i="1"/>
  <c r="Q286" i="1"/>
  <c r="P286" i="1"/>
  <c r="O286" i="1"/>
  <c r="N286" i="1"/>
  <c r="N253" i="1" s="1"/>
  <c r="M286" i="1"/>
  <c r="M253" i="1" s="1"/>
  <c r="L286" i="1"/>
  <c r="L253" i="1" s="1"/>
  <c r="K286" i="1"/>
  <c r="K253" i="1" s="1"/>
  <c r="J286" i="1"/>
  <c r="I286" i="1"/>
  <c r="H286" i="1"/>
  <c r="G286" i="1"/>
  <c r="G284" i="1"/>
  <c r="G287" i="1" s="1"/>
  <c r="R279" i="1"/>
  <c r="Q279" i="1"/>
  <c r="P279" i="1"/>
  <c r="O279" i="1"/>
  <c r="N279" i="1"/>
  <c r="M279" i="1"/>
  <c r="L279" i="1"/>
  <c r="K279" i="1"/>
  <c r="J279" i="1"/>
  <c r="I279" i="1"/>
  <c r="H279" i="1"/>
  <c r="G279" i="1"/>
  <c r="G281" i="1" s="1"/>
  <c r="H278" i="1" s="1"/>
  <c r="H275" i="1"/>
  <c r="G275" i="1"/>
  <c r="I274" i="1"/>
  <c r="G262" i="1"/>
  <c r="G265" i="1" s="1"/>
  <c r="G259" i="1"/>
  <c r="H256" i="1" s="1"/>
  <c r="H259" i="1" s="1"/>
  <c r="R253" i="1"/>
  <c r="Q253" i="1"/>
  <c r="P253" i="1"/>
  <c r="O253" i="1"/>
  <c r="J253" i="1"/>
  <c r="I253" i="1"/>
  <c r="H253" i="1"/>
  <c r="G253" i="1"/>
  <c r="L90" i="1"/>
  <c r="K90" i="1"/>
  <c r="J90" i="1"/>
  <c r="I90" i="1"/>
  <c r="H90" i="1"/>
  <c r="G90" i="1"/>
  <c r="M89" i="1"/>
  <c r="L89" i="1"/>
  <c r="K89" i="1"/>
  <c r="K91" i="1" s="1"/>
  <c r="K45" i="1" s="1"/>
  <c r="J89" i="1"/>
  <c r="I89" i="1"/>
  <c r="H89" i="1"/>
  <c r="G89" i="1"/>
  <c r="L85" i="1"/>
  <c r="K85" i="1"/>
  <c r="J85" i="1"/>
  <c r="I85" i="1"/>
  <c r="H85" i="1"/>
  <c r="G85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L79" i="1"/>
  <c r="K79" i="1"/>
  <c r="J79" i="1"/>
  <c r="I79" i="1"/>
  <c r="H79" i="1"/>
  <c r="G79" i="1"/>
  <c r="M78" i="1"/>
  <c r="L78" i="1"/>
  <c r="K78" i="1"/>
  <c r="J78" i="1"/>
  <c r="I78" i="1"/>
  <c r="H78" i="1"/>
  <c r="G78" i="1"/>
  <c r="L74" i="1"/>
  <c r="K74" i="1"/>
  <c r="J74" i="1"/>
  <c r="I74" i="1"/>
  <c r="H74" i="1"/>
  <c r="G74" i="1"/>
  <c r="M73" i="1"/>
  <c r="L73" i="1"/>
  <c r="L75" i="1" s="1"/>
  <c r="L43" i="1" s="1"/>
  <c r="K73" i="1"/>
  <c r="K75" i="1" s="1"/>
  <c r="K43" i="1" s="1"/>
  <c r="J73" i="1"/>
  <c r="I73" i="1"/>
  <c r="I75" i="1" s="1"/>
  <c r="I43" i="1" s="1"/>
  <c r="H73" i="1"/>
  <c r="G73" i="1"/>
  <c r="L70" i="1"/>
  <c r="K70" i="1"/>
  <c r="J70" i="1"/>
  <c r="I70" i="1"/>
  <c r="H70" i="1"/>
  <c r="G70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L64" i="1"/>
  <c r="K64" i="1"/>
  <c r="J64" i="1"/>
  <c r="I64" i="1"/>
  <c r="H64" i="1"/>
  <c r="G64" i="1"/>
  <c r="M63" i="1"/>
  <c r="L63" i="1"/>
  <c r="K63" i="1"/>
  <c r="J63" i="1"/>
  <c r="I63" i="1"/>
  <c r="H63" i="1"/>
  <c r="G63" i="1"/>
  <c r="L59" i="1"/>
  <c r="K59" i="1"/>
  <c r="J59" i="1"/>
  <c r="I59" i="1"/>
  <c r="H59" i="1"/>
  <c r="G59" i="1"/>
  <c r="N58" i="1"/>
  <c r="M58" i="1"/>
  <c r="L58" i="1"/>
  <c r="L60" i="1" s="1"/>
  <c r="L40" i="1" s="1"/>
  <c r="K58" i="1"/>
  <c r="J58" i="1"/>
  <c r="J60" i="1" s="1"/>
  <c r="J40" i="1" s="1"/>
  <c r="I58" i="1"/>
  <c r="I60" i="1" s="1"/>
  <c r="I40" i="1" s="1"/>
  <c r="H58" i="1"/>
  <c r="H60" i="1" s="1"/>
  <c r="H40" i="1" s="1"/>
  <c r="G58" i="1"/>
  <c r="G60" i="1" s="1"/>
  <c r="G40" i="1" s="1"/>
  <c r="L54" i="1"/>
  <c r="M51" i="1" s="1"/>
  <c r="K54" i="1"/>
  <c r="J54" i="1"/>
  <c r="K51" i="1" s="1"/>
  <c r="K56" i="1" s="1"/>
  <c r="K39" i="1" s="1"/>
  <c r="I54" i="1"/>
  <c r="J51" i="1" s="1"/>
  <c r="H54" i="1"/>
  <c r="I51" i="1" s="1"/>
  <c r="G54" i="1"/>
  <c r="H51" i="1" s="1"/>
  <c r="L52" i="1"/>
  <c r="K52" i="1"/>
  <c r="J52" i="1"/>
  <c r="I52" i="1"/>
  <c r="H52" i="1"/>
  <c r="G52" i="1"/>
  <c r="L51" i="1"/>
  <c r="G51" i="1"/>
  <c r="L31" i="1"/>
  <c r="K31" i="1"/>
  <c r="K32" i="1" s="1"/>
  <c r="K34" i="1" s="1"/>
  <c r="J31" i="1"/>
  <c r="J32" i="1" s="1"/>
  <c r="J34" i="1" s="1"/>
  <c r="I31" i="1"/>
  <c r="I32" i="1" s="1"/>
  <c r="I34" i="1" s="1"/>
  <c r="H31" i="1"/>
  <c r="H32" i="1" s="1"/>
  <c r="H34" i="1" s="1"/>
  <c r="G31" i="1"/>
  <c r="G32" i="1" s="1"/>
  <c r="G34" i="1" s="1"/>
  <c r="F27" i="1"/>
  <c r="M25" i="1"/>
  <c r="M23" i="1"/>
  <c r="M22" i="1"/>
  <c r="N22" i="1" s="1"/>
  <c r="M21" i="1"/>
  <c r="M20" i="1"/>
  <c r="L17" i="1"/>
  <c r="L19" i="1" s="1"/>
  <c r="K17" i="1"/>
  <c r="K19" i="1" s="1"/>
  <c r="J17" i="1"/>
  <c r="J19" i="1" s="1"/>
  <c r="I17" i="1"/>
  <c r="I19" i="1" s="1"/>
  <c r="H17" i="1"/>
  <c r="H19" i="1" s="1"/>
  <c r="G17" i="1"/>
  <c r="G19" i="1" s="1"/>
  <c r="N14" i="1"/>
  <c r="K7" i="4"/>
  <c r="AM7" i="4" s="1"/>
  <c r="M12" i="1"/>
  <c r="J6" i="4" s="1"/>
  <c r="J25" i="4" s="1"/>
  <c r="N12" i="1" s="1"/>
  <c r="D12" i="1"/>
  <c r="D13" i="1" s="1"/>
  <c r="O13" i="1"/>
  <c r="G5" i="1"/>
  <c r="G191" i="1" s="1"/>
  <c r="F189" i="2"/>
  <c r="F190" i="2" s="1"/>
  <c r="K187" i="2"/>
  <c r="J187" i="2"/>
  <c r="I187" i="2"/>
  <c r="H187" i="2"/>
  <c r="I186" i="2"/>
  <c r="H186" i="2"/>
  <c r="G186" i="2"/>
  <c r="G187" i="2" s="1"/>
  <c r="K181" i="2"/>
  <c r="J181" i="2"/>
  <c r="I181" i="2"/>
  <c r="H181" i="2"/>
  <c r="F181" i="2"/>
  <c r="J180" i="2"/>
  <c r="I180" i="2"/>
  <c r="H180" i="2"/>
  <c r="G180" i="2"/>
  <c r="G181" i="2" s="1"/>
  <c r="K178" i="2"/>
  <c r="J178" i="2"/>
  <c r="H178" i="2"/>
  <c r="G178" i="2"/>
  <c r="F178" i="2"/>
  <c r="I177" i="2"/>
  <c r="H177" i="2"/>
  <c r="G177" i="2"/>
  <c r="N11" i="1" s="1"/>
  <c r="F177" i="2"/>
  <c r="M11" i="1" s="1"/>
  <c r="M16" i="1" s="1"/>
  <c r="H174" i="2"/>
  <c r="I173" i="2" s="1"/>
  <c r="I174" i="2" s="1"/>
  <c r="J173" i="2" s="1"/>
  <c r="J174" i="2" s="1"/>
  <c r="K173" i="2" s="1"/>
  <c r="K174" i="2" s="1"/>
  <c r="F174" i="2"/>
  <c r="G173" i="2" s="1"/>
  <c r="G174" i="2" s="1"/>
  <c r="J65" i="1" l="1"/>
  <c r="J41" i="1" s="1"/>
  <c r="G65" i="1"/>
  <c r="G41" i="1" s="1"/>
  <c r="J71" i="1"/>
  <c r="J42" i="1" s="1"/>
  <c r="G75" i="1"/>
  <c r="G43" i="1" s="1"/>
  <c r="J80" i="1"/>
  <c r="J44" i="1" s="1"/>
  <c r="J91" i="1"/>
  <c r="J45" i="1" s="1"/>
  <c r="H91" i="1"/>
  <c r="H45" i="1" s="1"/>
  <c r="I80" i="1"/>
  <c r="I44" i="1" s="1"/>
  <c r="H75" i="1"/>
  <c r="H43" i="1" s="1"/>
  <c r="M90" i="1"/>
  <c r="I91" i="1"/>
  <c r="I45" i="1" s="1"/>
  <c r="M91" i="1"/>
  <c r="M45" i="1" s="1"/>
  <c r="E18" i="4"/>
  <c r="Y13" i="4"/>
  <c r="AG13" i="4"/>
  <c r="F18" i="4"/>
  <c r="Z13" i="4"/>
  <c r="AH13" i="4"/>
  <c r="AM16" i="4"/>
  <c r="AE16" i="4"/>
  <c r="X13" i="4"/>
  <c r="AF13" i="4"/>
  <c r="AM15" i="4"/>
  <c r="AE15" i="4"/>
  <c r="G20" i="4"/>
  <c r="AA18" i="4"/>
  <c r="AI18" i="4"/>
  <c r="X11" i="4"/>
  <c r="AF11" i="4"/>
  <c r="AM14" i="4"/>
  <c r="AE14" i="4"/>
  <c r="AB11" i="4"/>
  <c r="AC13" i="4"/>
  <c r="AD14" i="4"/>
  <c r="AL14" i="4"/>
  <c r="I18" i="4"/>
  <c r="AE17" i="4"/>
  <c r="M74" i="1"/>
  <c r="AL15" i="4"/>
  <c r="F186" i="2"/>
  <c r="F187" i="2" s="1"/>
  <c r="L91" i="1"/>
  <c r="L45" i="1" s="1"/>
  <c r="AC11" i="4"/>
  <c r="X12" i="4"/>
  <c r="H13" i="4"/>
  <c r="AD17" i="4"/>
  <c r="P18" i="4"/>
  <c r="M18" i="1"/>
  <c r="J12" i="4" s="1"/>
  <c r="K27" i="4" s="1"/>
  <c r="G189" i="2" s="1"/>
  <c r="AD15" i="4"/>
  <c r="G80" i="1"/>
  <c r="G44" i="1" s="1"/>
  <c r="G91" i="1"/>
  <c r="G45" i="1" s="1"/>
  <c r="AH11" i="4"/>
  <c r="AI13" i="4"/>
  <c r="AF19" i="4"/>
  <c r="X9" i="4"/>
  <c r="Y11" i="4"/>
  <c r="AI11" i="4"/>
  <c r="X15" i="4"/>
  <c r="H27" i="4"/>
  <c r="Z11" i="4"/>
  <c r="AA13" i="4"/>
  <c r="AD16" i="4"/>
  <c r="AL16" i="4"/>
  <c r="M75" i="1"/>
  <c r="M43" i="1" s="1"/>
  <c r="N89" i="1"/>
  <c r="L80" i="1"/>
  <c r="L44" i="1" s="1"/>
  <c r="H80" i="1"/>
  <c r="H44" i="1" s="1"/>
  <c r="K80" i="1"/>
  <c r="K44" i="1" s="1"/>
  <c r="N78" i="1"/>
  <c r="M80" i="1"/>
  <c r="M44" i="1" s="1"/>
  <c r="K71" i="1"/>
  <c r="K42" i="1" s="1"/>
  <c r="J86" i="1"/>
  <c r="K65" i="1"/>
  <c r="K41" i="1" s="1"/>
  <c r="M85" i="1"/>
  <c r="N85" i="1" s="1"/>
  <c r="M60" i="1"/>
  <c r="M40" i="1" s="1"/>
  <c r="L56" i="1"/>
  <c r="L39" i="1" s="1"/>
  <c r="H56" i="1"/>
  <c r="H39" i="1" s="1"/>
  <c r="M303" i="1"/>
  <c r="G195" i="1"/>
  <c r="G193" i="1"/>
  <c r="H190" i="1" s="1"/>
  <c r="H281" i="1"/>
  <c r="I278" i="1" s="1"/>
  <c r="I281" i="1" s="1"/>
  <c r="J278" i="1" s="1"/>
  <c r="J281" i="1" s="1"/>
  <c r="K278" i="1" s="1"/>
  <c r="K281" i="1" s="1"/>
  <c r="L278" i="1" s="1"/>
  <c r="L281" i="1" s="1"/>
  <c r="M278" i="1" s="1"/>
  <c r="M281" i="1" s="1"/>
  <c r="N278" i="1" s="1"/>
  <c r="N281" i="1" s="1"/>
  <c r="O278" i="1" s="1"/>
  <c r="O281" i="1" s="1"/>
  <c r="P278" i="1" s="1"/>
  <c r="P281" i="1" s="1"/>
  <c r="Q278" i="1" s="1"/>
  <c r="Q281" i="1" s="1"/>
  <c r="R278" i="1" s="1"/>
  <c r="R281" i="1" s="1"/>
  <c r="H65" i="1"/>
  <c r="H41" i="1" s="1"/>
  <c r="M70" i="1"/>
  <c r="N70" i="1" s="1"/>
  <c r="J56" i="1"/>
  <c r="J39" i="1" s="1"/>
  <c r="L65" i="1"/>
  <c r="L41" i="1" s="1"/>
  <c r="I71" i="1"/>
  <c r="I42" i="1" s="1"/>
  <c r="I65" i="1"/>
  <c r="I41" i="1" s="1"/>
  <c r="J75" i="1"/>
  <c r="J43" i="1" s="1"/>
  <c r="M64" i="1"/>
  <c r="M65" i="1" s="1"/>
  <c r="M41" i="1" s="1"/>
  <c r="N63" i="1"/>
  <c r="L339" i="1"/>
  <c r="L342" i="1" s="1"/>
  <c r="I56" i="1"/>
  <c r="I39" i="1" s="1"/>
  <c r="I86" i="1"/>
  <c r="K60" i="1"/>
  <c r="K40" i="1" s="1"/>
  <c r="L71" i="1"/>
  <c r="L42" i="1" s="1"/>
  <c r="K86" i="1"/>
  <c r="G56" i="1"/>
  <c r="G39" i="1" s="1"/>
  <c r="H71" i="1"/>
  <c r="H42" i="1" s="1"/>
  <c r="G86" i="1"/>
  <c r="H86" i="1"/>
  <c r="L86" i="1"/>
  <c r="K325" i="1"/>
  <c r="I339" i="1"/>
  <c r="I342" i="1" s="1"/>
  <c r="L325" i="1"/>
  <c r="J339" i="1"/>
  <c r="J342" i="1" s="1"/>
  <c r="G71" i="1"/>
  <c r="G42" i="1" s="1"/>
  <c r="M325" i="1"/>
  <c r="K339" i="1"/>
  <c r="K342" i="1" s="1"/>
  <c r="G325" i="1"/>
  <c r="M339" i="1"/>
  <c r="M342" i="1" s="1"/>
  <c r="G124" i="1"/>
  <c r="G158" i="1"/>
  <c r="N20" i="1"/>
  <c r="O20" i="1" s="1"/>
  <c r="P20" i="1" s="1"/>
  <c r="H325" i="1"/>
  <c r="I325" i="1"/>
  <c r="G339" i="1"/>
  <c r="G342" i="1" s="1"/>
  <c r="J325" i="1"/>
  <c r="H339" i="1"/>
  <c r="H342" i="1" s="1"/>
  <c r="J24" i="1"/>
  <c r="J26" i="1" s="1"/>
  <c r="J55" i="1"/>
  <c r="I256" i="1"/>
  <c r="I259" i="1" s="1"/>
  <c r="N64" i="1"/>
  <c r="P314" i="1"/>
  <c r="O63" i="1"/>
  <c r="L55" i="1"/>
  <c r="L24" i="1"/>
  <c r="L26" i="1" s="1"/>
  <c r="H262" i="1"/>
  <c r="H284" i="1"/>
  <c r="H287" i="1" s="1"/>
  <c r="G251" i="1"/>
  <c r="K24" i="1"/>
  <c r="K26" i="1" s="1"/>
  <c r="K55" i="1"/>
  <c r="N90" i="1"/>
  <c r="N91" i="1" s="1"/>
  <c r="N45" i="1" s="1"/>
  <c r="O89" i="1"/>
  <c r="R13" i="1"/>
  <c r="O7" i="4" s="1"/>
  <c r="D14" i="1"/>
  <c r="D15" i="1" s="1"/>
  <c r="D16" i="1" s="1"/>
  <c r="G24" i="1"/>
  <c r="G26" i="1" s="1"/>
  <c r="G292" i="1" s="1"/>
  <c r="G55" i="1"/>
  <c r="H24" i="1"/>
  <c r="H26" i="1" s="1"/>
  <c r="H292" i="1" s="1"/>
  <c r="H55" i="1"/>
  <c r="I24" i="1"/>
  <c r="I26" i="1" s="1"/>
  <c r="I292" i="1" s="1"/>
  <c r="I55" i="1"/>
  <c r="L32" i="1"/>
  <c r="L34" i="1" s="1"/>
  <c r="I53" i="1"/>
  <c r="O320" i="1"/>
  <c r="P320" i="1" s="1"/>
  <c r="Q320" i="1" s="1"/>
  <c r="P336" i="1"/>
  <c r="Q336" i="1" s="1"/>
  <c r="J19" i="4"/>
  <c r="AL19" i="4" s="1"/>
  <c r="G175" i="1"/>
  <c r="G112" i="1"/>
  <c r="G166" i="1"/>
  <c r="G33" i="1"/>
  <c r="G35" i="1" s="1"/>
  <c r="K36" i="1" s="1"/>
  <c r="J53" i="1"/>
  <c r="O313" i="1"/>
  <c r="O335" i="1"/>
  <c r="P335" i="1" s="1"/>
  <c r="Q335" i="1" s="1"/>
  <c r="H33" i="1"/>
  <c r="H35" i="1" s="1"/>
  <c r="K53" i="1"/>
  <c r="O11" i="1"/>
  <c r="L5" i="4" s="1"/>
  <c r="O14" i="1"/>
  <c r="L8" i="4" s="1"/>
  <c r="N25" i="1"/>
  <c r="O25" i="1" s="1"/>
  <c r="L19" i="4" s="1"/>
  <c r="I33" i="1"/>
  <c r="I35" i="1" s="1"/>
  <c r="L53" i="1"/>
  <c r="O334" i="1"/>
  <c r="J33" i="1"/>
  <c r="J35" i="1" s="1"/>
  <c r="O322" i="1"/>
  <c r="P322" i="1" s="1"/>
  <c r="K33" i="1"/>
  <c r="K35" i="1" s="1"/>
  <c r="O316" i="1"/>
  <c r="H4" i="1"/>
  <c r="P7" i="1"/>
  <c r="P11" i="1" s="1"/>
  <c r="G53" i="1"/>
  <c r="G269" i="1"/>
  <c r="O330" i="1"/>
  <c r="H53" i="1"/>
  <c r="N16" i="1"/>
  <c r="K10" i="4" s="1"/>
  <c r="AE10" i="4" s="1"/>
  <c r="J10" i="4"/>
  <c r="J26" i="4" s="1"/>
  <c r="J186" i="2" s="1"/>
  <c r="N21" i="1"/>
  <c r="O22" i="1"/>
  <c r="L16" i="4" s="1"/>
  <c r="J5" i="4"/>
  <c r="K5" i="4"/>
  <c r="AE5" i="4" s="1"/>
  <c r="M15" i="1"/>
  <c r="N23" i="1"/>
  <c r="AL21" i="4"/>
  <c r="N15" i="1"/>
  <c r="K6" i="4"/>
  <c r="AD6" i="4"/>
  <c r="AL6" i="4"/>
  <c r="AD7" i="4"/>
  <c r="AE7" i="4"/>
  <c r="AE21" i="4"/>
  <c r="O16" i="1"/>
  <c r="L7" i="4"/>
  <c r="AL12" i="4" l="1"/>
  <c r="AD12" i="4"/>
  <c r="N328" i="1"/>
  <c r="M84" i="1"/>
  <c r="M86" i="1" s="1"/>
  <c r="I20" i="4"/>
  <c r="AC18" i="4"/>
  <c r="AK18" i="4"/>
  <c r="AI20" i="4"/>
  <c r="AA20" i="4"/>
  <c r="G22" i="4"/>
  <c r="Z18" i="4"/>
  <c r="F20" i="4"/>
  <c r="AH18" i="4"/>
  <c r="D18" i="4"/>
  <c r="P20" i="4"/>
  <c r="H18" i="4"/>
  <c r="AB13" i="4"/>
  <c r="AJ13" i="4"/>
  <c r="K47" i="1"/>
  <c r="E20" i="4"/>
  <c r="AG18" i="4"/>
  <c r="Y18" i="4"/>
  <c r="J343" i="1"/>
  <c r="I343" i="1"/>
  <c r="M343" i="1"/>
  <c r="G343" i="1"/>
  <c r="N315" i="1"/>
  <c r="N68" i="1" s="1"/>
  <c r="M69" i="1"/>
  <c r="M71" i="1" s="1"/>
  <c r="M42" i="1" s="1"/>
  <c r="P334" i="1"/>
  <c r="Q334" i="1" s="1"/>
  <c r="G293" i="1"/>
  <c r="G299" i="1" s="1"/>
  <c r="G302" i="1" s="1"/>
  <c r="G304" i="1" s="1"/>
  <c r="G306" i="1" s="1"/>
  <c r="J28" i="1"/>
  <c r="J292" i="1"/>
  <c r="L28" i="1"/>
  <c r="L292" i="1"/>
  <c r="H343" i="1"/>
  <c r="I293" i="1"/>
  <c r="I299" i="1" s="1"/>
  <c r="I302" i="1" s="1"/>
  <c r="I304" i="1" s="1"/>
  <c r="I306" i="1" s="1"/>
  <c r="N303" i="1"/>
  <c r="K343" i="1"/>
  <c r="H293" i="1"/>
  <c r="H299" i="1" s="1"/>
  <c r="H302" i="1" s="1"/>
  <c r="H304" i="1" s="1"/>
  <c r="H306" i="1" s="1"/>
  <c r="K28" i="1"/>
  <c r="K292" i="1"/>
  <c r="L343" i="1"/>
  <c r="J47" i="1"/>
  <c r="J104" i="1" s="1"/>
  <c r="M55" i="1"/>
  <c r="N55" i="1" s="1"/>
  <c r="N54" i="1" s="1"/>
  <c r="L47" i="1"/>
  <c r="H47" i="1"/>
  <c r="M5" i="4"/>
  <c r="I47" i="1"/>
  <c r="N65" i="1"/>
  <c r="N41" i="1" s="1"/>
  <c r="G47" i="1"/>
  <c r="L14" i="4"/>
  <c r="M14" i="4"/>
  <c r="N69" i="1"/>
  <c r="AD19" i="4"/>
  <c r="O90" i="1"/>
  <c r="O91" i="1" s="1"/>
  <c r="O45" i="1" s="1"/>
  <c r="P89" i="1"/>
  <c r="O79" i="1"/>
  <c r="P78" i="1"/>
  <c r="K19" i="4"/>
  <c r="H269" i="1"/>
  <c r="H252" i="1" s="1"/>
  <c r="H265" i="1"/>
  <c r="Q322" i="1"/>
  <c r="N74" i="1"/>
  <c r="N75" i="1" s="1"/>
  <c r="N43" i="1" s="1"/>
  <c r="O73" i="1"/>
  <c r="P90" i="1"/>
  <c r="Q89" i="1"/>
  <c r="L225" i="1"/>
  <c r="L357" i="1" s="1"/>
  <c r="K18" i="6" s="1"/>
  <c r="H28" i="1"/>
  <c r="J256" i="1"/>
  <c r="J259" i="1" s="1"/>
  <c r="P316" i="1"/>
  <c r="G252" i="1"/>
  <c r="G271" i="1"/>
  <c r="P25" i="1"/>
  <c r="M19" i="4" s="1"/>
  <c r="R336" i="1"/>
  <c r="J225" i="1"/>
  <c r="J357" i="1" s="1"/>
  <c r="I18" i="6" s="1"/>
  <c r="I224" i="1"/>
  <c r="I357" i="1" s="1"/>
  <c r="H18" i="6" s="1"/>
  <c r="K225" i="1"/>
  <c r="K357" i="1" s="1"/>
  <c r="J18" i="6" s="1"/>
  <c r="H224" i="1"/>
  <c r="H357" i="1" s="1"/>
  <c r="G18" i="6" s="1"/>
  <c r="G28" i="1"/>
  <c r="P330" i="1"/>
  <c r="Q330" i="1" s="1"/>
  <c r="O70" i="1"/>
  <c r="P70" i="1" s="1"/>
  <c r="R335" i="1"/>
  <c r="S335" i="1" s="1"/>
  <c r="L33" i="1"/>
  <c r="L35" i="1" s="1"/>
  <c r="O85" i="1"/>
  <c r="P85" i="1" s="1"/>
  <c r="R320" i="1"/>
  <c r="S320" i="1" s="1"/>
  <c r="P13" i="1"/>
  <c r="P16" i="1" s="1"/>
  <c r="Q7" i="1"/>
  <c r="P14" i="1"/>
  <c r="O78" i="1"/>
  <c r="N79" i="1"/>
  <c r="N80" i="1" s="1"/>
  <c r="N44" i="1" s="1"/>
  <c r="N59" i="1"/>
  <c r="N60" i="1" s="1"/>
  <c r="N40" i="1" s="1"/>
  <c r="O58" i="1"/>
  <c r="H5" i="1"/>
  <c r="H191" i="1" s="1"/>
  <c r="P313" i="1"/>
  <c r="M225" i="1"/>
  <c r="M357" i="1" s="1"/>
  <c r="L18" i="6" s="1"/>
  <c r="I28" i="1"/>
  <c r="L364" i="1" s="1"/>
  <c r="K25" i="6" s="1"/>
  <c r="I284" i="1"/>
  <c r="I287" i="1" s="1"/>
  <c r="H251" i="1"/>
  <c r="O64" i="1"/>
  <c r="O65" i="1" s="1"/>
  <c r="O41" i="1" s="1"/>
  <c r="Q314" i="1"/>
  <c r="P63" i="1"/>
  <c r="AL10" i="4"/>
  <c r="AD10" i="4"/>
  <c r="P22" i="1"/>
  <c r="M16" i="4" s="1"/>
  <c r="O328" i="1"/>
  <c r="K26" i="4"/>
  <c r="K186" i="2" s="1"/>
  <c r="AM10" i="4"/>
  <c r="AL5" i="4"/>
  <c r="J177" i="2"/>
  <c r="N83" i="1"/>
  <c r="J9" i="4"/>
  <c r="M31" i="1"/>
  <c r="M17" i="1"/>
  <c r="M52" i="1"/>
  <c r="N84" i="1"/>
  <c r="AM5" i="4"/>
  <c r="K177" i="2"/>
  <c r="O21" i="1"/>
  <c r="L15" i="4" s="1"/>
  <c r="O315" i="1"/>
  <c r="O68" i="1" s="1"/>
  <c r="O23" i="1"/>
  <c r="AD5" i="4"/>
  <c r="N18" i="1"/>
  <c r="G190" i="2"/>
  <c r="K25" i="4"/>
  <c r="O12" i="1" s="1"/>
  <c r="AM6" i="4"/>
  <c r="AE6" i="4"/>
  <c r="N31" i="1"/>
  <c r="K9" i="4"/>
  <c r="N52" i="1"/>
  <c r="N17" i="1"/>
  <c r="L10" i="4"/>
  <c r="L26" i="4" s="1"/>
  <c r="M54" i="1" l="1"/>
  <c r="J364" i="1"/>
  <c r="I25" i="6" s="1"/>
  <c r="K364" i="1"/>
  <c r="J25" i="6" s="1"/>
  <c r="AI22" i="4"/>
  <c r="AA22" i="4"/>
  <c r="F22" i="4"/>
  <c r="Z20" i="4"/>
  <c r="AH20" i="4"/>
  <c r="H20" i="4"/>
  <c r="AB18" i="4"/>
  <c r="AJ18" i="4"/>
  <c r="P22" i="4"/>
  <c r="D22" i="4" s="1"/>
  <c r="D20" i="4"/>
  <c r="AF18" i="4"/>
  <c r="X18" i="4"/>
  <c r="AG20" i="4"/>
  <c r="Y20" i="4"/>
  <c r="E22" i="4"/>
  <c r="AC20" i="4"/>
  <c r="I22" i="4"/>
  <c r="AK20" i="4"/>
  <c r="O303" i="1"/>
  <c r="K104" i="1"/>
  <c r="N71" i="1"/>
  <c r="N42" i="1" s="1"/>
  <c r="H104" i="1"/>
  <c r="L104" i="1"/>
  <c r="G104" i="1"/>
  <c r="G111" i="1" s="1"/>
  <c r="L293" i="1"/>
  <c r="L299" i="1" s="1"/>
  <c r="L302" i="1" s="1"/>
  <c r="L304" i="1" s="1"/>
  <c r="L306" i="1" s="1"/>
  <c r="J293" i="1"/>
  <c r="J299" i="1" s="1"/>
  <c r="J302" i="1" s="1"/>
  <c r="J304" i="1" s="1"/>
  <c r="J306" i="1" s="1"/>
  <c r="K293" i="1"/>
  <c r="K299" i="1" s="1"/>
  <c r="K302" i="1" s="1"/>
  <c r="K304" i="1" s="1"/>
  <c r="K306" i="1" s="1"/>
  <c r="P303" i="1"/>
  <c r="I104" i="1"/>
  <c r="H195" i="1"/>
  <c r="H193" i="1"/>
  <c r="I190" i="1" s="1"/>
  <c r="O80" i="1"/>
  <c r="O44" i="1" s="1"/>
  <c r="Q20" i="1"/>
  <c r="N14" i="4" s="1"/>
  <c r="Q70" i="1"/>
  <c r="R70" i="1" s="1"/>
  <c r="P328" i="1"/>
  <c r="P83" i="1" s="1"/>
  <c r="I4" i="1"/>
  <c r="H124" i="1"/>
  <c r="P91" i="1"/>
  <c r="P45" i="1" s="1"/>
  <c r="Q25" i="1"/>
  <c r="N19" i="4" s="1"/>
  <c r="M8" i="4"/>
  <c r="H268" i="1"/>
  <c r="H271" i="1" s="1"/>
  <c r="I268" i="1" s="1"/>
  <c r="G250" i="1"/>
  <c r="Q13" i="1"/>
  <c r="N7" i="4" s="1"/>
  <c r="Q14" i="1"/>
  <c r="N8" i="4" s="1"/>
  <c r="Q11" i="1"/>
  <c r="R7" i="1"/>
  <c r="K256" i="1"/>
  <c r="K259" i="1" s="1"/>
  <c r="M7" i="4"/>
  <c r="M10" i="4"/>
  <c r="O74" i="1"/>
  <c r="O75" i="1" s="1"/>
  <c r="O43" i="1" s="1"/>
  <c r="P73" i="1"/>
  <c r="AM19" i="4"/>
  <c r="AE19" i="4"/>
  <c r="P79" i="1"/>
  <c r="P80" i="1" s="1"/>
  <c r="P44" i="1" s="1"/>
  <c r="Q78" i="1"/>
  <c r="R334" i="1"/>
  <c r="Q303" i="1" s="1"/>
  <c r="P64" i="1"/>
  <c r="P65" i="1" s="1"/>
  <c r="P41" i="1" s="1"/>
  <c r="R314" i="1"/>
  <c r="Q63" i="1"/>
  <c r="P58" i="1"/>
  <c r="O59" i="1"/>
  <c r="O60" i="1" s="1"/>
  <c r="O40" i="1" s="1"/>
  <c r="Q313" i="1"/>
  <c r="R313" i="1" s="1"/>
  <c r="R330" i="1"/>
  <c r="S330" i="1" s="1"/>
  <c r="I262" i="1"/>
  <c r="R322" i="1"/>
  <c r="S322" i="1" s="1"/>
  <c r="R79" i="1" s="1"/>
  <c r="J284" i="1"/>
  <c r="J287" i="1" s="1"/>
  <c r="I251" i="1"/>
  <c r="I5" i="1"/>
  <c r="Q85" i="1"/>
  <c r="R85" i="1" s="1"/>
  <c r="R89" i="1"/>
  <c r="Q90" i="1"/>
  <c r="Q91" i="1" s="1"/>
  <c r="Q45" i="1" s="1"/>
  <c r="Q316" i="1"/>
  <c r="R316" i="1" s="1"/>
  <c r="H175" i="1"/>
  <c r="O55" i="1"/>
  <c r="P55" i="1" s="1"/>
  <c r="S336" i="1"/>
  <c r="R90" i="1" s="1"/>
  <c r="Q22" i="1"/>
  <c r="R22" i="1" s="1"/>
  <c r="O16" i="4" s="1"/>
  <c r="O83" i="1"/>
  <c r="P23" i="1"/>
  <c r="M17" i="4" s="1"/>
  <c r="M53" i="1"/>
  <c r="M19" i="1"/>
  <c r="J11" i="4"/>
  <c r="L17" i="4"/>
  <c r="M32" i="1"/>
  <c r="O69" i="1"/>
  <c r="O71" i="1" s="1"/>
  <c r="O42" i="1" s="1"/>
  <c r="O84" i="1"/>
  <c r="AL9" i="4"/>
  <c r="AD9" i="4"/>
  <c r="N312" i="1"/>
  <c r="M56" i="1"/>
  <c r="M39" i="1" s="1"/>
  <c r="N51" i="1"/>
  <c r="N56" i="1" s="1"/>
  <c r="N39" i="1" s="1"/>
  <c r="P315" i="1"/>
  <c r="P68" i="1" s="1"/>
  <c r="P21" i="1"/>
  <c r="N86" i="1"/>
  <c r="O15" i="1"/>
  <c r="L6" i="4"/>
  <c r="L25" i="4" s="1"/>
  <c r="P12" i="1" s="1"/>
  <c r="P15" i="1" s="1"/>
  <c r="P17" i="1" s="1"/>
  <c r="K11" i="4"/>
  <c r="N19" i="1"/>
  <c r="O312" i="1"/>
  <c r="O51" i="1"/>
  <c r="N32" i="1"/>
  <c r="N34" i="1" s="1"/>
  <c r="AM9" i="4"/>
  <c r="AE9" i="4"/>
  <c r="K12" i="4"/>
  <c r="AB20" i="4" l="1"/>
  <c r="AJ20" i="4"/>
  <c r="H22" i="4"/>
  <c r="Y22" i="4"/>
  <c r="AG22" i="4"/>
  <c r="Z22" i="4"/>
  <c r="AH22" i="4"/>
  <c r="AF20" i="4"/>
  <c r="X20" i="4"/>
  <c r="AC22" i="4"/>
  <c r="AK22" i="4"/>
  <c r="X22" i="4"/>
  <c r="AF22" i="4"/>
  <c r="N47" i="1"/>
  <c r="M34" i="1"/>
  <c r="M47" i="1"/>
  <c r="R20" i="1"/>
  <c r="O14" i="4" s="1"/>
  <c r="I191" i="1"/>
  <c r="I195" i="1" s="1"/>
  <c r="R25" i="1"/>
  <c r="R91" i="1"/>
  <c r="R45" i="1" s="1"/>
  <c r="F45" i="1" s="1"/>
  <c r="Q55" i="1"/>
  <c r="R55" i="1" s="1"/>
  <c r="J4" i="1"/>
  <c r="I124" i="1"/>
  <c r="M26" i="4"/>
  <c r="P84" i="1"/>
  <c r="P86" i="1" s="1"/>
  <c r="N16" i="4"/>
  <c r="F13" i="1"/>
  <c r="R73" i="1"/>
  <c r="Q74" i="1"/>
  <c r="Q58" i="1"/>
  <c r="P59" i="1"/>
  <c r="P60" i="1" s="1"/>
  <c r="P40" i="1" s="1"/>
  <c r="S313" i="1"/>
  <c r="R59" i="1" s="1"/>
  <c r="J251" i="1"/>
  <c r="K284" i="1"/>
  <c r="K287" i="1" s="1"/>
  <c r="S334" i="1"/>
  <c r="R303" i="1" s="1"/>
  <c r="L256" i="1"/>
  <c r="L259" i="1" s="1"/>
  <c r="Q79" i="1"/>
  <c r="Q80" i="1" s="1"/>
  <c r="Q44" i="1" s="1"/>
  <c r="R78" i="1"/>
  <c r="R80" i="1" s="1"/>
  <c r="R44" i="1" s="1"/>
  <c r="Q16" i="1"/>
  <c r="N10" i="4" s="1"/>
  <c r="N26" i="4" s="1"/>
  <c r="F22" i="1"/>
  <c r="F20" i="1"/>
  <c r="H250" i="1"/>
  <c r="R11" i="1"/>
  <c r="O5" i="4" s="1"/>
  <c r="R14" i="1"/>
  <c r="O8" i="4" s="1"/>
  <c r="R16" i="1"/>
  <c r="J5" i="1"/>
  <c r="I265" i="1"/>
  <c r="I269" i="1"/>
  <c r="I252" i="1" s="1"/>
  <c r="Q64" i="1"/>
  <c r="Q65" i="1" s="1"/>
  <c r="Q41" i="1" s="1"/>
  <c r="S314" i="1"/>
  <c r="R64" i="1" s="1"/>
  <c r="R63" i="1"/>
  <c r="N5" i="4"/>
  <c r="R58" i="1"/>
  <c r="Q59" i="1"/>
  <c r="O86" i="1"/>
  <c r="Q73" i="1"/>
  <c r="P74" i="1"/>
  <c r="P75" i="1" s="1"/>
  <c r="P43" i="1" s="1"/>
  <c r="I175" i="1"/>
  <c r="S316" i="1"/>
  <c r="R74" i="1" s="1"/>
  <c r="Q23" i="1"/>
  <c r="N17" i="4" s="1"/>
  <c r="P69" i="1"/>
  <c r="P71" i="1" s="1"/>
  <c r="P42" i="1" s="1"/>
  <c r="Q328" i="1"/>
  <c r="Q83" i="1" s="1"/>
  <c r="Q315" i="1"/>
  <c r="Q68" i="1" s="1"/>
  <c r="N53" i="1"/>
  <c r="AL11" i="4"/>
  <c r="AD11" i="4"/>
  <c r="M15" i="4"/>
  <c r="Q21" i="1"/>
  <c r="J13" i="4"/>
  <c r="M24" i="1"/>
  <c r="M33" i="1"/>
  <c r="AM12" i="4"/>
  <c r="AE12" i="4"/>
  <c r="L27" i="4"/>
  <c r="H189" i="2" s="1"/>
  <c r="K13" i="4"/>
  <c r="N24" i="1"/>
  <c r="AM11" i="4"/>
  <c r="AE11" i="4"/>
  <c r="N33" i="1"/>
  <c r="N35" i="1" s="1"/>
  <c r="M6" i="4"/>
  <c r="M25" i="4" s="1"/>
  <c r="Q12" i="1" s="1"/>
  <c r="O31" i="1"/>
  <c r="O52" i="1"/>
  <c r="O17" i="1"/>
  <c r="O54" i="1"/>
  <c r="L9" i="4"/>
  <c r="AJ22" i="4" l="1"/>
  <c r="AB22" i="4"/>
  <c r="F44" i="1"/>
  <c r="O32" i="1"/>
  <c r="M35" i="1"/>
  <c r="I193" i="1"/>
  <c r="J190" i="1" s="1"/>
  <c r="R60" i="1"/>
  <c r="R40" i="1" s="1"/>
  <c r="R65" i="1"/>
  <c r="R41" i="1" s="1"/>
  <c r="F41" i="1" s="1"/>
  <c r="I271" i="1"/>
  <c r="J268" i="1" s="1"/>
  <c r="Q75" i="1"/>
  <c r="Q43" i="1" s="1"/>
  <c r="O19" i="4"/>
  <c r="F25" i="1"/>
  <c r="K4" i="1"/>
  <c r="K5" i="1" s="1"/>
  <c r="J124" i="1"/>
  <c r="F14" i="1"/>
  <c r="Q84" i="1"/>
  <c r="Q86" i="1" s="1"/>
  <c r="Q69" i="1"/>
  <c r="Q71" i="1" s="1"/>
  <c r="Q42" i="1" s="1"/>
  <c r="F11" i="1"/>
  <c r="J262" i="1"/>
  <c r="J175" i="1"/>
  <c r="M256" i="1"/>
  <c r="M259" i="1" s="1"/>
  <c r="Q60" i="1"/>
  <c r="Q40" i="1" s="1"/>
  <c r="F16" i="1"/>
  <c r="O10" i="4"/>
  <c r="O26" i="4" s="1"/>
  <c r="K251" i="1"/>
  <c r="L284" i="1"/>
  <c r="L287" i="1" s="1"/>
  <c r="R75" i="1"/>
  <c r="R43" i="1" s="1"/>
  <c r="R23" i="1"/>
  <c r="F23" i="1" s="1"/>
  <c r="R328" i="1"/>
  <c r="R83" i="1" s="1"/>
  <c r="R315" i="1"/>
  <c r="R68" i="1" s="1"/>
  <c r="N15" i="4"/>
  <c r="R21" i="1"/>
  <c r="M26" i="1"/>
  <c r="M292" i="1" s="1"/>
  <c r="J18" i="4"/>
  <c r="AL13" i="4"/>
  <c r="AD13" i="4"/>
  <c r="O53" i="1"/>
  <c r="L11" i="4"/>
  <c r="P52" i="1"/>
  <c r="P54" i="1"/>
  <c r="M9" i="4"/>
  <c r="P31" i="1"/>
  <c r="O18" i="1"/>
  <c r="H190" i="2"/>
  <c r="AM13" i="4"/>
  <c r="AE13" i="4"/>
  <c r="O33" i="1"/>
  <c r="N26" i="1"/>
  <c r="N292" i="1" s="1"/>
  <c r="K18" i="4"/>
  <c r="N6" i="4"/>
  <c r="N25" i="4" s="1"/>
  <c r="R12" i="1" s="1"/>
  <c r="Q15" i="1"/>
  <c r="P51" i="1"/>
  <c r="O56" i="1"/>
  <c r="O39" i="1" s="1"/>
  <c r="P312" i="1"/>
  <c r="F40" i="1" l="1"/>
  <c r="I250" i="1"/>
  <c r="F43" i="1"/>
  <c r="O47" i="1"/>
  <c r="O36" i="1"/>
  <c r="F36" i="1" s="1"/>
  <c r="O34" i="1"/>
  <c r="J191" i="1"/>
  <c r="J195" i="1" s="1"/>
  <c r="L4" i="1"/>
  <c r="L5" i="1" s="1"/>
  <c r="K124" i="1"/>
  <c r="R84" i="1"/>
  <c r="R86" i="1" s="1"/>
  <c r="S315" i="1"/>
  <c r="O17" i="4"/>
  <c r="S328" i="1"/>
  <c r="R69" i="1"/>
  <c r="R71" i="1" s="1"/>
  <c r="R42" i="1" s="1"/>
  <c r="F42" i="1" s="1"/>
  <c r="K175" i="1"/>
  <c r="N256" i="1"/>
  <c r="N259" i="1" s="1"/>
  <c r="L251" i="1"/>
  <c r="M284" i="1"/>
  <c r="M287" i="1" s="1"/>
  <c r="J265" i="1"/>
  <c r="J269" i="1"/>
  <c r="N225" i="1"/>
  <c r="N357" i="1" s="1"/>
  <c r="M18" i="6" s="1"/>
  <c r="O225" i="1"/>
  <c r="O357" i="1" s="1"/>
  <c r="N18" i="6" s="1"/>
  <c r="AL18" i="4"/>
  <c r="AD18" i="4"/>
  <c r="M28" i="1"/>
  <c r="M104" i="1" s="1"/>
  <c r="J20" i="4"/>
  <c r="O15" i="4"/>
  <c r="F21" i="1"/>
  <c r="L12" i="4"/>
  <c r="N9" i="4"/>
  <c r="Q31" i="1"/>
  <c r="Q17" i="1"/>
  <c r="Q54" i="1"/>
  <c r="Q52" i="1"/>
  <c r="AM18" i="4"/>
  <c r="AE18" i="4"/>
  <c r="N28" i="1"/>
  <c r="N104" i="1" s="1"/>
  <c r="K20" i="4"/>
  <c r="Q51" i="1"/>
  <c r="Q312" i="1"/>
  <c r="P32" i="1"/>
  <c r="P34" i="1" s="1"/>
  <c r="M11" i="4"/>
  <c r="P56" i="1"/>
  <c r="P39" i="1" s="1"/>
  <c r="P47" i="1" s="1"/>
  <c r="P53" i="1"/>
  <c r="O6" i="4"/>
  <c r="O25" i="4" s="1"/>
  <c r="R15" i="1"/>
  <c r="F12" i="1"/>
  <c r="O19" i="1"/>
  <c r="O35" i="1" l="1"/>
  <c r="J193" i="1"/>
  <c r="K190" i="1" s="1"/>
  <c r="M4" i="1"/>
  <c r="M5" i="1" s="1"/>
  <c r="L124" i="1"/>
  <c r="M251" i="1"/>
  <c r="N321" i="1"/>
  <c r="N284" i="1"/>
  <c r="N287" i="1" s="1"/>
  <c r="L175" i="1"/>
  <c r="O256" i="1"/>
  <c r="O259" i="1" s="1"/>
  <c r="J252" i="1"/>
  <c r="J271" i="1"/>
  <c r="K268" i="1" s="1"/>
  <c r="K262" i="1"/>
  <c r="AL20" i="4"/>
  <c r="AD20" i="4"/>
  <c r="J22" i="4"/>
  <c r="L13" i="4"/>
  <c r="O24" i="1"/>
  <c r="R312" i="1"/>
  <c r="R51" i="1"/>
  <c r="Q32" i="1"/>
  <c r="AM20" i="4"/>
  <c r="AE20" i="4"/>
  <c r="P33" i="1"/>
  <c r="N11" i="4"/>
  <c r="Q56" i="1"/>
  <c r="Q39" i="1" s="1"/>
  <c r="Q47" i="1" s="1"/>
  <c r="Q53" i="1"/>
  <c r="K22" i="4"/>
  <c r="M27" i="4"/>
  <c r="I189" i="2" s="1"/>
  <c r="P18" i="1" s="1"/>
  <c r="P19" i="1" s="1"/>
  <c r="R17" i="1"/>
  <c r="R54" i="1"/>
  <c r="S312" i="1" s="1"/>
  <c r="R52" i="1"/>
  <c r="O9" i="4"/>
  <c r="R31" i="1"/>
  <c r="F31" i="1" s="1"/>
  <c r="F15" i="1"/>
  <c r="J250" i="1" l="1"/>
  <c r="P35" i="1"/>
  <c r="Q34" i="1"/>
  <c r="K191" i="1"/>
  <c r="K195" i="1" s="1"/>
  <c r="N4" i="1"/>
  <c r="N5" i="1" s="1"/>
  <c r="M124" i="1"/>
  <c r="K265" i="1"/>
  <c r="K269" i="1"/>
  <c r="K252" i="1" s="1"/>
  <c r="M175" i="1"/>
  <c r="M200" i="1"/>
  <c r="N251" i="1"/>
  <c r="O321" i="1"/>
  <c r="O284" i="1"/>
  <c r="O287" i="1" s="1"/>
  <c r="P256" i="1"/>
  <c r="P259" i="1" s="1"/>
  <c r="AL22" i="4"/>
  <c r="AD22" i="4"/>
  <c r="O11" i="4"/>
  <c r="R53" i="1"/>
  <c r="R56" i="1"/>
  <c r="R39" i="1" s="1"/>
  <c r="R47" i="1" s="1"/>
  <c r="F47" i="1" s="1"/>
  <c r="F17" i="1"/>
  <c r="AM22" i="4"/>
  <c r="AE22" i="4"/>
  <c r="Q33" i="1"/>
  <c r="Q35" i="1" s="1"/>
  <c r="I190" i="2"/>
  <c r="O26" i="1"/>
  <c r="O292" i="1" s="1"/>
  <c r="L18" i="4"/>
  <c r="R32" i="1"/>
  <c r="R34" i="1" s="1"/>
  <c r="F39" i="1" l="1"/>
  <c r="F32" i="1"/>
  <c r="F34" i="1"/>
  <c r="K193" i="1"/>
  <c r="L190" i="1" s="1"/>
  <c r="N200" i="1"/>
  <c r="O4" i="1"/>
  <c r="N124" i="1"/>
  <c r="M123" i="1"/>
  <c r="M112" i="1"/>
  <c r="K271" i="1"/>
  <c r="L268" i="1" s="1"/>
  <c r="Q256" i="1"/>
  <c r="Q259" i="1" s="1"/>
  <c r="P321" i="1"/>
  <c r="P284" i="1"/>
  <c r="P287" i="1" s="1"/>
  <c r="O251" i="1"/>
  <c r="O5" i="1"/>
  <c r="O200" i="1" s="1"/>
  <c r="L262" i="1"/>
  <c r="N175" i="1"/>
  <c r="P225" i="1"/>
  <c r="P357" i="1" s="1"/>
  <c r="O18" i="6" s="1"/>
  <c r="R33" i="1"/>
  <c r="R35" i="1" s="1"/>
  <c r="S36" i="1" s="1"/>
  <c r="L20" i="4"/>
  <c r="O28" i="1"/>
  <c r="O104" i="1" s="1"/>
  <c r="M12" i="4"/>
  <c r="F33" i="1" l="1"/>
  <c r="F35" i="1"/>
  <c r="L191" i="1"/>
  <c r="L195" i="1" s="1"/>
  <c r="O123" i="1"/>
  <c r="O112" i="1"/>
  <c r="N123" i="1"/>
  <c r="N112" i="1"/>
  <c r="P4" i="1"/>
  <c r="O124" i="1"/>
  <c r="K250" i="1"/>
  <c r="Q284" i="1"/>
  <c r="Q287" i="1" s="1"/>
  <c r="P251" i="1"/>
  <c r="Q321" i="1"/>
  <c r="L265" i="1"/>
  <c r="L269" i="1"/>
  <c r="P5" i="1"/>
  <c r="P175" i="1" s="1"/>
  <c r="O175" i="1"/>
  <c r="R256" i="1"/>
  <c r="R259" i="1" s="1"/>
  <c r="M13" i="4"/>
  <c r="P24" i="1"/>
  <c r="L22" i="4"/>
  <c r="N27" i="4"/>
  <c r="J189" i="2" s="1"/>
  <c r="L193" i="1" l="1"/>
  <c r="M190" i="1" s="1"/>
  <c r="Q4" i="1"/>
  <c r="Q5" i="1" s="1"/>
  <c r="P124" i="1"/>
  <c r="P200" i="1"/>
  <c r="L252" i="1"/>
  <c r="L271" i="1"/>
  <c r="M268" i="1" s="1"/>
  <c r="M262" i="1"/>
  <c r="R284" i="1"/>
  <c r="R287" i="1" s="1"/>
  <c r="Q251" i="1"/>
  <c r="R321" i="1"/>
  <c r="J190" i="2"/>
  <c r="Q18" i="1"/>
  <c r="M18" i="4"/>
  <c r="P26" i="1"/>
  <c r="P292" i="1" s="1"/>
  <c r="L250" i="1" l="1"/>
  <c r="Q200" i="1"/>
  <c r="Q123" i="1" s="1"/>
  <c r="M191" i="1"/>
  <c r="M193" i="1" s="1"/>
  <c r="N190" i="1" s="1"/>
  <c r="P123" i="1"/>
  <c r="P112" i="1"/>
  <c r="R4" i="1"/>
  <c r="Q124" i="1"/>
  <c r="Q175" i="1"/>
  <c r="M265" i="1"/>
  <c r="M269" i="1"/>
  <c r="M252" i="1" s="1"/>
  <c r="M298" i="1" s="1"/>
  <c r="M299" i="1" s="1"/>
  <c r="R251" i="1"/>
  <c r="S321" i="1"/>
  <c r="M271" i="1"/>
  <c r="N268" i="1" s="1"/>
  <c r="R5" i="1"/>
  <c r="Q225" i="1"/>
  <c r="Q357" i="1" s="1"/>
  <c r="P18" i="6" s="1"/>
  <c r="M20" i="4"/>
  <c r="P28" i="1"/>
  <c r="P104" i="1" s="1"/>
  <c r="N12" i="4"/>
  <c r="O27" i="4" s="1"/>
  <c r="K189" i="2" s="1"/>
  <c r="Q19" i="1"/>
  <c r="Q112" i="1" l="1"/>
  <c r="N191" i="1"/>
  <c r="N193" i="1" s="1"/>
  <c r="O190" i="1" s="1"/>
  <c r="R124" i="1"/>
  <c r="S4" i="1"/>
  <c r="S5" i="1" s="1"/>
  <c r="T4" i="1" s="1"/>
  <c r="T5" i="1" s="1"/>
  <c r="U4" i="1" s="1"/>
  <c r="U5" i="1" s="1"/>
  <c r="V4" i="1" s="1"/>
  <c r="V5" i="1" s="1"/>
  <c r="R200" i="1"/>
  <c r="R175" i="1"/>
  <c r="N262" i="1"/>
  <c r="M250" i="1"/>
  <c r="N319" i="1" s="1"/>
  <c r="N323" i="1" s="1"/>
  <c r="N13" i="4"/>
  <c r="Q24" i="1"/>
  <c r="M22" i="4"/>
  <c r="R18" i="1"/>
  <c r="K190" i="2"/>
  <c r="O191" i="1" l="1"/>
  <c r="O193" i="1" s="1"/>
  <c r="P190" i="1" s="1"/>
  <c r="R112" i="1"/>
  <c r="R123" i="1"/>
  <c r="N265" i="1"/>
  <c r="N269" i="1"/>
  <c r="O12" i="4"/>
  <c r="R19" i="1"/>
  <c r="F18" i="1"/>
  <c r="Q26" i="1"/>
  <c r="Q292" i="1" s="1"/>
  <c r="N18" i="4"/>
  <c r="P191" i="1" l="1"/>
  <c r="P193" i="1" s="1"/>
  <c r="Q190" i="1" s="1"/>
  <c r="N252" i="1"/>
  <c r="N298" i="1" s="1"/>
  <c r="N299" i="1" s="1"/>
  <c r="N271" i="1"/>
  <c r="O268" i="1" s="1"/>
  <c r="O262" i="1"/>
  <c r="R225" i="1"/>
  <c r="R357" i="1" s="1"/>
  <c r="N20" i="4"/>
  <c r="Q28" i="1"/>
  <c r="Q104" i="1" s="1"/>
  <c r="R24" i="1"/>
  <c r="O13" i="4"/>
  <c r="F19" i="1"/>
  <c r="F357" i="1" l="1"/>
  <c r="E18" i="6" s="1"/>
  <c r="Q18" i="6"/>
  <c r="N250" i="1"/>
  <c r="O319" i="1" s="1"/>
  <c r="O323" i="1" s="1"/>
  <c r="Q191" i="1"/>
  <c r="Q193" i="1" s="1"/>
  <c r="R190" i="1" s="1"/>
  <c r="R191" i="1" s="1"/>
  <c r="R193" i="1" s="1"/>
  <c r="O265" i="1"/>
  <c r="O269" i="1"/>
  <c r="O252" i="1" s="1"/>
  <c r="O298" i="1" s="1"/>
  <c r="O299" i="1" s="1"/>
  <c r="R26" i="1"/>
  <c r="R292" i="1" s="1"/>
  <c r="O18" i="4"/>
  <c r="F24" i="1"/>
  <c r="N22" i="4"/>
  <c r="P262" i="1" l="1"/>
  <c r="O271" i="1"/>
  <c r="P268" i="1" s="1"/>
  <c r="O20" i="4"/>
  <c r="R28" i="1"/>
  <c r="R104" i="1" s="1"/>
  <c r="F26" i="1"/>
  <c r="O250" i="1" l="1"/>
  <c r="P319" i="1" s="1"/>
  <c r="P323" i="1" s="1"/>
  <c r="P269" i="1"/>
  <c r="P252" i="1" s="1"/>
  <c r="P298" i="1" s="1"/>
  <c r="P299" i="1" s="1"/>
  <c r="P265" i="1"/>
  <c r="O22" i="4"/>
  <c r="F28" i="1"/>
  <c r="G137" i="1"/>
  <c r="G352" i="1" s="1"/>
  <c r="F10" i="6" s="1"/>
  <c r="G174" i="1" l="1"/>
  <c r="Q262" i="1"/>
  <c r="P271" i="1"/>
  <c r="Q268" i="1" s="1"/>
  <c r="P250" i="1" l="1"/>
  <c r="Q319" i="1" s="1"/>
  <c r="Q323" i="1" s="1"/>
  <c r="Q265" i="1"/>
  <c r="Q269" i="1"/>
  <c r="Q252" i="1" s="1"/>
  <c r="Q298" i="1" s="1"/>
  <c r="Q299" i="1" s="1"/>
  <c r="R262" i="1" l="1"/>
  <c r="Q271" i="1"/>
  <c r="R268" i="1" s="1"/>
  <c r="H137" i="1"/>
  <c r="H352" i="1" s="1"/>
  <c r="G10" i="6" s="1"/>
  <c r="G239" i="1" l="1"/>
  <c r="Q250" i="1"/>
  <c r="R319" i="1" s="1"/>
  <c r="R323" i="1" s="1"/>
  <c r="R265" i="1"/>
  <c r="R269" i="1"/>
  <c r="R252" i="1" s="1"/>
  <c r="R298" i="1" s="1"/>
  <c r="R299" i="1" s="1"/>
  <c r="H174" i="1"/>
  <c r="G241" i="1" l="1"/>
  <c r="G185" i="1" s="1"/>
  <c r="G120" i="1"/>
  <c r="G213" i="1"/>
  <c r="R271" i="1"/>
  <c r="R250" i="1" s="1"/>
  <c r="S319" i="1" s="1"/>
  <c r="S323" i="1" s="1"/>
  <c r="H182" i="1" l="1"/>
  <c r="G355" i="1"/>
  <c r="F14" i="6" s="1"/>
  <c r="G243" i="1"/>
  <c r="G121" i="1" s="1"/>
  <c r="H111" i="1"/>
  <c r="H220" i="1" l="1"/>
  <c r="H161" i="1"/>
  <c r="H201" i="1"/>
  <c r="H113" i="1" s="1"/>
  <c r="H199" i="1"/>
  <c r="H166" i="1" l="1"/>
  <c r="H157" i="1"/>
  <c r="H158" i="1" s="1"/>
  <c r="H114" i="1"/>
  <c r="H116" i="1" s="1"/>
  <c r="H204" i="1"/>
  <c r="H118" i="1" s="1"/>
  <c r="I137" i="1"/>
  <c r="J137" i="1"/>
  <c r="I174" i="1" l="1"/>
  <c r="I352" i="1"/>
  <c r="H10" i="6" s="1"/>
  <c r="J174" i="1"/>
  <c r="J352" i="1"/>
  <c r="I10" i="6" s="1"/>
  <c r="H207" i="1"/>
  <c r="H239" i="1"/>
  <c r="H185" i="1" l="1"/>
  <c r="H120" i="1"/>
  <c r="I182" i="1" l="1"/>
  <c r="H355" i="1"/>
  <c r="G14" i="6" s="1"/>
  <c r="I161" i="1"/>
  <c r="I166" i="1" s="1"/>
  <c r="I220" i="1"/>
  <c r="I157" i="1" l="1"/>
  <c r="I158" i="1" s="1"/>
  <c r="I207" i="1" l="1"/>
  <c r="I239" i="1"/>
  <c r="I243" i="1" s="1"/>
  <c r="I121" i="1" s="1"/>
  <c r="I120" i="1" l="1"/>
  <c r="I213" i="1"/>
  <c r="I184" i="1"/>
  <c r="I185" i="1" s="1"/>
  <c r="I355" i="1" s="1"/>
  <c r="H14" i="6" s="1"/>
  <c r="J182" i="1" l="1"/>
  <c r="J161" i="1" l="1"/>
  <c r="J166" i="1" s="1"/>
  <c r="J220" i="1"/>
  <c r="J157" i="1" l="1"/>
  <c r="J158" i="1" s="1"/>
  <c r="J239" i="1" l="1"/>
  <c r="J243" i="1" s="1"/>
  <c r="J121" i="1" s="1"/>
  <c r="J207" i="1"/>
  <c r="J120" i="1" l="1"/>
  <c r="J213" i="1"/>
  <c r="J184" i="1"/>
  <c r="J185" i="1" s="1"/>
  <c r="J355" i="1" s="1"/>
  <c r="I14" i="6" s="1"/>
  <c r="K182" i="1" l="1"/>
  <c r="K161" i="1" l="1"/>
  <c r="K166" i="1" s="1"/>
  <c r="K220" i="1"/>
  <c r="K157" i="1" l="1"/>
  <c r="K158" i="1" s="1"/>
  <c r="L114" i="1" l="1"/>
  <c r="L207" i="1"/>
  <c r="L120" i="1" s="1"/>
  <c r="L239" i="1"/>
  <c r="K184" i="1"/>
  <c r="K185" i="1" s="1"/>
  <c r="L182" i="1" l="1"/>
  <c r="K355" i="1"/>
  <c r="J14" i="6" s="1"/>
  <c r="L161" i="1"/>
  <c r="L166" i="1" s="1"/>
  <c r="L220" i="1"/>
  <c r="K207" i="1"/>
  <c r="K120" i="1" s="1"/>
  <c r="K213" i="1"/>
  <c r="K239" i="1"/>
  <c r="K243" i="1" s="1"/>
  <c r="K121" i="1" s="1"/>
  <c r="G199" i="1"/>
  <c r="G201" i="1" s="1"/>
  <c r="G113" i="1" s="1"/>
  <c r="I111" i="1"/>
  <c r="I201" i="1" s="1"/>
  <c r="I113" i="1" s="1"/>
  <c r="J111" i="1"/>
  <c r="J199" i="1" s="1"/>
  <c r="I199" i="1" l="1"/>
  <c r="L157" i="1"/>
  <c r="L158" i="1" s="1"/>
  <c r="J201" i="1"/>
  <c r="J113" i="1" s="1"/>
  <c r="G133" i="1"/>
  <c r="I132" i="1"/>
  <c r="G202" i="1" l="1"/>
  <c r="G204" i="1" s="1"/>
  <c r="G210" i="1" s="1"/>
  <c r="G134" i="1"/>
  <c r="G114" i="1"/>
  <c r="G116" i="1" s="1"/>
  <c r="H131" i="1" l="1"/>
  <c r="H134" i="1" s="1"/>
  <c r="G136" i="1"/>
  <c r="G354" i="1" s="1"/>
  <c r="G214" i="1"/>
  <c r="G118" i="1"/>
  <c r="G356" i="1" l="1"/>
  <c r="F12" i="6"/>
  <c r="G139" i="1"/>
  <c r="G353" i="1" s="1"/>
  <c r="F11" i="6" s="1"/>
  <c r="G173" i="1"/>
  <c r="H206" i="1"/>
  <c r="H210" i="1" s="1"/>
  <c r="G211" i="1"/>
  <c r="I131" i="1"/>
  <c r="H136" i="1"/>
  <c r="H354" i="1" s="1"/>
  <c r="H356" i="1" l="1"/>
  <c r="G12" i="6"/>
  <c r="G358" i="1"/>
  <c r="F19" i="6" s="1"/>
  <c r="F17" i="6"/>
  <c r="H173" i="1"/>
  <c r="H139" i="1"/>
  <c r="H353" i="1" s="1"/>
  <c r="G11" i="6" s="1"/>
  <c r="I133" i="1"/>
  <c r="I134" i="1" s="1"/>
  <c r="H214" i="1"/>
  <c r="H221" i="1"/>
  <c r="H222" i="1" s="1"/>
  <c r="H226" i="1" s="1"/>
  <c r="G140" i="1"/>
  <c r="G176" i="1"/>
  <c r="G177" i="1" s="1"/>
  <c r="G95" i="1" s="1"/>
  <c r="G96" i="1" s="1"/>
  <c r="H358" i="1" l="1"/>
  <c r="G19" i="6" s="1"/>
  <c r="G17" i="6"/>
  <c r="I136" i="1"/>
  <c r="I354" i="1" s="1"/>
  <c r="J131" i="1"/>
  <c r="H229" i="1"/>
  <c r="H234" i="1" s="1"/>
  <c r="H230" i="1"/>
  <c r="H235" i="1" s="1"/>
  <c r="H231" i="1"/>
  <c r="H236" i="1" s="1"/>
  <c r="H211" i="1"/>
  <c r="I206" i="1"/>
  <c r="I202" i="1"/>
  <c r="I204" i="1" s="1"/>
  <c r="I114" i="1"/>
  <c r="I116" i="1" s="1"/>
  <c r="H140" i="1"/>
  <c r="H176" i="1"/>
  <c r="H177" i="1" s="1"/>
  <c r="H95" i="1" s="1"/>
  <c r="H96" i="1" s="1"/>
  <c r="I356" i="1" l="1"/>
  <c r="H12" i="6"/>
  <c r="I210" i="1"/>
  <c r="I221" i="1"/>
  <c r="I222" i="1" s="1"/>
  <c r="I226" i="1" s="1"/>
  <c r="I230" i="1" s="1"/>
  <c r="I235" i="1" s="1"/>
  <c r="I214" i="1"/>
  <c r="I118" i="1"/>
  <c r="H237" i="1"/>
  <c r="H241" i="1" s="1"/>
  <c r="J133" i="1"/>
  <c r="I173" i="1"/>
  <c r="I139" i="1"/>
  <c r="I353" i="1" s="1"/>
  <c r="H11" i="6" s="1"/>
  <c r="I358" i="1" l="1"/>
  <c r="H19" i="6" s="1"/>
  <c r="H17" i="6"/>
  <c r="I231" i="1"/>
  <c r="I236" i="1" s="1"/>
  <c r="I229" i="1"/>
  <c r="I234" i="1" s="1"/>
  <c r="I237" i="1" s="1"/>
  <c r="J114" i="1"/>
  <c r="J116" i="1" s="1"/>
  <c r="J202" i="1"/>
  <c r="J204" i="1" s="1"/>
  <c r="J134" i="1"/>
  <c r="H243" i="1"/>
  <c r="H121" i="1" s="1"/>
  <c r="H213" i="1"/>
  <c r="I140" i="1"/>
  <c r="I176" i="1"/>
  <c r="I177" i="1" s="1"/>
  <c r="I95" i="1" s="1"/>
  <c r="I96" i="1" s="1"/>
  <c r="J206" i="1"/>
  <c r="I211" i="1"/>
  <c r="J210" i="1" l="1"/>
  <c r="J214" i="1" s="1"/>
  <c r="J221" i="1"/>
  <c r="J222" i="1" s="1"/>
  <c r="J226" i="1" s="1"/>
  <c r="J231" i="1" s="1"/>
  <c r="J236" i="1" s="1"/>
  <c r="K131" i="1"/>
  <c r="J136" i="1"/>
  <c r="J354" i="1" s="1"/>
  <c r="J118" i="1"/>
  <c r="J356" i="1" l="1"/>
  <c r="I12" i="6"/>
  <c r="J230" i="1"/>
  <c r="J235" i="1" s="1"/>
  <c r="J229" i="1"/>
  <c r="J234" i="1" s="1"/>
  <c r="J173" i="1"/>
  <c r="J139" i="1"/>
  <c r="J353" i="1" s="1"/>
  <c r="I11" i="6" s="1"/>
  <c r="K206" i="1"/>
  <c r="K221" i="1" s="1"/>
  <c r="K222" i="1" s="1"/>
  <c r="K226" i="1" s="1"/>
  <c r="J211" i="1"/>
  <c r="J237" i="1" l="1"/>
  <c r="J358" i="1"/>
  <c r="I19" i="6" s="1"/>
  <c r="I17" i="6"/>
  <c r="K230" i="1"/>
  <c r="K235" i="1" s="1"/>
  <c r="K231" i="1"/>
  <c r="K236" i="1" s="1"/>
  <c r="K229" i="1"/>
  <c r="K234" i="1" s="1"/>
  <c r="J140" i="1"/>
  <c r="J176" i="1"/>
  <c r="J177" i="1" s="1"/>
  <c r="J95" i="1" s="1"/>
  <c r="J96" i="1" s="1"/>
  <c r="K237" i="1" l="1"/>
  <c r="N360" i="1"/>
  <c r="O360" i="1"/>
  <c r="P360" i="1"/>
  <c r="Q360" i="1"/>
  <c r="R360" i="1"/>
  <c r="R362" i="1" s="1"/>
  <c r="M209" i="1" l="1"/>
  <c r="F209" i="1" l="1"/>
  <c r="M360" i="1"/>
  <c r="L21" i="6" s="1"/>
  <c r="F360" i="1" l="1"/>
  <c r="E21" i="6" s="1"/>
  <c r="Q23" i="6"/>
  <c r="Q362" i="1" l="1"/>
  <c r="P202" i="1"/>
  <c r="P114" i="1"/>
  <c r="Q117" i="1"/>
  <c r="Q119" i="1"/>
  <c r="Q11" i="6"/>
  <c r="S343" i="1"/>
  <c r="M14" i="6"/>
  <c r="Q116" i="1"/>
  <c r="N213" i="1"/>
  <c r="M96" i="1"/>
  <c r="O10" i="6"/>
  <c r="N146" i="1"/>
  <c r="R116" i="1"/>
  <c r="Q213" i="1"/>
  <c r="K17" i="6"/>
  <c r="L140" i="1"/>
  <c r="L176" i="1"/>
  <c r="Q114" i="1"/>
  <c r="Q132" i="1"/>
  <c r="Q202" i="1"/>
  <c r="M133" i="1"/>
  <c r="M6" i="6"/>
  <c r="M10" i="6"/>
  <c r="Q211" i="1"/>
  <c r="M140" i="1"/>
  <c r="M176" i="1"/>
  <c r="K96" i="1"/>
  <c r="R237" i="1"/>
  <c r="L23" i="6"/>
  <c r="E7" i="6"/>
  <c r="N17" i="6"/>
  <c r="O213" i="1"/>
  <c r="R145" i="1"/>
  <c r="M213" i="1"/>
  <c r="N116" i="1"/>
  <c r="S331" i="1"/>
  <c r="R117" i="1"/>
  <c r="R119" i="1"/>
  <c r="N6" i="6"/>
  <c r="P343" i="1"/>
  <c r="M174" i="1"/>
  <c r="N241" i="1"/>
  <c r="N184" i="1"/>
  <c r="Q14" i="6"/>
  <c r="O325" i="1"/>
  <c r="O146" i="1"/>
  <c r="M236" i="1"/>
  <c r="N133" i="1"/>
  <c r="L113" i="1"/>
  <c r="J12" i="6"/>
  <c r="K14" i="6"/>
  <c r="P117" i="1"/>
  <c r="P119" i="1"/>
  <c r="Q343" i="1"/>
  <c r="O116" i="1"/>
  <c r="L15" i="6"/>
  <c r="L96" i="1"/>
  <c r="E23" i="6"/>
  <c r="N236" i="1"/>
  <c r="R343" i="1"/>
  <c r="N214" i="1"/>
  <c r="P145" i="1"/>
  <c r="M116" i="1"/>
  <c r="E17" i="6"/>
  <c r="L118" i="1"/>
  <c r="K113" i="1"/>
  <c r="Q13" i="6"/>
  <c r="M17" i="6"/>
  <c r="P22" i="6"/>
  <c r="P23" i="6"/>
  <c r="P211" i="1"/>
  <c r="S339" i="1"/>
  <c r="O237" i="1"/>
  <c r="O140" i="1"/>
  <c r="O176" i="1"/>
  <c r="M202" i="1"/>
  <c r="M132" i="1"/>
  <c r="M114" i="1"/>
  <c r="Q17" i="6"/>
  <c r="N145" i="1"/>
  <c r="N14" i="6"/>
  <c r="Q8" i="6"/>
  <c r="N119" i="1"/>
  <c r="N117" i="1"/>
  <c r="O96" i="1"/>
  <c r="L213" i="1"/>
  <c r="O206" i="1"/>
  <c r="O221" i="1"/>
  <c r="M15" i="6"/>
  <c r="J19" i="6"/>
  <c r="R211" i="1"/>
  <c r="S327" i="1"/>
  <c r="Q201" i="1"/>
  <c r="Q113" i="1"/>
  <c r="O119" i="1"/>
  <c r="O118" i="1"/>
  <c r="O117" i="1"/>
  <c r="N331" i="1"/>
  <c r="L8" i="6"/>
  <c r="L243" i="1"/>
  <c r="L121" i="1"/>
  <c r="N140" i="1"/>
  <c r="N176" i="1"/>
  <c r="Q329" i="1"/>
  <c r="M117" i="1"/>
  <c r="M118" i="1"/>
  <c r="M119" i="1"/>
  <c r="J17" i="6"/>
  <c r="F356" i="1"/>
  <c r="N356" i="1"/>
  <c r="N358" i="1"/>
  <c r="M19" i="6"/>
  <c r="L211" i="1"/>
  <c r="L214" i="1"/>
  <c r="N355" i="1"/>
  <c r="Q96" i="1"/>
  <c r="P231" i="1"/>
  <c r="P236" i="1"/>
  <c r="Q214" i="1"/>
  <c r="J10" i="6"/>
  <c r="M364" i="1"/>
  <c r="L25" i="6"/>
  <c r="M353" i="1"/>
  <c r="L11" i="6"/>
  <c r="P12" i="6"/>
  <c r="S183" i="1"/>
  <c r="Q331" i="1"/>
  <c r="Q317" i="1"/>
  <c r="Q325" i="1"/>
  <c r="N339" i="1"/>
  <c r="O354" i="1"/>
  <c r="N12" i="6"/>
  <c r="N139" i="1"/>
  <c r="N353" i="1"/>
  <c r="M11" i="6"/>
  <c r="R140" i="1"/>
  <c r="R353" i="1"/>
  <c r="R139" i="1"/>
  <c r="R176" i="1"/>
  <c r="L6" i="6"/>
  <c r="P146" i="1"/>
  <c r="O19" i="6"/>
  <c r="Q140" i="1"/>
  <c r="Q176" i="1"/>
  <c r="M241" i="1"/>
  <c r="M184" i="1"/>
  <c r="O12" i="6"/>
  <c r="P132" i="1"/>
  <c r="P116" i="1"/>
  <c r="S333" i="1"/>
  <c r="S337" i="1"/>
  <c r="N350" i="1"/>
  <c r="M8" i="6"/>
  <c r="N15" i="6"/>
  <c r="M211" i="1"/>
  <c r="P306" i="1"/>
  <c r="P362" i="1"/>
  <c r="P19" i="6"/>
  <c r="P325" i="1"/>
  <c r="V185" i="1"/>
  <c r="L22" i="6"/>
  <c r="Q15" i="6"/>
  <c r="P10" i="6"/>
  <c r="O139" i="1"/>
  <c r="O353" i="1"/>
  <c r="N11" i="6"/>
  <c r="O202" i="1"/>
  <c r="O132" i="1"/>
  <c r="O114" i="1"/>
  <c r="S311" i="1"/>
  <c r="R349" i="1"/>
  <c r="Q7" i="6"/>
  <c r="K148" i="1"/>
  <c r="R110" i="1"/>
  <c r="Q16" i="6"/>
  <c r="K211" i="1"/>
  <c r="K214" i="1"/>
  <c r="O22" i="6"/>
  <c r="O23" i="6"/>
  <c r="N327" i="1"/>
  <c r="M139" i="1"/>
  <c r="Q364" i="1"/>
  <c r="P25" i="6"/>
  <c r="K356" i="1"/>
  <c r="K358" i="1"/>
  <c r="F358" i="1"/>
  <c r="E19" i="6"/>
  <c r="R350" i="1"/>
  <c r="R348" i="1"/>
  <c r="Q6" i="6"/>
  <c r="R354" i="1"/>
  <c r="Q12" i="6"/>
  <c r="R202" i="1"/>
  <c r="R132" i="1"/>
  <c r="R114" i="1"/>
  <c r="O17" i="6"/>
  <c r="P358" i="1"/>
  <c r="M350" i="1"/>
  <c r="F350" i="1"/>
  <c r="E8" i="6"/>
  <c r="O145" i="1"/>
  <c r="P176" i="1"/>
  <c r="P140" i="1"/>
  <c r="K176" i="1"/>
  <c r="K140" i="1"/>
  <c r="R146" i="1"/>
  <c r="O95" i="1"/>
  <c r="R214" i="1"/>
  <c r="O14" i="6"/>
  <c r="P355" i="1"/>
  <c r="P356" i="1"/>
  <c r="M239" i="1"/>
  <c r="M243" i="1"/>
  <c r="M121" i="1"/>
  <c r="F352" i="1"/>
  <c r="E10" i="6"/>
  <c r="Q133" i="1"/>
  <c r="K10" i="6"/>
  <c r="N362" i="1"/>
  <c r="N114" i="1"/>
  <c r="N132" i="1"/>
  <c r="N202" i="1"/>
  <c r="O362" i="1"/>
  <c r="K13" i="6"/>
  <c r="P133" i="1"/>
  <c r="O15" i="6"/>
  <c r="N201" i="1"/>
  <c r="N113" i="1"/>
  <c r="K118" i="1"/>
  <c r="P352" i="1"/>
  <c r="P137" i="1"/>
  <c r="P174" i="1"/>
  <c r="R243" i="1"/>
  <c r="R121" i="1"/>
  <c r="M110" i="1"/>
  <c r="L16" i="6"/>
  <c r="S310" i="1"/>
  <c r="S317" i="1"/>
  <c r="S325" i="1"/>
  <c r="O211" i="1"/>
  <c r="P317" i="1"/>
  <c r="Q353" i="1"/>
  <c r="P11" i="6"/>
  <c r="P6" i="6"/>
  <c r="Q145" i="1"/>
  <c r="O327" i="1"/>
  <c r="O331" i="1"/>
  <c r="P214" i="1"/>
  <c r="O243" i="1"/>
  <c r="O121" i="1"/>
  <c r="P201" i="1"/>
  <c r="P113" i="1"/>
  <c r="Q230" i="1"/>
  <c r="Q235" i="1"/>
  <c r="Q354" i="1"/>
  <c r="Q139" i="1"/>
  <c r="P361" i="1"/>
  <c r="P13" i="6"/>
  <c r="U183" i="1"/>
  <c r="O349" i="1"/>
  <c r="N7" i="6"/>
  <c r="M362" i="1"/>
  <c r="F362" i="1"/>
  <c r="Q146" i="1"/>
  <c r="K174" i="1"/>
  <c r="K352" i="1"/>
  <c r="L14" i="6"/>
  <c r="K116" i="1"/>
  <c r="K201" i="1"/>
  <c r="Q95" i="1"/>
  <c r="Q183" i="1"/>
  <c r="Q110" i="1"/>
  <c r="P16" i="6"/>
  <c r="O174" i="1"/>
  <c r="R120" i="1"/>
  <c r="N306" i="1"/>
  <c r="O137" i="1"/>
  <c r="O352" i="1"/>
  <c r="N10" i="6"/>
  <c r="T183" i="1"/>
  <c r="K137" i="1"/>
  <c r="K143" i="1"/>
  <c r="K144" i="1"/>
  <c r="K146" i="1"/>
  <c r="L148" i="1"/>
  <c r="O231" i="1"/>
  <c r="O236" i="1"/>
  <c r="L210" i="1"/>
  <c r="M206" i="1"/>
  <c r="M221" i="1"/>
  <c r="V182" i="1"/>
  <c r="V183" i="1"/>
  <c r="Q352" i="1"/>
  <c r="Q144" i="1"/>
  <c r="Q137" i="1"/>
  <c r="Q174" i="1"/>
  <c r="L352" i="1"/>
  <c r="L174" i="1"/>
  <c r="N221" i="1"/>
  <c r="R329" i="1"/>
  <c r="P15" i="6"/>
  <c r="R158" i="1"/>
  <c r="P364" i="1"/>
  <c r="O25" i="6"/>
  <c r="O339" i="1"/>
  <c r="P353" i="1"/>
  <c r="O11" i="6"/>
  <c r="P144" i="1"/>
  <c r="L204" i="1"/>
  <c r="M237" i="1"/>
  <c r="L19" i="6"/>
  <c r="O306" i="1"/>
  <c r="R157" i="1"/>
  <c r="N231" i="1"/>
  <c r="N207" i="1"/>
  <c r="N120" i="1"/>
  <c r="Q118" i="1"/>
  <c r="N118" i="1"/>
  <c r="O364" i="1"/>
  <c r="N25" i="6"/>
  <c r="M13" i="6"/>
  <c r="M146" i="1"/>
  <c r="P110" i="1"/>
  <c r="O16" i="6"/>
  <c r="O183" i="1"/>
  <c r="O110" i="1"/>
  <c r="N16" i="6"/>
  <c r="J13" i="6"/>
  <c r="R118" i="1"/>
  <c r="R210" i="1"/>
  <c r="J11" i="6"/>
  <c r="N22" i="6"/>
  <c r="N23" i="6"/>
  <c r="O144" i="1"/>
  <c r="N157" i="1"/>
  <c r="N158" i="1"/>
  <c r="Q342" i="1"/>
  <c r="R183" i="1"/>
  <c r="R95" i="1"/>
  <c r="R96" i="1"/>
  <c r="P349" i="1"/>
  <c r="O7" i="6"/>
  <c r="Q206" i="1"/>
  <c r="Q221" i="1"/>
  <c r="R342" i="1"/>
  <c r="M348" i="1"/>
  <c r="F348" i="1"/>
  <c r="E6" i="6"/>
  <c r="L146" i="1"/>
  <c r="L143" i="1"/>
  <c r="L144" i="1"/>
  <c r="L137" i="1"/>
  <c r="P213" i="1"/>
  <c r="O6" i="6"/>
  <c r="P143" i="1"/>
  <c r="P148" i="1"/>
  <c r="P208" i="1"/>
  <c r="Q207" i="1"/>
  <c r="Q120" i="1"/>
  <c r="R241" i="1"/>
  <c r="R184" i="1"/>
  <c r="R201" i="1"/>
  <c r="R113" i="1"/>
  <c r="F355" i="1"/>
  <c r="E14" i="6"/>
  <c r="N364" i="1"/>
  <c r="M25" i="6"/>
  <c r="M231" i="1"/>
  <c r="P139" i="1"/>
  <c r="Q327" i="1"/>
  <c r="P354" i="1"/>
  <c r="Q109" i="1"/>
  <c r="N230" i="1"/>
  <c r="N235" i="1"/>
  <c r="P207" i="1"/>
  <c r="P120" i="1"/>
  <c r="U182" i="1"/>
  <c r="U185" i="1"/>
  <c r="R231" i="1"/>
  <c r="R236" i="1"/>
  <c r="R339" i="1"/>
  <c r="N174" i="1"/>
  <c r="N144" i="1"/>
  <c r="N137" i="1"/>
  <c r="N352" i="1"/>
  <c r="Q306" i="1"/>
  <c r="M212" i="1"/>
  <c r="M207" i="1"/>
  <c r="M120" i="1"/>
  <c r="P183" i="1"/>
  <c r="P95" i="1"/>
  <c r="P96" i="1"/>
  <c r="Q229" i="1"/>
  <c r="Q234" i="1"/>
  <c r="Q237" i="1"/>
  <c r="O317" i="1"/>
  <c r="N348" i="1"/>
  <c r="N210" i="1"/>
  <c r="O310" i="1"/>
  <c r="N211" i="1"/>
  <c r="L231" i="1"/>
  <c r="L236" i="1"/>
  <c r="O13" i="6"/>
  <c r="N110" i="1"/>
  <c r="M16" i="6"/>
  <c r="P304" i="1"/>
  <c r="Q302" i="1"/>
  <c r="Q304" i="1"/>
  <c r="P221" i="1"/>
  <c r="R333" i="1"/>
  <c r="R337" i="1"/>
  <c r="L95" i="1"/>
  <c r="O329" i="1"/>
  <c r="L13" i="6"/>
  <c r="R317" i="1"/>
  <c r="R325" i="1"/>
  <c r="R148" i="1"/>
  <c r="R208" i="1"/>
  <c r="L355" i="1"/>
  <c r="L356" i="1"/>
  <c r="L358" i="1"/>
  <c r="K19" i="6"/>
  <c r="O239" i="1"/>
  <c r="O241" i="1"/>
  <c r="O184" i="1"/>
  <c r="L116" i="1"/>
  <c r="L199" i="1"/>
  <c r="L108" i="1"/>
  <c r="L111" i="1"/>
  <c r="L201" i="1"/>
  <c r="O212" i="1"/>
  <c r="O207" i="1"/>
  <c r="O120" i="1"/>
  <c r="R230" i="1"/>
  <c r="R235" i="1"/>
  <c r="O348" i="1"/>
  <c r="O350" i="1"/>
  <c r="N8" i="6"/>
  <c r="O214" i="1"/>
  <c r="P206" i="1"/>
  <c r="O199" i="1"/>
  <c r="O204" i="1"/>
  <c r="O210" i="1"/>
  <c r="P310" i="1"/>
  <c r="O201" i="1"/>
  <c r="O113" i="1"/>
  <c r="L354" i="1"/>
  <c r="K12" i="6"/>
  <c r="P302" i="1"/>
  <c r="R239" i="1"/>
  <c r="R207" i="1"/>
  <c r="R212" i="1"/>
  <c r="R213" i="1"/>
  <c r="R229" i="1"/>
  <c r="R234" i="1"/>
  <c r="M230" i="1"/>
  <c r="M235" i="1"/>
  <c r="R304" i="1"/>
  <c r="R306" i="1"/>
  <c r="O195" i="1"/>
  <c r="O300" i="1"/>
  <c r="O302" i="1"/>
  <c r="O304" i="1"/>
  <c r="R174" i="1"/>
  <c r="R341" i="1"/>
  <c r="S341" i="1"/>
  <c r="S342" i="1"/>
  <c r="K139" i="1"/>
  <c r="K353" i="1"/>
  <c r="F353" i="1"/>
  <c r="E11" i="6"/>
  <c r="N329" i="1"/>
  <c r="L139" i="1"/>
  <c r="L353" i="1"/>
  <c r="K11" i="6"/>
  <c r="L230" i="1"/>
  <c r="L235" i="1"/>
  <c r="P327" i="1"/>
  <c r="P331" i="1"/>
  <c r="N108" i="1"/>
  <c r="N111" i="1"/>
  <c r="N199" i="1"/>
  <c r="N204" i="1"/>
  <c r="N212" i="1"/>
  <c r="N239" i="1"/>
  <c r="N243" i="1"/>
  <c r="N121" i="1"/>
  <c r="K202" i="1"/>
  <c r="K114" i="1"/>
  <c r="N183" i="1"/>
  <c r="N95" i="1"/>
  <c r="N96" i="1"/>
  <c r="N342" i="1"/>
  <c r="N343" i="1"/>
  <c r="N304" i="1"/>
  <c r="L17" i="6"/>
  <c r="M355" i="1"/>
  <c r="M356" i="1"/>
  <c r="M358" i="1"/>
  <c r="P14" i="6"/>
  <c r="P243" i="1"/>
  <c r="P121" i="1"/>
  <c r="N206" i="1"/>
  <c r="M214" i="1"/>
  <c r="R355" i="1"/>
  <c r="R356" i="1"/>
  <c r="R358" i="1"/>
  <c r="Q19" i="6"/>
  <c r="O111" i="1"/>
  <c r="N13" i="6"/>
  <c r="M361" i="1"/>
  <c r="F361" i="1"/>
  <c r="E22" i="6"/>
  <c r="R206" i="1"/>
  <c r="R221" i="1"/>
  <c r="Q195" i="1"/>
  <c r="Q300" i="1"/>
  <c r="O342" i="1"/>
  <c r="O343" i="1"/>
  <c r="N173" i="1"/>
  <c r="N177" i="1"/>
  <c r="R226" i="1"/>
  <c r="K95" i="1"/>
  <c r="Q157" i="1"/>
  <c r="Q158" i="1"/>
  <c r="N354" i="1"/>
  <c r="M12" i="6"/>
  <c r="O355" i="1"/>
  <c r="O356" i="1"/>
  <c r="O358" i="1"/>
  <c r="N19" i="6"/>
  <c r="K354" i="1"/>
  <c r="F354" i="1"/>
  <c r="E12" i="6"/>
  <c r="P329" i="1"/>
  <c r="P342" i="1"/>
  <c r="O341" i="1"/>
  <c r="P341" i="1"/>
  <c r="Q341" i="1"/>
  <c r="N302" i="1"/>
  <c r="L136" i="1"/>
  <c r="L173" i="1"/>
  <c r="L177" i="1"/>
  <c r="O157" i="1"/>
  <c r="O158" i="1"/>
  <c r="N300" i="1"/>
  <c r="P195" i="1"/>
  <c r="P300" i="1"/>
  <c r="Q241" i="1"/>
  <c r="Q184" i="1"/>
  <c r="L7" i="6"/>
  <c r="M349" i="1"/>
  <c r="F349" i="1"/>
  <c r="O230" i="1"/>
  <c r="O235" i="1"/>
  <c r="N349" i="1"/>
  <c r="M7" i="6"/>
  <c r="N333" i="1"/>
  <c r="N337" i="1"/>
  <c r="P229" i="1"/>
  <c r="P234" i="1"/>
  <c r="P237" i="1"/>
  <c r="Q210" i="1"/>
  <c r="R310" i="1"/>
  <c r="Q348" i="1"/>
  <c r="Q350" i="1"/>
  <c r="P8" i="6"/>
  <c r="P239" i="1"/>
  <c r="P241" i="1"/>
  <c r="P184" i="1"/>
  <c r="Q358" i="1"/>
  <c r="Q355" i="1"/>
  <c r="Q356" i="1"/>
  <c r="P17" i="6"/>
  <c r="P118" i="1"/>
  <c r="P212" i="1"/>
  <c r="R111" i="1"/>
  <c r="R199" i="1"/>
  <c r="R204" i="1"/>
  <c r="R136" i="1"/>
  <c r="R173" i="1"/>
  <c r="R177" i="1"/>
  <c r="R108" i="1"/>
  <c r="N195" i="1"/>
  <c r="O133" i="1"/>
  <c r="M210" i="1"/>
  <c r="N310" i="1"/>
  <c r="N317" i="1"/>
  <c r="N325" i="1"/>
  <c r="Q161" i="1"/>
  <c r="Q166" i="1"/>
  <c r="Q187" i="1"/>
  <c r="M109" i="1"/>
  <c r="Q148" i="1"/>
  <c r="Q208" i="1"/>
  <c r="Q361" i="1"/>
  <c r="M148" i="1"/>
  <c r="M208" i="1"/>
  <c r="N311" i="1"/>
  <c r="O311" i="1"/>
  <c r="P311" i="1"/>
  <c r="Q311" i="1"/>
  <c r="R311" i="1"/>
  <c r="Q349" i="1"/>
  <c r="P7" i="6"/>
  <c r="N161" i="1"/>
  <c r="N166" i="1"/>
  <c r="N187" i="1"/>
  <c r="N109" i="1"/>
  <c r="M143" i="1"/>
  <c r="M144" i="1"/>
  <c r="M137" i="1"/>
  <c r="M352" i="1"/>
  <c r="L10" i="6"/>
  <c r="N226" i="1"/>
  <c r="N229" i="1"/>
  <c r="N234" i="1"/>
  <c r="N237" i="1"/>
  <c r="Q111" i="1"/>
  <c r="Q199" i="1"/>
  <c r="Q204" i="1"/>
  <c r="Q212" i="1"/>
  <c r="Q239" i="1"/>
  <c r="Q243" i="1"/>
  <c r="Q121" i="1"/>
  <c r="M201" i="1"/>
  <c r="M113" i="1"/>
  <c r="P173" i="1"/>
  <c r="P177" i="1"/>
  <c r="P108" i="1"/>
  <c r="P111" i="1"/>
  <c r="P199" i="1"/>
  <c r="P204" i="1"/>
  <c r="P210" i="1"/>
  <c r="Q310" i="1"/>
  <c r="P348" i="1"/>
  <c r="P350" i="1"/>
  <c r="O8" i="6"/>
  <c r="P157" i="1"/>
  <c r="P158" i="1"/>
  <c r="M157" i="1"/>
  <c r="M158" i="1"/>
  <c r="M226" i="1"/>
  <c r="M229" i="1"/>
  <c r="M234" i="1"/>
  <c r="R133" i="1"/>
  <c r="R134" i="1"/>
  <c r="P230" i="1"/>
  <c r="P235" i="1"/>
  <c r="N143" i="1"/>
  <c r="N148" i="1"/>
  <c r="N208" i="1"/>
  <c r="N361" i="1"/>
  <c r="M22" i="6"/>
  <c r="M23" i="6"/>
  <c r="P187" i="1"/>
  <c r="P109" i="1"/>
  <c r="O143" i="1"/>
  <c r="O148" i="1"/>
  <c r="O208" i="1"/>
  <c r="O361" i="1"/>
  <c r="Q333" i="1"/>
  <c r="Q337" i="1"/>
  <c r="Q339" i="1"/>
  <c r="P220" i="1"/>
  <c r="P222" i="1"/>
  <c r="P226" i="1"/>
  <c r="N136" i="1"/>
  <c r="P333" i="1"/>
  <c r="P337" i="1"/>
  <c r="P339" i="1"/>
  <c r="R195" i="1"/>
  <c r="R300" i="1"/>
  <c r="R302" i="1"/>
  <c r="M173" i="1"/>
  <c r="M177" i="1"/>
  <c r="M108" i="1"/>
  <c r="M111" i="1"/>
  <c r="M199" i="1"/>
  <c r="M204" i="1"/>
  <c r="M136" i="1"/>
  <c r="M354" i="1"/>
  <c r="L12" i="6"/>
  <c r="O136" i="1"/>
  <c r="O173" i="1"/>
  <c r="O177" i="1"/>
  <c r="O108" i="1"/>
  <c r="N220" i="1"/>
  <c r="N222" i="1"/>
  <c r="P136" i="1"/>
  <c r="R220" i="1"/>
  <c r="R222" i="1"/>
  <c r="P161" i="1"/>
  <c r="P166" i="1"/>
  <c r="R131" i="1"/>
  <c r="O220" i="1"/>
  <c r="O222" i="1"/>
  <c r="O226" i="1"/>
  <c r="O229" i="1"/>
  <c r="O234" i="1"/>
  <c r="R185" i="1"/>
  <c r="S182" i="1"/>
  <c r="S185" i="1"/>
  <c r="T182" i="1"/>
  <c r="T185" i="1"/>
  <c r="M161" i="1"/>
  <c r="M166" i="1"/>
  <c r="M187" i="1"/>
  <c r="M195" i="1"/>
  <c r="M300" i="1"/>
  <c r="M302" i="1"/>
  <c r="M304" i="1"/>
  <c r="M306" i="1"/>
  <c r="N341" i="1"/>
  <c r="O161" i="1"/>
  <c r="O166" i="1"/>
  <c r="O187" i="1"/>
  <c r="O109" i="1"/>
  <c r="R364" i="1"/>
  <c r="Q25" i="6"/>
  <c r="Q220" i="1"/>
  <c r="Q222" i="1"/>
  <c r="Q226" i="1"/>
  <c r="Q231" i="1"/>
  <c r="Q236" i="1"/>
  <c r="O182" i="1"/>
  <c r="O185" i="1"/>
  <c r="P182" i="1"/>
  <c r="P185" i="1"/>
  <c r="Q182" i="1"/>
  <c r="Q185" i="1"/>
  <c r="R182" i="1"/>
  <c r="R161" i="1"/>
  <c r="R166" i="1"/>
  <c r="R187" i="1"/>
  <c r="R109" i="1"/>
  <c r="Q143" i="1"/>
  <c r="R143" i="1"/>
  <c r="R144" i="1"/>
  <c r="R137" i="1"/>
  <c r="R352" i="1"/>
  <c r="Q10" i="6"/>
  <c r="M185" i="1"/>
  <c r="N182" i="1"/>
  <c r="N185" i="1"/>
  <c r="O333" i="1"/>
  <c r="O337" i="1"/>
  <c r="M183" i="1"/>
  <c r="M95" i="1"/>
  <c r="M97" i="1"/>
  <c r="N94" i="1"/>
  <c r="N97" i="1"/>
  <c r="O94" i="1"/>
  <c r="O97" i="1"/>
  <c r="P94" i="1"/>
  <c r="P97" i="1"/>
  <c r="Q94" i="1"/>
  <c r="Q97" i="1"/>
  <c r="R94" i="1"/>
  <c r="R97" i="1"/>
  <c r="S329" i="1"/>
  <c r="R327" i="1"/>
  <c r="R331" i="1"/>
  <c r="K199" i="1"/>
  <c r="K204" i="1"/>
  <c r="K210" i="1"/>
  <c r="L206" i="1"/>
  <c r="L221" i="1"/>
  <c r="L222" i="1"/>
  <c r="L226" i="1"/>
  <c r="L229" i="1"/>
  <c r="L234" i="1"/>
  <c r="L237" i="1"/>
  <c r="L241" i="1"/>
  <c r="L184" i="1"/>
  <c r="L185" i="1"/>
  <c r="M182" i="1"/>
  <c r="M220" i="1"/>
  <c r="M222" i="1"/>
  <c r="K136" i="1"/>
  <c r="K173" i="1"/>
  <c r="K177" i="1"/>
  <c r="K108" i="1"/>
  <c r="K111" i="1"/>
  <c r="K133" i="1"/>
  <c r="K134" i="1"/>
  <c r="L131" i="1"/>
  <c r="L134" i="1"/>
  <c r="M131" i="1"/>
  <c r="M134" i="1"/>
  <c r="N131" i="1"/>
  <c r="N134" i="1"/>
  <c r="O131" i="1"/>
  <c r="O134" i="1"/>
  <c r="P131" i="1"/>
  <c r="P134" i="1"/>
  <c r="Q131" i="1"/>
  <c r="Q134" i="1"/>
  <c r="Q136" i="1"/>
  <c r="Q173" i="1"/>
  <c r="Q177" i="1"/>
  <c r="Q108" i="1"/>
</calcChain>
</file>

<file path=xl/comments1.xml><?xml version="1.0" encoding="utf-8"?>
<comments xmlns="http://schemas.openxmlformats.org/spreadsheetml/2006/main">
  <authors>
    <author>B-Laptop</author>
  </authors>
  <commentList>
    <comment ref="D11" authorId="0" shapeId="0">
      <text>
        <r>
          <rPr>
            <b/>
            <sz val="11"/>
            <color indexed="81"/>
            <rFont val="Tahoma"/>
            <family val="2"/>
          </rPr>
          <t>*</t>
        </r>
        <r>
          <rPr>
            <b/>
            <sz val="11"/>
            <color indexed="81"/>
            <rFont val="돋움"/>
            <family val="3"/>
            <charset val="129"/>
          </rPr>
          <t>시나리오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시</t>
        </r>
        <r>
          <rPr>
            <b/>
            <sz val="11"/>
            <color indexed="81"/>
            <rFont val="Tahoma"/>
            <family val="2"/>
          </rPr>
          <t xml:space="preserve">
  215</t>
        </r>
        <r>
          <rPr>
            <b/>
            <sz val="11"/>
            <color indexed="81"/>
            <rFont val="돋움"/>
            <family val="3"/>
            <charset val="129"/>
          </rPr>
          <t>열</t>
        </r>
        <r>
          <rPr>
            <b/>
            <sz val="11"/>
            <color indexed="81"/>
            <rFont val="Tahoma"/>
            <family val="2"/>
          </rPr>
          <t xml:space="preserve"> copy &amp; paste </t>
        </r>
        <r>
          <rPr>
            <b/>
            <sz val="11"/>
            <color indexed="81"/>
            <rFont val="돋움"/>
            <family val="3"/>
            <charset val="129"/>
          </rPr>
          <t>필수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시나리오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변경시</t>
        </r>
        <r>
          <rPr>
            <b/>
            <sz val="9"/>
            <color indexed="81"/>
            <rFont val="Tahoma"/>
            <family val="2"/>
          </rPr>
          <t xml:space="preserve">
1) M215~R215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후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순차적으로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각각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복사해야함</t>
        </r>
        <r>
          <rPr>
            <b/>
            <sz val="9"/>
            <color indexed="81"/>
            <rFont val="Tahoma"/>
            <family val="2"/>
          </rPr>
          <t>)
2) M214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M215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값복사
</t>
        </r>
        <r>
          <rPr>
            <b/>
            <sz val="9"/>
            <color indexed="81"/>
            <rFont val="Tahoma"/>
            <family val="2"/>
          </rPr>
          <t>3) N214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N214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값복사
</t>
        </r>
        <r>
          <rPr>
            <b/>
            <sz val="9"/>
            <color indexed="81"/>
            <rFont val="Tahoma"/>
            <family val="2"/>
          </rPr>
          <t>4) O214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O214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값복사
</t>
        </r>
        <r>
          <rPr>
            <b/>
            <sz val="9"/>
            <color indexed="81"/>
            <rFont val="Tahoma"/>
            <family val="2"/>
          </rPr>
          <t>5) P214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P214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값복사
</t>
        </r>
        <r>
          <rPr>
            <b/>
            <sz val="9"/>
            <color indexed="81"/>
            <rFont val="Tahoma"/>
            <family val="2"/>
          </rPr>
          <t>6) Q214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Q214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값복사
</t>
        </r>
        <r>
          <rPr>
            <b/>
            <sz val="9"/>
            <color indexed="81"/>
            <rFont val="Tahoma"/>
            <family val="2"/>
          </rPr>
          <t>7) R214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R214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값복사</t>
        </r>
      </text>
    </comment>
  </commentList>
</comments>
</file>

<file path=xl/sharedStrings.xml><?xml version="1.0" encoding="utf-8"?>
<sst xmlns="http://schemas.openxmlformats.org/spreadsheetml/2006/main" count="506" uniqueCount="384">
  <si>
    <t>Actual</t>
  </si>
  <si>
    <t>2019 1Q</t>
    <phoneticPr fontId="3" type="noConversion"/>
  </si>
  <si>
    <t>2019 2Q</t>
    <phoneticPr fontId="3" type="noConversion"/>
  </si>
  <si>
    <t>2019 3Q</t>
    <phoneticPr fontId="3" type="noConversion"/>
  </si>
  <si>
    <t>2019 4Q</t>
    <phoneticPr fontId="3" type="noConversion"/>
  </si>
  <si>
    <t>2020 1Q</t>
    <phoneticPr fontId="3" type="noConversion"/>
  </si>
  <si>
    <t>2020 2Q</t>
    <phoneticPr fontId="3" type="noConversion"/>
  </si>
  <si>
    <t>2020 3Q</t>
    <phoneticPr fontId="3" type="noConversion"/>
  </si>
  <si>
    <t>2020 4Q</t>
    <phoneticPr fontId="3" type="noConversion"/>
  </si>
  <si>
    <t>Houston Ship Channel($/MMBtu)</t>
    <phoneticPr fontId="3" type="noConversion"/>
  </si>
  <si>
    <t xml:space="preserve">   Energy Revenue($)</t>
    <phoneticPr fontId="3" type="noConversion"/>
  </si>
  <si>
    <t>Energy Margin</t>
    <phoneticPr fontId="3" type="noConversion"/>
  </si>
  <si>
    <t xml:space="preserve">   Variable O&amp;M Expense</t>
    <phoneticPr fontId="3" type="noConversion"/>
  </si>
  <si>
    <t>Net Energy Margin</t>
    <phoneticPr fontId="3" type="noConversion"/>
  </si>
  <si>
    <t xml:space="preserve">   Capacity Revenue</t>
    <phoneticPr fontId="3" type="noConversion"/>
  </si>
  <si>
    <t xml:space="preserve">   Ancillary Services Revenue</t>
    <phoneticPr fontId="3" type="noConversion"/>
  </si>
  <si>
    <t xml:space="preserve">   Import/Export Net Revenue(Incl.Misc)</t>
    <phoneticPr fontId="3" type="noConversion"/>
  </si>
  <si>
    <t xml:space="preserve">   Fixed Fuel Transport &amp; Storage Expense</t>
    <phoneticPr fontId="3" type="noConversion"/>
  </si>
  <si>
    <t>Gross Margin</t>
    <phoneticPr fontId="3" type="noConversion"/>
  </si>
  <si>
    <t>Fixed Costs</t>
    <phoneticPr fontId="3" type="noConversion"/>
  </si>
  <si>
    <t>Adjusted EBITDA</t>
    <phoneticPr fontId="3" type="noConversion"/>
  </si>
  <si>
    <t>Capital Expenditure</t>
    <phoneticPr fontId="3" type="noConversion"/>
  </si>
  <si>
    <t>Consolidated EBITDA less Capex</t>
    <phoneticPr fontId="3" type="noConversion"/>
  </si>
  <si>
    <t>Pre-Tax Profit of Mexico entities</t>
    <phoneticPr fontId="3" type="noConversion"/>
  </si>
  <si>
    <t>Taxable Charge for the Period</t>
    <phoneticPr fontId="3" type="noConversion"/>
  </si>
  <si>
    <t>Witholding Tax of Mexico Cash Tax</t>
    <phoneticPr fontId="3" type="noConversion"/>
  </si>
  <si>
    <t>Corporate Income Tax Liability at Owner (Mexico)</t>
  </si>
  <si>
    <t>Opening Balance</t>
    <phoneticPr fontId="3" type="noConversion"/>
  </si>
  <si>
    <t>Revenue</t>
    <phoneticPr fontId="3" type="noConversion"/>
  </si>
  <si>
    <t>Collection</t>
    <phoneticPr fontId="3" type="noConversion"/>
  </si>
  <si>
    <t>Ending Balance</t>
    <phoneticPr fontId="3" type="noConversion"/>
  </si>
  <si>
    <t>2018 4Q</t>
    <phoneticPr fontId="3" type="noConversion"/>
  </si>
  <si>
    <t>Cash</t>
    <phoneticPr fontId="3" type="noConversion"/>
  </si>
  <si>
    <t>$</t>
    <phoneticPr fontId="3" type="noConversion"/>
  </si>
  <si>
    <t>Restricted cash</t>
    <phoneticPr fontId="3" type="noConversion"/>
  </si>
  <si>
    <t>Account receivable-trade</t>
    <phoneticPr fontId="3" type="noConversion"/>
  </si>
  <si>
    <t>Other receivables</t>
    <phoneticPr fontId="3" type="noConversion"/>
  </si>
  <si>
    <t>Deposits</t>
    <phoneticPr fontId="3" type="noConversion"/>
  </si>
  <si>
    <t>Fuel inventory</t>
    <phoneticPr fontId="3" type="noConversion"/>
  </si>
  <si>
    <t>Prepaid expenses</t>
    <phoneticPr fontId="3" type="noConversion"/>
  </si>
  <si>
    <t>Total current assets</t>
    <phoneticPr fontId="3" type="noConversion"/>
  </si>
  <si>
    <t>Property, plant, and equipment, net</t>
    <phoneticPr fontId="3" type="noConversion"/>
  </si>
  <si>
    <t>Spare parts inventory</t>
    <phoneticPr fontId="3" type="noConversion"/>
  </si>
  <si>
    <t>Intangible assets, net</t>
    <phoneticPr fontId="3" type="noConversion"/>
  </si>
  <si>
    <t>Other noncurrent asset</t>
    <phoneticPr fontId="3" type="noConversion"/>
  </si>
  <si>
    <t>Total noncurrent assets</t>
    <phoneticPr fontId="3" type="noConversion"/>
  </si>
  <si>
    <t>Total assets</t>
    <phoneticPr fontId="3" type="noConversion"/>
  </si>
  <si>
    <t>Current portion of long-term debt</t>
    <phoneticPr fontId="3" type="noConversion"/>
  </si>
  <si>
    <t>Accounts payable and other accrued liabilities</t>
    <phoneticPr fontId="3" type="noConversion"/>
  </si>
  <si>
    <t>Accrued interest and fees</t>
    <phoneticPr fontId="3" type="noConversion"/>
  </si>
  <si>
    <t>Derivative instruments, interest rate swaps short term</t>
    <phoneticPr fontId="3" type="noConversion"/>
  </si>
  <si>
    <t>Total current liabilities</t>
    <phoneticPr fontId="3" type="noConversion"/>
  </si>
  <si>
    <t>Long-term debt</t>
    <phoneticPr fontId="3" type="noConversion"/>
  </si>
  <si>
    <t>Deferred income taxes</t>
    <phoneticPr fontId="3" type="noConversion"/>
  </si>
  <si>
    <t>Derivative instruments, interest rate swaps</t>
    <phoneticPr fontId="3" type="noConversion"/>
  </si>
  <si>
    <t>Other noncurrent liabilities</t>
    <phoneticPr fontId="3" type="noConversion"/>
  </si>
  <si>
    <t>Total noncurrent liabilities</t>
    <phoneticPr fontId="3" type="noConversion"/>
  </si>
  <si>
    <t>Total liabilities</t>
    <phoneticPr fontId="3" type="noConversion"/>
  </si>
  <si>
    <t>Member's equity</t>
    <phoneticPr fontId="3" type="noConversion"/>
  </si>
  <si>
    <t>Total liabilities and member's equity</t>
    <phoneticPr fontId="3" type="noConversion"/>
  </si>
  <si>
    <t>Assumptions</t>
    <phoneticPr fontId="3" type="noConversion"/>
  </si>
  <si>
    <t>2020 4Q</t>
    <phoneticPr fontId="3" type="noConversion"/>
  </si>
  <si>
    <t>2021 1Q</t>
  </si>
  <si>
    <t>2021 1Q</t>
    <phoneticPr fontId="3" type="noConversion"/>
  </si>
  <si>
    <t>2020년</t>
    <phoneticPr fontId="3" type="noConversion"/>
  </si>
  <si>
    <t>2021년</t>
    <phoneticPr fontId="3" type="noConversion"/>
  </si>
  <si>
    <t>Timeline</t>
    <phoneticPr fontId="3" type="noConversion"/>
  </si>
  <si>
    <t>Period Close Date</t>
    <phoneticPr fontId="3" type="noConversion"/>
  </si>
  <si>
    <t>Period Open Date</t>
    <phoneticPr fontId="3" type="noConversion"/>
  </si>
  <si>
    <t>Net Generation(GWh)</t>
  </si>
  <si>
    <t>Net Generation(GWh)</t>
    <phoneticPr fontId="3" type="noConversion"/>
  </si>
  <si>
    <t>COVID19으로 인한 효과가 제거 전: 2020년과 동일한 발전량</t>
    <phoneticPr fontId="3" type="noConversion"/>
  </si>
  <si>
    <t>COVID19으로 인한 효과 제거 후: 재무모델 상 발전량</t>
    <phoneticPr fontId="3" type="noConversion"/>
  </si>
  <si>
    <t>2020년 2Q 이전 : 실제 발전량</t>
    <phoneticPr fontId="3" type="noConversion"/>
  </si>
  <si>
    <t>Budget</t>
    <phoneticPr fontId="3" type="noConversion"/>
  </si>
  <si>
    <t>Variance(Actual-Budget)</t>
    <phoneticPr fontId="3" type="noConversion"/>
  </si>
  <si>
    <t>2019 1Q</t>
    <phoneticPr fontId="3" type="noConversion"/>
  </si>
  <si>
    <t>2019 2Q</t>
    <phoneticPr fontId="3" type="noConversion"/>
  </si>
  <si>
    <t>2019 3Q</t>
    <phoneticPr fontId="3" type="noConversion"/>
  </si>
  <si>
    <t>2019 4Q</t>
    <phoneticPr fontId="3" type="noConversion"/>
  </si>
  <si>
    <t>2020 1Q</t>
    <phoneticPr fontId="3" type="noConversion"/>
  </si>
  <si>
    <t>2020 2Q</t>
    <phoneticPr fontId="3" type="noConversion"/>
  </si>
  <si>
    <t>2020 3Q</t>
    <phoneticPr fontId="3" type="noConversion"/>
  </si>
  <si>
    <t>2020 4Q</t>
    <phoneticPr fontId="3" type="noConversion"/>
  </si>
  <si>
    <t>2020 2Q</t>
    <phoneticPr fontId="3" type="noConversion"/>
  </si>
  <si>
    <t>Net Generation(GWh)</t>
    <phoneticPr fontId="3" type="noConversion"/>
  </si>
  <si>
    <t>Houston Ship Channel($/MMBtu)</t>
    <phoneticPr fontId="3" type="noConversion"/>
  </si>
  <si>
    <t xml:space="preserve">   Energy Revenue($)</t>
    <phoneticPr fontId="3" type="noConversion"/>
  </si>
  <si>
    <t xml:space="preserve">   Delivered Fuel</t>
    <phoneticPr fontId="3" type="noConversion"/>
  </si>
  <si>
    <t>Energy Margin</t>
    <phoneticPr fontId="3" type="noConversion"/>
  </si>
  <si>
    <t xml:space="preserve">   Variable O&amp;M Expense</t>
    <phoneticPr fontId="3" type="noConversion"/>
  </si>
  <si>
    <t>Net Energy Margin</t>
    <phoneticPr fontId="3" type="noConversion"/>
  </si>
  <si>
    <t xml:space="preserve">   Capacity Revenue</t>
    <phoneticPr fontId="3" type="noConversion"/>
  </si>
  <si>
    <t xml:space="preserve">   Ancillary Services Revenue</t>
    <phoneticPr fontId="3" type="noConversion"/>
  </si>
  <si>
    <t xml:space="preserve">   Import/Export Net Revenue(Incl.Misc)</t>
    <phoneticPr fontId="3" type="noConversion"/>
  </si>
  <si>
    <t xml:space="preserve">   Fixed Fuel Transport &amp; Storage Expense</t>
    <phoneticPr fontId="3" type="noConversion"/>
  </si>
  <si>
    <t>Gross Margin</t>
    <phoneticPr fontId="3" type="noConversion"/>
  </si>
  <si>
    <t>Fixed Costs</t>
    <phoneticPr fontId="3" type="noConversion"/>
  </si>
  <si>
    <t>Adjusted EBITDA</t>
    <phoneticPr fontId="3" type="noConversion"/>
  </si>
  <si>
    <t>Capital Expenditure</t>
    <phoneticPr fontId="3" type="noConversion"/>
  </si>
  <si>
    <t>Consolidated EBITDA less Capex</t>
    <phoneticPr fontId="3" type="noConversion"/>
  </si>
  <si>
    <t>예산 대비 실적표</t>
    <phoneticPr fontId="3" type="noConversion"/>
  </si>
  <si>
    <t>예산 대비 실적</t>
    <phoneticPr fontId="3" type="noConversion"/>
  </si>
  <si>
    <t>2021 3Q</t>
  </si>
  <si>
    <t>2021 4Q</t>
  </si>
  <si>
    <t>2021 2Q</t>
  </si>
  <si>
    <t>2020년 2Q 이후: Frontera에서 예측한 2019년 동분기 예산 대비 실적 비율을 Net Generation 비율을 2020년에 적용함</t>
    <phoneticPr fontId="3" type="noConversion"/>
  </si>
  <si>
    <t>Realized Price($/MWh)</t>
  </si>
  <si>
    <t>Realized Price($/MWh)</t>
    <phoneticPr fontId="3" type="noConversion"/>
  </si>
  <si>
    <t>Quarterly Average Price($/MWh)</t>
  </si>
  <si>
    <t>Quarterly Average Price($/MWh)</t>
    <phoneticPr fontId="3" type="noConversion"/>
  </si>
  <si>
    <t>Realized Price/Quarterly Average Price</t>
    <phoneticPr fontId="3" type="noConversion"/>
  </si>
  <si>
    <t>2020년 2Q 이전 : 실제 Quarterly Average Price</t>
    <phoneticPr fontId="3" type="noConversion"/>
  </si>
  <si>
    <t>Houston Ship Channel($/MMBtu)</t>
  </si>
  <si>
    <t>합계</t>
    <phoneticPr fontId="3" type="noConversion"/>
  </si>
  <si>
    <t>2020년 2Q 이전 : 실제 가격</t>
    <phoneticPr fontId="3" type="noConversion"/>
  </si>
  <si>
    <t>COVID19으로 인한 효과가 제거 전: 2020년과 동일한 가격</t>
    <phoneticPr fontId="3" type="noConversion"/>
  </si>
  <si>
    <t>COVID19으로 인한 효과 제거 후: 재무모델 상 발전량</t>
    <phoneticPr fontId="3" type="noConversion"/>
  </si>
  <si>
    <t>COVID 19</t>
    <phoneticPr fontId="3" type="noConversion"/>
  </si>
  <si>
    <t>1= out-break, 0=remedidated</t>
    <phoneticPr fontId="3" type="noConversion"/>
  </si>
  <si>
    <t>COVID 19</t>
    <phoneticPr fontId="3" type="noConversion"/>
  </si>
  <si>
    <t>LTM 기준 Realized Price 대비 Quarterly Average Price 비율을 Quarterly Average Price에 적용하여 산출함</t>
    <phoneticPr fontId="3" type="noConversion"/>
  </si>
  <si>
    <t>Projected</t>
    <phoneticPr fontId="3" type="noConversion"/>
  </si>
  <si>
    <t>2021 2Q</t>
    <phoneticPr fontId="3" type="noConversion"/>
  </si>
  <si>
    <t>2021 3Q</t>
    <phoneticPr fontId="3" type="noConversion"/>
  </si>
  <si>
    <t>2021 4Q</t>
    <phoneticPr fontId="3" type="noConversion"/>
  </si>
  <si>
    <t>[COVID 19 Flag]</t>
    <phoneticPr fontId="3" type="noConversion"/>
  </si>
  <si>
    <t>Net Generation(GWh)</t>
    <phoneticPr fontId="3" type="noConversion"/>
  </si>
  <si>
    <t>Realized Price($/MWh)</t>
    <phoneticPr fontId="3" type="noConversion"/>
  </si>
  <si>
    <t>Net Generation(GWh)*Realized Price($/MWh)</t>
    <phoneticPr fontId="3" type="noConversion"/>
  </si>
  <si>
    <t>Quarterly Average Price($/MWh)</t>
    <phoneticPr fontId="3" type="noConversion"/>
  </si>
  <si>
    <t xml:space="preserve">   Delivered Fuel</t>
    <phoneticPr fontId="3" type="noConversion"/>
  </si>
  <si>
    <t>Delivered Fuel</t>
    <phoneticPr fontId="3" type="noConversion"/>
  </si>
  <si>
    <t>Energy Revenue</t>
    <phoneticPr fontId="3" type="noConversion"/>
  </si>
  <si>
    <t>2020년 2Q 이후: Frontera에서 예측한 2020년 Fuel Burn/Net Generation에 예상 Net Generation과 예상 Fuel cost를 곱한 금액</t>
    <phoneticPr fontId="3" type="noConversion"/>
  </si>
  <si>
    <t>Fuel Consumptioned</t>
    <phoneticPr fontId="3" type="noConversion"/>
  </si>
  <si>
    <t>Fuel Consumptioned</t>
    <phoneticPr fontId="3" type="noConversion"/>
  </si>
  <si>
    <t>Variable O&amp;M Expense</t>
  </si>
  <si>
    <t>Variable O&amp;M Expense</t>
    <phoneticPr fontId="3" type="noConversion"/>
  </si>
  <si>
    <t>2020년 2Q 이전 : 실제 Fuel cost</t>
    <phoneticPr fontId="3" type="noConversion"/>
  </si>
  <si>
    <t>2020년 2Q 이전 : 실제 Variable O&amp;M Expense</t>
    <phoneticPr fontId="3" type="noConversion"/>
  </si>
  <si>
    <t>Average Variable O&amp;M Expense</t>
    <phoneticPr fontId="3" type="noConversion"/>
  </si>
  <si>
    <t>2020년 2Q 이후: 실제 Variable O&amp;M Expense를 LTM 평균 하여 사용</t>
    <phoneticPr fontId="3" type="noConversion"/>
  </si>
  <si>
    <t>COVID19으로 인한 효과 제거 후: 재무모델 상 Variable O&amp;M Expense 사용</t>
    <phoneticPr fontId="3" type="noConversion"/>
  </si>
  <si>
    <t xml:space="preserve">COVID19으로 인한 효과가 제거 전: 2020년과 동일한 Fuel Consumptioned*Houston Ship Channel </t>
    <phoneticPr fontId="3" type="noConversion"/>
  </si>
  <si>
    <t>COVID19으로 인한 효과가 제거 전: 2020년과 동일한 Variable O&amp;M Expense</t>
    <phoneticPr fontId="3" type="noConversion"/>
  </si>
  <si>
    <t>2020 4Q</t>
    <phoneticPr fontId="3" type="noConversion"/>
  </si>
  <si>
    <t>2020 3Q</t>
    <phoneticPr fontId="3" type="noConversion"/>
  </si>
  <si>
    <t>COVID19으로 인한 효과 제거 후: Heat rate는 동일한 것으로 가정하고, 재무모델 상 Fuel Consumptioned*재무모델 상 가격</t>
    <phoneticPr fontId="3" type="noConversion"/>
  </si>
  <si>
    <t>Capacity Revenue</t>
    <phoneticPr fontId="3" type="noConversion"/>
  </si>
  <si>
    <t>2020년 2Q 이전 : 실제 Capacity Revenue</t>
    <phoneticPr fontId="3" type="noConversion"/>
  </si>
  <si>
    <t>코로나 발생 전 후 유의적인 차이 없으므로 Capacity revenue를 LTM 평균하여 사용</t>
    <phoneticPr fontId="3" type="noConversion"/>
  </si>
  <si>
    <t>2020년 2Q 이후: 실제 Capacity Revenue를 LTM 평균하여 사용</t>
    <phoneticPr fontId="3" type="noConversion"/>
  </si>
  <si>
    <t>Ancillary Services Revenue</t>
    <phoneticPr fontId="3" type="noConversion"/>
  </si>
  <si>
    <t>2020년 2Q 이전 : 실제 Ancillary Services Revenue</t>
    <phoneticPr fontId="3" type="noConversion"/>
  </si>
  <si>
    <t>2020년 2Q 이후: 실제 Ancillary Services Revenue를 LTM 평균하여 사용</t>
    <phoneticPr fontId="3" type="noConversion"/>
  </si>
  <si>
    <t>코로나 발생 전 후 유의적인 차이 없으므로 Ancillary Services Revenue를 LTM 평균하여 사용</t>
    <phoneticPr fontId="3" type="noConversion"/>
  </si>
  <si>
    <t>Fixed Fuel Transport &amp; Storage Expense</t>
    <phoneticPr fontId="3" type="noConversion"/>
  </si>
  <si>
    <t>Import/Export Net Revenue(Incl.Misc)</t>
    <phoneticPr fontId="3" type="noConversion"/>
  </si>
  <si>
    <t>2020년 2Q 이전 : 실제 Import/Export Net Revenue</t>
    <phoneticPr fontId="3" type="noConversion"/>
  </si>
  <si>
    <t>2020년 2Q 이후: 실제 Import/Export Net Revenue를 LTM 평균하여 사용</t>
    <phoneticPr fontId="3" type="noConversion"/>
  </si>
  <si>
    <t>코로나 발생 전 후 유의적인 차이 없으므로 Import/Export Net Revenue를 LTM 평균하여 사용</t>
    <phoneticPr fontId="3" type="noConversion"/>
  </si>
  <si>
    <t>2020년 2Q 이전 : 실제 Fixed Fuel Transport &amp; Storage Expense</t>
    <phoneticPr fontId="3" type="noConversion"/>
  </si>
  <si>
    <t>2020년 2Q 이후: 실제 Fixed Fuel Transport &amp; Storage Expense를 LTM 평균하여 사용</t>
    <phoneticPr fontId="3" type="noConversion"/>
  </si>
  <si>
    <t>코로나 발생 전 후 유의적인 차이 없으므로 Fixed Fuel Transport &amp; Storage Expense를 LTM 평균하여 사용</t>
    <phoneticPr fontId="3" type="noConversion"/>
  </si>
  <si>
    <t>2020년 2Q 이전 : 실제 CAPEX</t>
    <phoneticPr fontId="3" type="noConversion"/>
  </si>
  <si>
    <t>CAPEX</t>
    <phoneticPr fontId="3" type="noConversion"/>
  </si>
  <si>
    <t>2020년 2Q 이후: 2019년 4Q에 재무모델 상 22년에 수행 예정이었던, Rotor 교체 공사를 선진행하였고, COVID19으로 인하여 재무모델 상 예상되었던 Chiller upgrade는 유보하여 추가 CAPEX 없는 것으로 가정</t>
    <phoneticPr fontId="3" type="noConversion"/>
  </si>
  <si>
    <t>추가 CAPEX 없는 것으로 가정</t>
    <phoneticPr fontId="3" type="noConversion"/>
  </si>
  <si>
    <t>회전율</t>
    <phoneticPr fontId="3" type="noConversion"/>
  </si>
  <si>
    <t>2020 3Q</t>
    <phoneticPr fontId="3" type="noConversion"/>
  </si>
  <si>
    <t>Account receivable-trade</t>
  </si>
  <si>
    <t>Account receivable-trade</t>
    <phoneticPr fontId="3" type="noConversion"/>
  </si>
  <si>
    <t>Other receivables</t>
  </si>
  <si>
    <t>Fuel inventory</t>
  </si>
  <si>
    <t>Accounts payable and other accrued liabilities</t>
  </si>
  <si>
    <t>Ending Balance</t>
  </si>
  <si>
    <t>Ending Balance</t>
    <phoneticPr fontId="3" type="noConversion"/>
  </si>
  <si>
    <t>Opening Balance</t>
  </si>
  <si>
    <t>Opening Balance</t>
    <phoneticPr fontId="3" type="noConversion"/>
  </si>
  <si>
    <t>Deposits</t>
  </si>
  <si>
    <t>Prepaid expenses</t>
  </si>
  <si>
    <t>회전율</t>
    <phoneticPr fontId="3" type="noConversion"/>
  </si>
  <si>
    <t>Opening Balance</t>
    <phoneticPr fontId="3" type="noConversion"/>
  </si>
  <si>
    <t>Ending Balance</t>
    <phoneticPr fontId="3" type="noConversion"/>
  </si>
  <si>
    <t>Other noncurrent asset</t>
  </si>
  <si>
    <t>Other noncurrent asset</t>
    <phoneticPr fontId="3" type="noConversion"/>
  </si>
  <si>
    <t>Other noncurrent liabilities</t>
  </si>
  <si>
    <t>Tax</t>
    <phoneticPr fontId="3" type="noConversion"/>
  </si>
  <si>
    <t>CFADS</t>
    <phoneticPr fontId="3" type="noConversion"/>
  </si>
  <si>
    <t>Land</t>
    <phoneticPr fontId="3" type="noConversion"/>
  </si>
  <si>
    <t>Construction in Progress</t>
    <phoneticPr fontId="3" type="noConversion"/>
  </si>
  <si>
    <t>CAPEX</t>
    <phoneticPr fontId="3" type="noConversion"/>
  </si>
  <si>
    <t>Depreciation</t>
    <phoneticPr fontId="3" type="noConversion"/>
  </si>
  <si>
    <t>Ending Balance</t>
    <phoneticPr fontId="3" type="noConversion"/>
  </si>
  <si>
    <t>Plant-generation facility</t>
    <phoneticPr fontId="3" type="noConversion"/>
  </si>
  <si>
    <t>Transfer from CIP</t>
    <phoneticPr fontId="3" type="noConversion"/>
  </si>
  <si>
    <t>Tranfer to PPE and other</t>
    <phoneticPr fontId="3" type="noConversion"/>
  </si>
  <si>
    <t>Retirement</t>
    <phoneticPr fontId="3" type="noConversion"/>
  </si>
  <si>
    <t>Accumulated depreciation</t>
    <phoneticPr fontId="3" type="noConversion"/>
  </si>
  <si>
    <t>Opening Balance</t>
    <phoneticPr fontId="3" type="noConversion"/>
  </si>
  <si>
    <t>Retirement</t>
    <phoneticPr fontId="3" type="noConversion"/>
  </si>
  <si>
    <t>Ending Balance</t>
    <phoneticPr fontId="3" type="noConversion"/>
  </si>
  <si>
    <t>Intangible Asset</t>
    <phoneticPr fontId="3" type="noConversion"/>
  </si>
  <si>
    <t>Opening Balance</t>
    <phoneticPr fontId="3" type="noConversion"/>
  </si>
  <si>
    <t>CAPEX</t>
    <phoneticPr fontId="3" type="noConversion"/>
  </si>
  <si>
    <t>Amortization</t>
    <phoneticPr fontId="3" type="noConversion"/>
  </si>
  <si>
    <t>PPE Balance</t>
    <phoneticPr fontId="3" type="noConversion"/>
  </si>
  <si>
    <t>Depreciation</t>
    <phoneticPr fontId="3" type="noConversion"/>
  </si>
  <si>
    <t>Amortization</t>
    <phoneticPr fontId="3" type="noConversion"/>
  </si>
  <si>
    <t>Total Mexican Tax (WHT and CIT)</t>
    <phoneticPr fontId="3" type="noConversion"/>
  </si>
  <si>
    <t>Mexican Tax payment</t>
    <phoneticPr fontId="3" type="noConversion"/>
  </si>
  <si>
    <t>0= out-break, 1=remedidated</t>
    <phoneticPr fontId="3" type="noConversion"/>
  </si>
  <si>
    <t>Property, Plant, Equipment and Intangible Asset</t>
    <phoneticPr fontId="3" type="noConversion"/>
  </si>
  <si>
    <t>Intangible Aseet Balance</t>
    <phoneticPr fontId="3" type="noConversion"/>
  </si>
  <si>
    <t>Cash Waterfall</t>
    <phoneticPr fontId="3" type="noConversion"/>
  </si>
  <si>
    <t>Senior Loan Interest Expense</t>
  </si>
  <si>
    <t xml:space="preserve">Revolver Fees </t>
  </si>
  <si>
    <t>Senior Loan Mandatory Amortization</t>
  </si>
  <si>
    <t xml:space="preserve">Cash Flow After Mandatory Debt Service </t>
  </si>
  <si>
    <t xml:space="preserve">Revolver and LC Fees </t>
  </si>
  <si>
    <t xml:space="preserve">Revolver Drawn Balance </t>
  </si>
  <si>
    <t>DSRA LC</t>
  </si>
  <si>
    <t>Operational LCs</t>
  </si>
  <si>
    <t xml:space="preserve">Undrawn Revolver Balance </t>
  </si>
  <si>
    <t xml:space="preserve">Total Revolver and LC Fees </t>
  </si>
  <si>
    <t xml:space="preserve">Beginning Balance </t>
  </si>
  <si>
    <t xml:space="preserve">Draw </t>
  </si>
  <si>
    <t xml:space="preserve">Fund </t>
  </si>
  <si>
    <t>Distirbution to HoldCo</t>
    <phoneticPr fontId="3" type="noConversion"/>
  </si>
  <si>
    <t xml:space="preserve">Cash Funding </t>
  </si>
  <si>
    <t xml:space="preserve">Permitted Tax Distributions </t>
  </si>
  <si>
    <t>Cash Flow After Tax Distributions</t>
  </si>
  <si>
    <t>Additional Cash Available for Sweep</t>
  </si>
  <si>
    <t>Cash Flow Available for Cash Sweep</t>
  </si>
  <si>
    <t xml:space="preserve">Sweep Timing Adjustment </t>
  </si>
  <si>
    <t>Senior Loan Cash Sweep</t>
  </si>
  <si>
    <t xml:space="preserve">Permitted Tax Distributions Available for HoldCo </t>
  </si>
  <si>
    <t>Distribution from OpCo</t>
  </si>
  <si>
    <t>Distribution from Lonestar Generation</t>
  </si>
  <si>
    <t xml:space="preserve">HoldCo Loan Sweep </t>
  </si>
  <si>
    <t xml:space="preserve">Cash Flow to HoldCo Equity </t>
  </si>
  <si>
    <t>Drawn Revolver Balance</t>
    <phoneticPr fontId="3" type="noConversion"/>
  </si>
  <si>
    <t>DSRA LC</t>
    <phoneticPr fontId="3" type="noConversion"/>
  </si>
  <si>
    <t>Operational LCs</t>
    <phoneticPr fontId="3" type="noConversion"/>
  </si>
  <si>
    <t>Undrawn Revolver Balance</t>
    <phoneticPr fontId="3" type="noConversion"/>
  </si>
  <si>
    <t xml:space="preserve">DSRA Covered by Revolver </t>
  </si>
  <si>
    <t>LIBOR</t>
    <phoneticPr fontId="3" type="noConversion"/>
  </si>
  <si>
    <t>LIBOR Curve</t>
    <phoneticPr fontId="3" type="noConversion"/>
  </si>
  <si>
    <t>LIBOR Floor</t>
    <phoneticPr fontId="3" type="noConversion"/>
  </si>
  <si>
    <t>Spread</t>
  </si>
  <si>
    <t>Revolver Spread</t>
    <phoneticPr fontId="3" type="noConversion"/>
  </si>
  <si>
    <t>Applicable Rate - Revolver</t>
  </si>
  <si>
    <t>Senior Loan Calculations</t>
  </si>
  <si>
    <t>Senior Loan</t>
  </si>
  <si>
    <t>Beginning Balance</t>
  </si>
  <si>
    <t>Mandatory Amortization</t>
  </si>
  <si>
    <t>Cash Sweep</t>
  </si>
  <si>
    <t>Sweep Structure</t>
    <phoneticPr fontId="3" type="noConversion"/>
  </si>
  <si>
    <t>Leveraged Base Stepdowns</t>
    <phoneticPr fontId="3" type="noConversion"/>
  </si>
  <si>
    <t>Total Debt Balance</t>
    <phoneticPr fontId="3" type="noConversion"/>
  </si>
  <si>
    <t xml:space="preserve">Cash Balance (Beginning of Period) </t>
  </si>
  <si>
    <t>Cash Balance</t>
    <phoneticPr fontId="3" type="noConversion"/>
  </si>
  <si>
    <t xml:space="preserve">(+) Cash Flow After Mandatory Debt Service </t>
  </si>
  <si>
    <t xml:space="preserve">(-) Distribution to HoldCo </t>
  </si>
  <si>
    <t xml:space="preserve">(-) Operating Shortfall Funding </t>
  </si>
  <si>
    <t xml:space="preserve">(-) Revolver Funding/(Repayment) </t>
  </si>
  <si>
    <t xml:space="preserve">(-) Tax Distributions </t>
  </si>
  <si>
    <t>Cash Flow Available for Sweep</t>
  </si>
  <si>
    <t>Beginning Cash Balance</t>
  </si>
  <si>
    <t>(-) (Draw)/Shortfall - Cash Flow Swept</t>
  </si>
  <si>
    <t xml:space="preserve">Net Debt Balance (Beginning of Period) </t>
  </si>
  <si>
    <t>EBITDA Before Trxn Close (Beginning of Period)</t>
  </si>
  <si>
    <t>LTM EBITDA (Beginning of Period)</t>
  </si>
  <si>
    <t xml:space="preserve">Net Debt / LTM EBITDA (Beginning of Period) </t>
  </si>
  <si>
    <t>Cash Sweep Step Down Thresholds</t>
  </si>
  <si>
    <t>Cash Sweep Level 1</t>
  </si>
  <si>
    <t>Cash Sweep Level 2</t>
  </si>
  <si>
    <t>Cash Sweep Level 3</t>
  </si>
  <si>
    <t>Applicable Cash Sweep Level</t>
  </si>
  <si>
    <t xml:space="preserve">Cash Flow Available for Sweep </t>
  </si>
  <si>
    <t>Previous Period Cash Flow Available for Sweep</t>
    <phoneticPr fontId="3" type="noConversion"/>
  </si>
  <si>
    <t xml:space="preserve">Cash Flow Sweep </t>
  </si>
  <si>
    <t>All-in Rate - Non-Swapped</t>
    <phoneticPr fontId="3" type="noConversion"/>
  </si>
  <si>
    <t>Non-Swapped Notional Amount</t>
  </si>
  <si>
    <t>Non-Swapped Interest Payments</t>
  </si>
  <si>
    <t>Swapped Notional Amount</t>
  </si>
  <si>
    <t>Swapped LIBOR</t>
  </si>
  <si>
    <t>All-in Rate - Swapped</t>
  </si>
  <si>
    <t>Swapped Amount</t>
    <phoneticPr fontId="3" type="noConversion"/>
  </si>
  <si>
    <t>Swapped Interest Payments</t>
  </si>
  <si>
    <t xml:space="preserve">DSRA Covered by Restricted Cash </t>
    <phoneticPr fontId="3" type="noConversion"/>
  </si>
  <si>
    <t>NWC</t>
    <phoneticPr fontId="3" type="noConversion"/>
  </si>
  <si>
    <t>Misceleneous</t>
    <phoneticPr fontId="3" type="noConversion"/>
  </si>
  <si>
    <t>DSRA 인출/(적립)</t>
    <phoneticPr fontId="3" type="noConversion"/>
  </si>
  <si>
    <t>Cash Flow to HoldCo</t>
    <phoneticPr fontId="3" type="noConversion"/>
  </si>
  <si>
    <t xml:space="preserve">HoldCo Loan Cash Interest </t>
    <phoneticPr fontId="3" type="noConversion"/>
  </si>
  <si>
    <t>Revolver Calculation</t>
    <phoneticPr fontId="3" type="noConversion"/>
  </si>
  <si>
    <t>Target DSRA</t>
    <phoneticPr fontId="3" type="noConversion"/>
  </si>
  <si>
    <t>Senior loan Interest Calculation</t>
    <phoneticPr fontId="3" type="noConversion"/>
  </si>
  <si>
    <t>Revolver Interest and LC Fees Calculation</t>
    <phoneticPr fontId="3" type="noConversion"/>
  </si>
  <si>
    <t>Revolver Draw/(Repayment)</t>
    <phoneticPr fontId="3" type="noConversion"/>
  </si>
  <si>
    <t>Revolver Check</t>
    <phoneticPr fontId="3" type="noConversion"/>
  </si>
  <si>
    <t>DSRA Check</t>
    <phoneticPr fontId="3" type="noConversion"/>
  </si>
  <si>
    <t>Additional Cash for DSRA</t>
    <phoneticPr fontId="3" type="noConversion"/>
  </si>
  <si>
    <t>Additional Paid-in Cash</t>
    <phoneticPr fontId="3" type="noConversion"/>
  </si>
  <si>
    <t>Cash Balance 검증</t>
    <phoneticPr fontId="3" type="noConversion"/>
  </si>
  <si>
    <t>Accrued interest and fees</t>
    <phoneticPr fontId="3" type="noConversion"/>
  </si>
  <si>
    <t>Accrued interest and fees</t>
    <phoneticPr fontId="3" type="noConversion"/>
  </si>
  <si>
    <t>Beginning Balance</t>
    <phoneticPr fontId="3" type="noConversion"/>
  </si>
  <si>
    <t>Interest and fee expenses</t>
    <phoneticPr fontId="3" type="noConversion"/>
  </si>
  <si>
    <t>Repayments</t>
    <phoneticPr fontId="3" type="noConversion"/>
  </si>
  <si>
    <t>Ending Balance</t>
    <phoneticPr fontId="3" type="noConversion"/>
  </si>
  <si>
    <t>2022 1Q</t>
  </si>
  <si>
    <t>2022 2Q</t>
  </si>
  <si>
    <t>2022 3Q</t>
  </si>
  <si>
    <t>2022 4Q</t>
  </si>
  <si>
    <t>Coupon Interest</t>
    <phoneticPr fontId="3" type="noConversion"/>
  </si>
  <si>
    <t>Beginning Balance</t>
    <phoneticPr fontId="3" type="noConversion"/>
  </si>
  <si>
    <t>Amortization</t>
    <phoneticPr fontId="3" type="noConversion"/>
  </si>
  <si>
    <t>Endign Balance</t>
    <phoneticPr fontId="3" type="noConversion"/>
  </si>
  <si>
    <t>OID and Deferred financing cost amortization</t>
    <phoneticPr fontId="3" type="noConversion"/>
  </si>
  <si>
    <t>Adjustment(Only for 4Q)</t>
    <phoneticPr fontId="3" type="noConversion"/>
  </si>
  <si>
    <t>Interest accural basis for P/L</t>
    <phoneticPr fontId="3" type="noConversion"/>
  </si>
  <si>
    <t>Cash Flow to HoldCo</t>
    <phoneticPr fontId="3" type="noConversion"/>
  </si>
  <si>
    <t>Additional Paid-in Cash</t>
    <phoneticPr fontId="3" type="noConversion"/>
  </si>
  <si>
    <t>1. Build CFADS</t>
    <phoneticPr fontId="3" type="noConversion"/>
  </si>
  <si>
    <t>2. Profit and Loss</t>
    <phoneticPr fontId="3" type="noConversion"/>
  </si>
  <si>
    <t>Consolidated EBITDA</t>
    <phoneticPr fontId="3" type="noConversion"/>
  </si>
  <si>
    <t>Major maintenance expense and outages</t>
    <phoneticPr fontId="3" type="noConversion"/>
  </si>
  <si>
    <t>Director fee</t>
    <phoneticPr fontId="3" type="noConversion"/>
  </si>
  <si>
    <t>One time event costs</t>
    <phoneticPr fontId="3" type="noConversion"/>
  </si>
  <si>
    <t>Depreciation and Amortization</t>
    <phoneticPr fontId="3" type="noConversion"/>
  </si>
  <si>
    <t>Lonestar Pipeline expenses</t>
    <phoneticPr fontId="3" type="noConversion"/>
  </si>
  <si>
    <t>GAAP Operating Income(Loss)</t>
    <phoneticPr fontId="3" type="noConversion"/>
  </si>
  <si>
    <t>Interest expense, net</t>
    <phoneticPr fontId="3" type="noConversion"/>
  </si>
  <si>
    <t>Income tax expense</t>
    <phoneticPr fontId="3" type="noConversion"/>
  </si>
  <si>
    <t>Net income(loss)</t>
    <phoneticPr fontId="3" type="noConversion"/>
  </si>
  <si>
    <t>Adjustment for actual period</t>
    <phoneticPr fontId="3" type="noConversion"/>
  </si>
  <si>
    <t>Unrealized gain (loss) on foreign currency translation</t>
    <phoneticPr fontId="3" type="noConversion"/>
  </si>
  <si>
    <t>Comprehensive income (loss)</t>
    <phoneticPr fontId="3" type="noConversion"/>
  </si>
  <si>
    <t>Total</t>
    <phoneticPr fontId="3" type="noConversion"/>
  </si>
  <si>
    <t>Income (Loss) before income taxes</t>
    <phoneticPr fontId="3" type="noConversion"/>
  </si>
  <si>
    <t>Other income, net</t>
    <phoneticPr fontId="3" type="noConversion"/>
  </si>
  <si>
    <t>Cash</t>
    <phoneticPr fontId="3" type="noConversion"/>
  </si>
  <si>
    <t>Restricted Cash</t>
    <phoneticPr fontId="3" type="noConversion"/>
  </si>
  <si>
    <t>Subtotal</t>
    <phoneticPr fontId="3" type="noConversion"/>
  </si>
  <si>
    <t>Senior loan</t>
    <phoneticPr fontId="3" type="noConversion"/>
  </si>
  <si>
    <t>Net Debt</t>
    <phoneticPr fontId="3" type="noConversion"/>
  </si>
  <si>
    <t>Undrawn Revolver</t>
    <phoneticPr fontId="3" type="noConversion"/>
  </si>
  <si>
    <t>Drawn Revolver</t>
    <phoneticPr fontId="3" type="noConversion"/>
  </si>
  <si>
    <t xml:space="preserve">Net Debt / LTM EBITDA (Beginning of Period) </t>
    <phoneticPr fontId="3" type="noConversion"/>
  </si>
  <si>
    <t xml:space="preserve">LTM EBITDA (Beginning of Period) </t>
    <phoneticPr fontId="3" type="noConversion"/>
  </si>
  <si>
    <t>LIBOR Curve</t>
    <phoneticPr fontId="3" type="noConversion"/>
  </si>
  <si>
    <t>2020년</t>
  </si>
  <si>
    <t>2020년 2Q 이전 : 재무모델 상 lior curve 사용</t>
    <phoneticPr fontId="3" type="noConversion"/>
  </si>
  <si>
    <t>2020년 2Q 이후: 블룸버그에서 조회되는 3개월 libor forward rate 사용</t>
    <phoneticPr fontId="3" type="noConversion"/>
  </si>
  <si>
    <t>블룸버그에서 조회되는 3개월 libor forward rate 사용</t>
    <phoneticPr fontId="3" type="noConversion"/>
  </si>
  <si>
    <t>(단위: Million Dollar)</t>
    <phoneticPr fontId="3" type="noConversion"/>
  </si>
  <si>
    <t>2020년 2Q 이후: Bloomberg에서 제공하는 Houston Ship Channel 예측 중간값 적용</t>
    <phoneticPr fontId="3" type="noConversion"/>
  </si>
  <si>
    <t>Bloomberg에서 제공하는 Houston Ship Channel 예측 중간값 적용</t>
    <phoneticPr fontId="3" type="noConversion"/>
  </si>
  <si>
    <t>2021년 이후</t>
  </si>
  <si>
    <t>2021년 이후에 종식된다고 가정</t>
    <phoneticPr fontId="3" type="noConversion"/>
  </si>
  <si>
    <t>D11</t>
    <phoneticPr fontId="3" type="noConversion"/>
  </si>
  <si>
    <t>에서 조정 가능</t>
    <phoneticPr fontId="3" type="noConversion"/>
  </si>
  <si>
    <t>COVID 19 종식 시기는 Forecast Sheet</t>
    <phoneticPr fontId="3" type="noConversion"/>
  </si>
  <si>
    <t>DSRA LC</t>
    <phoneticPr fontId="3" type="noConversion"/>
  </si>
  <si>
    <t>(단위: Million Dollar)</t>
    <phoneticPr fontId="3" type="noConversion"/>
  </si>
  <si>
    <t>2. 재무상태표</t>
    <phoneticPr fontId="3" type="noConversion"/>
  </si>
  <si>
    <t>3. 주요 재무 지표</t>
    <phoneticPr fontId="3" type="noConversion"/>
  </si>
  <si>
    <t>2020년 2Q 이후: Mexico 전력청인 CENACE의 7월 Daily Price를 USD 로 환산한 월평균 가격을 2020년 3Q가격 대용치로 사용하고 2020년 4Q는 LTM 평균가격 사용</t>
    <phoneticPr fontId="3" type="noConversion"/>
  </si>
  <si>
    <t xml:space="preserve">DSCR </t>
    <phoneticPr fontId="3" type="noConversion"/>
  </si>
  <si>
    <t>Additional Paid-in Cash(필요자금)</t>
    <phoneticPr fontId="3" type="noConversion"/>
  </si>
  <si>
    <t>Copy &amp; Paste from row 214, one by one</t>
    <phoneticPr fontId="3" type="noConversion"/>
  </si>
  <si>
    <t xml:space="preserve">   DSRA 적립</t>
    <phoneticPr fontId="3" type="noConversion"/>
  </si>
  <si>
    <t xml:space="preserve">   운영자금</t>
    <phoneticPr fontId="3" type="noConversion"/>
  </si>
  <si>
    <t>Forecast Sheet D11셀에서 선택 후, 동 시트 215열에서 값복사 작업 필수</t>
    <phoneticPr fontId="3" type="noConversion"/>
  </si>
  <si>
    <t>주요 재무 지표</t>
    <phoneticPr fontId="3" type="noConversion"/>
  </si>
  <si>
    <t>(주요 가정 Input)</t>
    <phoneticPr fontId="3" type="noConversion"/>
  </si>
  <si>
    <t xml:space="preserve">   Senior Loan Interest Expense</t>
    <phoneticPr fontId="3" type="noConversion"/>
  </si>
  <si>
    <t xml:space="preserve">   Senior Loan Mandatory Amortization</t>
    <phoneticPr fontId="3" type="noConversion"/>
  </si>
  <si>
    <t xml:space="preserve">   Revolver Fees </t>
    <phoneticPr fontId="3" type="noConversion"/>
  </si>
  <si>
    <t xml:space="preserve">   운영자금 필요금액</t>
    <phoneticPr fontId="3" type="noConversion"/>
  </si>
  <si>
    <t xml:space="preserve">   DSRA 적립 필요금액(양수는 납입필요금액, 음수는 적립완료후 인출금액)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</si>
</sst>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26" formatCode="\$#,##0.00_);[Red]\(\$#,##0.00\)"/>
    <numFmt numFmtId="176" formatCode="#,##0.00_);[Red]\(#,##0.00\)"/>
    <numFmt numFmtId="177" formatCode="#,##0_);[Red]\(#,##0\)"/>
    <numFmt numFmtId="178" formatCode="#,##0.0_);[Red]\(#,##0.0\)"/>
    <numFmt numFmtId="179" formatCode="&quot;&gt;&quot;0.00"/>
    <numFmt numFmtId="180" formatCode="&quot;≤&quot;0.00"/>
    <numFmt numFmtId="181" formatCode="#,##0.00,_);\(#,##0.00,\)"/>
    <numFmt numFmtId="182" formatCode="0.0\x"/>
    <numFmt numFmtId="183" formatCode="0.00\x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"/>
      <name val="맑은 고딕"/>
      <family val="2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Down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2" fillId="0" borderId="0" xfId="0" applyFont="1">
      <alignment vertical="center"/>
    </xf>
    <xf numFmtId="9" fontId="4" fillId="0" borderId="0" xfId="2" applyFont="1">
      <alignment vertical="center"/>
    </xf>
    <xf numFmtId="0" fontId="4" fillId="0" borderId="0" xfId="0" applyFont="1">
      <alignment vertical="center"/>
    </xf>
    <xf numFmtId="0" fontId="4" fillId="0" borderId="4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>
      <alignment horizontal="right" vertical="center"/>
    </xf>
    <xf numFmtId="176" fontId="4" fillId="0" borderId="14" xfId="0" applyNumberFormat="1" applyFont="1" applyBorder="1" applyAlignment="1">
      <alignment horizontal="right" vertical="center"/>
    </xf>
    <xf numFmtId="176" fontId="4" fillId="0" borderId="16" xfId="0" applyNumberFormat="1" applyFont="1" applyBorder="1" applyAlignment="1">
      <alignment horizontal="right" vertical="center"/>
    </xf>
    <xf numFmtId="176" fontId="4" fillId="0" borderId="17" xfId="0" applyNumberFormat="1" applyFont="1" applyBorder="1" applyAlignment="1">
      <alignment horizontal="right" vertical="center"/>
    </xf>
    <xf numFmtId="176" fontId="4" fillId="0" borderId="18" xfId="0" applyNumberFormat="1" applyFont="1" applyBorder="1" applyAlignment="1">
      <alignment horizontal="right" vertical="center"/>
    </xf>
    <xf numFmtId="176" fontId="4" fillId="3" borderId="16" xfId="0" applyNumberFormat="1" applyFont="1" applyFill="1" applyBorder="1" applyAlignment="1">
      <alignment horizontal="right" vertical="center"/>
    </xf>
    <xf numFmtId="176" fontId="4" fillId="3" borderId="17" xfId="0" applyNumberFormat="1" applyFont="1" applyFill="1" applyBorder="1" applyAlignment="1">
      <alignment horizontal="right" vertical="center"/>
    </xf>
    <xf numFmtId="176" fontId="4" fillId="3" borderId="18" xfId="0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0" fontId="4" fillId="0" borderId="19" xfId="0" applyFont="1" applyBorder="1">
      <alignment vertical="center"/>
    </xf>
    <xf numFmtId="176" fontId="4" fillId="0" borderId="20" xfId="0" applyNumberFormat="1" applyFont="1" applyBorder="1">
      <alignment vertical="center"/>
    </xf>
    <xf numFmtId="176" fontId="4" fillId="0" borderId="21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4" fillId="0" borderId="8" xfId="0" applyNumberFormat="1" applyFont="1" applyBorder="1">
      <alignment vertical="center"/>
    </xf>
    <xf numFmtId="176" fontId="4" fillId="0" borderId="9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0" fontId="4" fillId="0" borderId="23" xfId="0" applyFont="1" applyBorder="1">
      <alignment vertical="center"/>
    </xf>
    <xf numFmtId="176" fontId="4" fillId="0" borderId="24" xfId="0" applyNumberFormat="1" applyFont="1" applyBorder="1">
      <alignment vertical="center"/>
    </xf>
    <xf numFmtId="176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0" fontId="4" fillId="0" borderId="27" xfId="0" applyFont="1" applyBorder="1">
      <alignment vertical="center"/>
    </xf>
    <xf numFmtId="176" fontId="4" fillId="0" borderId="28" xfId="0" applyNumberFormat="1" applyFont="1" applyBorder="1">
      <alignment vertical="center"/>
    </xf>
    <xf numFmtId="176" fontId="4" fillId="0" borderId="29" xfId="0" applyNumberFormat="1" applyFont="1" applyBorder="1">
      <alignment vertical="center"/>
    </xf>
    <xf numFmtId="176" fontId="4" fillId="0" borderId="30" xfId="0" applyNumberFormat="1" applyFont="1" applyBorder="1">
      <alignment vertical="center"/>
    </xf>
    <xf numFmtId="0" fontId="4" fillId="0" borderId="15" xfId="0" applyFont="1" applyBorder="1">
      <alignment vertical="center"/>
    </xf>
    <xf numFmtId="176" fontId="4" fillId="0" borderId="16" xfId="0" applyNumberFormat="1" applyFont="1" applyBorder="1">
      <alignment vertical="center"/>
    </xf>
    <xf numFmtId="176" fontId="4" fillId="0" borderId="17" xfId="0" applyNumberFormat="1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2" fontId="4" fillId="0" borderId="0" xfId="0" applyNumberFormat="1" applyFont="1">
      <alignment vertical="center"/>
    </xf>
    <xf numFmtId="10" fontId="4" fillId="0" borderId="0" xfId="2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0" fontId="4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right" vertical="center"/>
    </xf>
    <xf numFmtId="176" fontId="4" fillId="0" borderId="13" xfId="0" applyNumberFormat="1" applyFont="1" applyFill="1" applyBorder="1" applyAlignment="1">
      <alignment horizontal="right" vertical="center"/>
    </xf>
    <xf numFmtId="26" fontId="4" fillId="0" borderId="16" xfId="0" applyNumberFormat="1" applyFont="1" applyFill="1" applyBorder="1" applyAlignment="1">
      <alignment horizontal="right" vertical="center"/>
    </xf>
    <xf numFmtId="26" fontId="4" fillId="0" borderId="17" xfId="0" applyNumberFormat="1" applyFont="1" applyFill="1" applyBorder="1" applyAlignment="1">
      <alignment horizontal="right" vertical="center"/>
    </xf>
    <xf numFmtId="176" fontId="4" fillId="0" borderId="16" xfId="0" applyNumberFormat="1" applyFont="1" applyFill="1" applyBorder="1" applyAlignment="1">
      <alignment horizontal="right" vertical="center"/>
    </xf>
    <xf numFmtId="176" fontId="4" fillId="0" borderId="17" xfId="0" applyNumberFormat="1" applyFont="1" applyFill="1" applyBorder="1" applyAlignment="1">
      <alignment horizontal="right" vertical="center"/>
    </xf>
    <xf numFmtId="176" fontId="4" fillId="0" borderId="20" xfId="1" applyNumberFormat="1" applyFont="1" applyFill="1" applyBorder="1">
      <alignment vertical="center"/>
    </xf>
    <xf numFmtId="176" fontId="4" fillId="0" borderId="21" xfId="1" applyNumberFormat="1" applyFont="1" applyFill="1" applyBorder="1">
      <alignment vertical="center"/>
    </xf>
    <xf numFmtId="176" fontId="4" fillId="0" borderId="8" xfId="0" applyNumberFormat="1" applyFont="1" applyFill="1" applyBorder="1">
      <alignment vertical="center"/>
    </xf>
    <xf numFmtId="176" fontId="4" fillId="0" borderId="9" xfId="0" applyNumberFormat="1" applyFont="1" applyFill="1" applyBorder="1">
      <alignment vertical="center"/>
    </xf>
    <xf numFmtId="176" fontId="4" fillId="0" borderId="24" xfId="0" applyNumberFormat="1" applyFont="1" applyFill="1" applyBorder="1">
      <alignment vertical="center"/>
    </xf>
    <xf numFmtId="176" fontId="4" fillId="0" borderId="25" xfId="0" applyNumberFormat="1" applyFont="1" applyFill="1" applyBorder="1">
      <alignment vertical="center"/>
    </xf>
    <xf numFmtId="176" fontId="4" fillId="0" borderId="28" xfId="0" applyNumberFormat="1" applyFont="1" applyFill="1" applyBorder="1">
      <alignment vertical="center"/>
    </xf>
    <xf numFmtId="176" fontId="4" fillId="0" borderId="29" xfId="0" applyNumberFormat="1" applyFont="1" applyFill="1" applyBorder="1">
      <alignment vertical="center"/>
    </xf>
    <xf numFmtId="176" fontId="4" fillId="0" borderId="16" xfId="0" applyNumberFormat="1" applyFont="1" applyFill="1" applyBorder="1">
      <alignment vertical="center"/>
    </xf>
    <xf numFmtId="176" fontId="4" fillId="0" borderId="17" xfId="0" applyNumberFormat="1" applyFont="1" applyFill="1" applyBorder="1">
      <alignment vertical="center"/>
    </xf>
    <xf numFmtId="176" fontId="4" fillId="0" borderId="20" xfId="0" applyNumberFormat="1" applyFont="1" applyFill="1" applyBorder="1">
      <alignment vertical="center"/>
    </xf>
    <xf numFmtId="176" fontId="4" fillId="0" borderId="21" xfId="0" applyNumberFormat="1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Continuous" vertical="center"/>
    </xf>
    <xf numFmtId="0" fontId="4" fillId="0" borderId="3" xfId="0" applyFont="1" applyFill="1" applyBorder="1" applyAlignment="1">
      <alignment horizontal="centerContinuous" vertical="center"/>
    </xf>
    <xf numFmtId="0" fontId="4" fillId="0" borderId="4" xfId="0" applyFont="1" applyFill="1" applyBorder="1" applyAlignment="1">
      <alignment horizontal="centerContinuous" vertical="center"/>
    </xf>
    <xf numFmtId="0" fontId="4" fillId="0" borderId="5" xfId="0" applyFont="1" applyFill="1" applyBorder="1" applyAlignment="1">
      <alignment horizontal="centerContinuous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right" vertical="center"/>
    </xf>
    <xf numFmtId="26" fontId="4" fillId="0" borderId="18" xfId="0" applyNumberFormat="1" applyFont="1" applyFill="1" applyBorder="1" applyAlignment="1">
      <alignment horizontal="right" vertical="center"/>
    </xf>
    <xf numFmtId="176" fontId="4" fillId="0" borderId="18" xfId="0" applyNumberFormat="1" applyFont="1" applyFill="1" applyBorder="1" applyAlignment="1">
      <alignment horizontal="right" vertical="center"/>
    </xf>
    <xf numFmtId="176" fontId="4" fillId="0" borderId="22" xfId="0" applyNumberFormat="1" applyFont="1" applyFill="1" applyBorder="1">
      <alignment vertical="center"/>
    </xf>
    <xf numFmtId="176" fontId="4" fillId="0" borderId="10" xfId="0" applyNumberFormat="1" applyFont="1" applyFill="1" applyBorder="1">
      <alignment vertical="center"/>
    </xf>
    <xf numFmtId="176" fontId="4" fillId="0" borderId="26" xfId="0" applyNumberFormat="1" applyFont="1" applyFill="1" applyBorder="1">
      <alignment vertical="center"/>
    </xf>
    <xf numFmtId="176" fontId="4" fillId="0" borderId="30" xfId="0" applyNumberFormat="1" applyFont="1" applyFill="1" applyBorder="1">
      <alignment vertical="center"/>
    </xf>
    <xf numFmtId="176" fontId="4" fillId="0" borderId="18" xfId="0" applyNumberFormat="1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10" fontId="4" fillId="0" borderId="12" xfId="2" applyNumberFormat="1" applyFont="1" applyBorder="1" applyAlignment="1">
      <alignment horizontal="right" vertical="center"/>
    </xf>
    <xf numFmtId="10" fontId="4" fillId="0" borderId="13" xfId="2" applyNumberFormat="1" applyFont="1" applyBorder="1" applyAlignment="1">
      <alignment horizontal="right" vertical="center"/>
    </xf>
    <xf numFmtId="10" fontId="4" fillId="0" borderId="14" xfId="2" applyNumberFormat="1" applyFont="1" applyBorder="1" applyAlignment="1">
      <alignment horizontal="right" vertical="center"/>
    </xf>
    <xf numFmtId="10" fontId="4" fillId="0" borderId="16" xfId="2" applyNumberFormat="1" applyFont="1" applyBorder="1" applyAlignment="1">
      <alignment horizontal="right" vertical="center"/>
    </xf>
    <xf numFmtId="10" fontId="4" fillId="0" borderId="17" xfId="2" applyNumberFormat="1" applyFont="1" applyBorder="1" applyAlignment="1">
      <alignment horizontal="right" vertical="center"/>
    </xf>
    <xf numFmtId="10" fontId="4" fillId="0" borderId="18" xfId="2" applyNumberFormat="1" applyFont="1" applyBorder="1" applyAlignment="1">
      <alignment horizontal="right" vertical="center"/>
    </xf>
    <xf numFmtId="10" fontId="4" fillId="3" borderId="16" xfId="2" applyNumberFormat="1" applyFont="1" applyFill="1" applyBorder="1" applyAlignment="1">
      <alignment horizontal="right" vertical="center"/>
    </xf>
    <xf numFmtId="10" fontId="4" fillId="3" borderId="17" xfId="2" applyNumberFormat="1" applyFont="1" applyFill="1" applyBorder="1" applyAlignment="1">
      <alignment horizontal="right" vertical="center"/>
    </xf>
    <xf numFmtId="10" fontId="4" fillId="3" borderId="18" xfId="2" applyNumberFormat="1" applyFont="1" applyFill="1" applyBorder="1" applyAlignment="1">
      <alignment horizontal="right" vertical="center"/>
    </xf>
    <xf numFmtId="10" fontId="4" fillId="0" borderId="20" xfId="2" applyNumberFormat="1" applyFont="1" applyBorder="1">
      <alignment vertical="center"/>
    </xf>
    <xf numFmtId="10" fontId="4" fillId="0" borderId="21" xfId="2" applyNumberFormat="1" applyFont="1" applyBorder="1">
      <alignment vertical="center"/>
    </xf>
    <xf numFmtId="10" fontId="4" fillId="0" borderId="22" xfId="2" applyNumberFormat="1" applyFont="1" applyBorder="1">
      <alignment vertical="center"/>
    </xf>
    <xf numFmtId="10" fontId="4" fillId="0" borderId="8" xfId="2" applyNumberFormat="1" applyFont="1" applyBorder="1">
      <alignment vertical="center"/>
    </xf>
    <xf numFmtId="10" fontId="4" fillId="0" borderId="9" xfId="2" applyNumberFormat="1" applyFont="1" applyBorder="1">
      <alignment vertical="center"/>
    </xf>
    <xf numFmtId="10" fontId="4" fillId="0" borderId="10" xfId="2" applyNumberFormat="1" applyFont="1" applyBorder="1">
      <alignment vertical="center"/>
    </xf>
    <xf numFmtId="10" fontId="4" fillId="0" borderId="24" xfId="2" applyNumberFormat="1" applyFont="1" applyBorder="1">
      <alignment vertical="center"/>
    </xf>
    <xf numFmtId="10" fontId="4" fillId="0" borderId="25" xfId="2" applyNumberFormat="1" applyFont="1" applyBorder="1">
      <alignment vertical="center"/>
    </xf>
    <xf numFmtId="10" fontId="4" fillId="0" borderId="26" xfId="2" applyNumberFormat="1" applyFont="1" applyBorder="1">
      <alignment vertical="center"/>
    </xf>
    <xf numFmtId="10" fontId="4" fillId="0" borderId="28" xfId="2" applyNumberFormat="1" applyFont="1" applyBorder="1">
      <alignment vertical="center"/>
    </xf>
    <xf numFmtId="10" fontId="4" fillId="0" borderId="29" xfId="2" applyNumberFormat="1" applyFont="1" applyBorder="1">
      <alignment vertical="center"/>
    </xf>
    <xf numFmtId="10" fontId="4" fillId="0" borderId="30" xfId="2" applyNumberFormat="1" applyFont="1" applyBorder="1">
      <alignment vertical="center"/>
    </xf>
    <xf numFmtId="10" fontId="4" fillId="0" borderId="16" xfId="2" applyNumberFormat="1" applyFont="1" applyBorder="1">
      <alignment vertical="center"/>
    </xf>
    <xf numFmtId="10" fontId="4" fillId="0" borderId="17" xfId="2" applyNumberFormat="1" applyFont="1" applyBorder="1">
      <alignment vertical="center"/>
    </xf>
    <xf numFmtId="10" fontId="4" fillId="0" borderId="18" xfId="2" applyNumberFormat="1" applyFont="1" applyBorder="1">
      <alignment vertical="center"/>
    </xf>
    <xf numFmtId="26" fontId="4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>
      <alignment vertical="center"/>
    </xf>
    <xf numFmtId="177" fontId="4" fillId="0" borderId="0" xfId="0" applyNumberFormat="1" applyFont="1">
      <alignment vertical="center"/>
    </xf>
    <xf numFmtId="2" fontId="4" fillId="0" borderId="0" xfId="2" applyNumberFormat="1" applyFont="1">
      <alignment vertical="center"/>
    </xf>
    <xf numFmtId="176" fontId="4" fillId="0" borderId="32" xfId="0" applyNumberFormat="1" applyFont="1" applyFill="1" applyBorder="1" applyAlignment="1">
      <alignment horizontal="right" vertical="center"/>
    </xf>
    <xf numFmtId="26" fontId="4" fillId="0" borderId="33" xfId="0" applyNumberFormat="1" applyFont="1" applyFill="1" applyBorder="1" applyAlignment="1">
      <alignment horizontal="right" vertical="center"/>
    </xf>
    <xf numFmtId="176" fontId="4" fillId="0" borderId="33" xfId="0" applyNumberFormat="1" applyFont="1" applyFill="1" applyBorder="1" applyAlignment="1">
      <alignment horizontal="right" vertical="center"/>
    </xf>
    <xf numFmtId="176" fontId="4" fillId="0" borderId="34" xfId="1" applyNumberFormat="1" applyFont="1" applyFill="1" applyBorder="1">
      <alignment vertical="center"/>
    </xf>
    <xf numFmtId="176" fontId="4" fillId="0" borderId="35" xfId="0" applyNumberFormat="1" applyFont="1" applyFill="1" applyBorder="1">
      <alignment vertical="center"/>
    </xf>
    <xf numFmtId="176" fontId="4" fillId="0" borderId="36" xfId="0" applyNumberFormat="1" applyFont="1" applyFill="1" applyBorder="1">
      <alignment vertical="center"/>
    </xf>
    <xf numFmtId="176" fontId="4" fillId="0" borderId="37" xfId="0" applyNumberFormat="1" applyFont="1" applyFill="1" applyBorder="1">
      <alignment vertical="center"/>
    </xf>
    <xf numFmtId="176" fontId="4" fillId="0" borderId="33" xfId="0" applyNumberFormat="1" applyFont="1" applyFill="1" applyBorder="1">
      <alignment vertical="center"/>
    </xf>
    <xf numFmtId="176" fontId="4" fillId="0" borderId="34" xfId="0" applyNumberFormat="1" applyFont="1" applyFill="1" applyBorder="1">
      <alignment vertical="center"/>
    </xf>
    <xf numFmtId="0" fontId="4" fillId="0" borderId="38" xfId="0" applyFont="1" applyFill="1" applyBorder="1" applyAlignment="1">
      <alignment horizontal="center" vertical="center"/>
    </xf>
    <xf numFmtId="176" fontId="4" fillId="0" borderId="39" xfId="0" applyNumberFormat="1" applyFont="1" applyFill="1" applyBorder="1" applyAlignment="1">
      <alignment horizontal="right" vertical="center"/>
    </xf>
    <xf numFmtId="26" fontId="4" fillId="0" borderId="40" xfId="0" applyNumberFormat="1" applyFont="1" applyFill="1" applyBorder="1" applyAlignment="1">
      <alignment horizontal="right" vertical="center"/>
    </xf>
    <xf numFmtId="176" fontId="4" fillId="0" borderId="40" xfId="0" applyNumberFormat="1" applyFont="1" applyFill="1" applyBorder="1" applyAlignment="1">
      <alignment horizontal="right" vertical="center"/>
    </xf>
    <xf numFmtId="176" fontId="4" fillId="0" borderId="41" xfId="1" applyNumberFormat="1" applyFont="1" applyFill="1" applyBorder="1">
      <alignment vertical="center"/>
    </xf>
    <xf numFmtId="176" fontId="4" fillId="0" borderId="38" xfId="0" applyNumberFormat="1" applyFont="1" applyFill="1" applyBorder="1">
      <alignment vertical="center"/>
    </xf>
    <xf numFmtId="176" fontId="4" fillId="0" borderId="42" xfId="0" applyNumberFormat="1" applyFont="1" applyFill="1" applyBorder="1">
      <alignment vertical="center"/>
    </xf>
    <xf numFmtId="176" fontId="4" fillId="0" borderId="43" xfId="0" applyNumberFormat="1" applyFont="1" applyFill="1" applyBorder="1">
      <alignment vertical="center"/>
    </xf>
    <xf numFmtId="176" fontId="4" fillId="0" borderId="40" xfId="0" applyNumberFormat="1" applyFont="1" applyFill="1" applyBorder="1">
      <alignment vertical="center"/>
    </xf>
    <xf numFmtId="176" fontId="4" fillId="0" borderId="4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176" fontId="4" fillId="0" borderId="2" xfId="0" applyNumberFormat="1" applyFont="1" applyFill="1" applyBorder="1">
      <alignment vertical="center"/>
    </xf>
    <xf numFmtId="9" fontId="4" fillId="0" borderId="0" xfId="2" applyFont="1" applyFill="1" applyBorder="1">
      <alignment vertical="center"/>
    </xf>
    <xf numFmtId="10" fontId="4" fillId="0" borderId="0" xfId="2" applyNumberFormat="1" applyFont="1" applyFill="1" applyBorder="1">
      <alignment vertical="center"/>
    </xf>
    <xf numFmtId="0" fontId="4" fillId="2" borderId="0" xfId="0" applyFont="1" applyFill="1">
      <alignment vertical="center"/>
    </xf>
    <xf numFmtId="178" fontId="4" fillId="0" borderId="0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176" fontId="4" fillId="0" borderId="31" xfId="0" applyNumberFormat="1" applyFont="1" applyFill="1" applyBorder="1">
      <alignment vertical="center"/>
    </xf>
    <xf numFmtId="1" fontId="4" fillId="0" borderId="0" xfId="0" applyNumberFormat="1" applyFont="1">
      <alignment vertical="center"/>
    </xf>
    <xf numFmtId="1" fontId="8" fillId="0" borderId="0" xfId="0" applyNumberFormat="1" applyFont="1">
      <alignment vertical="center"/>
    </xf>
    <xf numFmtId="181" fontId="7" fillId="0" borderId="0" xfId="1" applyNumberFormat="1" applyFont="1">
      <alignment vertical="center"/>
    </xf>
    <xf numFmtId="181" fontId="7" fillId="0" borderId="0" xfId="0" applyNumberFormat="1" applyFont="1">
      <alignment vertical="center"/>
    </xf>
    <xf numFmtId="181" fontId="7" fillId="0" borderId="2" xfId="1" applyNumberFormat="1" applyFont="1" applyBorder="1">
      <alignment vertical="center"/>
    </xf>
    <xf numFmtId="181" fontId="7" fillId="0" borderId="2" xfId="0" applyNumberFormat="1" applyFont="1" applyBorder="1">
      <alignment vertical="center"/>
    </xf>
    <xf numFmtId="181" fontId="7" fillId="0" borderId="31" xfId="1" applyNumberFormat="1" applyFont="1" applyBorder="1">
      <alignment vertical="center"/>
    </xf>
    <xf numFmtId="181" fontId="7" fillId="0" borderId="31" xfId="0" applyNumberFormat="1" applyFont="1" applyBorder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NumberFormat="1" applyFont="1">
      <alignment vertical="center"/>
    </xf>
    <xf numFmtId="0" fontId="4" fillId="0" borderId="0" xfId="0" applyFont="1" applyFill="1">
      <alignment vertical="center"/>
    </xf>
    <xf numFmtId="2" fontId="4" fillId="0" borderId="0" xfId="0" applyNumberFormat="1" applyFont="1" applyFill="1">
      <alignment vertical="center"/>
    </xf>
    <xf numFmtId="0" fontId="4" fillId="0" borderId="45" xfId="0" applyFont="1" applyBorder="1">
      <alignment vertical="center"/>
    </xf>
    <xf numFmtId="10" fontId="4" fillId="0" borderId="2" xfId="2" applyNumberFormat="1" applyFont="1" applyBorder="1">
      <alignment vertical="center"/>
    </xf>
    <xf numFmtId="10" fontId="4" fillId="0" borderId="6" xfId="2" applyNumberFormat="1" applyFont="1" applyBorder="1">
      <alignment vertical="center"/>
    </xf>
    <xf numFmtId="177" fontId="4" fillId="0" borderId="0" xfId="0" applyNumberFormat="1" applyFont="1" applyBorder="1">
      <alignment vertical="center"/>
    </xf>
    <xf numFmtId="177" fontId="4" fillId="0" borderId="46" xfId="0" applyNumberFormat="1" applyFont="1" applyBorder="1">
      <alignment vertical="center"/>
    </xf>
    <xf numFmtId="0" fontId="4" fillId="0" borderId="7" xfId="0" applyFont="1" applyBorder="1">
      <alignment vertical="center"/>
    </xf>
    <xf numFmtId="10" fontId="4" fillId="0" borderId="47" xfId="2" applyNumberFormat="1" applyFont="1" applyBorder="1">
      <alignment vertical="center"/>
    </xf>
    <xf numFmtId="0" fontId="4" fillId="0" borderId="47" xfId="2" applyNumberFormat="1" applyFont="1" applyBorder="1">
      <alignment vertical="center"/>
    </xf>
    <xf numFmtId="176" fontId="4" fillId="0" borderId="47" xfId="2" applyNumberFormat="1" applyFont="1" applyBorder="1">
      <alignment vertical="center"/>
    </xf>
    <xf numFmtId="176" fontId="4" fillId="0" borderId="48" xfId="2" applyNumberFormat="1" applyFont="1" applyBorder="1">
      <alignment vertical="center"/>
    </xf>
    <xf numFmtId="2" fontId="4" fillId="2" borderId="0" xfId="0" applyNumberFormat="1" applyFont="1" applyFill="1">
      <alignment vertical="center"/>
    </xf>
    <xf numFmtId="0" fontId="4" fillId="0" borderId="15" xfId="0" applyFont="1" applyFill="1" applyBorder="1" applyAlignment="1">
      <alignment horizontal="left" vertical="center"/>
    </xf>
    <xf numFmtId="182" fontId="4" fillId="0" borderId="0" xfId="2" applyNumberFormat="1" applyFont="1">
      <alignment vertical="center"/>
    </xf>
    <xf numFmtId="183" fontId="4" fillId="0" borderId="0" xfId="2" applyNumberFormat="1" applyFont="1">
      <alignment vertical="center"/>
    </xf>
    <xf numFmtId="26" fontId="4" fillId="0" borderId="0" xfId="0" applyNumberFormat="1" applyFont="1" applyFill="1" applyBorder="1" applyAlignment="1">
      <alignment horizontal="right" vertical="center"/>
    </xf>
    <xf numFmtId="2" fontId="4" fillId="4" borderId="0" xfId="0" applyNumberFormat="1" applyFont="1" applyFill="1">
      <alignment vertical="center"/>
    </xf>
    <xf numFmtId="176" fontId="4" fillId="4" borderId="0" xfId="0" applyNumberFormat="1" applyFont="1" applyFill="1" applyBorder="1">
      <alignment vertical="center"/>
    </xf>
    <xf numFmtId="0" fontId="7" fillId="0" borderId="47" xfId="0" applyFont="1" applyBorder="1">
      <alignment vertical="center"/>
    </xf>
    <xf numFmtId="0" fontId="4" fillId="0" borderId="47" xfId="0" applyFont="1" applyBorder="1">
      <alignment vertical="center"/>
    </xf>
    <xf numFmtId="176" fontId="4" fillId="0" borderId="47" xfId="0" applyNumberFormat="1" applyFont="1" applyBorder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2" fillId="0" borderId="44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0" fontId="13" fillId="0" borderId="0" xfId="0" applyFont="1">
      <alignment vertical="center"/>
    </xf>
    <xf numFmtId="0" fontId="4" fillId="0" borderId="49" xfId="0" applyFont="1" applyBorder="1">
      <alignment vertical="center"/>
    </xf>
    <xf numFmtId="0" fontId="4" fillId="0" borderId="46" xfId="0" applyFont="1" applyBorder="1" applyAlignment="1">
      <alignment horizontal="center" vertical="center"/>
    </xf>
    <xf numFmtId="176" fontId="4" fillId="0" borderId="50" xfId="0" applyNumberFormat="1" applyFont="1" applyBorder="1">
      <alignment vertical="center"/>
    </xf>
    <xf numFmtId="176" fontId="4" fillId="0" borderId="46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0" fontId="4" fillId="0" borderId="46" xfId="0" applyFont="1" applyBorder="1">
      <alignment vertical="center"/>
    </xf>
    <xf numFmtId="0" fontId="4" fillId="4" borderId="5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77" fontId="4" fillId="5" borderId="0" xfId="0" applyNumberFormat="1" applyFont="1" applyFill="1">
      <alignment vertical="center"/>
    </xf>
    <xf numFmtId="176" fontId="4" fillId="5" borderId="0" xfId="0" applyNumberFormat="1" applyFont="1" applyFill="1">
      <alignment vertical="center"/>
    </xf>
    <xf numFmtId="0" fontId="4" fillId="5" borderId="0" xfId="0" applyFont="1" applyFill="1">
      <alignment vertical="center"/>
    </xf>
    <xf numFmtId="183" fontId="4" fillId="5" borderId="0" xfId="2" applyNumberFormat="1" applyFont="1" applyFill="1">
      <alignment vertical="center"/>
    </xf>
    <xf numFmtId="0" fontId="4" fillId="6" borderId="0" xfId="0" applyFont="1" applyFill="1" applyBorder="1" applyAlignment="1">
      <alignment horizontal="center" vertical="center"/>
    </xf>
    <xf numFmtId="177" fontId="4" fillId="6" borderId="0" xfId="0" applyNumberFormat="1" applyFont="1" applyFill="1">
      <alignment vertical="center"/>
    </xf>
    <xf numFmtId="176" fontId="4" fillId="6" borderId="0" xfId="0" applyNumberFormat="1" applyFont="1" applyFill="1">
      <alignment vertical="center"/>
    </xf>
    <xf numFmtId="0" fontId="4" fillId="6" borderId="0" xfId="0" applyFont="1" applyFill="1">
      <alignment vertical="center"/>
    </xf>
    <xf numFmtId="183" fontId="4" fillId="6" borderId="0" xfId="2" applyNumberFormat="1" applyFont="1" applyFill="1">
      <alignment vertical="center"/>
    </xf>
    <xf numFmtId="41" fontId="0" fillId="0" borderId="0" xfId="1" applyFont="1">
      <alignment vertical="center"/>
    </xf>
    <xf numFmtId="176" fontId="7" fillId="5" borderId="49" xfId="1" applyNumberFormat="1" applyFont="1" applyFill="1" applyBorder="1">
      <alignment vertical="center"/>
    </xf>
    <xf numFmtId="176" fontId="7" fillId="6" borderId="49" xfId="1" applyNumberFormat="1" applyFont="1" applyFill="1" applyBorder="1">
      <alignment vertical="center"/>
    </xf>
    <xf numFmtId="176" fontId="7" fillId="5" borderId="0" xfId="1" applyNumberFormat="1" applyFont="1" applyFill="1">
      <alignment vertical="center"/>
    </xf>
    <xf numFmtId="176" fontId="7" fillId="6" borderId="0" xfId="1" applyNumberFormat="1" applyFont="1" applyFill="1">
      <alignment vertical="center"/>
    </xf>
    <xf numFmtId="176" fontId="7" fillId="5" borderId="2" xfId="1" applyNumberFormat="1" applyFont="1" applyFill="1" applyBorder="1">
      <alignment vertical="center"/>
    </xf>
    <xf numFmtId="176" fontId="7" fillId="6" borderId="2" xfId="1" applyNumberFormat="1" applyFont="1" applyFill="1" applyBorder="1">
      <alignment vertical="center"/>
    </xf>
    <xf numFmtId="0" fontId="2" fillId="0" borderId="47" xfId="0" applyFont="1" applyBorder="1">
      <alignment vertical="center"/>
    </xf>
    <xf numFmtId="176" fontId="2" fillId="0" borderId="48" xfId="0" applyNumberFormat="1" applyFont="1" applyBorder="1">
      <alignment vertical="center"/>
    </xf>
    <xf numFmtId="176" fontId="2" fillId="5" borderId="47" xfId="0" applyNumberFormat="1" applyFont="1" applyFill="1" applyBorder="1">
      <alignment vertical="center"/>
    </xf>
    <xf numFmtId="176" fontId="2" fillId="6" borderId="47" xfId="0" applyNumberFormat="1" applyFont="1" applyFill="1" applyBorder="1">
      <alignment vertical="center"/>
    </xf>
    <xf numFmtId="176" fontId="2" fillId="0" borderId="46" xfId="0" applyNumberFormat="1" applyFont="1" applyBorder="1">
      <alignment vertical="center"/>
    </xf>
    <xf numFmtId="0" fontId="2" fillId="5" borderId="0" xfId="0" applyFont="1" applyFill="1">
      <alignment vertical="center"/>
    </xf>
    <xf numFmtId="176" fontId="2" fillId="6" borderId="0" xfId="0" applyNumberFormat="1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51064;&#54532;&#46972;&#53804;&#51088;1&#54016;\01.%20&#54144;&#46300;\05.%20&#54532;&#47200;&#53580;&#46972;&#44032;&#49828;&#48156;&#51204;&#49548;_20190214\1.%20Financial%20Model\Project%20Firestone_Financil%20Model_EYReview_20190304_&#49569;&#48512;_KB&#50836;&#52397;&#48124;&#44048;&#46020;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"/>
      <sheetName val="EY&gt;&gt;"/>
      <sheetName val="Report"/>
      <sheetName val="Bridge (6)"/>
      <sheetName val="Ctrl Panel"/>
      <sheetName val="Waterfall_EY(Q)"/>
      <sheetName val="Waterfall_EY(Y)"/>
      <sheetName val="Operating_EY(M)"/>
      <sheetName val="Financing Model &gt;&gt;&gt;"/>
      <sheetName val="Financing (Q)"/>
      <sheetName val="Assumptions and S&amp;U"/>
      <sheetName val="Financing (A)"/>
      <sheetName val="Operating Summary (M)"/>
      <sheetName val="Company Model &gt;&gt;&gt;"/>
      <sheetName val="CF_M"/>
      <sheetName val="Cover"/>
      <sheetName val="ExecSum"/>
      <sheetName val="SumOut"/>
      <sheetName val="Inputs"/>
      <sheetName val="StatInp"/>
      <sheetName val="DynInp"/>
      <sheetName val="ConsultInp"/>
      <sheetName val="Workings"/>
      <sheetName val="CF_SA"/>
      <sheetName val="Tax_A"/>
      <sheetName val="Chiller_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3">
          <cell r="AU43">
            <v>246.62042807999998</v>
          </cell>
          <cell r="AV43">
            <v>328.78809599999994</v>
          </cell>
          <cell r="AW43">
            <v>363.62839027924707</v>
          </cell>
          <cell r="AX43">
            <v>352.23342446321925</v>
          </cell>
          <cell r="AY43">
            <v>364.01539200000002</v>
          </cell>
          <cell r="AZ43">
            <v>323.48141999999899</v>
          </cell>
          <cell r="BA43">
            <v>334.11798796767329</v>
          </cell>
          <cell r="BB43">
            <v>334.17580333291073</v>
          </cell>
          <cell r="BC43">
            <v>323.47399585280482</v>
          </cell>
          <cell r="BD43">
            <v>362.48274003642877</v>
          </cell>
          <cell r="BE43">
            <v>350.22719998783623</v>
          </cell>
          <cell r="BF43">
            <v>246.62042807999998</v>
          </cell>
        </row>
        <row r="47">
          <cell r="AT47">
            <v>1719.8153662116974</v>
          </cell>
          <cell r="AU47">
            <v>1726.3429965600005</v>
          </cell>
          <cell r="AV47">
            <v>2301.516672000002</v>
          </cell>
          <cell r="AX47">
            <v>2465.6520078166827</v>
          </cell>
          <cell r="AY47">
            <v>2548.1077440000013</v>
          </cell>
          <cell r="AZ47">
            <v>2265.1925554285726</v>
          </cell>
          <cell r="BA47">
            <v>2339.5922298681876</v>
          </cell>
          <cell r="BB47">
            <v>2340.0831860933672</v>
          </cell>
          <cell r="BC47">
            <v>2265.1289206301944</v>
          </cell>
          <cell r="BD47">
            <v>2538.0557425896322</v>
          </cell>
          <cell r="BE47">
            <v>2452.4504716770389</v>
          </cell>
          <cell r="BF47">
            <v>1726.3429965600005</v>
          </cell>
        </row>
        <row r="53">
          <cell r="AU53">
            <v>50.650906936002322</v>
          </cell>
          <cell r="AV53">
            <v>54.090495423153065</v>
          </cell>
          <cell r="AW53">
            <v>52.711111974579907</v>
          </cell>
          <cell r="AX53">
            <v>56.535531956706066</v>
          </cell>
          <cell r="AY53">
            <v>70.774483720806046</v>
          </cell>
          <cell r="AZ53">
            <v>115.70653944198483</v>
          </cell>
          <cell r="BA53">
            <v>61.597904666389077</v>
          </cell>
          <cell r="BB53">
            <v>79.698889604697229</v>
          </cell>
          <cell r="BC53">
            <v>55.001173947635465</v>
          </cell>
          <cell r="BD53">
            <v>46.802813087487451</v>
          </cell>
          <cell r="BE53">
            <v>44.003054480723215</v>
          </cell>
          <cell r="BF53">
            <v>45.22708059149312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93"/>
  <sheetViews>
    <sheetView showGridLines="0" tabSelected="1" zoomScale="85" zoomScaleNormal="85" workbookViewId="0">
      <pane ySplit="6540" topLeftCell="A170"/>
      <selection pane="bottomLeft" activeCell="D184" sqref="D184"/>
    </sheetView>
  </sheetViews>
  <sheetFormatPr defaultColWidth="0" defaultRowHeight="13.5" outlineLevelRow="1" x14ac:dyDescent="0.3"/>
  <cols>
    <col min="1" max="2" width="2.125" style="3" customWidth="1"/>
    <col min="3" max="3" width="29.5" style="3" customWidth="1"/>
    <col min="4" max="5" width="9" style="3" customWidth="1"/>
    <col min="6" max="11" width="10.25" style="3" bestFit="1" customWidth="1"/>
    <col min="12" max="17" width="9" style="3" customWidth="1"/>
    <col min="18" max="18" width="9.75" style="3" bestFit="1" customWidth="1"/>
    <col min="19" max="23" width="9" style="3" customWidth="1"/>
    <col min="24" max="16384" width="9" style="3" hidden="1"/>
  </cols>
  <sheetData>
    <row r="2" spans="3:23" x14ac:dyDescent="0.3">
      <c r="C2" s="1" t="s">
        <v>60</v>
      </c>
    </row>
    <row r="3" spans="3:23" x14ac:dyDescent="0.3">
      <c r="C3" s="122" t="s">
        <v>120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</row>
    <row r="4" spans="3:23" x14ac:dyDescent="0.3">
      <c r="C4" s="190" t="s">
        <v>362</v>
      </c>
      <c r="D4" s="191"/>
      <c r="E4" s="191"/>
      <c r="F4" s="191"/>
    </row>
    <row r="5" spans="3:23" x14ac:dyDescent="0.3">
      <c r="C5" s="191" t="s">
        <v>365</v>
      </c>
      <c r="D5" s="192" t="s">
        <v>363</v>
      </c>
      <c r="E5" s="191" t="s">
        <v>364</v>
      </c>
      <c r="F5" s="191"/>
    </row>
    <row r="6" spans="3:23" x14ac:dyDescent="0.3">
      <c r="C6" s="191" t="s">
        <v>376</v>
      </c>
      <c r="D6" s="191"/>
      <c r="E6" s="191"/>
      <c r="F6" s="191"/>
    </row>
    <row r="8" spans="3:23" x14ac:dyDescent="0.3">
      <c r="C8" s="122" t="s">
        <v>70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</row>
    <row r="9" spans="3:23" x14ac:dyDescent="0.3">
      <c r="C9" s="3" t="s">
        <v>64</v>
      </c>
      <c r="D9" s="3" t="s">
        <v>73</v>
      </c>
    </row>
    <row r="10" spans="3:23" x14ac:dyDescent="0.3">
      <c r="D10" s="3" t="s">
        <v>106</v>
      </c>
    </row>
    <row r="11" spans="3:23" x14ac:dyDescent="0.3">
      <c r="C11" s="3" t="s">
        <v>65</v>
      </c>
      <c r="D11" s="3" t="s">
        <v>71</v>
      </c>
    </row>
    <row r="12" spans="3:23" x14ac:dyDescent="0.3">
      <c r="D12" s="3" t="s">
        <v>72</v>
      </c>
    </row>
    <row r="14" spans="3:23" x14ac:dyDescent="0.3">
      <c r="C14" s="122" t="s">
        <v>109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</row>
    <row r="15" spans="3:23" x14ac:dyDescent="0.3">
      <c r="C15" s="3" t="s">
        <v>64</v>
      </c>
      <c r="D15" s="3" t="s">
        <v>112</v>
      </c>
    </row>
    <row r="16" spans="3:23" x14ac:dyDescent="0.3">
      <c r="D16" s="3" t="s">
        <v>370</v>
      </c>
    </row>
    <row r="17" spans="3:23" x14ac:dyDescent="0.3">
      <c r="C17" s="3" t="s">
        <v>65</v>
      </c>
      <c r="D17" s="3" t="s">
        <v>116</v>
      </c>
    </row>
    <row r="18" spans="3:23" x14ac:dyDescent="0.3">
      <c r="D18" s="3" t="s">
        <v>117</v>
      </c>
    </row>
    <row r="20" spans="3:23" x14ac:dyDescent="0.3">
      <c r="C20" s="122" t="s">
        <v>107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</row>
    <row r="21" spans="3:23" x14ac:dyDescent="0.3">
      <c r="C21" s="3" t="s">
        <v>64</v>
      </c>
      <c r="D21" s="3" t="s">
        <v>121</v>
      </c>
    </row>
    <row r="22" spans="3:23" x14ac:dyDescent="0.3">
      <c r="C22" s="3" t="s">
        <v>65</v>
      </c>
      <c r="D22" s="3" t="s">
        <v>121</v>
      </c>
    </row>
    <row r="24" spans="3:23" x14ac:dyDescent="0.3">
      <c r="C24" s="122" t="s">
        <v>113</v>
      </c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</row>
    <row r="25" spans="3:23" x14ac:dyDescent="0.3">
      <c r="C25" s="3" t="s">
        <v>64</v>
      </c>
      <c r="D25" s="3" t="s">
        <v>115</v>
      </c>
    </row>
    <row r="26" spans="3:23" x14ac:dyDescent="0.3">
      <c r="D26" s="3" t="s">
        <v>359</v>
      </c>
    </row>
    <row r="27" spans="3:23" x14ac:dyDescent="0.3">
      <c r="C27" s="3" t="s">
        <v>65</v>
      </c>
      <c r="D27" s="3" t="s">
        <v>360</v>
      </c>
    </row>
    <row r="30" spans="3:23" x14ac:dyDescent="0.3">
      <c r="C30" s="122" t="s">
        <v>133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</row>
    <row r="31" spans="3:23" x14ac:dyDescent="0.3">
      <c r="C31" s="3" t="s">
        <v>129</v>
      </c>
    </row>
    <row r="33" spans="3:23" x14ac:dyDescent="0.3">
      <c r="C33" s="122" t="s">
        <v>132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</row>
    <row r="34" spans="3:23" x14ac:dyDescent="0.3">
      <c r="C34" s="3" t="s">
        <v>64</v>
      </c>
      <c r="D34" s="3" t="s">
        <v>139</v>
      </c>
    </row>
    <row r="35" spans="3:23" x14ac:dyDescent="0.3">
      <c r="D35" s="3" t="s">
        <v>134</v>
      </c>
    </row>
    <row r="36" spans="3:23" x14ac:dyDescent="0.3">
      <c r="C36" s="3" t="s">
        <v>65</v>
      </c>
      <c r="D36" s="3" t="s">
        <v>144</v>
      </c>
    </row>
    <row r="37" spans="3:23" x14ac:dyDescent="0.3">
      <c r="D37" s="3" t="s">
        <v>148</v>
      </c>
    </row>
    <row r="39" spans="3:23" x14ac:dyDescent="0.3">
      <c r="C39" s="122" t="s">
        <v>138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</row>
    <row r="40" spans="3:23" x14ac:dyDescent="0.3">
      <c r="C40" s="3" t="s">
        <v>64</v>
      </c>
      <c r="D40" s="3" t="s">
        <v>140</v>
      </c>
    </row>
    <row r="41" spans="3:23" x14ac:dyDescent="0.3">
      <c r="D41" s="3" t="s">
        <v>142</v>
      </c>
    </row>
    <row r="42" spans="3:23" x14ac:dyDescent="0.3">
      <c r="C42" s="3" t="s">
        <v>65</v>
      </c>
      <c r="D42" s="3" t="s">
        <v>145</v>
      </c>
    </row>
    <row r="43" spans="3:23" x14ac:dyDescent="0.3">
      <c r="D43" s="3" t="s">
        <v>143</v>
      </c>
    </row>
    <row r="45" spans="3:23" x14ac:dyDescent="0.3">
      <c r="C45" s="122" t="s">
        <v>149</v>
      </c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</row>
    <row r="46" spans="3:23" x14ac:dyDescent="0.3">
      <c r="C46" s="3" t="s">
        <v>64</v>
      </c>
      <c r="D46" s="3" t="s">
        <v>150</v>
      </c>
    </row>
    <row r="47" spans="3:23" x14ac:dyDescent="0.3">
      <c r="D47" s="3" t="s">
        <v>152</v>
      </c>
    </row>
    <row r="48" spans="3:23" x14ac:dyDescent="0.3">
      <c r="C48" s="3" t="s">
        <v>65</v>
      </c>
      <c r="D48" s="3" t="s">
        <v>151</v>
      </c>
    </row>
    <row r="50" spans="3:23" x14ac:dyDescent="0.3">
      <c r="C50" s="122" t="s">
        <v>153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</row>
    <row r="51" spans="3:23" x14ac:dyDescent="0.3">
      <c r="C51" s="3" t="s">
        <v>64</v>
      </c>
      <c r="D51" s="3" t="s">
        <v>154</v>
      </c>
    </row>
    <row r="52" spans="3:23" x14ac:dyDescent="0.3">
      <c r="D52" s="3" t="s">
        <v>155</v>
      </c>
    </row>
    <row r="53" spans="3:23" x14ac:dyDescent="0.3">
      <c r="C53" s="3" t="s">
        <v>65</v>
      </c>
      <c r="D53" s="3" t="s">
        <v>156</v>
      </c>
    </row>
    <row r="55" spans="3:23" x14ac:dyDescent="0.3">
      <c r="C55" s="122" t="s">
        <v>158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</row>
    <row r="56" spans="3:23" x14ac:dyDescent="0.3">
      <c r="C56" s="3" t="s">
        <v>64</v>
      </c>
      <c r="D56" s="3" t="s">
        <v>159</v>
      </c>
    </row>
    <row r="57" spans="3:23" x14ac:dyDescent="0.3">
      <c r="D57" s="3" t="s">
        <v>160</v>
      </c>
    </row>
    <row r="58" spans="3:23" x14ac:dyDescent="0.3">
      <c r="C58" s="3" t="s">
        <v>65</v>
      </c>
      <c r="D58" s="3" t="s">
        <v>161</v>
      </c>
    </row>
    <row r="60" spans="3:23" x14ac:dyDescent="0.3">
      <c r="C60" s="122" t="s">
        <v>157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</row>
    <row r="61" spans="3:23" x14ac:dyDescent="0.3">
      <c r="C61" s="3" t="s">
        <v>64</v>
      </c>
      <c r="D61" s="3" t="s">
        <v>162</v>
      </c>
    </row>
    <row r="62" spans="3:23" x14ac:dyDescent="0.3">
      <c r="D62" s="3" t="s">
        <v>163</v>
      </c>
    </row>
    <row r="63" spans="3:23" x14ac:dyDescent="0.3">
      <c r="C63" s="3" t="s">
        <v>65</v>
      </c>
      <c r="D63" s="3" t="s">
        <v>164</v>
      </c>
    </row>
    <row r="65" spans="3:16384" x14ac:dyDescent="0.3">
      <c r="C65" s="122" t="s">
        <v>166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</row>
    <row r="66" spans="3:16384" x14ac:dyDescent="0.3">
      <c r="C66" s="3" t="s">
        <v>64</v>
      </c>
      <c r="D66" s="3" t="s">
        <v>165</v>
      </c>
    </row>
    <row r="67" spans="3:16384" x14ac:dyDescent="0.3">
      <c r="D67" s="3" t="s">
        <v>167</v>
      </c>
    </row>
    <row r="68" spans="3:16384" x14ac:dyDescent="0.3">
      <c r="C68" s="3" t="s">
        <v>65</v>
      </c>
      <c r="D68" s="3" t="s">
        <v>168</v>
      </c>
    </row>
    <row r="70" spans="3:16384" x14ac:dyDescent="0.3">
      <c r="C70" s="122" t="s">
        <v>353</v>
      </c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2"/>
      <c r="DC70" s="122"/>
      <c r="DD70" s="122"/>
      <c r="DE70" s="122"/>
      <c r="DF70" s="122"/>
      <c r="DG70" s="122"/>
      <c r="DH70" s="122"/>
      <c r="DI70" s="122"/>
      <c r="DJ70" s="122"/>
      <c r="DK70" s="122"/>
      <c r="DL70" s="122"/>
      <c r="DM70" s="122"/>
      <c r="DN70" s="122"/>
      <c r="DO70" s="122"/>
      <c r="DP70" s="122"/>
      <c r="DQ70" s="122"/>
      <c r="DR70" s="122"/>
      <c r="DS70" s="122"/>
      <c r="DT70" s="122"/>
      <c r="DU70" s="122"/>
      <c r="DV70" s="122"/>
      <c r="DW70" s="122"/>
      <c r="DX70" s="122"/>
      <c r="DY70" s="122"/>
      <c r="DZ70" s="122"/>
      <c r="EA70" s="122"/>
      <c r="EB70" s="122"/>
      <c r="EC70" s="122"/>
      <c r="ED70" s="122"/>
      <c r="EE70" s="122"/>
      <c r="EF70" s="122"/>
      <c r="EG70" s="122"/>
      <c r="EH70" s="122"/>
      <c r="EI70" s="122"/>
      <c r="EJ70" s="122"/>
      <c r="EK70" s="122"/>
      <c r="EL70" s="122"/>
      <c r="EM70" s="122"/>
      <c r="EN70" s="122"/>
      <c r="EO70" s="122"/>
      <c r="EP70" s="122"/>
      <c r="EQ70" s="122"/>
      <c r="ER70" s="122"/>
      <c r="ES70" s="122"/>
      <c r="ET70" s="122"/>
      <c r="EU70" s="122"/>
      <c r="EV70" s="122"/>
      <c r="EW70" s="122"/>
      <c r="EX70" s="122"/>
      <c r="EY70" s="122"/>
      <c r="EZ70" s="122"/>
      <c r="FA70" s="122"/>
      <c r="FB70" s="122"/>
      <c r="FC70" s="122"/>
      <c r="FD70" s="122"/>
      <c r="FE70" s="122"/>
      <c r="FF70" s="122"/>
      <c r="FG70" s="122"/>
      <c r="FH70" s="122"/>
      <c r="FI70" s="122"/>
      <c r="FJ70" s="122"/>
      <c r="FK70" s="122"/>
      <c r="FL70" s="122"/>
      <c r="FM70" s="122"/>
      <c r="FN70" s="122"/>
      <c r="FO70" s="122"/>
      <c r="FP70" s="122"/>
      <c r="FQ70" s="122"/>
      <c r="FR70" s="122"/>
      <c r="FS70" s="122"/>
      <c r="FT70" s="122"/>
      <c r="FU70" s="122"/>
      <c r="FV70" s="122"/>
      <c r="FW70" s="122"/>
      <c r="FX70" s="122"/>
      <c r="FY70" s="122"/>
      <c r="FZ70" s="122"/>
      <c r="GA70" s="122"/>
      <c r="GB70" s="122"/>
      <c r="GC70" s="122"/>
      <c r="GD70" s="122"/>
      <c r="GE70" s="122"/>
      <c r="GF70" s="122"/>
      <c r="GG70" s="122"/>
      <c r="GH70" s="122"/>
      <c r="GI70" s="122"/>
      <c r="GJ70" s="122"/>
      <c r="GK70" s="122"/>
      <c r="GL70" s="122"/>
      <c r="GM70" s="122"/>
      <c r="GN70" s="122"/>
      <c r="GO70" s="122"/>
      <c r="GP70" s="122"/>
      <c r="GQ70" s="122"/>
      <c r="GR70" s="122"/>
      <c r="GS70" s="122"/>
      <c r="GT70" s="122"/>
      <c r="GU70" s="122"/>
      <c r="GV70" s="122"/>
      <c r="GW70" s="122"/>
      <c r="GX70" s="122"/>
      <c r="GY70" s="122"/>
      <c r="GZ70" s="122"/>
      <c r="HA70" s="122"/>
      <c r="HB70" s="122"/>
      <c r="HC70" s="122"/>
      <c r="HD70" s="122"/>
      <c r="HE70" s="122"/>
      <c r="HF70" s="122"/>
      <c r="HG70" s="122"/>
      <c r="HH70" s="122"/>
      <c r="HI70" s="122"/>
      <c r="HJ70" s="122"/>
      <c r="HK70" s="122"/>
      <c r="HL70" s="122"/>
      <c r="HM70" s="122"/>
      <c r="HN70" s="122"/>
      <c r="HO70" s="122"/>
      <c r="HP70" s="122"/>
      <c r="HQ70" s="122"/>
      <c r="HR70" s="122"/>
      <c r="HS70" s="122"/>
      <c r="HT70" s="122"/>
      <c r="HU70" s="122"/>
      <c r="HV70" s="122"/>
      <c r="HW70" s="122"/>
      <c r="HX70" s="122"/>
      <c r="HY70" s="122"/>
      <c r="HZ70" s="122"/>
      <c r="IA70" s="122"/>
      <c r="IB70" s="122"/>
      <c r="IC70" s="122"/>
      <c r="ID70" s="122"/>
      <c r="IE70" s="122"/>
      <c r="IF70" s="122"/>
      <c r="IG70" s="122"/>
      <c r="IH70" s="122"/>
      <c r="II70" s="122"/>
      <c r="IJ70" s="122"/>
      <c r="IK70" s="122"/>
      <c r="IL70" s="122"/>
      <c r="IM70" s="122"/>
      <c r="IN70" s="122"/>
      <c r="IO70" s="122"/>
      <c r="IP70" s="122"/>
      <c r="IQ70" s="122"/>
      <c r="IR70" s="122"/>
      <c r="IS70" s="122"/>
      <c r="IT70" s="122"/>
      <c r="IU70" s="122"/>
      <c r="IV70" s="122"/>
      <c r="IW70" s="122"/>
      <c r="IX70" s="122"/>
      <c r="IY70" s="122"/>
      <c r="IZ70" s="122"/>
      <c r="JA70" s="122"/>
      <c r="JB70" s="122"/>
      <c r="JC70" s="122"/>
      <c r="JD70" s="122"/>
      <c r="JE70" s="122"/>
      <c r="JF70" s="122"/>
      <c r="JG70" s="122"/>
      <c r="JH70" s="122"/>
      <c r="JI70" s="122"/>
      <c r="JJ70" s="122"/>
      <c r="JK70" s="122"/>
      <c r="JL70" s="122"/>
      <c r="JM70" s="122"/>
      <c r="JN70" s="122"/>
      <c r="JO70" s="122"/>
      <c r="JP70" s="122"/>
      <c r="JQ70" s="122"/>
      <c r="JR70" s="122"/>
      <c r="JS70" s="122"/>
      <c r="JT70" s="122"/>
      <c r="JU70" s="122"/>
      <c r="JV70" s="122"/>
      <c r="JW70" s="122"/>
      <c r="JX70" s="122"/>
      <c r="JY70" s="122"/>
      <c r="JZ70" s="122"/>
      <c r="KA70" s="122"/>
      <c r="KB70" s="122"/>
      <c r="KC70" s="122"/>
      <c r="KD70" s="122"/>
      <c r="KE70" s="122"/>
      <c r="KF70" s="122"/>
      <c r="KG70" s="122"/>
      <c r="KH70" s="122"/>
      <c r="KI70" s="122"/>
      <c r="KJ70" s="122"/>
      <c r="KK70" s="122"/>
      <c r="KL70" s="122"/>
      <c r="KM70" s="122"/>
      <c r="KN70" s="122"/>
      <c r="KO70" s="122"/>
      <c r="KP70" s="122"/>
      <c r="KQ70" s="122"/>
      <c r="KR70" s="122"/>
      <c r="KS70" s="122"/>
      <c r="KT70" s="122"/>
      <c r="KU70" s="122"/>
      <c r="KV70" s="122"/>
      <c r="KW70" s="122"/>
      <c r="KX70" s="122"/>
      <c r="KY70" s="122"/>
      <c r="KZ70" s="122"/>
      <c r="LA70" s="122"/>
      <c r="LB70" s="122"/>
      <c r="LC70" s="122"/>
      <c r="LD70" s="122"/>
      <c r="LE70" s="122"/>
      <c r="LF70" s="122"/>
      <c r="LG70" s="122"/>
      <c r="LH70" s="122"/>
      <c r="LI70" s="122"/>
      <c r="LJ70" s="122"/>
      <c r="LK70" s="122"/>
      <c r="LL70" s="122"/>
      <c r="LM70" s="122"/>
      <c r="LN70" s="122"/>
      <c r="LO70" s="122"/>
      <c r="LP70" s="122"/>
      <c r="LQ70" s="122"/>
      <c r="LR70" s="122"/>
      <c r="LS70" s="122"/>
      <c r="LT70" s="122"/>
      <c r="LU70" s="122"/>
      <c r="LV70" s="122"/>
      <c r="LW70" s="122"/>
      <c r="LX70" s="122"/>
      <c r="LY70" s="122"/>
      <c r="LZ70" s="122"/>
      <c r="MA70" s="122"/>
      <c r="MB70" s="122"/>
      <c r="MC70" s="122"/>
      <c r="MD70" s="122"/>
      <c r="ME70" s="122"/>
      <c r="MF70" s="122"/>
      <c r="MG70" s="122"/>
      <c r="MH70" s="122"/>
      <c r="MI70" s="122"/>
      <c r="MJ70" s="122"/>
      <c r="MK70" s="122"/>
      <c r="ML70" s="122"/>
      <c r="MM70" s="122"/>
      <c r="MN70" s="122"/>
      <c r="MO70" s="122"/>
      <c r="MP70" s="122"/>
      <c r="MQ70" s="122"/>
      <c r="MR70" s="122"/>
      <c r="MS70" s="122"/>
      <c r="MT70" s="122"/>
      <c r="MU70" s="122"/>
      <c r="MV70" s="122"/>
      <c r="MW70" s="122"/>
      <c r="MX70" s="122"/>
      <c r="MY70" s="122"/>
      <c r="MZ70" s="122"/>
      <c r="NA70" s="122"/>
      <c r="NB70" s="122"/>
      <c r="NC70" s="122"/>
      <c r="ND70" s="122"/>
      <c r="NE70" s="122"/>
      <c r="NF70" s="122"/>
      <c r="NG70" s="122"/>
      <c r="NH70" s="122"/>
      <c r="NI70" s="122"/>
      <c r="NJ70" s="122"/>
      <c r="NK70" s="122"/>
      <c r="NL70" s="122"/>
      <c r="NM70" s="122"/>
      <c r="NN70" s="122"/>
      <c r="NO70" s="122"/>
      <c r="NP70" s="122"/>
      <c r="NQ70" s="122"/>
      <c r="NR70" s="122"/>
      <c r="NS70" s="122"/>
      <c r="NT70" s="122"/>
      <c r="NU70" s="122"/>
      <c r="NV70" s="122"/>
      <c r="NW70" s="122"/>
      <c r="NX70" s="122"/>
      <c r="NY70" s="122"/>
      <c r="NZ70" s="122"/>
      <c r="OA70" s="122"/>
      <c r="OB70" s="122"/>
      <c r="OC70" s="122"/>
      <c r="OD70" s="122"/>
      <c r="OE70" s="122"/>
      <c r="OF70" s="122"/>
      <c r="OG70" s="122"/>
      <c r="OH70" s="122"/>
      <c r="OI70" s="122"/>
      <c r="OJ70" s="122"/>
      <c r="OK70" s="122"/>
      <c r="OL70" s="122"/>
      <c r="OM70" s="122"/>
      <c r="ON70" s="122"/>
      <c r="OO70" s="122"/>
      <c r="OP70" s="122"/>
      <c r="OQ70" s="122"/>
      <c r="OR70" s="122"/>
      <c r="OS70" s="122"/>
      <c r="OT70" s="122"/>
      <c r="OU70" s="122"/>
      <c r="OV70" s="122"/>
      <c r="OW70" s="122"/>
      <c r="OX70" s="122"/>
      <c r="OY70" s="122"/>
      <c r="OZ70" s="122"/>
      <c r="PA70" s="122"/>
      <c r="PB70" s="122"/>
      <c r="PC70" s="122"/>
      <c r="PD70" s="122"/>
      <c r="PE70" s="122"/>
      <c r="PF70" s="122"/>
      <c r="PG70" s="122"/>
      <c r="PH70" s="122"/>
      <c r="PI70" s="122"/>
      <c r="PJ70" s="122"/>
      <c r="PK70" s="122"/>
      <c r="PL70" s="122"/>
      <c r="PM70" s="122"/>
      <c r="PN70" s="122"/>
      <c r="PO70" s="122"/>
      <c r="PP70" s="122"/>
      <c r="PQ70" s="122"/>
      <c r="PR70" s="122"/>
      <c r="PS70" s="122"/>
      <c r="PT70" s="122"/>
      <c r="PU70" s="122"/>
      <c r="PV70" s="122"/>
      <c r="PW70" s="122"/>
      <c r="PX70" s="122"/>
      <c r="PY70" s="122"/>
      <c r="PZ70" s="122"/>
      <c r="QA70" s="122"/>
      <c r="QB70" s="122"/>
      <c r="QC70" s="122"/>
      <c r="QD70" s="122"/>
      <c r="QE70" s="122"/>
      <c r="QF70" s="122"/>
      <c r="QG70" s="122"/>
      <c r="QH70" s="122"/>
      <c r="QI70" s="122"/>
      <c r="QJ70" s="122"/>
      <c r="QK70" s="122"/>
      <c r="QL70" s="122"/>
      <c r="QM70" s="122"/>
      <c r="QN70" s="122"/>
      <c r="QO70" s="122"/>
      <c r="QP70" s="122"/>
      <c r="QQ70" s="122"/>
      <c r="QR70" s="122"/>
      <c r="QS70" s="122"/>
      <c r="QT70" s="122"/>
      <c r="QU70" s="122"/>
      <c r="QV70" s="122"/>
      <c r="QW70" s="122"/>
      <c r="QX70" s="122"/>
      <c r="QY70" s="122"/>
      <c r="QZ70" s="122"/>
      <c r="RA70" s="122"/>
      <c r="RB70" s="122"/>
      <c r="RC70" s="122"/>
      <c r="RD70" s="122"/>
      <c r="RE70" s="122"/>
      <c r="RF70" s="122"/>
      <c r="RG70" s="122"/>
      <c r="RH70" s="122"/>
      <c r="RI70" s="122"/>
      <c r="RJ70" s="122"/>
      <c r="RK70" s="122"/>
      <c r="RL70" s="122"/>
      <c r="RM70" s="122"/>
      <c r="RN70" s="122"/>
      <c r="RO70" s="122"/>
      <c r="RP70" s="122"/>
      <c r="RQ70" s="122"/>
      <c r="RR70" s="122"/>
      <c r="RS70" s="122"/>
      <c r="RT70" s="122"/>
      <c r="RU70" s="122"/>
      <c r="RV70" s="122"/>
      <c r="RW70" s="122"/>
      <c r="RX70" s="122"/>
      <c r="RY70" s="122"/>
      <c r="RZ70" s="122"/>
      <c r="SA70" s="122"/>
      <c r="SB70" s="122"/>
      <c r="SC70" s="122"/>
      <c r="SD70" s="122"/>
      <c r="SE70" s="122"/>
      <c r="SF70" s="122"/>
      <c r="SG70" s="122"/>
      <c r="SH70" s="122"/>
      <c r="SI70" s="122"/>
      <c r="SJ70" s="122"/>
      <c r="SK70" s="122"/>
      <c r="SL70" s="122"/>
      <c r="SM70" s="122"/>
      <c r="SN70" s="122"/>
      <c r="SO70" s="122"/>
      <c r="SP70" s="122"/>
      <c r="SQ70" s="122"/>
      <c r="SR70" s="122"/>
      <c r="SS70" s="122"/>
      <c r="ST70" s="122"/>
      <c r="SU70" s="122"/>
      <c r="SV70" s="122"/>
      <c r="SW70" s="122"/>
      <c r="SX70" s="122"/>
      <c r="SY70" s="122"/>
      <c r="SZ70" s="122"/>
      <c r="TA70" s="122"/>
      <c r="TB70" s="122"/>
      <c r="TC70" s="122"/>
      <c r="TD70" s="122"/>
      <c r="TE70" s="122"/>
      <c r="TF70" s="122"/>
      <c r="TG70" s="122"/>
      <c r="TH70" s="122"/>
      <c r="TI70" s="122"/>
      <c r="TJ70" s="122"/>
      <c r="TK70" s="122"/>
      <c r="TL70" s="122"/>
      <c r="TM70" s="122"/>
      <c r="TN70" s="122"/>
      <c r="TO70" s="122"/>
      <c r="TP70" s="122"/>
      <c r="TQ70" s="122"/>
      <c r="TR70" s="122"/>
      <c r="TS70" s="122"/>
      <c r="TT70" s="122"/>
      <c r="TU70" s="122"/>
      <c r="TV70" s="122"/>
      <c r="TW70" s="122"/>
      <c r="TX70" s="122"/>
      <c r="TY70" s="122"/>
      <c r="TZ70" s="122"/>
      <c r="UA70" s="122"/>
      <c r="UB70" s="122"/>
      <c r="UC70" s="122"/>
      <c r="UD70" s="122"/>
      <c r="UE70" s="122"/>
      <c r="UF70" s="122"/>
      <c r="UG70" s="122"/>
      <c r="UH70" s="122"/>
      <c r="UI70" s="122"/>
      <c r="UJ70" s="122"/>
      <c r="UK70" s="122"/>
      <c r="UL70" s="122"/>
      <c r="UM70" s="122"/>
      <c r="UN70" s="122"/>
      <c r="UO70" s="122"/>
      <c r="UP70" s="122"/>
      <c r="UQ70" s="122"/>
      <c r="UR70" s="122"/>
      <c r="US70" s="122"/>
      <c r="UT70" s="122"/>
      <c r="UU70" s="122"/>
      <c r="UV70" s="122"/>
      <c r="UW70" s="122"/>
      <c r="UX70" s="122"/>
      <c r="UY70" s="122"/>
      <c r="UZ70" s="122"/>
      <c r="VA70" s="122"/>
      <c r="VB70" s="122"/>
      <c r="VC70" s="122"/>
      <c r="VD70" s="122"/>
      <c r="VE70" s="122"/>
      <c r="VF70" s="122"/>
      <c r="VG70" s="122"/>
      <c r="VH70" s="122"/>
      <c r="VI70" s="122"/>
      <c r="VJ70" s="122"/>
      <c r="VK70" s="122"/>
      <c r="VL70" s="122"/>
      <c r="VM70" s="122"/>
      <c r="VN70" s="122"/>
      <c r="VO70" s="122"/>
      <c r="VP70" s="122"/>
      <c r="VQ70" s="122"/>
      <c r="VR70" s="122"/>
      <c r="VS70" s="122"/>
      <c r="VT70" s="122"/>
      <c r="VU70" s="122"/>
      <c r="VV70" s="122"/>
      <c r="VW70" s="122"/>
      <c r="VX70" s="122"/>
      <c r="VY70" s="122"/>
      <c r="VZ70" s="122"/>
      <c r="WA70" s="122"/>
      <c r="WB70" s="122"/>
      <c r="WC70" s="122"/>
      <c r="WD70" s="122"/>
      <c r="WE70" s="122"/>
      <c r="WF70" s="122"/>
      <c r="WG70" s="122"/>
      <c r="WH70" s="122"/>
      <c r="WI70" s="122"/>
      <c r="WJ70" s="122"/>
      <c r="WK70" s="122"/>
      <c r="WL70" s="122"/>
      <c r="WM70" s="122"/>
      <c r="WN70" s="122"/>
      <c r="WO70" s="122"/>
      <c r="WP70" s="122"/>
      <c r="WQ70" s="122"/>
      <c r="WR70" s="122"/>
      <c r="WS70" s="122"/>
      <c r="WT70" s="122"/>
      <c r="WU70" s="122"/>
      <c r="WV70" s="122"/>
      <c r="WW70" s="122"/>
      <c r="WX70" s="122"/>
      <c r="WY70" s="122"/>
      <c r="WZ70" s="122"/>
      <c r="XA70" s="122"/>
      <c r="XB70" s="122"/>
      <c r="XC70" s="122"/>
      <c r="XD70" s="122"/>
      <c r="XE70" s="122"/>
      <c r="XF70" s="122"/>
      <c r="XG70" s="122"/>
      <c r="XH70" s="122"/>
      <c r="XI70" s="122"/>
      <c r="XJ70" s="122"/>
      <c r="XK70" s="122"/>
      <c r="XL70" s="122"/>
      <c r="XM70" s="122"/>
      <c r="XN70" s="122"/>
      <c r="XO70" s="122"/>
      <c r="XP70" s="122"/>
      <c r="XQ70" s="122"/>
      <c r="XR70" s="122"/>
      <c r="XS70" s="122"/>
      <c r="XT70" s="122"/>
      <c r="XU70" s="122"/>
      <c r="XV70" s="122"/>
      <c r="XW70" s="122"/>
      <c r="XX70" s="122"/>
      <c r="XY70" s="122"/>
      <c r="XZ70" s="122"/>
      <c r="YA70" s="122"/>
      <c r="YB70" s="122"/>
      <c r="YC70" s="122"/>
      <c r="YD70" s="122"/>
      <c r="YE70" s="122"/>
      <c r="YF70" s="122"/>
      <c r="YG70" s="122"/>
      <c r="YH70" s="122"/>
      <c r="YI70" s="122"/>
      <c r="YJ70" s="122"/>
      <c r="YK70" s="122"/>
      <c r="YL70" s="122"/>
      <c r="YM70" s="122"/>
      <c r="YN70" s="122"/>
      <c r="YO70" s="122"/>
      <c r="YP70" s="122"/>
      <c r="YQ70" s="122"/>
      <c r="YR70" s="122"/>
      <c r="YS70" s="122"/>
      <c r="YT70" s="122"/>
      <c r="YU70" s="122"/>
      <c r="YV70" s="122"/>
      <c r="YW70" s="122"/>
      <c r="YX70" s="122"/>
      <c r="YY70" s="122"/>
      <c r="YZ70" s="122"/>
      <c r="ZA70" s="122"/>
      <c r="ZB70" s="122"/>
      <c r="ZC70" s="122"/>
      <c r="ZD70" s="122"/>
      <c r="ZE70" s="122"/>
      <c r="ZF70" s="122"/>
      <c r="ZG70" s="122"/>
      <c r="ZH70" s="122"/>
      <c r="ZI70" s="122"/>
      <c r="ZJ70" s="122"/>
      <c r="ZK70" s="122"/>
      <c r="ZL70" s="122"/>
      <c r="ZM70" s="122"/>
      <c r="ZN70" s="122"/>
      <c r="ZO70" s="122"/>
      <c r="ZP70" s="122"/>
      <c r="ZQ70" s="122"/>
      <c r="ZR70" s="122"/>
      <c r="ZS70" s="122"/>
      <c r="ZT70" s="122"/>
      <c r="ZU70" s="122"/>
      <c r="ZV70" s="122"/>
      <c r="ZW70" s="122"/>
      <c r="ZX70" s="122"/>
      <c r="ZY70" s="122"/>
      <c r="ZZ70" s="122"/>
      <c r="AAA70" s="122"/>
      <c r="AAB70" s="122"/>
      <c r="AAC70" s="122"/>
      <c r="AAD70" s="122"/>
      <c r="AAE70" s="122"/>
      <c r="AAF70" s="122"/>
      <c r="AAG70" s="122"/>
      <c r="AAH70" s="122"/>
      <c r="AAI70" s="122"/>
      <c r="AAJ70" s="122"/>
      <c r="AAK70" s="122"/>
      <c r="AAL70" s="122"/>
      <c r="AAM70" s="122"/>
      <c r="AAN70" s="122"/>
      <c r="AAO70" s="122"/>
      <c r="AAP70" s="122"/>
      <c r="AAQ70" s="122"/>
      <c r="AAR70" s="122"/>
      <c r="AAS70" s="122"/>
      <c r="AAT70" s="122"/>
      <c r="AAU70" s="122"/>
      <c r="AAV70" s="122"/>
      <c r="AAW70" s="122"/>
      <c r="AAX70" s="122"/>
      <c r="AAY70" s="122"/>
      <c r="AAZ70" s="122"/>
      <c r="ABA70" s="122"/>
      <c r="ABB70" s="122"/>
      <c r="ABC70" s="122"/>
      <c r="ABD70" s="122"/>
      <c r="ABE70" s="122"/>
      <c r="ABF70" s="122"/>
      <c r="ABG70" s="122"/>
      <c r="ABH70" s="122"/>
      <c r="ABI70" s="122"/>
      <c r="ABJ70" s="122"/>
      <c r="ABK70" s="122"/>
      <c r="ABL70" s="122"/>
      <c r="ABM70" s="122"/>
      <c r="ABN70" s="122"/>
      <c r="ABO70" s="122"/>
      <c r="ABP70" s="122"/>
      <c r="ABQ70" s="122"/>
      <c r="ABR70" s="122"/>
      <c r="ABS70" s="122"/>
      <c r="ABT70" s="122"/>
      <c r="ABU70" s="122"/>
      <c r="ABV70" s="122"/>
      <c r="ABW70" s="122"/>
      <c r="ABX70" s="122"/>
      <c r="ABY70" s="122"/>
      <c r="ABZ70" s="122"/>
      <c r="ACA70" s="122"/>
      <c r="ACB70" s="122"/>
      <c r="ACC70" s="122"/>
      <c r="ACD70" s="122"/>
      <c r="ACE70" s="122"/>
      <c r="ACF70" s="122"/>
      <c r="ACG70" s="122"/>
      <c r="ACH70" s="122"/>
      <c r="ACI70" s="122"/>
      <c r="ACJ70" s="122"/>
      <c r="ACK70" s="122"/>
      <c r="ACL70" s="122"/>
      <c r="ACM70" s="122"/>
      <c r="ACN70" s="122"/>
      <c r="ACO70" s="122"/>
      <c r="ACP70" s="122"/>
      <c r="ACQ70" s="122"/>
      <c r="ACR70" s="122"/>
      <c r="ACS70" s="122"/>
      <c r="ACT70" s="122"/>
      <c r="ACU70" s="122"/>
      <c r="ACV70" s="122"/>
      <c r="ACW70" s="122"/>
      <c r="ACX70" s="122"/>
      <c r="ACY70" s="122"/>
      <c r="ACZ70" s="122"/>
      <c r="ADA70" s="122"/>
      <c r="ADB70" s="122"/>
      <c r="ADC70" s="122"/>
      <c r="ADD70" s="122"/>
      <c r="ADE70" s="122"/>
      <c r="ADF70" s="122"/>
      <c r="ADG70" s="122"/>
      <c r="ADH70" s="122"/>
      <c r="ADI70" s="122"/>
      <c r="ADJ70" s="122"/>
      <c r="ADK70" s="122"/>
      <c r="ADL70" s="122"/>
      <c r="ADM70" s="122"/>
      <c r="ADN70" s="122"/>
      <c r="ADO70" s="122"/>
      <c r="ADP70" s="122"/>
      <c r="ADQ70" s="122"/>
      <c r="ADR70" s="122"/>
      <c r="ADS70" s="122"/>
      <c r="ADT70" s="122"/>
      <c r="ADU70" s="122"/>
      <c r="ADV70" s="122"/>
      <c r="ADW70" s="122"/>
      <c r="ADX70" s="122"/>
      <c r="ADY70" s="122"/>
      <c r="ADZ70" s="122"/>
      <c r="AEA70" s="122"/>
      <c r="AEB70" s="122"/>
      <c r="AEC70" s="122"/>
      <c r="AED70" s="122"/>
      <c r="AEE70" s="122"/>
      <c r="AEF70" s="122"/>
      <c r="AEG70" s="122"/>
      <c r="AEH70" s="122"/>
      <c r="AEI70" s="122"/>
      <c r="AEJ70" s="122"/>
      <c r="AEK70" s="122"/>
      <c r="AEL70" s="122"/>
      <c r="AEM70" s="122"/>
      <c r="AEN70" s="122"/>
      <c r="AEO70" s="122"/>
      <c r="AEP70" s="122"/>
      <c r="AEQ70" s="122"/>
      <c r="AER70" s="122"/>
      <c r="AES70" s="122"/>
      <c r="AET70" s="122"/>
      <c r="AEU70" s="122"/>
      <c r="AEV70" s="122"/>
      <c r="AEW70" s="122"/>
      <c r="AEX70" s="122"/>
      <c r="AEY70" s="122"/>
      <c r="AEZ70" s="122"/>
      <c r="AFA70" s="122"/>
      <c r="AFB70" s="122"/>
      <c r="AFC70" s="122"/>
      <c r="AFD70" s="122"/>
      <c r="AFE70" s="122"/>
      <c r="AFF70" s="122"/>
      <c r="AFG70" s="122"/>
      <c r="AFH70" s="122"/>
      <c r="AFI70" s="122"/>
      <c r="AFJ70" s="122"/>
      <c r="AFK70" s="122"/>
      <c r="AFL70" s="122"/>
      <c r="AFM70" s="122"/>
      <c r="AFN70" s="122"/>
      <c r="AFO70" s="122"/>
      <c r="AFP70" s="122"/>
      <c r="AFQ70" s="122"/>
      <c r="AFR70" s="122"/>
      <c r="AFS70" s="122"/>
      <c r="AFT70" s="122"/>
      <c r="AFU70" s="122"/>
      <c r="AFV70" s="122"/>
      <c r="AFW70" s="122"/>
      <c r="AFX70" s="122"/>
      <c r="AFY70" s="122"/>
      <c r="AFZ70" s="122"/>
      <c r="AGA70" s="122"/>
      <c r="AGB70" s="122"/>
      <c r="AGC70" s="122"/>
      <c r="AGD70" s="122"/>
      <c r="AGE70" s="122"/>
      <c r="AGF70" s="122"/>
      <c r="AGG70" s="122"/>
      <c r="AGH70" s="122"/>
      <c r="AGI70" s="122"/>
      <c r="AGJ70" s="122"/>
      <c r="AGK70" s="122"/>
      <c r="AGL70" s="122"/>
      <c r="AGM70" s="122"/>
      <c r="AGN70" s="122"/>
      <c r="AGO70" s="122"/>
      <c r="AGP70" s="122"/>
      <c r="AGQ70" s="122"/>
      <c r="AGR70" s="122"/>
      <c r="AGS70" s="122"/>
      <c r="AGT70" s="122"/>
      <c r="AGU70" s="122"/>
      <c r="AGV70" s="122"/>
      <c r="AGW70" s="122"/>
      <c r="AGX70" s="122"/>
      <c r="AGY70" s="122"/>
      <c r="AGZ70" s="122"/>
      <c r="AHA70" s="122"/>
      <c r="AHB70" s="122"/>
      <c r="AHC70" s="122"/>
      <c r="AHD70" s="122"/>
      <c r="AHE70" s="122"/>
      <c r="AHF70" s="122"/>
      <c r="AHG70" s="122"/>
      <c r="AHH70" s="122"/>
      <c r="AHI70" s="122"/>
      <c r="AHJ70" s="122"/>
      <c r="AHK70" s="122"/>
      <c r="AHL70" s="122"/>
      <c r="AHM70" s="122"/>
      <c r="AHN70" s="122"/>
      <c r="AHO70" s="122"/>
      <c r="AHP70" s="122"/>
      <c r="AHQ70" s="122"/>
      <c r="AHR70" s="122"/>
      <c r="AHS70" s="122"/>
      <c r="AHT70" s="122"/>
      <c r="AHU70" s="122"/>
      <c r="AHV70" s="122"/>
      <c r="AHW70" s="122"/>
      <c r="AHX70" s="122"/>
      <c r="AHY70" s="122"/>
      <c r="AHZ70" s="122"/>
      <c r="AIA70" s="122"/>
      <c r="AIB70" s="122"/>
      <c r="AIC70" s="122"/>
      <c r="AID70" s="122"/>
      <c r="AIE70" s="122"/>
      <c r="AIF70" s="122"/>
      <c r="AIG70" s="122"/>
      <c r="AIH70" s="122"/>
      <c r="AII70" s="122"/>
      <c r="AIJ70" s="122"/>
      <c r="AIK70" s="122"/>
      <c r="AIL70" s="122"/>
      <c r="AIM70" s="122"/>
      <c r="AIN70" s="122"/>
      <c r="AIO70" s="122"/>
      <c r="AIP70" s="122"/>
      <c r="AIQ70" s="122"/>
      <c r="AIR70" s="122"/>
      <c r="AIS70" s="122"/>
      <c r="AIT70" s="122"/>
      <c r="AIU70" s="122"/>
      <c r="AIV70" s="122"/>
      <c r="AIW70" s="122"/>
      <c r="AIX70" s="122"/>
      <c r="AIY70" s="122"/>
      <c r="AIZ70" s="122"/>
      <c r="AJA70" s="122"/>
      <c r="AJB70" s="122"/>
      <c r="AJC70" s="122"/>
      <c r="AJD70" s="122"/>
      <c r="AJE70" s="122"/>
      <c r="AJF70" s="122"/>
      <c r="AJG70" s="122"/>
      <c r="AJH70" s="122"/>
      <c r="AJI70" s="122"/>
      <c r="AJJ70" s="122"/>
      <c r="AJK70" s="122"/>
      <c r="AJL70" s="122"/>
      <c r="AJM70" s="122"/>
      <c r="AJN70" s="122"/>
      <c r="AJO70" s="122"/>
      <c r="AJP70" s="122"/>
      <c r="AJQ70" s="122"/>
      <c r="AJR70" s="122"/>
      <c r="AJS70" s="122"/>
      <c r="AJT70" s="122"/>
      <c r="AJU70" s="122"/>
      <c r="AJV70" s="122"/>
      <c r="AJW70" s="122"/>
      <c r="AJX70" s="122"/>
      <c r="AJY70" s="122"/>
      <c r="AJZ70" s="122"/>
      <c r="AKA70" s="122"/>
      <c r="AKB70" s="122"/>
      <c r="AKC70" s="122"/>
      <c r="AKD70" s="122"/>
      <c r="AKE70" s="122"/>
      <c r="AKF70" s="122"/>
      <c r="AKG70" s="122"/>
      <c r="AKH70" s="122"/>
      <c r="AKI70" s="122"/>
      <c r="AKJ70" s="122"/>
      <c r="AKK70" s="122"/>
      <c r="AKL70" s="122"/>
      <c r="AKM70" s="122"/>
      <c r="AKN70" s="122"/>
      <c r="AKO70" s="122"/>
      <c r="AKP70" s="122"/>
      <c r="AKQ70" s="122"/>
      <c r="AKR70" s="122"/>
      <c r="AKS70" s="122"/>
      <c r="AKT70" s="122"/>
      <c r="AKU70" s="122"/>
      <c r="AKV70" s="122"/>
      <c r="AKW70" s="122"/>
      <c r="AKX70" s="122"/>
      <c r="AKY70" s="122"/>
      <c r="AKZ70" s="122"/>
      <c r="ALA70" s="122"/>
      <c r="ALB70" s="122"/>
      <c r="ALC70" s="122"/>
      <c r="ALD70" s="122"/>
      <c r="ALE70" s="122"/>
      <c r="ALF70" s="122"/>
      <c r="ALG70" s="122"/>
      <c r="ALH70" s="122"/>
      <c r="ALI70" s="122"/>
      <c r="ALJ70" s="122"/>
      <c r="ALK70" s="122"/>
      <c r="ALL70" s="122"/>
      <c r="ALM70" s="122"/>
      <c r="ALN70" s="122"/>
      <c r="ALO70" s="122"/>
      <c r="ALP70" s="122"/>
      <c r="ALQ70" s="122"/>
      <c r="ALR70" s="122"/>
      <c r="ALS70" s="122"/>
      <c r="ALT70" s="122"/>
      <c r="ALU70" s="122"/>
      <c r="ALV70" s="122"/>
      <c r="ALW70" s="122"/>
      <c r="ALX70" s="122"/>
      <c r="ALY70" s="122"/>
      <c r="ALZ70" s="122"/>
      <c r="AMA70" s="122"/>
      <c r="AMB70" s="122"/>
      <c r="AMC70" s="122"/>
      <c r="AMD70" s="122"/>
      <c r="AME70" s="122"/>
      <c r="AMF70" s="122"/>
      <c r="AMG70" s="122"/>
      <c r="AMH70" s="122"/>
      <c r="AMI70" s="122"/>
      <c r="AMJ70" s="122"/>
      <c r="AMK70" s="122"/>
      <c r="AML70" s="122"/>
      <c r="AMM70" s="122"/>
      <c r="AMN70" s="122"/>
      <c r="AMO70" s="122"/>
      <c r="AMP70" s="122"/>
      <c r="AMQ70" s="122"/>
      <c r="AMR70" s="122"/>
      <c r="AMS70" s="122"/>
      <c r="AMT70" s="122"/>
      <c r="AMU70" s="122"/>
      <c r="AMV70" s="122"/>
      <c r="AMW70" s="122"/>
      <c r="AMX70" s="122"/>
      <c r="AMY70" s="122"/>
      <c r="AMZ70" s="122"/>
      <c r="ANA70" s="122"/>
      <c r="ANB70" s="122"/>
      <c r="ANC70" s="122"/>
      <c r="AND70" s="122"/>
      <c r="ANE70" s="122"/>
      <c r="ANF70" s="122"/>
      <c r="ANG70" s="122"/>
      <c r="ANH70" s="122"/>
      <c r="ANI70" s="122"/>
      <c r="ANJ70" s="122"/>
      <c r="ANK70" s="122"/>
      <c r="ANL70" s="122"/>
      <c r="ANM70" s="122"/>
      <c r="ANN70" s="122"/>
      <c r="ANO70" s="122"/>
      <c r="ANP70" s="122"/>
      <c r="ANQ70" s="122"/>
      <c r="ANR70" s="122"/>
      <c r="ANS70" s="122"/>
      <c r="ANT70" s="122"/>
      <c r="ANU70" s="122"/>
      <c r="ANV70" s="122"/>
      <c r="ANW70" s="122"/>
      <c r="ANX70" s="122"/>
      <c r="ANY70" s="122"/>
      <c r="ANZ70" s="122"/>
      <c r="AOA70" s="122"/>
      <c r="AOB70" s="122"/>
      <c r="AOC70" s="122"/>
      <c r="AOD70" s="122"/>
      <c r="AOE70" s="122"/>
      <c r="AOF70" s="122"/>
      <c r="AOG70" s="122"/>
      <c r="AOH70" s="122"/>
      <c r="AOI70" s="122"/>
      <c r="AOJ70" s="122"/>
      <c r="AOK70" s="122"/>
      <c r="AOL70" s="122"/>
      <c r="AOM70" s="122"/>
      <c r="AON70" s="122"/>
      <c r="AOO70" s="122"/>
      <c r="AOP70" s="122"/>
      <c r="AOQ70" s="122"/>
      <c r="AOR70" s="122"/>
      <c r="AOS70" s="122"/>
      <c r="AOT70" s="122"/>
      <c r="AOU70" s="122"/>
      <c r="AOV70" s="122"/>
      <c r="AOW70" s="122"/>
      <c r="AOX70" s="122"/>
      <c r="AOY70" s="122"/>
      <c r="AOZ70" s="122"/>
      <c r="APA70" s="122"/>
      <c r="APB70" s="122"/>
      <c r="APC70" s="122"/>
      <c r="APD70" s="122"/>
      <c r="APE70" s="122"/>
      <c r="APF70" s="122"/>
      <c r="APG70" s="122"/>
      <c r="APH70" s="122"/>
      <c r="API70" s="122"/>
      <c r="APJ70" s="122"/>
      <c r="APK70" s="122"/>
      <c r="APL70" s="122"/>
      <c r="APM70" s="122"/>
      <c r="APN70" s="122"/>
      <c r="APO70" s="122"/>
      <c r="APP70" s="122"/>
      <c r="APQ70" s="122"/>
      <c r="APR70" s="122"/>
      <c r="APS70" s="122"/>
      <c r="APT70" s="122"/>
      <c r="APU70" s="122"/>
      <c r="APV70" s="122"/>
      <c r="APW70" s="122"/>
      <c r="APX70" s="122"/>
      <c r="APY70" s="122"/>
      <c r="APZ70" s="122"/>
      <c r="AQA70" s="122"/>
      <c r="AQB70" s="122"/>
      <c r="AQC70" s="122"/>
      <c r="AQD70" s="122"/>
      <c r="AQE70" s="122"/>
      <c r="AQF70" s="122"/>
      <c r="AQG70" s="122"/>
      <c r="AQH70" s="122"/>
      <c r="AQI70" s="122"/>
      <c r="AQJ70" s="122"/>
      <c r="AQK70" s="122"/>
      <c r="AQL70" s="122"/>
      <c r="AQM70" s="122"/>
      <c r="AQN70" s="122"/>
      <c r="AQO70" s="122"/>
      <c r="AQP70" s="122"/>
      <c r="AQQ70" s="122"/>
      <c r="AQR70" s="122"/>
      <c r="AQS70" s="122"/>
      <c r="AQT70" s="122"/>
      <c r="AQU70" s="122"/>
      <c r="AQV70" s="122"/>
      <c r="AQW70" s="122"/>
      <c r="AQX70" s="122"/>
      <c r="AQY70" s="122"/>
      <c r="AQZ70" s="122"/>
      <c r="ARA70" s="122"/>
      <c r="ARB70" s="122"/>
      <c r="ARC70" s="122"/>
      <c r="ARD70" s="122"/>
      <c r="ARE70" s="122"/>
      <c r="ARF70" s="122"/>
      <c r="ARG70" s="122"/>
      <c r="ARH70" s="122"/>
      <c r="ARI70" s="122"/>
      <c r="ARJ70" s="122"/>
      <c r="ARK70" s="122"/>
      <c r="ARL70" s="122"/>
      <c r="ARM70" s="122"/>
      <c r="ARN70" s="122"/>
      <c r="ARO70" s="122"/>
      <c r="ARP70" s="122"/>
      <c r="ARQ70" s="122"/>
      <c r="ARR70" s="122"/>
      <c r="ARS70" s="122"/>
      <c r="ART70" s="122"/>
      <c r="ARU70" s="122"/>
      <c r="ARV70" s="122"/>
      <c r="ARW70" s="122"/>
      <c r="ARX70" s="122"/>
      <c r="ARY70" s="122"/>
      <c r="ARZ70" s="122"/>
      <c r="ASA70" s="122"/>
      <c r="ASB70" s="122"/>
      <c r="ASC70" s="122"/>
      <c r="ASD70" s="122"/>
      <c r="ASE70" s="122"/>
      <c r="ASF70" s="122"/>
      <c r="ASG70" s="122"/>
      <c r="ASH70" s="122"/>
      <c r="ASI70" s="122"/>
      <c r="ASJ70" s="122"/>
      <c r="ASK70" s="122"/>
      <c r="ASL70" s="122"/>
      <c r="ASM70" s="122"/>
      <c r="ASN70" s="122"/>
      <c r="ASO70" s="122"/>
      <c r="ASP70" s="122"/>
      <c r="ASQ70" s="122"/>
      <c r="ASR70" s="122"/>
      <c r="ASS70" s="122"/>
      <c r="AST70" s="122"/>
      <c r="ASU70" s="122"/>
      <c r="ASV70" s="122"/>
      <c r="ASW70" s="122"/>
      <c r="ASX70" s="122"/>
      <c r="ASY70" s="122"/>
      <c r="ASZ70" s="122"/>
      <c r="ATA70" s="122"/>
      <c r="ATB70" s="122"/>
      <c r="ATC70" s="122"/>
      <c r="ATD70" s="122"/>
      <c r="ATE70" s="122"/>
      <c r="ATF70" s="122"/>
      <c r="ATG70" s="122"/>
      <c r="ATH70" s="122"/>
      <c r="ATI70" s="122"/>
      <c r="ATJ70" s="122"/>
      <c r="ATK70" s="122"/>
      <c r="ATL70" s="122"/>
      <c r="ATM70" s="122"/>
      <c r="ATN70" s="122"/>
      <c r="ATO70" s="122"/>
      <c r="ATP70" s="122"/>
      <c r="ATQ70" s="122"/>
      <c r="ATR70" s="122"/>
      <c r="ATS70" s="122"/>
      <c r="ATT70" s="122"/>
      <c r="ATU70" s="122"/>
      <c r="ATV70" s="122"/>
      <c r="ATW70" s="122"/>
      <c r="ATX70" s="122"/>
      <c r="ATY70" s="122"/>
      <c r="ATZ70" s="122"/>
      <c r="AUA70" s="122"/>
      <c r="AUB70" s="122"/>
      <c r="AUC70" s="122"/>
      <c r="AUD70" s="122"/>
      <c r="AUE70" s="122"/>
      <c r="AUF70" s="122"/>
      <c r="AUG70" s="122"/>
      <c r="AUH70" s="122"/>
      <c r="AUI70" s="122"/>
      <c r="AUJ70" s="122"/>
      <c r="AUK70" s="122"/>
      <c r="AUL70" s="122"/>
      <c r="AUM70" s="122"/>
      <c r="AUN70" s="122"/>
      <c r="AUO70" s="122"/>
      <c r="AUP70" s="122"/>
      <c r="AUQ70" s="122"/>
      <c r="AUR70" s="122"/>
      <c r="AUS70" s="122"/>
      <c r="AUT70" s="122"/>
      <c r="AUU70" s="122"/>
      <c r="AUV70" s="122"/>
      <c r="AUW70" s="122"/>
      <c r="AUX70" s="122"/>
      <c r="AUY70" s="122"/>
      <c r="AUZ70" s="122"/>
      <c r="AVA70" s="122"/>
      <c r="AVB70" s="122"/>
      <c r="AVC70" s="122"/>
      <c r="AVD70" s="122"/>
      <c r="AVE70" s="122"/>
      <c r="AVF70" s="122"/>
      <c r="AVG70" s="122"/>
      <c r="AVH70" s="122"/>
      <c r="AVI70" s="122"/>
      <c r="AVJ70" s="122"/>
      <c r="AVK70" s="122"/>
      <c r="AVL70" s="122"/>
      <c r="AVM70" s="122"/>
      <c r="AVN70" s="122"/>
      <c r="AVO70" s="122"/>
      <c r="AVP70" s="122"/>
      <c r="AVQ70" s="122"/>
      <c r="AVR70" s="122"/>
      <c r="AVS70" s="122"/>
      <c r="AVT70" s="122"/>
      <c r="AVU70" s="122"/>
      <c r="AVV70" s="122"/>
      <c r="AVW70" s="122"/>
      <c r="AVX70" s="122"/>
      <c r="AVY70" s="122"/>
      <c r="AVZ70" s="122"/>
      <c r="AWA70" s="122"/>
      <c r="AWB70" s="122"/>
      <c r="AWC70" s="122"/>
      <c r="AWD70" s="122"/>
      <c r="AWE70" s="122"/>
      <c r="AWF70" s="122"/>
      <c r="AWG70" s="122"/>
      <c r="AWH70" s="122"/>
      <c r="AWI70" s="122"/>
      <c r="AWJ70" s="122"/>
      <c r="AWK70" s="122"/>
      <c r="AWL70" s="122"/>
      <c r="AWM70" s="122"/>
      <c r="AWN70" s="122"/>
      <c r="AWO70" s="122"/>
      <c r="AWP70" s="122"/>
      <c r="AWQ70" s="122"/>
      <c r="AWR70" s="122"/>
      <c r="AWS70" s="122"/>
      <c r="AWT70" s="122"/>
      <c r="AWU70" s="122"/>
      <c r="AWV70" s="122"/>
      <c r="AWW70" s="122"/>
      <c r="AWX70" s="122"/>
      <c r="AWY70" s="122"/>
      <c r="AWZ70" s="122"/>
      <c r="AXA70" s="122"/>
      <c r="AXB70" s="122"/>
      <c r="AXC70" s="122"/>
      <c r="AXD70" s="122"/>
      <c r="AXE70" s="122"/>
      <c r="AXF70" s="122"/>
      <c r="AXG70" s="122"/>
      <c r="AXH70" s="122"/>
      <c r="AXI70" s="122"/>
      <c r="AXJ70" s="122"/>
      <c r="AXK70" s="122"/>
      <c r="AXL70" s="122"/>
      <c r="AXM70" s="122"/>
      <c r="AXN70" s="122"/>
      <c r="AXO70" s="122"/>
      <c r="AXP70" s="122"/>
      <c r="AXQ70" s="122"/>
      <c r="AXR70" s="122"/>
      <c r="AXS70" s="122"/>
      <c r="AXT70" s="122"/>
      <c r="AXU70" s="122"/>
      <c r="AXV70" s="122"/>
      <c r="AXW70" s="122"/>
      <c r="AXX70" s="122"/>
      <c r="AXY70" s="122"/>
      <c r="AXZ70" s="122"/>
      <c r="AYA70" s="122"/>
      <c r="AYB70" s="122"/>
      <c r="AYC70" s="122"/>
      <c r="AYD70" s="122"/>
      <c r="AYE70" s="122"/>
      <c r="AYF70" s="122"/>
      <c r="AYG70" s="122"/>
      <c r="AYH70" s="122"/>
      <c r="AYI70" s="122"/>
      <c r="AYJ70" s="122"/>
      <c r="AYK70" s="122"/>
      <c r="AYL70" s="122"/>
      <c r="AYM70" s="122"/>
      <c r="AYN70" s="122"/>
      <c r="AYO70" s="122"/>
      <c r="AYP70" s="122"/>
      <c r="AYQ70" s="122"/>
      <c r="AYR70" s="122"/>
      <c r="AYS70" s="122"/>
      <c r="AYT70" s="122"/>
      <c r="AYU70" s="122"/>
      <c r="AYV70" s="122"/>
      <c r="AYW70" s="122"/>
      <c r="AYX70" s="122"/>
      <c r="AYY70" s="122"/>
      <c r="AYZ70" s="122"/>
      <c r="AZA70" s="122"/>
      <c r="AZB70" s="122"/>
      <c r="AZC70" s="122"/>
      <c r="AZD70" s="122"/>
      <c r="AZE70" s="122"/>
      <c r="AZF70" s="122"/>
      <c r="AZG70" s="122"/>
      <c r="AZH70" s="122"/>
      <c r="AZI70" s="122"/>
      <c r="AZJ70" s="122"/>
      <c r="AZK70" s="122"/>
      <c r="AZL70" s="122"/>
      <c r="AZM70" s="122"/>
      <c r="AZN70" s="122"/>
      <c r="AZO70" s="122"/>
      <c r="AZP70" s="122"/>
      <c r="AZQ70" s="122"/>
      <c r="AZR70" s="122"/>
      <c r="AZS70" s="122"/>
      <c r="AZT70" s="122"/>
      <c r="AZU70" s="122"/>
      <c r="AZV70" s="122"/>
      <c r="AZW70" s="122"/>
      <c r="AZX70" s="122"/>
      <c r="AZY70" s="122"/>
      <c r="AZZ70" s="122"/>
      <c r="BAA70" s="122"/>
      <c r="BAB70" s="122"/>
      <c r="BAC70" s="122"/>
      <c r="BAD70" s="122"/>
      <c r="BAE70" s="122"/>
      <c r="BAF70" s="122"/>
      <c r="BAG70" s="122"/>
      <c r="BAH70" s="122"/>
      <c r="BAI70" s="122"/>
      <c r="BAJ70" s="122"/>
      <c r="BAK70" s="122"/>
      <c r="BAL70" s="122"/>
      <c r="BAM70" s="122"/>
      <c r="BAN70" s="122"/>
      <c r="BAO70" s="122"/>
      <c r="BAP70" s="122"/>
      <c r="BAQ70" s="122"/>
      <c r="BAR70" s="122"/>
      <c r="BAS70" s="122"/>
      <c r="BAT70" s="122"/>
      <c r="BAU70" s="122"/>
      <c r="BAV70" s="122"/>
      <c r="BAW70" s="122"/>
      <c r="BAX70" s="122"/>
      <c r="BAY70" s="122"/>
      <c r="BAZ70" s="122"/>
      <c r="BBA70" s="122"/>
      <c r="BBB70" s="122"/>
      <c r="BBC70" s="122"/>
      <c r="BBD70" s="122"/>
      <c r="BBE70" s="122"/>
      <c r="BBF70" s="122"/>
      <c r="BBG70" s="122"/>
      <c r="BBH70" s="122"/>
      <c r="BBI70" s="122"/>
      <c r="BBJ70" s="122"/>
      <c r="BBK70" s="122"/>
      <c r="BBL70" s="122"/>
      <c r="BBM70" s="122"/>
      <c r="BBN70" s="122"/>
      <c r="BBO70" s="122"/>
      <c r="BBP70" s="122"/>
      <c r="BBQ70" s="122"/>
      <c r="BBR70" s="122"/>
      <c r="BBS70" s="122"/>
      <c r="BBT70" s="122"/>
      <c r="BBU70" s="122"/>
      <c r="BBV70" s="122"/>
      <c r="BBW70" s="122"/>
      <c r="BBX70" s="122"/>
      <c r="BBY70" s="122"/>
      <c r="BBZ70" s="122"/>
      <c r="BCA70" s="122"/>
      <c r="BCB70" s="122"/>
      <c r="BCC70" s="122"/>
      <c r="BCD70" s="122"/>
      <c r="BCE70" s="122"/>
      <c r="BCF70" s="122"/>
      <c r="BCG70" s="122"/>
      <c r="BCH70" s="122"/>
      <c r="BCI70" s="122"/>
      <c r="BCJ70" s="122"/>
      <c r="BCK70" s="122"/>
      <c r="BCL70" s="122"/>
      <c r="BCM70" s="122"/>
      <c r="BCN70" s="122"/>
      <c r="BCO70" s="122"/>
      <c r="BCP70" s="122"/>
      <c r="BCQ70" s="122"/>
      <c r="BCR70" s="122"/>
      <c r="BCS70" s="122"/>
      <c r="BCT70" s="122"/>
      <c r="BCU70" s="122"/>
      <c r="BCV70" s="122"/>
      <c r="BCW70" s="122"/>
      <c r="BCX70" s="122"/>
      <c r="BCY70" s="122"/>
      <c r="BCZ70" s="122"/>
      <c r="BDA70" s="122"/>
      <c r="BDB70" s="122"/>
      <c r="BDC70" s="122"/>
      <c r="BDD70" s="122"/>
      <c r="BDE70" s="122"/>
      <c r="BDF70" s="122"/>
      <c r="BDG70" s="122"/>
      <c r="BDH70" s="122"/>
      <c r="BDI70" s="122"/>
      <c r="BDJ70" s="122"/>
      <c r="BDK70" s="122"/>
      <c r="BDL70" s="122"/>
      <c r="BDM70" s="122"/>
      <c r="BDN70" s="122"/>
      <c r="BDO70" s="122"/>
      <c r="BDP70" s="122"/>
      <c r="BDQ70" s="122"/>
      <c r="BDR70" s="122"/>
      <c r="BDS70" s="122"/>
      <c r="BDT70" s="122"/>
      <c r="BDU70" s="122"/>
      <c r="BDV70" s="122"/>
      <c r="BDW70" s="122"/>
      <c r="BDX70" s="122"/>
      <c r="BDY70" s="122"/>
      <c r="BDZ70" s="122"/>
      <c r="BEA70" s="122"/>
      <c r="BEB70" s="122"/>
      <c r="BEC70" s="122"/>
      <c r="BED70" s="122"/>
      <c r="BEE70" s="122"/>
      <c r="BEF70" s="122"/>
      <c r="BEG70" s="122"/>
      <c r="BEH70" s="122"/>
      <c r="BEI70" s="122"/>
      <c r="BEJ70" s="122"/>
      <c r="BEK70" s="122"/>
      <c r="BEL70" s="122"/>
      <c r="BEM70" s="122"/>
      <c r="BEN70" s="122"/>
      <c r="BEO70" s="122"/>
      <c r="BEP70" s="122"/>
      <c r="BEQ70" s="122"/>
      <c r="BER70" s="122"/>
      <c r="BES70" s="122"/>
      <c r="BET70" s="122"/>
      <c r="BEU70" s="122"/>
      <c r="BEV70" s="122"/>
      <c r="BEW70" s="122"/>
      <c r="BEX70" s="122"/>
      <c r="BEY70" s="122"/>
      <c r="BEZ70" s="122"/>
      <c r="BFA70" s="122"/>
      <c r="BFB70" s="122"/>
      <c r="BFC70" s="122"/>
      <c r="BFD70" s="122"/>
      <c r="BFE70" s="122"/>
      <c r="BFF70" s="122"/>
      <c r="BFG70" s="122"/>
      <c r="BFH70" s="122"/>
      <c r="BFI70" s="122"/>
      <c r="BFJ70" s="122"/>
      <c r="BFK70" s="122"/>
      <c r="BFL70" s="122"/>
      <c r="BFM70" s="122"/>
      <c r="BFN70" s="122"/>
      <c r="BFO70" s="122"/>
      <c r="BFP70" s="122"/>
      <c r="BFQ70" s="122"/>
      <c r="BFR70" s="122"/>
      <c r="BFS70" s="122"/>
      <c r="BFT70" s="122"/>
      <c r="BFU70" s="122"/>
      <c r="BFV70" s="122"/>
      <c r="BFW70" s="122"/>
      <c r="BFX70" s="122"/>
      <c r="BFY70" s="122"/>
      <c r="BFZ70" s="122"/>
      <c r="BGA70" s="122"/>
      <c r="BGB70" s="122"/>
      <c r="BGC70" s="122"/>
      <c r="BGD70" s="122"/>
      <c r="BGE70" s="122"/>
      <c r="BGF70" s="122"/>
      <c r="BGG70" s="122"/>
      <c r="BGH70" s="122"/>
      <c r="BGI70" s="122"/>
      <c r="BGJ70" s="122"/>
      <c r="BGK70" s="122"/>
      <c r="BGL70" s="122"/>
      <c r="BGM70" s="122"/>
      <c r="BGN70" s="122"/>
      <c r="BGO70" s="122"/>
      <c r="BGP70" s="122"/>
      <c r="BGQ70" s="122"/>
      <c r="BGR70" s="122"/>
      <c r="BGS70" s="122"/>
      <c r="BGT70" s="122"/>
      <c r="BGU70" s="122"/>
      <c r="BGV70" s="122"/>
      <c r="BGW70" s="122"/>
      <c r="BGX70" s="122"/>
      <c r="BGY70" s="122"/>
      <c r="BGZ70" s="122"/>
      <c r="BHA70" s="122"/>
      <c r="BHB70" s="122"/>
      <c r="BHC70" s="122"/>
      <c r="BHD70" s="122"/>
      <c r="BHE70" s="122"/>
      <c r="BHF70" s="122"/>
      <c r="BHG70" s="122"/>
      <c r="BHH70" s="122"/>
      <c r="BHI70" s="122"/>
      <c r="BHJ70" s="122"/>
      <c r="BHK70" s="122"/>
      <c r="BHL70" s="122"/>
      <c r="BHM70" s="122"/>
      <c r="BHN70" s="122"/>
      <c r="BHO70" s="122"/>
      <c r="BHP70" s="122"/>
      <c r="BHQ70" s="122"/>
      <c r="BHR70" s="122"/>
      <c r="BHS70" s="122"/>
      <c r="BHT70" s="122"/>
      <c r="BHU70" s="122"/>
      <c r="BHV70" s="122"/>
      <c r="BHW70" s="122"/>
      <c r="BHX70" s="122"/>
      <c r="BHY70" s="122"/>
      <c r="BHZ70" s="122"/>
      <c r="BIA70" s="122"/>
      <c r="BIB70" s="122"/>
      <c r="BIC70" s="122"/>
      <c r="BID70" s="122"/>
      <c r="BIE70" s="122"/>
      <c r="BIF70" s="122"/>
      <c r="BIG70" s="122"/>
      <c r="BIH70" s="122"/>
      <c r="BII70" s="122"/>
      <c r="BIJ70" s="122"/>
      <c r="BIK70" s="122"/>
      <c r="BIL70" s="122"/>
      <c r="BIM70" s="122"/>
      <c r="BIN70" s="122"/>
      <c r="BIO70" s="122"/>
      <c r="BIP70" s="122"/>
      <c r="BIQ70" s="122"/>
      <c r="BIR70" s="122"/>
      <c r="BIS70" s="122"/>
      <c r="BIT70" s="122"/>
      <c r="BIU70" s="122"/>
      <c r="BIV70" s="122"/>
      <c r="BIW70" s="122"/>
      <c r="BIX70" s="122"/>
      <c r="BIY70" s="122"/>
      <c r="BIZ70" s="122"/>
      <c r="BJA70" s="122"/>
      <c r="BJB70" s="122"/>
      <c r="BJC70" s="122"/>
      <c r="BJD70" s="122"/>
      <c r="BJE70" s="122"/>
      <c r="BJF70" s="122"/>
      <c r="BJG70" s="122"/>
      <c r="BJH70" s="122"/>
      <c r="BJI70" s="122"/>
      <c r="BJJ70" s="122"/>
      <c r="BJK70" s="122"/>
      <c r="BJL70" s="122"/>
      <c r="BJM70" s="122"/>
      <c r="BJN70" s="122"/>
      <c r="BJO70" s="122"/>
      <c r="BJP70" s="122"/>
      <c r="BJQ70" s="122"/>
      <c r="BJR70" s="122"/>
      <c r="BJS70" s="122"/>
      <c r="BJT70" s="122"/>
      <c r="BJU70" s="122"/>
      <c r="BJV70" s="122"/>
      <c r="BJW70" s="122"/>
      <c r="BJX70" s="122"/>
      <c r="BJY70" s="122"/>
      <c r="BJZ70" s="122"/>
      <c r="BKA70" s="122"/>
      <c r="BKB70" s="122"/>
      <c r="BKC70" s="122"/>
      <c r="BKD70" s="122"/>
      <c r="BKE70" s="122"/>
      <c r="BKF70" s="122"/>
      <c r="BKG70" s="122"/>
      <c r="BKH70" s="122"/>
      <c r="BKI70" s="122"/>
      <c r="BKJ70" s="122"/>
      <c r="BKK70" s="122"/>
      <c r="BKL70" s="122"/>
      <c r="BKM70" s="122"/>
      <c r="BKN70" s="122"/>
      <c r="BKO70" s="122"/>
      <c r="BKP70" s="122"/>
      <c r="BKQ70" s="122"/>
      <c r="BKR70" s="122"/>
      <c r="BKS70" s="122"/>
      <c r="BKT70" s="122"/>
      <c r="BKU70" s="122"/>
      <c r="BKV70" s="122"/>
      <c r="BKW70" s="122"/>
      <c r="BKX70" s="122"/>
      <c r="BKY70" s="122"/>
      <c r="BKZ70" s="122"/>
      <c r="BLA70" s="122"/>
      <c r="BLB70" s="122"/>
      <c r="BLC70" s="122"/>
      <c r="BLD70" s="122"/>
      <c r="BLE70" s="122"/>
      <c r="BLF70" s="122"/>
      <c r="BLG70" s="122"/>
      <c r="BLH70" s="122"/>
      <c r="BLI70" s="122"/>
      <c r="BLJ70" s="122"/>
      <c r="BLK70" s="122"/>
      <c r="BLL70" s="122"/>
      <c r="BLM70" s="122"/>
      <c r="BLN70" s="122"/>
      <c r="BLO70" s="122"/>
      <c r="BLP70" s="122"/>
      <c r="BLQ70" s="122"/>
      <c r="BLR70" s="122"/>
      <c r="BLS70" s="122"/>
      <c r="BLT70" s="122"/>
      <c r="BLU70" s="122"/>
      <c r="BLV70" s="122"/>
      <c r="BLW70" s="122"/>
      <c r="BLX70" s="122"/>
      <c r="BLY70" s="122"/>
      <c r="BLZ70" s="122"/>
      <c r="BMA70" s="122"/>
      <c r="BMB70" s="122"/>
      <c r="BMC70" s="122"/>
      <c r="BMD70" s="122"/>
      <c r="BME70" s="122"/>
      <c r="BMF70" s="122"/>
      <c r="BMG70" s="122"/>
      <c r="BMH70" s="122"/>
      <c r="BMI70" s="122"/>
      <c r="BMJ70" s="122"/>
      <c r="BMK70" s="122"/>
      <c r="BML70" s="122"/>
      <c r="BMM70" s="122"/>
      <c r="BMN70" s="122"/>
      <c r="BMO70" s="122"/>
      <c r="BMP70" s="122"/>
      <c r="BMQ70" s="122"/>
      <c r="BMR70" s="122"/>
      <c r="BMS70" s="122"/>
      <c r="BMT70" s="122"/>
      <c r="BMU70" s="122"/>
      <c r="BMV70" s="122"/>
      <c r="BMW70" s="122"/>
      <c r="BMX70" s="122"/>
      <c r="BMY70" s="122"/>
      <c r="BMZ70" s="122"/>
      <c r="BNA70" s="122"/>
      <c r="BNB70" s="122"/>
      <c r="BNC70" s="122"/>
      <c r="BND70" s="122"/>
      <c r="BNE70" s="122"/>
      <c r="BNF70" s="122"/>
      <c r="BNG70" s="122"/>
      <c r="BNH70" s="122"/>
      <c r="BNI70" s="122"/>
      <c r="BNJ70" s="122"/>
      <c r="BNK70" s="122"/>
      <c r="BNL70" s="122"/>
      <c r="BNM70" s="122"/>
      <c r="BNN70" s="122"/>
      <c r="BNO70" s="122"/>
      <c r="BNP70" s="122"/>
      <c r="BNQ70" s="122"/>
      <c r="BNR70" s="122"/>
      <c r="BNS70" s="122"/>
      <c r="BNT70" s="122"/>
      <c r="BNU70" s="122"/>
      <c r="BNV70" s="122"/>
      <c r="BNW70" s="122"/>
      <c r="BNX70" s="122"/>
      <c r="BNY70" s="122"/>
      <c r="BNZ70" s="122"/>
      <c r="BOA70" s="122"/>
      <c r="BOB70" s="122"/>
      <c r="BOC70" s="122"/>
      <c r="BOD70" s="122"/>
      <c r="BOE70" s="122"/>
      <c r="BOF70" s="122"/>
      <c r="BOG70" s="122"/>
      <c r="BOH70" s="122"/>
      <c r="BOI70" s="122"/>
      <c r="BOJ70" s="122"/>
      <c r="BOK70" s="122"/>
      <c r="BOL70" s="122"/>
      <c r="BOM70" s="122"/>
      <c r="BON70" s="122"/>
      <c r="BOO70" s="122"/>
      <c r="BOP70" s="122"/>
      <c r="BOQ70" s="122"/>
      <c r="BOR70" s="122"/>
      <c r="BOS70" s="122"/>
      <c r="BOT70" s="122"/>
      <c r="BOU70" s="122"/>
      <c r="BOV70" s="122"/>
      <c r="BOW70" s="122"/>
      <c r="BOX70" s="122"/>
      <c r="BOY70" s="122"/>
      <c r="BOZ70" s="122"/>
      <c r="BPA70" s="122"/>
      <c r="BPB70" s="122"/>
      <c r="BPC70" s="122"/>
      <c r="BPD70" s="122"/>
      <c r="BPE70" s="122"/>
      <c r="BPF70" s="122"/>
      <c r="BPG70" s="122"/>
      <c r="BPH70" s="122"/>
      <c r="BPI70" s="122"/>
      <c r="BPJ70" s="122"/>
      <c r="BPK70" s="122"/>
      <c r="BPL70" s="122"/>
      <c r="BPM70" s="122"/>
      <c r="BPN70" s="122"/>
      <c r="BPO70" s="122"/>
      <c r="BPP70" s="122"/>
      <c r="BPQ70" s="122"/>
      <c r="BPR70" s="122"/>
      <c r="BPS70" s="122"/>
      <c r="BPT70" s="122"/>
      <c r="BPU70" s="122"/>
      <c r="BPV70" s="122"/>
      <c r="BPW70" s="122"/>
      <c r="BPX70" s="122"/>
      <c r="BPY70" s="122"/>
      <c r="BPZ70" s="122"/>
      <c r="BQA70" s="122"/>
      <c r="BQB70" s="122"/>
      <c r="BQC70" s="122"/>
      <c r="BQD70" s="122"/>
      <c r="BQE70" s="122"/>
      <c r="BQF70" s="122"/>
      <c r="BQG70" s="122"/>
      <c r="BQH70" s="122"/>
      <c r="BQI70" s="122"/>
      <c r="BQJ70" s="122"/>
      <c r="BQK70" s="122"/>
      <c r="BQL70" s="122"/>
      <c r="BQM70" s="122"/>
      <c r="BQN70" s="122"/>
      <c r="BQO70" s="122"/>
      <c r="BQP70" s="122"/>
      <c r="BQQ70" s="122"/>
      <c r="BQR70" s="122"/>
      <c r="BQS70" s="122"/>
      <c r="BQT70" s="122"/>
      <c r="BQU70" s="122"/>
      <c r="BQV70" s="122"/>
      <c r="BQW70" s="122"/>
      <c r="BQX70" s="122"/>
      <c r="BQY70" s="122"/>
      <c r="BQZ70" s="122"/>
      <c r="BRA70" s="122"/>
      <c r="BRB70" s="122"/>
      <c r="BRC70" s="122"/>
      <c r="BRD70" s="122"/>
      <c r="BRE70" s="122"/>
      <c r="BRF70" s="122"/>
      <c r="BRG70" s="122"/>
      <c r="BRH70" s="122"/>
      <c r="BRI70" s="122"/>
      <c r="BRJ70" s="122"/>
      <c r="BRK70" s="122"/>
      <c r="BRL70" s="122"/>
      <c r="BRM70" s="122"/>
      <c r="BRN70" s="122"/>
      <c r="BRO70" s="122"/>
      <c r="BRP70" s="122"/>
      <c r="BRQ70" s="122"/>
      <c r="BRR70" s="122"/>
      <c r="BRS70" s="122"/>
      <c r="BRT70" s="122"/>
      <c r="BRU70" s="122"/>
      <c r="BRV70" s="122"/>
      <c r="BRW70" s="122"/>
      <c r="BRX70" s="122"/>
      <c r="BRY70" s="122"/>
      <c r="BRZ70" s="122"/>
      <c r="BSA70" s="122"/>
      <c r="BSB70" s="122"/>
      <c r="BSC70" s="122"/>
      <c r="BSD70" s="122"/>
      <c r="BSE70" s="122"/>
      <c r="BSF70" s="122"/>
      <c r="BSG70" s="122"/>
      <c r="BSH70" s="122"/>
      <c r="BSI70" s="122"/>
      <c r="BSJ70" s="122"/>
      <c r="BSK70" s="122"/>
      <c r="BSL70" s="122"/>
      <c r="BSM70" s="122"/>
      <c r="BSN70" s="122"/>
      <c r="BSO70" s="122"/>
      <c r="BSP70" s="122"/>
      <c r="BSQ70" s="122"/>
      <c r="BSR70" s="122"/>
      <c r="BSS70" s="122"/>
      <c r="BST70" s="122"/>
      <c r="BSU70" s="122"/>
      <c r="BSV70" s="122"/>
      <c r="BSW70" s="122"/>
      <c r="BSX70" s="122"/>
      <c r="BSY70" s="122"/>
      <c r="BSZ70" s="122"/>
      <c r="BTA70" s="122"/>
      <c r="BTB70" s="122"/>
      <c r="BTC70" s="122"/>
      <c r="BTD70" s="122"/>
      <c r="BTE70" s="122"/>
      <c r="BTF70" s="122"/>
      <c r="BTG70" s="122"/>
      <c r="BTH70" s="122"/>
      <c r="BTI70" s="122"/>
      <c r="BTJ70" s="122"/>
      <c r="BTK70" s="122"/>
      <c r="BTL70" s="122"/>
      <c r="BTM70" s="122"/>
      <c r="BTN70" s="122"/>
      <c r="BTO70" s="122"/>
      <c r="BTP70" s="122"/>
      <c r="BTQ70" s="122"/>
      <c r="BTR70" s="122"/>
      <c r="BTS70" s="122"/>
      <c r="BTT70" s="122"/>
      <c r="BTU70" s="122"/>
      <c r="BTV70" s="122"/>
      <c r="BTW70" s="122"/>
      <c r="BTX70" s="122"/>
      <c r="BTY70" s="122"/>
      <c r="BTZ70" s="122"/>
      <c r="BUA70" s="122"/>
      <c r="BUB70" s="122"/>
      <c r="BUC70" s="122"/>
      <c r="BUD70" s="122"/>
      <c r="BUE70" s="122"/>
      <c r="BUF70" s="122"/>
      <c r="BUG70" s="122"/>
      <c r="BUH70" s="122"/>
      <c r="BUI70" s="122"/>
      <c r="BUJ70" s="122"/>
      <c r="BUK70" s="122"/>
      <c r="BUL70" s="122"/>
      <c r="BUM70" s="122"/>
      <c r="BUN70" s="122"/>
      <c r="BUO70" s="122"/>
      <c r="BUP70" s="122"/>
      <c r="BUQ70" s="122"/>
      <c r="BUR70" s="122"/>
      <c r="BUS70" s="122"/>
      <c r="BUT70" s="122"/>
      <c r="BUU70" s="122"/>
      <c r="BUV70" s="122"/>
      <c r="BUW70" s="122"/>
      <c r="BUX70" s="122"/>
      <c r="BUY70" s="122"/>
      <c r="BUZ70" s="122"/>
      <c r="BVA70" s="122"/>
      <c r="BVB70" s="122"/>
      <c r="BVC70" s="122"/>
      <c r="BVD70" s="122"/>
      <c r="BVE70" s="122"/>
      <c r="BVF70" s="122"/>
      <c r="BVG70" s="122"/>
      <c r="BVH70" s="122"/>
      <c r="BVI70" s="122"/>
      <c r="BVJ70" s="122"/>
      <c r="BVK70" s="122"/>
      <c r="BVL70" s="122"/>
      <c r="BVM70" s="122"/>
      <c r="BVN70" s="122"/>
      <c r="BVO70" s="122"/>
      <c r="BVP70" s="122"/>
      <c r="BVQ70" s="122"/>
      <c r="BVR70" s="122"/>
      <c r="BVS70" s="122"/>
      <c r="BVT70" s="122"/>
      <c r="BVU70" s="122"/>
      <c r="BVV70" s="122"/>
      <c r="BVW70" s="122"/>
      <c r="BVX70" s="122"/>
      <c r="BVY70" s="122"/>
      <c r="BVZ70" s="122"/>
      <c r="BWA70" s="122"/>
      <c r="BWB70" s="122"/>
      <c r="BWC70" s="122"/>
      <c r="BWD70" s="122"/>
      <c r="BWE70" s="122"/>
      <c r="BWF70" s="122"/>
      <c r="BWG70" s="122"/>
      <c r="BWH70" s="122"/>
      <c r="BWI70" s="122"/>
      <c r="BWJ70" s="122"/>
      <c r="BWK70" s="122"/>
      <c r="BWL70" s="122"/>
      <c r="BWM70" s="122"/>
      <c r="BWN70" s="122"/>
      <c r="BWO70" s="122"/>
      <c r="BWP70" s="122"/>
      <c r="BWQ70" s="122"/>
      <c r="BWR70" s="122"/>
      <c r="BWS70" s="122"/>
      <c r="BWT70" s="122"/>
      <c r="BWU70" s="122"/>
      <c r="BWV70" s="122"/>
      <c r="BWW70" s="122"/>
      <c r="BWX70" s="122"/>
      <c r="BWY70" s="122"/>
      <c r="BWZ70" s="122"/>
      <c r="BXA70" s="122"/>
      <c r="BXB70" s="122"/>
      <c r="BXC70" s="122"/>
      <c r="BXD70" s="122"/>
      <c r="BXE70" s="122"/>
      <c r="BXF70" s="122"/>
      <c r="BXG70" s="122"/>
      <c r="BXH70" s="122"/>
      <c r="BXI70" s="122"/>
      <c r="BXJ70" s="122"/>
      <c r="BXK70" s="122"/>
      <c r="BXL70" s="122"/>
      <c r="BXM70" s="122"/>
      <c r="BXN70" s="122"/>
      <c r="BXO70" s="122"/>
      <c r="BXP70" s="122"/>
      <c r="BXQ70" s="122"/>
      <c r="BXR70" s="122"/>
      <c r="BXS70" s="122"/>
      <c r="BXT70" s="122"/>
      <c r="BXU70" s="122"/>
      <c r="BXV70" s="122"/>
      <c r="BXW70" s="122"/>
      <c r="BXX70" s="122"/>
      <c r="BXY70" s="122"/>
      <c r="BXZ70" s="122"/>
      <c r="BYA70" s="122"/>
      <c r="BYB70" s="122"/>
      <c r="BYC70" s="122"/>
      <c r="BYD70" s="122"/>
      <c r="BYE70" s="122"/>
      <c r="BYF70" s="122"/>
      <c r="BYG70" s="122"/>
      <c r="BYH70" s="122"/>
      <c r="BYI70" s="122"/>
      <c r="BYJ70" s="122"/>
      <c r="BYK70" s="122"/>
      <c r="BYL70" s="122"/>
      <c r="BYM70" s="122"/>
      <c r="BYN70" s="122"/>
      <c r="BYO70" s="122"/>
      <c r="BYP70" s="122"/>
      <c r="BYQ70" s="122"/>
      <c r="BYR70" s="122"/>
      <c r="BYS70" s="122"/>
      <c r="BYT70" s="122"/>
      <c r="BYU70" s="122"/>
      <c r="BYV70" s="122"/>
      <c r="BYW70" s="122"/>
      <c r="BYX70" s="122"/>
      <c r="BYY70" s="122"/>
      <c r="BYZ70" s="122"/>
      <c r="BZA70" s="122"/>
      <c r="BZB70" s="122"/>
      <c r="BZC70" s="122"/>
      <c r="BZD70" s="122"/>
      <c r="BZE70" s="122"/>
      <c r="BZF70" s="122"/>
      <c r="BZG70" s="122"/>
      <c r="BZH70" s="122"/>
      <c r="BZI70" s="122"/>
      <c r="BZJ70" s="122"/>
      <c r="BZK70" s="122"/>
      <c r="BZL70" s="122"/>
      <c r="BZM70" s="122"/>
      <c r="BZN70" s="122"/>
      <c r="BZO70" s="122"/>
      <c r="BZP70" s="122"/>
      <c r="BZQ70" s="122"/>
      <c r="BZR70" s="122"/>
      <c r="BZS70" s="122"/>
      <c r="BZT70" s="122"/>
      <c r="BZU70" s="122"/>
      <c r="BZV70" s="122"/>
      <c r="BZW70" s="122"/>
      <c r="BZX70" s="122"/>
      <c r="BZY70" s="122"/>
      <c r="BZZ70" s="122"/>
      <c r="CAA70" s="122"/>
      <c r="CAB70" s="122"/>
      <c r="CAC70" s="122"/>
      <c r="CAD70" s="122"/>
      <c r="CAE70" s="122"/>
      <c r="CAF70" s="122"/>
      <c r="CAG70" s="122"/>
      <c r="CAH70" s="122"/>
      <c r="CAI70" s="122"/>
      <c r="CAJ70" s="122"/>
      <c r="CAK70" s="122"/>
      <c r="CAL70" s="122"/>
      <c r="CAM70" s="122"/>
      <c r="CAN70" s="122"/>
      <c r="CAO70" s="122"/>
      <c r="CAP70" s="122"/>
      <c r="CAQ70" s="122"/>
      <c r="CAR70" s="122"/>
      <c r="CAS70" s="122"/>
      <c r="CAT70" s="122"/>
      <c r="CAU70" s="122"/>
      <c r="CAV70" s="122"/>
      <c r="CAW70" s="122"/>
      <c r="CAX70" s="122"/>
      <c r="CAY70" s="122"/>
      <c r="CAZ70" s="122"/>
      <c r="CBA70" s="122"/>
      <c r="CBB70" s="122"/>
      <c r="CBC70" s="122"/>
      <c r="CBD70" s="122"/>
      <c r="CBE70" s="122"/>
      <c r="CBF70" s="122"/>
      <c r="CBG70" s="122"/>
      <c r="CBH70" s="122"/>
      <c r="CBI70" s="122"/>
      <c r="CBJ70" s="122"/>
      <c r="CBK70" s="122"/>
      <c r="CBL70" s="122"/>
      <c r="CBM70" s="122"/>
      <c r="CBN70" s="122"/>
      <c r="CBO70" s="122"/>
      <c r="CBP70" s="122"/>
      <c r="CBQ70" s="122"/>
      <c r="CBR70" s="122"/>
      <c r="CBS70" s="122"/>
      <c r="CBT70" s="122"/>
      <c r="CBU70" s="122"/>
      <c r="CBV70" s="122"/>
      <c r="CBW70" s="122"/>
      <c r="CBX70" s="122"/>
      <c r="CBY70" s="122"/>
      <c r="CBZ70" s="122"/>
      <c r="CCA70" s="122"/>
      <c r="CCB70" s="122"/>
      <c r="CCC70" s="122"/>
      <c r="CCD70" s="122"/>
      <c r="CCE70" s="122"/>
      <c r="CCF70" s="122"/>
      <c r="CCG70" s="122"/>
      <c r="CCH70" s="122"/>
      <c r="CCI70" s="122"/>
      <c r="CCJ70" s="122"/>
      <c r="CCK70" s="122"/>
      <c r="CCL70" s="122"/>
      <c r="CCM70" s="122"/>
      <c r="CCN70" s="122"/>
      <c r="CCO70" s="122"/>
      <c r="CCP70" s="122"/>
      <c r="CCQ70" s="122"/>
      <c r="CCR70" s="122"/>
      <c r="CCS70" s="122"/>
      <c r="CCT70" s="122"/>
      <c r="CCU70" s="122"/>
      <c r="CCV70" s="122"/>
      <c r="CCW70" s="122"/>
      <c r="CCX70" s="122"/>
      <c r="CCY70" s="122"/>
      <c r="CCZ70" s="122"/>
      <c r="CDA70" s="122"/>
      <c r="CDB70" s="122"/>
      <c r="CDC70" s="122"/>
      <c r="CDD70" s="122"/>
      <c r="CDE70" s="122"/>
      <c r="CDF70" s="122"/>
      <c r="CDG70" s="122"/>
      <c r="CDH70" s="122"/>
      <c r="CDI70" s="122"/>
      <c r="CDJ70" s="122"/>
      <c r="CDK70" s="122"/>
      <c r="CDL70" s="122"/>
      <c r="CDM70" s="122"/>
      <c r="CDN70" s="122"/>
      <c r="CDO70" s="122"/>
      <c r="CDP70" s="122"/>
      <c r="CDQ70" s="122"/>
      <c r="CDR70" s="122"/>
      <c r="CDS70" s="122"/>
      <c r="CDT70" s="122"/>
      <c r="CDU70" s="122"/>
      <c r="CDV70" s="122"/>
      <c r="CDW70" s="122"/>
      <c r="CDX70" s="122"/>
      <c r="CDY70" s="122"/>
      <c r="CDZ70" s="122"/>
      <c r="CEA70" s="122"/>
      <c r="CEB70" s="122"/>
      <c r="CEC70" s="122"/>
      <c r="CED70" s="122"/>
      <c r="CEE70" s="122"/>
      <c r="CEF70" s="122"/>
      <c r="CEG70" s="122"/>
      <c r="CEH70" s="122"/>
      <c r="CEI70" s="122"/>
      <c r="CEJ70" s="122"/>
      <c r="CEK70" s="122"/>
      <c r="CEL70" s="122"/>
      <c r="CEM70" s="122"/>
      <c r="CEN70" s="122"/>
      <c r="CEO70" s="122"/>
      <c r="CEP70" s="122"/>
      <c r="CEQ70" s="122"/>
      <c r="CER70" s="122"/>
      <c r="CES70" s="122"/>
      <c r="CET70" s="122"/>
      <c r="CEU70" s="122"/>
      <c r="CEV70" s="122"/>
      <c r="CEW70" s="122"/>
      <c r="CEX70" s="122"/>
      <c r="CEY70" s="122"/>
      <c r="CEZ70" s="122"/>
      <c r="CFA70" s="122"/>
      <c r="CFB70" s="122"/>
      <c r="CFC70" s="122"/>
      <c r="CFD70" s="122"/>
      <c r="CFE70" s="122"/>
      <c r="CFF70" s="122"/>
      <c r="CFG70" s="122"/>
      <c r="CFH70" s="122"/>
      <c r="CFI70" s="122"/>
      <c r="CFJ70" s="122"/>
      <c r="CFK70" s="122"/>
      <c r="CFL70" s="122"/>
      <c r="CFM70" s="122"/>
      <c r="CFN70" s="122"/>
      <c r="CFO70" s="122"/>
      <c r="CFP70" s="122"/>
      <c r="CFQ70" s="122"/>
      <c r="CFR70" s="122"/>
      <c r="CFS70" s="122"/>
      <c r="CFT70" s="122"/>
      <c r="CFU70" s="122"/>
      <c r="CFV70" s="122"/>
      <c r="CFW70" s="122"/>
      <c r="CFX70" s="122"/>
      <c r="CFY70" s="122"/>
      <c r="CFZ70" s="122"/>
      <c r="CGA70" s="122"/>
      <c r="CGB70" s="122"/>
      <c r="CGC70" s="122"/>
      <c r="CGD70" s="122"/>
      <c r="CGE70" s="122"/>
      <c r="CGF70" s="122"/>
      <c r="CGG70" s="122"/>
      <c r="CGH70" s="122"/>
      <c r="CGI70" s="122"/>
      <c r="CGJ70" s="122"/>
      <c r="CGK70" s="122"/>
      <c r="CGL70" s="122"/>
      <c r="CGM70" s="122"/>
      <c r="CGN70" s="122"/>
      <c r="CGO70" s="122"/>
      <c r="CGP70" s="122"/>
      <c r="CGQ70" s="122"/>
      <c r="CGR70" s="122"/>
      <c r="CGS70" s="122"/>
      <c r="CGT70" s="122"/>
      <c r="CGU70" s="122"/>
      <c r="CGV70" s="122"/>
      <c r="CGW70" s="122"/>
      <c r="CGX70" s="122"/>
      <c r="CGY70" s="122"/>
      <c r="CGZ70" s="122"/>
      <c r="CHA70" s="122"/>
      <c r="CHB70" s="122"/>
      <c r="CHC70" s="122"/>
      <c r="CHD70" s="122"/>
      <c r="CHE70" s="122"/>
      <c r="CHF70" s="122"/>
      <c r="CHG70" s="122"/>
      <c r="CHH70" s="122"/>
      <c r="CHI70" s="122"/>
      <c r="CHJ70" s="122"/>
      <c r="CHK70" s="122"/>
      <c r="CHL70" s="122"/>
      <c r="CHM70" s="122"/>
      <c r="CHN70" s="122"/>
      <c r="CHO70" s="122"/>
      <c r="CHP70" s="122"/>
      <c r="CHQ70" s="122"/>
      <c r="CHR70" s="122"/>
      <c r="CHS70" s="122"/>
      <c r="CHT70" s="122"/>
      <c r="CHU70" s="122"/>
      <c r="CHV70" s="122"/>
      <c r="CHW70" s="122"/>
      <c r="CHX70" s="122"/>
      <c r="CHY70" s="122"/>
      <c r="CHZ70" s="122"/>
      <c r="CIA70" s="122"/>
      <c r="CIB70" s="122"/>
      <c r="CIC70" s="122"/>
      <c r="CID70" s="122"/>
      <c r="CIE70" s="122"/>
      <c r="CIF70" s="122"/>
      <c r="CIG70" s="122"/>
      <c r="CIH70" s="122"/>
      <c r="CII70" s="122"/>
      <c r="CIJ70" s="122"/>
      <c r="CIK70" s="122"/>
      <c r="CIL70" s="122"/>
      <c r="CIM70" s="122"/>
      <c r="CIN70" s="122"/>
      <c r="CIO70" s="122"/>
      <c r="CIP70" s="122"/>
      <c r="CIQ70" s="122"/>
      <c r="CIR70" s="122"/>
      <c r="CIS70" s="122"/>
      <c r="CIT70" s="122"/>
      <c r="CIU70" s="122"/>
      <c r="CIV70" s="122"/>
      <c r="CIW70" s="122"/>
      <c r="CIX70" s="122"/>
      <c r="CIY70" s="122"/>
      <c r="CIZ70" s="122"/>
      <c r="CJA70" s="122"/>
      <c r="CJB70" s="122"/>
      <c r="CJC70" s="122"/>
      <c r="CJD70" s="122"/>
      <c r="CJE70" s="122"/>
      <c r="CJF70" s="122"/>
      <c r="CJG70" s="122"/>
      <c r="CJH70" s="122"/>
      <c r="CJI70" s="122"/>
      <c r="CJJ70" s="122"/>
      <c r="CJK70" s="122"/>
      <c r="CJL70" s="122"/>
      <c r="CJM70" s="122"/>
      <c r="CJN70" s="122"/>
      <c r="CJO70" s="122"/>
      <c r="CJP70" s="122"/>
      <c r="CJQ70" s="122"/>
      <c r="CJR70" s="122"/>
      <c r="CJS70" s="122"/>
      <c r="CJT70" s="122"/>
      <c r="CJU70" s="122"/>
      <c r="CJV70" s="122"/>
      <c r="CJW70" s="122"/>
      <c r="CJX70" s="122"/>
      <c r="CJY70" s="122"/>
      <c r="CJZ70" s="122"/>
      <c r="CKA70" s="122"/>
      <c r="CKB70" s="122"/>
      <c r="CKC70" s="122"/>
      <c r="CKD70" s="122"/>
      <c r="CKE70" s="122"/>
      <c r="CKF70" s="122"/>
      <c r="CKG70" s="122"/>
      <c r="CKH70" s="122"/>
      <c r="CKI70" s="122"/>
      <c r="CKJ70" s="122"/>
      <c r="CKK70" s="122"/>
      <c r="CKL70" s="122"/>
      <c r="CKM70" s="122"/>
      <c r="CKN70" s="122"/>
      <c r="CKO70" s="122"/>
      <c r="CKP70" s="122"/>
      <c r="CKQ70" s="122"/>
      <c r="CKR70" s="122"/>
      <c r="CKS70" s="122"/>
      <c r="CKT70" s="122"/>
      <c r="CKU70" s="122"/>
      <c r="CKV70" s="122"/>
      <c r="CKW70" s="122"/>
      <c r="CKX70" s="122"/>
      <c r="CKY70" s="122"/>
      <c r="CKZ70" s="122"/>
      <c r="CLA70" s="122"/>
      <c r="CLB70" s="122"/>
      <c r="CLC70" s="122"/>
      <c r="CLD70" s="122"/>
      <c r="CLE70" s="122"/>
      <c r="CLF70" s="122"/>
      <c r="CLG70" s="122"/>
      <c r="CLH70" s="122"/>
      <c r="CLI70" s="122"/>
      <c r="CLJ70" s="122"/>
      <c r="CLK70" s="122"/>
      <c r="CLL70" s="122"/>
      <c r="CLM70" s="122"/>
      <c r="CLN70" s="122"/>
      <c r="CLO70" s="122"/>
      <c r="CLP70" s="122"/>
      <c r="CLQ70" s="122"/>
      <c r="CLR70" s="122"/>
      <c r="CLS70" s="122"/>
      <c r="CLT70" s="122"/>
      <c r="CLU70" s="122"/>
      <c r="CLV70" s="122"/>
      <c r="CLW70" s="122"/>
      <c r="CLX70" s="122"/>
      <c r="CLY70" s="122"/>
      <c r="CLZ70" s="122"/>
      <c r="CMA70" s="122"/>
      <c r="CMB70" s="122"/>
      <c r="CMC70" s="122"/>
      <c r="CMD70" s="122"/>
      <c r="CME70" s="122"/>
      <c r="CMF70" s="122"/>
      <c r="CMG70" s="122"/>
      <c r="CMH70" s="122"/>
      <c r="CMI70" s="122"/>
      <c r="CMJ70" s="122"/>
      <c r="CMK70" s="122"/>
      <c r="CML70" s="122"/>
      <c r="CMM70" s="122"/>
      <c r="CMN70" s="122"/>
      <c r="CMO70" s="122"/>
      <c r="CMP70" s="122"/>
      <c r="CMQ70" s="122"/>
      <c r="CMR70" s="122"/>
      <c r="CMS70" s="122"/>
      <c r="CMT70" s="122"/>
      <c r="CMU70" s="122"/>
      <c r="CMV70" s="122"/>
      <c r="CMW70" s="122"/>
      <c r="CMX70" s="122"/>
      <c r="CMY70" s="122"/>
      <c r="CMZ70" s="122"/>
      <c r="CNA70" s="122"/>
      <c r="CNB70" s="122"/>
      <c r="CNC70" s="122"/>
      <c r="CND70" s="122"/>
      <c r="CNE70" s="122"/>
      <c r="CNF70" s="122"/>
      <c r="CNG70" s="122"/>
      <c r="CNH70" s="122"/>
      <c r="CNI70" s="122"/>
      <c r="CNJ70" s="122"/>
      <c r="CNK70" s="122"/>
      <c r="CNL70" s="122"/>
      <c r="CNM70" s="122"/>
      <c r="CNN70" s="122"/>
      <c r="CNO70" s="122"/>
      <c r="CNP70" s="122"/>
      <c r="CNQ70" s="122"/>
      <c r="CNR70" s="122"/>
      <c r="CNS70" s="122"/>
      <c r="CNT70" s="122"/>
      <c r="CNU70" s="122"/>
      <c r="CNV70" s="122"/>
      <c r="CNW70" s="122"/>
      <c r="CNX70" s="122"/>
      <c r="CNY70" s="122"/>
      <c r="CNZ70" s="122"/>
      <c r="COA70" s="122"/>
      <c r="COB70" s="122"/>
      <c r="COC70" s="122"/>
      <c r="COD70" s="122"/>
      <c r="COE70" s="122"/>
      <c r="COF70" s="122"/>
      <c r="COG70" s="122"/>
      <c r="COH70" s="122"/>
      <c r="COI70" s="122"/>
      <c r="COJ70" s="122"/>
      <c r="COK70" s="122"/>
      <c r="COL70" s="122"/>
      <c r="COM70" s="122"/>
      <c r="CON70" s="122"/>
      <c r="COO70" s="122"/>
      <c r="COP70" s="122"/>
      <c r="COQ70" s="122"/>
      <c r="COR70" s="122"/>
      <c r="COS70" s="122"/>
      <c r="COT70" s="122"/>
      <c r="COU70" s="122"/>
      <c r="COV70" s="122"/>
      <c r="COW70" s="122"/>
      <c r="COX70" s="122"/>
      <c r="COY70" s="122"/>
      <c r="COZ70" s="122"/>
      <c r="CPA70" s="122"/>
      <c r="CPB70" s="122"/>
      <c r="CPC70" s="122"/>
      <c r="CPD70" s="122"/>
      <c r="CPE70" s="122"/>
      <c r="CPF70" s="122"/>
      <c r="CPG70" s="122"/>
      <c r="CPH70" s="122"/>
      <c r="CPI70" s="122"/>
      <c r="CPJ70" s="122"/>
      <c r="CPK70" s="122"/>
      <c r="CPL70" s="122"/>
      <c r="CPM70" s="122"/>
      <c r="CPN70" s="122"/>
      <c r="CPO70" s="122"/>
      <c r="CPP70" s="122"/>
      <c r="CPQ70" s="122"/>
      <c r="CPR70" s="122"/>
      <c r="CPS70" s="122"/>
      <c r="CPT70" s="122"/>
      <c r="CPU70" s="122"/>
      <c r="CPV70" s="122"/>
      <c r="CPW70" s="122"/>
      <c r="CPX70" s="122"/>
      <c r="CPY70" s="122"/>
      <c r="CPZ70" s="122"/>
      <c r="CQA70" s="122"/>
      <c r="CQB70" s="122"/>
      <c r="CQC70" s="122"/>
      <c r="CQD70" s="122"/>
      <c r="CQE70" s="122"/>
      <c r="CQF70" s="122"/>
      <c r="CQG70" s="122"/>
      <c r="CQH70" s="122"/>
      <c r="CQI70" s="122"/>
      <c r="CQJ70" s="122"/>
      <c r="CQK70" s="122"/>
      <c r="CQL70" s="122"/>
      <c r="CQM70" s="122"/>
      <c r="CQN70" s="122"/>
      <c r="CQO70" s="122"/>
      <c r="CQP70" s="122"/>
      <c r="CQQ70" s="122"/>
      <c r="CQR70" s="122"/>
      <c r="CQS70" s="122"/>
      <c r="CQT70" s="122"/>
      <c r="CQU70" s="122"/>
      <c r="CQV70" s="122"/>
      <c r="CQW70" s="122"/>
      <c r="CQX70" s="122"/>
      <c r="CQY70" s="122"/>
      <c r="CQZ70" s="122"/>
      <c r="CRA70" s="122"/>
      <c r="CRB70" s="122"/>
      <c r="CRC70" s="122"/>
      <c r="CRD70" s="122"/>
      <c r="CRE70" s="122"/>
      <c r="CRF70" s="122"/>
      <c r="CRG70" s="122"/>
      <c r="CRH70" s="122"/>
      <c r="CRI70" s="122"/>
      <c r="CRJ70" s="122"/>
      <c r="CRK70" s="122"/>
      <c r="CRL70" s="122"/>
      <c r="CRM70" s="122"/>
      <c r="CRN70" s="122"/>
      <c r="CRO70" s="122"/>
      <c r="CRP70" s="122"/>
      <c r="CRQ70" s="122"/>
      <c r="CRR70" s="122"/>
      <c r="CRS70" s="122"/>
      <c r="CRT70" s="122"/>
      <c r="CRU70" s="122"/>
      <c r="CRV70" s="122"/>
      <c r="CRW70" s="122"/>
      <c r="CRX70" s="122"/>
      <c r="CRY70" s="122"/>
      <c r="CRZ70" s="122"/>
      <c r="CSA70" s="122"/>
      <c r="CSB70" s="122"/>
      <c r="CSC70" s="122"/>
      <c r="CSD70" s="122"/>
      <c r="CSE70" s="122"/>
      <c r="CSF70" s="122"/>
      <c r="CSG70" s="122"/>
      <c r="CSH70" s="122"/>
      <c r="CSI70" s="122"/>
      <c r="CSJ70" s="122"/>
      <c r="CSK70" s="122"/>
      <c r="CSL70" s="122"/>
      <c r="CSM70" s="122"/>
      <c r="CSN70" s="122"/>
      <c r="CSO70" s="122"/>
      <c r="CSP70" s="122"/>
      <c r="CSQ70" s="122"/>
      <c r="CSR70" s="122"/>
      <c r="CSS70" s="122"/>
      <c r="CST70" s="122"/>
      <c r="CSU70" s="122"/>
      <c r="CSV70" s="122"/>
      <c r="CSW70" s="122"/>
      <c r="CSX70" s="122"/>
      <c r="CSY70" s="122"/>
      <c r="CSZ70" s="122"/>
      <c r="CTA70" s="122"/>
      <c r="CTB70" s="122"/>
      <c r="CTC70" s="122"/>
      <c r="CTD70" s="122"/>
      <c r="CTE70" s="122"/>
      <c r="CTF70" s="122"/>
      <c r="CTG70" s="122"/>
      <c r="CTH70" s="122"/>
      <c r="CTI70" s="122"/>
      <c r="CTJ70" s="122"/>
      <c r="CTK70" s="122"/>
      <c r="CTL70" s="122"/>
      <c r="CTM70" s="122"/>
      <c r="CTN70" s="122"/>
      <c r="CTO70" s="122"/>
      <c r="CTP70" s="122"/>
      <c r="CTQ70" s="122"/>
      <c r="CTR70" s="122"/>
      <c r="CTS70" s="122"/>
      <c r="CTT70" s="122"/>
      <c r="CTU70" s="122"/>
      <c r="CTV70" s="122"/>
      <c r="CTW70" s="122"/>
      <c r="CTX70" s="122"/>
      <c r="CTY70" s="122"/>
      <c r="CTZ70" s="122"/>
      <c r="CUA70" s="122"/>
      <c r="CUB70" s="122"/>
      <c r="CUC70" s="122"/>
      <c r="CUD70" s="122"/>
      <c r="CUE70" s="122"/>
      <c r="CUF70" s="122"/>
      <c r="CUG70" s="122"/>
      <c r="CUH70" s="122"/>
      <c r="CUI70" s="122"/>
      <c r="CUJ70" s="122"/>
      <c r="CUK70" s="122"/>
      <c r="CUL70" s="122"/>
      <c r="CUM70" s="122"/>
      <c r="CUN70" s="122"/>
      <c r="CUO70" s="122"/>
      <c r="CUP70" s="122"/>
      <c r="CUQ70" s="122"/>
      <c r="CUR70" s="122"/>
      <c r="CUS70" s="122"/>
      <c r="CUT70" s="122"/>
      <c r="CUU70" s="122"/>
      <c r="CUV70" s="122"/>
      <c r="CUW70" s="122"/>
      <c r="CUX70" s="122"/>
      <c r="CUY70" s="122"/>
      <c r="CUZ70" s="122"/>
      <c r="CVA70" s="122"/>
      <c r="CVB70" s="122"/>
      <c r="CVC70" s="122"/>
      <c r="CVD70" s="122"/>
      <c r="CVE70" s="122"/>
      <c r="CVF70" s="122"/>
      <c r="CVG70" s="122"/>
      <c r="CVH70" s="122"/>
      <c r="CVI70" s="122"/>
      <c r="CVJ70" s="122"/>
      <c r="CVK70" s="122"/>
      <c r="CVL70" s="122"/>
      <c r="CVM70" s="122"/>
      <c r="CVN70" s="122"/>
      <c r="CVO70" s="122"/>
      <c r="CVP70" s="122"/>
      <c r="CVQ70" s="122"/>
      <c r="CVR70" s="122"/>
      <c r="CVS70" s="122"/>
      <c r="CVT70" s="122"/>
      <c r="CVU70" s="122"/>
      <c r="CVV70" s="122"/>
      <c r="CVW70" s="122"/>
      <c r="CVX70" s="122"/>
      <c r="CVY70" s="122"/>
      <c r="CVZ70" s="122"/>
      <c r="CWA70" s="122"/>
      <c r="CWB70" s="122"/>
      <c r="CWC70" s="122"/>
      <c r="CWD70" s="122"/>
      <c r="CWE70" s="122"/>
      <c r="CWF70" s="122"/>
      <c r="CWG70" s="122"/>
      <c r="CWH70" s="122"/>
      <c r="CWI70" s="122"/>
      <c r="CWJ70" s="122"/>
      <c r="CWK70" s="122"/>
      <c r="CWL70" s="122"/>
      <c r="CWM70" s="122"/>
      <c r="CWN70" s="122"/>
      <c r="CWO70" s="122"/>
      <c r="CWP70" s="122"/>
      <c r="CWQ70" s="122"/>
      <c r="CWR70" s="122"/>
      <c r="CWS70" s="122"/>
      <c r="CWT70" s="122"/>
      <c r="CWU70" s="122"/>
      <c r="CWV70" s="122"/>
      <c r="CWW70" s="122"/>
      <c r="CWX70" s="122"/>
      <c r="CWY70" s="122"/>
      <c r="CWZ70" s="122"/>
      <c r="CXA70" s="122"/>
      <c r="CXB70" s="122"/>
      <c r="CXC70" s="122"/>
      <c r="CXD70" s="122"/>
      <c r="CXE70" s="122"/>
      <c r="CXF70" s="122"/>
      <c r="CXG70" s="122"/>
      <c r="CXH70" s="122"/>
      <c r="CXI70" s="122"/>
      <c r="CXJ70" s="122"/>
      <c r="CXK70" s="122"/>
      <c r="CXL70" s="122"/>
      <c r="CXM70" s="122"/>
      <c r="CXN70" s="122"/>
      <c r="CXO70" s="122"/>
      <c r="CXP70" s="122"/>
      <c r="CXQ70" s="122"/>
      <c r="CXR70" s="122"/>
      <c r="CXS70" s="122"/>
      <c r="CXT70" s="122"/>
      <c r="CXU70" s="122"/>
      <c r="CXV70" s="122"/>
      <c r="CXW70" s="122"/>
      <c r="CXX70" s="122"/>
      <c r="CXY70" s="122"/>
      <c r="CXZ70" s="122"/>
      <c r="CYA70" s="122"/>
      <c r="CYB70" s="122"/>
      <c r="CYC70" s="122"/>
      <c r="CYD70" s="122"/>
      <c r="CYE70" s="122"/>
      <c r="CYF70" s="122"/>
      <c r="CYG70" s="122"/>
      <c r="CYH70" s="122"/>
      <c r="CYI70" s="122"/>
      <c r="CYJ70" s="122"/>
      <c r="CYK70" s="122"/>
      <c r="CYL70" s="122"/>
      <c r="CYM70" s="122"/>
      <c r="CYN70" s="122"/>
      <c r="CYO70" s="122"/>
      <c r="CYP70" s="122"/>
      <c r="CYQ70" s="122"/>
      <c r="CYR70" s="122"/>
      <c r="CYS70" s="122"/>
      <c r="CYT70" s="122"/>
      <c r="CYU70" s="122"/>
      <c r="CYV70" s="122"/>
      <c r="CYW70" s="122"/>
      <c r="CYX70" s="122"/>
      <c r="CYY70" s="122"/>
      <c r="CYZ70" s="122"/>
      <c r="CZA70" s="122"/>
      <c r="CZB70" s="122"/>
      <c r="CZC70" s="122"/>
      <c r="CZD70" s="122"/>
      <c r="CZE70" s="122"/>
      <c r="CZF70" s="122"/>
      <c r="CZG70" s="122"/>
      <c r="CZH70" s="122"/>
      <c r="CZI70" s="122"/>
      <c r="CZJ70" s="122"/>
      <c r="CZK70" s="122"/>
      <c r="CZL70" s="122"/>
      <c r="CZM70" s="122"/>
      <c r="CZN70" s="122"/>
      <c r="CZO70" s="122"/>
      <c r="CZP70" s="122"/>
      <c r="CZQ70" s="122"/>
      <c r="CZR70" s="122"/>
      <c r="CZS70" s="122"/>
      <c r="CZT70" s="122"/>
      <c r="CZU70" s="122"/>
      <c r="CZV70" s="122"/>
      <c r="CZW70" s="122"/>
      <c r="CZX70" s="122"/>
      <c r="CZY70" s="122"/>
      <c r="CZZ70" s="122"/>
      <c r="DAA70" s="122"/>
      <c r="DAB70" s="122"/>
      <c r="DAC70" s="122"/>
      <c r="DAD70" s="122"/>
      <c r="DAE70" s="122"/>
      <c r="DAF70" s="122"/>
      <c r="DAG70" s="122"/>
      <c r="DAH70" s="122"/>
      <c r="DAI70" s="122"/>
      <c r="DAJ70" s="122"/>
      <c r="DAK70" s="122"/>
      <c r="DAL70" s="122"/>
      <c r="DAM70" s="122"/>
      <c r="DAN70" s="122"/>
      <c r="DAO70" s="122"/>
      <c r="DAP70" s="122"/>
      <c r="DAQ70" s="122"/>
      <c r="DAR70" s="122"/>
      <c r="DAS70" s="122"/>
      <c r="DAT70" s="122"/>
      <c r="DAU70" s="122"/>
      <c r="DAV70" s="122"/>
      <c r="DAW70" s="122"/>
      <c r="DAX70" s="122"/>
      <c r="DAY70" s="122"/>
      <c r="DAZ70" s="122"/>
      <c r="DBA70" s="122"/>
      <c r="DBB70" s="122"/>
      <c r="DBC70" s="122"/>
      <c r="DBD70" s="122"/>
      <c r="DBE70" s="122"/>
      <c r="DBF70" s="122"/>
      <c r="DBG70" s="122"/>
      <c r="DBH70" s="122"/>
      <c r="DBI70" s="122"/>
      <c r="DBJ70" s="122"/>
      <c r="DBK70" s="122"/>
      <c r="DBL70" s="122"/>
      <c r="DBM70" s="122"/>
      <c r="DBN70" s="122"/>
      <c r="DBO70" s="122"/>
      <c r="DBP70" s="122"/>
      <c r="DBQ70" s="122"/>
      <c r="DBR70" s="122"/>
      <c r="DBS70" s="122"/>
      <c r="DBT70" s="122"/>
      <c r="DBU70" s="122"/>
      <c r="DBV70" s="122"/>
      <c r="DBW70" s="122"/>
      <c r="DBX70" s="122"/>
      <c r="DBY70" s="122"/>
      <c r="DBZ70" s="122"/>
      <c r="DCA70" s="122"/>
      <c r="DCB70" s="122"/>
      <c r="DCC70" s="122"/>
      <c r="DCD70" s="122"/>
      <c r="DCE70" s="122"/>
      <c r="DCF70" s="122"/>
      <c r="DCG70" s="122"/>
      <c r="DCH70" s="122"/>
      <c r="DCI70" s="122"/>
      <c r="DCJ70" s="122"/>
      <c r="DCK70" s="122"/>
      <c r="DCL70" s="122"/>
      <c r="DCM70" s="122"/>
      <c r="DCN70" s="122"/>
      <c r="DCO70" s="122"/>
      <c r="DCP70" s="122"/>
      <c r="DCQ70" s="122"/>
      <c r="DCR70" s="122"/>
      <c r="DCS70" s="122"/>
      <c r="DCT70" s="122"/>
      <c r="DCU70" s="122"/>
      <c r="DCV70" s="122"/>
      <c r="DCW70" s="122"/>
      <c r="DCX70" s="122"/>
      <c r="DCY70" s="122"/>
      <c r="DCZ70" s="122"/>
      <c r="DDA70" s="122"/>
      <c r="DDB70" s="122"/>
      <c r="DDC70" s="122"/>
      <c r="DDD70" s="122"/>
      <c r="DDE70" s="122"/>
      <c r="DDF70" s="122"/>
      <c r="DDG70" s="122"/>
      <c r="DDH70" s="122"/>
      <c r="DDI70" s="122"/>
      <c r="DDJ70" s="122"/>
      <c r="DDK70" s="122"/>
      <c r="DDL70" s="122"/>
      <c r="DDM70" s="122"/>
      <c r="DDN70" s="122"/>
      <c r="DDO70" s="122"/>
      <c r="DDP70" s="122"/>
      <c r="DDQ70" s="122"/>
      <c r="DDR70" s="122"/>
      <c r="DDS70" s="122"/>
      <c r="DDT70" s="122"/>
      <c r="DDU70" s="122"/>
      <c r="DDV70" s="122"/>
      <c r="DDW70" s="122"/>
      <c r="DDX70" s="122"/>
      <c r="DDY70" s="122"/>
      <c r="DDZ70" s="122"/>
      <c r="DEA70" s="122"/>
      <c r="DEB70" s="122"/>
      <c r="DEC70" s="122"/>
      <c r="DED70" s="122"/>
      <c r="DEE70" s="122"/>
      <c r="DEF70" s="122"/>
      <c r="DEG70" s="122"/>
      <c r="DEH70" s="122"/>
      <c r="DEI70" s="122"/>
      <c r="DEJ70" s="122"/>
      <c r="DEK70" s="122"/>
      <c r="DEL70" s="122"/>
      <c r="DEM70" s="122"/>
      <c r="DEN70" s="122"/>
      <c r="DEO70" s="122"/>
      <c r="DEP70" s="122"/>
      <c r="DEQ70" s="122"/>
      <c r="DER70" s="122"/>
      <c r="DES70" s="122"/>
      <c r="DET70" s="122"/>
      <c r="DEU70" s="122"/>
      <c r="DEV70" s="122"/>
      <c r="DEW70" s="122"/>
      <c r="DEX70" s="122"/>
      <c r="DEY70" s="122"/>
      <c r="DEZ70" s="122"/>
      <c r="DFA70" s="122"/>
      <c r="DFB70" s="122"/>
      <c r="DFC70" s="122"/>
      <c r="DFD70" s="122"/>
      <c r="DFE70" s="122"/>
      <c r="DFF70" s="122"/>
      <c r="DFG70" s="122"/>
      <c r="DFH70" s="122"/>
      <c r="DFI70" s="122"/>
      <c r="DFJ70" s="122"/>
      <c r="DFK70" s="122"/>
      <c r="DFL70" s="122"/>
      <c r="DFM70" s="122"/>
      <c r="DFN70" s="122"/>
      <c r="DFO70" s="122"/>
      <c r="DFP70" s="122"/>
      <c r="DFQ70" s="122"/>
      <c r="DFR70" s="122"/>
      <c r="DFS70" s="122"/>
      <c r="DFT70" s="122"/>
      <c r="DFU70" s="122"/>
      <c r="DFV70" s="122"/>
      <c r="DFW70" s="122"/>
      <c r="DFX70" s="122"/>
      <c r="DFY70" s="122"/>
      <c r="DFZ70" s="122"/>
      <c r="DGA70" s="122"/>
      <c r="DGB70" s="122"/>
      <c r="DGC70" s="122"/>
      <c r="DGD70" s="122"/>
      <c r="DGE70" s="122"/>
      <c r="DGF70" s="122"/>
      <c r="DGG70" s="122"/>
      <c r="DGH70" s="122"/>
      <c r="DGI70" s="122"/>
      <c r="DGJ70" s="122"/>
      <c r="DGK70" s="122"/>
      <c r="DGL70" s="122"/>
      <c r="DGM70" s="122"/>
      <c r="DGN70" s="122"/>
      <c r="DGO70" s="122"/>
      <c r="DGP70" s="122"/>
      <c r="DGQ70" s="122"/>
      <c r="DGR70" s="122"/>
      <c r="DGS70" s="122"/>
      <c r="DGT70" s="122"/>
      <c r="DGU70" s="122"/>
      <c r="DGV70" s="122"/>
      <c r="DGW70" s="122"/>
      <c r="DGX70" s="122"/>
      <c r="DGY70" s="122"/>
      <c r="DGZ70" s="122"/>
      <c r="DHA70" s="122"/>
      <c r="DHB70" s="122"/>
      <c r="DHC70" s="122"/>
      <c r="DHD70" s="122"/>
      <c r="DHE70" s="122"/>
      <c r="DHF70" s="122"/>
      <c r="DHG70" s="122"/>
      <c r="DHH70" s="122"/>
      <c r="DHI70" s="122"/>
      <c r="DHJ70" s="122"/>
      <c r="DHK70" s="122"/>
      <c r="DHL70" s="122"/>
      <c r="DHM70" s="122"/>
      <c r="DHN70" s="122"/>
      <c r="DHO70" s="122"/>
      <c r="DHP70" s="122"/>
      <c r="DHQ70" s="122"/>
      <c r="DHR70" s="122"/>
      <c r="DHS70" s="122"/>
      <c r="DHT70" s="122"/>
      <c r="DHU70" s="122"/>
      <c r="DHV70" s="122"/>
      <c r="DHW70" s="122"/>
      <c r="DHX70" s="122"/>
      <c r="DHY70" s="122"/>
      <c r="DHZ70" s="122"/>
      <c r="DIA70" s="122"/>
      <c r="DIB70" s="122"/>
      <c r="DIC70" s="122"/>
      <c r="DID70" s="122"/>
      <c r="DIE70" s="122"/>
      <c r="DIF70" s="122"/>
      <c r="DIG70" s="122"/>
      <c r="DIH70" s="122"/>
      <c r="DII70" s="122"/>
      <c r="DIJ70" s="122"/>
      <c r="DIK70" s="122"/>
      <c r="DIL70" s="122"/>
      <c r="DIM70" s="122"/>
      <c r="DIN70" s="122"/>
      <c r="DIO70" s="122"/>
      <c r="DIP70" s="122"/>
      <c r="DIQ70" s="122"/>
      <c r="DIR70" s="122"/>
      <c r="DIS70" s="122"/>
      <c r="DIT70" s="122"/>
      <c r="DIU70" s="122"/>
      <c r="DIV70" s="122"/>
      <c r="DIW70" s="122"/>
      <c r="DIX70" s="122"/>
      <c r="DIY70" s="122"/>
      <c r="DIZ70" s="122"/>
      <c r="DJA70" s="122"/>
      <c r="DJB70" s="122"/>
      <c r="DJC70" s="122"/>
      <c r="DJD70" s="122"/>
      <c r="DJE70" s="122"/>
      <c r="DJF70" s="122"/>
      <c r="DJG70" s="122"/>
      <c r="DJH70" s="122"/>
      <c r="DJI70" s="122"/>
      <c r="DJJ70" s="122"/>
      <c r="DJK70" s="122"/>
      <c r="DJL70" s="122"/>
      <c r="DJM70" s="122"/>
      <c r="DJN70" s="122"/>
      <c r="DJO70" s="122"/>
      <c r="DJP70" s="122"/>
      <c r="DJQ70" s="122"/>
      <c r="DJR70" s="122"/>
      <c r="DJS70" s="122"/>
      <c r="DJT70" s="122"/>
      <c r="DJU70" s="122"/>
      <c r="DJV70" s="122"/>
      <c r="DJW70" s="122"/>
      <c r="DJX70" s="122"/>
      <c r="DJY70" s="122"/>
      <c r="DJZ70" s="122"/>
      <c r="DKA70" s="122"/>
      <c r="DKB70" s="122"/>
      <c r="DKC70" s="122"/>
      <c r="DKD70" s="122"/>
      <c r="DKE70" s="122"/>
      <c r="DKF70" s="122"/>
      <c r="DKG70" s="122"/>
      <c r="DKH70" s="122"/>
      <c r="DKI70" s="122"/>
      <c r="DKJ70" s="122"/>
      <c r="DKK70" s="122"/>
      <c r="DKL70" s="122"/>
      <c r="DKM70" s="122"/>
      <c r="DKN70" s="122"/>
      <c r="DKO70" s="122"/>
      <c r="DKP70" s="122"/>
      <c r="DKQ70" s="122"/>
      <c r="DKR70" s="122"/>
      <c r="DKS70" s="122"/>
      <c r="DKT70" s="122"/>
      <c r="DKU70" s="122"/>
      <c r="DKV70" s="122"/>
      <c r="DKW70" s="122"/>
      <c r="DKX70" s="122"/>
      <c r="DKY70" s="122"/>
      <c r="DKZ70" s="122"/>
      <c r="DLA70" s="122"/>
      <c r="DLB70" s="122"/>
      <c r="DLC70" s="122"/>
      <c r="DLD70" s="122"/>
      <c r="DLE70" s="122"/>
      <c r="DLF70" s="122"/>
      <c r="DLG70" s="122"/>
      <c r="DLH70" s="122"/>
      <c r="DLI70" s="122"/>
      <c r="DLJ70" s="122"/>
      <c r="DLK70" s="122"/>
      <c r="DLL70" s="122"/>
      <c r="DLM70" s="122"/>
      <c r="DLN70" s="122"/>
      <c r="DLO70" s="122"/>
      <c r="DLP70" s="122"/>
      <c r="DLQ70" s="122"/>
      <c r="DLR70" s="122"/>
      <c r="DLS70" s="122"/>
      <c r="DLT70" s="122"/>
      <c r="DLU70" s="122"/>
      <c r="DLV70" s="122"/>
      <c r="DLW70" s="122"/>
      <c r="DLX70" s="122"/>
      <c r="DLY70" s="122"/>
      <c r="DLZ70" s="122"/>
      <c r="DMA70" s="122"/>
      <c r="DMB70" s="122"/>
      <c r="DMC70" s="122"/>
      <c r="DMD70" s="122"/>
      <c r="DME70" s="122"/>
      <c r="DMF70" s="122"/>
      <c r="DMG70" s="122"/>
      <c r="DMH70" s="122"/>
      <c r="DMI70" s="122"/>
      <c r="DMJ70" s="122"/>
      <c r="DMK70" s="122"/>
      <c r="DML70" s="122"/>
      <c r="DMM70" s="122"/>
      <c r="DMN70" s="122"/>
      <c r="DMO70" s="122"/>
      <c r="DMP70" s="122"/>
      <c r="DMQ70" s="122"/>
      <c r="DMR70" s="122"/>
      <c r="DMS70" s="122"/>
      <c r="DMT70" s="122"/>
      <c r="DMU70" s="122"/>
      <c r="DMV70" s="122"/>
      <c r="DMW70" s="122"/>
      <c r="DMX70" s="122"/>
      <c r="DMY70" s="122"/>
      <c r="DMZ70" s="122"/>
      <c r="DNA70" s="122"/>
      <c r="DNB70" s="122"/>
      <c r="DNC70" s="122"/>
      <c r="DND70" s="122"/>
      <c r="DNE70" s="122"/>
      <c r="DNF70" s="122"/>
      <c r="DNG70" s="122"/>
      <c r="DNH70" s="122"/>
      <c r="DNI70" s="122"/>
      <c r="DNJ70" s="122"/>
      <c r="DNK70" s="122"/>
      <c r="DNL70" s="122"/>
      <c r="DNM70" s="122"/>
      <c r="DNN70" s="122"/>
      <c r="DNO70" s="122"/>
      <c r="DNP70" s="122"/>
      <c r="DNQ70" s="122"/>
      <c r="DNR70" s="122"/>
      <c r="DNS70" s="122"/>
      <c r="DNT70" s="122"/>
      <c r="DNU70" s="122"/>
      <c r="DNV70" s="122"/>
      <c r="DNW70" s="122"/>
      <c r="DNX70" s="122"/>
      <c r="DNY70" s="122"/>
      <c r="DNZ70" s="122"/>
      <c r="DOA70" s="122"/>
      <c r="DOB70" s="122"/>
      <c r="DOC70" s="122"/>
      <c r="DOD70" s="122"/>
      <c r="DOE70" s="122"/>
      <c r="DOF70" s="122"/>
      <c r="DOG70" s="122"/>
      <c r="DOH70" s="122"/>
      <c r="DOI70" s="122"/>
      <c r="DOJ70" s="122"/>
      <c r="DOK70" s="122"/>
      <c r="DOL70" s="122"/>
      <c r="DOM70" s="122"/>
      <c r="DON70" s="122"/>
      <c r="DOO70" s="122"/>
      <c r="DOP70" s="122"/>
      <c r="DOQ70" s="122"/>
      <c r="DOR70" s="122"/>
      <c r="DOS70" s="122"/>
      <c r="DOT70" s="122"/>
      <c r="DOU70" s="122"/>
      <c r="DOV70" s="122"/>
      <c r="DOW70" s="122"/>
      <c r="DOX70" s="122"/>
      <c r="DOY70" s="122"/>
      <c r="DOZ70" s="122"/>
      <c r="DPA70" s="122"/>
      <c r="DPB70" s="122"/>
      <c r="DPC70" s="122"/>
      <c r="DPD70" s="122"/>
      <c r="DPE70" s="122"/>
      <c r="DPF70" s="122"/>
      <c r="DPG70" s="122"/>
      <c r="DPH70" s="122"/>
      <c r="DPI70" s="122"/>
      <c r="DPJ70" s="122"/>
      <c r="DPK70" s="122"/>
      <c r="DPL70" s="122"/>
      <c r="DPM70" s="122"/>
      <c r="DPN70" s="122"/>
      <c r="DPO70" s="122"/>
      <c r="DPP70" s="122"/>
      <c r="DPQ70" s="122"/>
      <c r="DPR70" s="122"/>
      <c r="DPS70" s="122"/>
      <c r="DPT70" s="122"/>
      <c r="DPU70" s="122"/>
      <c r="DPV70" s="122"/>
      <c r="DPW70" s="122"/>
      <c r="DPX70" s="122"/>
      <c r="DPY70" s="122"/>
      <c r="DPZ70" s="122"/>
      <c r="DQA70" s="122"/>
      <c r="DQB70" s="122"/>
      <c r="DQC70" s="122"/>
      <c r="DQD70" s="122"/>
      <c r="DQE70" s="122"/>
      <c r="DQF70" s="122"/>
      <c r="DQG70" s="122"/>
      <c r="DQH70" s="122"/>
      <c r="DQI70" s="122"/>
      <c r="DQJ70" s="122"/>
      <c r="DQK70" s="122"/>
      <c r="DQL70" s="122"/>
      <c r="DQM70" s="122"/>
      <c r="DQN70" s="122"/>
      <c r="DQO70" s="122"/>
      <c r="DQP70" s="122"/>
      <c r="DQQ70" s="122"/>
      <c r="DQR70" s="122"/>
      <c r="DQS70" s="122"/>
      <c r="DQT70" s="122"/>
      <c r="DQU70" s="122"/>
      <c r="DQV70" s="122"/>
      <c r="DQW70" s="122"/>
      <c r="DQX70" s="122"/>
      <c r="DQY70" s="122"/>
      <c r="DQZ70" s="122"/>
      <c r="DRA70" s="122"/>
      <c r="DRB70" s="122"/>
      <c r="DRC70" s="122"/>
      <c r="DRD70" s="122"/>
      <c r="DRE70" s="122"/>
      <c r="DRF70" s="122"/>
      <c r="DRG70" s="122"/>
      <c r="DRH70" s="122"/>
      <c r="DRI70" s="122"/>
      <c r="DRJ70" s="122"/>
      <c r="DRK70" s="122"/>
      <c r="DRL70" s="122"/>
      <c r="DRM70" s="122"/>
      <c r="DRN70" s="122"/>
      <c r="DRO70" s="122"/>
      <c r="DRP70" s="122"/>
      <c r="DRQ70" s="122"/>
      <c r="DRR70" s="122"/>
      <c r="DRS70" s="122"/>
      <c r="DRT70" s="122"/>
      <c r="DRU70" s="122"/>
      <c r="DRV70" s="122"/>
      <c r="DRW70" s="122"/>
      <c r="DRX70" s="122"/>
      <c r="DRY70" s="122"/>
      <c r="DRZ70" s="122"/>
      <c r="DSA70" s="122"/>
      <c r="DSB70" s="122"/>
      <c r="DSC70" s="122"/>
      <c r="DSD70" s="122"/>
      <c r="DSE70" s="122"/>
      <c r="DSF70" s="122"/>
      <c r="DSG70" s="122"/>
      <c r="DSH70" s="122"/>
      <c r="DSI70" s="122"/>
      <c r="DSJ70" s="122"/>
      <c r="DSK70" s="122"/>
      <c r="DSL70" s="122"/>
      <c r="DSM70" s="122"/>
      <c r="DSN70" s="122"/>
      <c r="DSO70" s="122"/>
      <c r="DSP70" s="122"/>
      <c r="DSQ70" s="122"/>
      <c r="DSR70" s="122"/>
      <c r="DSS70" s="122"/>
      <c r="DST70" s="122"/>
      <c r="DSU70" s="122"/>
      <c r="DSV70" s="122"/>
      <c r="DSW70" s="122"/>
      <c r="DSX70" s="122"/>
      <c r="DSY70" s="122"/>
      <c r="DSZ70" s="122"/>
      <c r="DTA70" s="122"/>
      <c r="DTB70" s="122"/>
      <c r="DTC70" s="122"/>
      <c r="DTD70" s="122"/>
      <c r="DTE70" s="122"/>
      <c r="DTF70" s="122"/>
      <c r="DTG70" s="122"/>
      <c r="DTH70" s="122"/>
      <c r="DTI70" s="122"/>
      <c r="DTJ70" s="122"/>
      <c r="DTK70" s="122"/>
      <c r="DTL70" s="122"/>
      <c r="DTM70" s="122"/>
      <c r="DTN70" s="122"/>
      <c r="DTO70" s="122"/>
      <c r="DTP70" s="122"/>
      <c r="DTQ70" s="122"/>
      <c r="DTR70" s="122"/>
      <c r="DTS70" s="122"/>
      <c r="DTT70" s="122"/>
      <c r="DTU70" s="122"/>
      <c r="DTV70" s="122"/>
      <c r="DTW70" s="122"/>
      <c r="DTX70" s="122"/>
      <c r="DTY70" s="122"/>
      <c r="DTZ70" s="122"/>
      <c r="DUA70" s="122"/>
      <c r="DUB70" s="122"/>
      <c r="DUC70" s="122"/>
      <c r="DUD70" s="122"/>
      <c r="DUE70" s="122"/>
      <c r="DUF70" s="122"/>
      <c r="DUG70" s="122"/>
      <c r="DUH70" s="122"/>
      <c r="DUI70" s="122"/>
      <c r="DUJ70" s="122"/>
      <c r="DUK70" s="122"/>
      <c r="DUL70" s="122"/>
      <c r="DUM70" s="122"/>
      <c r="DUN70" s="122"/>
      <c r="DUO70" s="122"/>
      <c r="DUP70" s="122"/>
      <c r="DUQ70" s="122"/>
      <c r="DUR70" s="122"/>
      <c r="DUS70" s="122"/>
      <c r="DUT70" s="122"/>
      <c r="DUU70" s="122"/>
      <c r="DUV70" s="122"/>
      <c r="DUW70" s="122"/>
      <c r="DUX70" s="122"/>
      <c r="DUY70" s="122"/>
      <c r="DUZ70" s="122"/>
      <c r="DVA70" s="122"/>
      <c r="DVB70" s="122"/>
      <c r="DVC70" s="122"/>
      <c r="DVD70" s="122"/>
      <c r="DVE70" s="122"/>
      <c r="DVF70" s="122"/>
      <c r="DVG70" s="122"/>
      <c r="DVH70" s="122"/>
      <c r="DVI70" s="122"/>
      <c r="DVJ70" s="122"/>
      <c r="DVK70" s="122"/>
      <c r="DVL70" s="122"/>
      <c r="DVM70" s="122"/>
      <c r="DVN70" s="122"/>
      <c r="DVO70" s="122"/>
      <c r="DVP70" s="122"/>
      <c r="DVQ70" s="122"/>
      <c r="DVR70" s="122"/>
      <c r="DVS70" s="122"/>
      <c r="DVT70" s="122"/>
      <c r="DVU70" s="122"/>
      <c r="DVV70" s="122"/>
      <c r="DVW70" s="122"/>
      <c r="DVX70" s="122"/>
      <c r="DVY70" s="122"/>
      <c r="DVZ70" s="122"/>
      <c r="DWA70" s="122"/>
      <c r="DWB70" s="122"/>
      <c r="DWC70" s="122"/>
      <c r="DWD70" s="122"/>
      <c r="DWE70" s="122"/>
      <c r="DWF70" s="122"/>
      <c r="DWG70" s="122"/>
      <c r="DWH70" s="122"/>
      <c r="DWI70" s="122"/>
      <c r="DWJ70" s="122"/>
      <c r="DWK70" s="122"/>
      <c r="DWL70" s="122"/>
      <c r="DWM70" s="122"/>
      <c r="DWN70" s="122"/>
      <c r="DWO70" s="122"/>
      <c r="DWP70" s="122"/>
      <c r="DWQ70" s="122"/>
      <c r="DWR70" s="122"/>
      <c r="DWS70" s="122"/>
      <c r="DWT70" s="122"/>
      <c r="DWU70" s="122"/>
      <c r="DWV70" s="122"/>
      <c r="DWW70" s="122"/>
      <c r="DWX70" s="122"/>
      <c r="DWY70" s="122"/>
      <c r="DWZ70" s="122"/>
      <c r="DXA70" s="122"/>
      <c r="DXB70" s="122"/>
      <c r="DXC70" s="122"/>
      <c r="DXD70" s="122"/>
      <c r="DXE70" s="122"/>
      <c r="DXF70" s="122"/>
      <c r="DXG70" s="122"/>
      <c r="DXH70" s="122"/>
      <c r="DXI70" s="122"/>
      <c r="DXJ70" s="122"/>
      <c r="DXK70" s="122"/>
      <c r="DXL70" s="122"/>
      <c r="DXM70" s="122"/>
      <c r="DXN70" s="122"/>
      <c r="DXO70" s="122"/>
      <c r="DXP70" s="122"/>
      <c r="DXQ70" s="122"/>
      <c r="DXR70" s="122"/>
      <c r="DXS70" s="122"/>
      <c r="DXT70" s="122"/>
      <c r="DXU70" s="122"/>
      <c r="DXV70" s="122"/>
      <c r="DXW70" s="122"/>
      <c r="DXX70" s="122"/>
      <c r="DXY70" s="122"/>
      <c r="DXZ70" s="122"/>
      <c r="DYA70" s="122"/>
      <c r="DYB70" s="122"/>
      <c r="DYC70" s="122"/>
      <c r="DYD70" s="122"/>
      <c r="DYE70" s="122"/>
      <c r="DYF70" s="122"/>
      <c r="DYG70" s="122"/>
      <c r="DYH70" s="122"/>
      <c r="DYI70" s="122"/>
      <c r="DYJ70" s="122"/>
      <c r="DYK70" s="122"/>
      <c r="DYL70" s="122"/>
      <c r="DYM70" s="122"/>
      <c r="DYN70" s="122"/>
      <c r="DYO70" s="122"/>
      <c r="DYP70" s="122"/>
      <c r="DYQ70" s="122"/>
      <c r="DYR70" s="122"/>
      <c r="DYS70" s="122"/>
      <c r="DYT70" s="122"/>
      <c r="DYU70" s="122"/>
      <c r="DYV70" s="122"/>
      <c r="DYW70" s="122"/>
      <c r="DYX70" s="122"/>
      <c r="DYY70" s="122"/>
      <c r="DYZ70" s="122"/>
      <c r="DZA70" s="122"/>
      <c r="DZB70" s="122"/>
      <c r="DZC70" s="122"/>
      <c r="DZD70" s="122"/>
      <c r="DZE70" s="122"/>
      <c r="DZF70" s="122"/>
      <c r="DZG70" s="122"/>
      <c r="DZH70" s="122"/>
      <c r="DZI70" s="122"/>
      <c r="DZJ70" s="122"/>
      <c r="DZK70" s="122"/>
      <c r="DZL70" s="122"/>
      <c r="DZM70" s="122"/>
      <c r="DZN70" s="122"/>
      <c r="DZO70" s="122"/>
      <c r="DZP70" s="122"/>
      <c r="DZQ70" s="122"/>
      <c r="DZR70" s="122"/>
      <c r="DZS70" s="122"/>
      <c r="DZT70" s="122"/>
      <c r="DZU70" s="122"/>
      <c r="DZV70" s="122"/>
      <c r="DZW70" s="122"/>
      <c r="DZX70" s="122"/>
      <c r="DZY70" s="122"/>
      <c r="DZZ70" s="122"/>
      <c r="EAA70" s="122"/>
      <c r="EAB70" s="122"/>
      <c r="EAC70" s="122"/>
      <c r="EAD70" s="122"/>
      <c r="EAE70" s="122"/>
      <c r="EAF70" s="122"/>
      <c r="EAG70" s="122"/>
      <c r="EAH70" s="122"/>
      <c r="EAI70" s="122"/>
      <c r="EAJ70" s="122"/>
      <c r="EAK70" s="122"/>
      <c r="EAL70" s="122"/>
      <c r="EAM70" s="122"/>
      <c r="EAN70" s="122"/>
      <c r="EAO70" s="122"/>
      <c r="EAP70" s="122"/>
      <c r="EAQ70" s="122"/>
      <c r="EAR70" s="122"/>
      <c r="EAS70" s="122"/>
      <c r="EAT70" s="122"/>
      <c r="EAU70" s="122"/>
      <c r="EAV70" s="122"/>
      <c r="EAW70" s="122"/>
      <c r="EAX70" s="122"/>
      <c r="EAY70" s="122"/>
      <c r="EAZ70" s="122"/>
      <c r="EBA70" s="122"/>
      <c r="EBB70" s="122"/>
      <c r="EBC70" s="122"/>
      <c r="EBD70" s="122"/>
      <c r="EBE70" s="122"/>
      <c r="EBF70" s="122"/>
      <c r="EBG70" s="122"/>
      <c r="EBH70" s="122"/>
      <c r="EBI70" s="122"/>
      <c r="EBJ70" s="122"/>
      <c r="EBK70" s="122"/>
      <c r="EBL70" s="122"/>
      <c r="EBM70" s="122"/>
      <c r="EBN70" s="122"/>
      <c r="EBO70" s="122"/>
      <c r="EBP70" s="122"/>
      <c r="EBQ70" s="122"/>
      <c r="EBR70" s="122"/>
      <c r="EBS70" s="122"/>
      <c r="EBT70" s="122"/>
      <c r="EBU70" s="122"/>
      <c r="EBV70" s="122"/>
      <c r="EBW70" s="122"/>
      <c r="EBX70" s="122"/>
      <c r="EBY70" s="122"/>
      <c r="EBZ70" s="122"/>
      <c r="ECA70" s="122"/>
      <c r="ECB70" s="122"/>
      <c r="ECC70" s="122"/>
      <c r="ECD70" s="122"/>
      <c r="ECE70" s="122"/>
      <c r="ECF70" s="122"/>
      <c r="ECG70" s="122"/>
      <c r="ECH70" s="122"/>
      <c r="ECI70" s="122"/>
      <c r="ECJ70" s="122"/>
      <c r="ECK70" s="122"/>
      <c r="ECL70" s="122"/>
      <c r="ECM70" s="122"/>
      <c r="ECN70" s="122"/>
      <c r="ECO70" s="122"/>
      <c r="ECP70" s="122"/>
      <c r="ECQ70" s="122"/>
      <c r="ECR70" s="122"/>
      <c r="ECS70" s="122"/>
      <c r="ECT70" s="122"/>
      <c r="ECU70" s="122"/>
      <c r="ECV70" s="122"/>
      <c r="ECW70" s="122"/>
      <c r="ECX70" s="122"/>
      <c r="ECY70" s="122"/>
      <c r="ECZ70" s="122"/>
      <c r="EDA70" s="122"/>
      <c r="EDB70" s="122"/>
      <c r="EDC70" s="122"/>
      <c r="EDD70" s="122"/>
      <c r="EDE70" s="122"/>
      <c r="EDF70" s="122"/>
      <c r="EDG70" s="122"/>
      <c r="EDH70" s="122"/>
      <c r="EDI70" s="122"/>
      <c r="EDJ70" s="122"/>
      <c r="EDK70" s="122"/>
      <c r="EDL70" s="122"/>
      <c r="EDM70" s="122"/>
      <c r="EDN70" s="122"/>
      <c r="EDO70" s="122"/>
      <c r="EDP70" s="122"/>
      <c r="EDQ70" s="122"/>
      <c r="EDR70" s="122"/>
      <c r="EDS70" s="122"/>
      <c r="EDT70" s="122"/>
      <c r="EDU70" s="122"/>
      <c r="EDV70" s="122"/>
      <c r="EDW70" s="122"/>
      <c r="EDX70" s="122"/>
      <c r="EDY70" s="122"/>
      <c r="EDZ70" s="122"/>
      <c r="EEA70" s="122"/>
      <c r="EEB70" s="122"/>
      <c r="EEC70" s="122"/>
      <c r="EED70" s="122"/>
      <c r="EEE70" s="122"/>
      <c r="EEF70" s="122"/>
      <c r="EEG70" s="122"/>
      <c r="EEH70" s="122"/>
      <c r="EEI70" s="122"/>
      <c r="EEJ70" s="122"/>
      <c r="EEK70" s="122"/>
      <c r="EEL70" s="122"/>
      <c r="EEM70" s="122"/>
      <c r="EEN70" s="122"/>
      <c r="EEO70" s="122"/>
      <c r="EEP70" s="122"/>
      <c r="EEQ70" s="122"/>
      <c r="EER70" s="122"/>
      <c r="EES70" s="122"/>
      <c r="EET70" s="122"/>
      <c r="EEU70" s="122"/>
      <c r="EEV70" s="122"/>
      <c r="EEW70" s="122"/>
      <c r="EEX70" s="122"/>
      <c r="EEY70" s="122"/>
      <c r="EEZ70" s="122"/>
      <c r="EFA70" s="122"/>
      <c r="EFB70" s="122"/>
      <c r="EFC70" s="122"/>
      <c r="EFD70" s="122"/>
      <c r="EFE70" s="122"/>
      <c r="EFF70" s="122"/>
      <c r="EFG70" s="122"/>
      <c r="EFH70" s="122"/>
      <c r="EFI70" s="122"/>
      <c r="EFJ70" s="122"/>
      <c r="EFK70" s="122"/>
      <c r="EFL70" s="122"/>
      <c r="EFM70" s="122"/>
      <c r="EFN70" s="122"/>
      <c r="EFO70" s="122"/>
      <c r="EFP70" s="122"/>
      <c r="EFQ70" s="122"/>
      <c r="EFR70" s="122"/>
      <c r="EFS70" s="122"/>
      <c r="EFT70" s="122"/>
      <c r="EFU70" s="122"/>
      <c r="EFV70" s="122"/>
      <c r="EFW70" s="122"/>
      <c r="EFX70" s="122"/>
      <c r="EFY70" s="122"/>
      <c r="EFZ70" s="122"/>
      <c r="EGA70" s="122"/>
      <c r="EGB70" s="122"/>
      <c r="EGC70" s="122"/>
      <c r="EGD70" s="122"/>
      <c r="EGE70" s="122"/>
      <c r="EGF70" s="122"/>
      <c r="EGG70" s="122"/>
      <c r="EGH70" s="122"/>
      <c r="EGI70" s="122"/>
      <c r="EGJ70" s="122"/>
      <c r="EGK70" s="122"/>
      <c r="EGL70" s="122"/>
      <c r="EGM70" s="122"/>
      <c r="EGN70" s="122"/>
      <c r="EGO70" s="122"/>
      <c r="EGP70" s="122"/>
      <c r="EGQ70" s="122"/>
      <c r="EGR70" s="122"/>
      <c r="EGS70" s="122"/>
      <c r="EGT70" s="122"/>
      <c r="EGU70" s="122"/>
      <c r="EGV70" s="122"/>
      <c r="EGW70" s="122"/>
      <c r="EGX70" s="122"/>
      <c r="EGY70" s="122"/>
      <c r="EGZ70" s="122"/>
      <c r="EHA70" s="122"/>
      <c r="EHB70" s="122"/>
      <c r="EHC70" s="122"/>
      <c r="EHD70" s="122"/>
      <c r="EHE70" s="122"/>
      <c r="EHF70" s="122"/>
      <c r="EHG70" s="122"/>
      <c r="EHH70" s="122"/>
      <c r="EHI70" s="122"/>
      <c r="EHJ70" s="122"/>
      <c r="EHK70" s="122"/>
      <c r="EHL70" s="122"/>
      <c r="EHM70" s="122"/>
      <c r="EHN70" s="122"/>
      <c r="EHO70" s="122"/>
      <c r="EHP70" s="122"/>
      <c r="EHQ70" s="122"/>
      <c r="EHR70" s="122"/>
      <c r="EHS70" s="122"/>
      <c r="EHT70" s="122"/>
      <c r="EHU70" s="122"/>
      <c r="EHV70" s="122"/>
      <c r="EHW70" s="122"/>
      <c r="EHX70" s="122"/>
      <c r="EHY70" s="122"/>
      <c r="EHZ70" s="122"/>
      <c r="EIA70" s="122"/>
      <c r="EIB70" s="122"/>
      <c r="EIC70" s="122"/>
      <c r="EID70" s="122"/>
      <c r="EIE70" s="122"/>
      <c r="EIF70" s="122"/>
      <c r="EIG70" s="122"/>
      <c r="EIH70" s="122"/>
      <c r="EII70" s="122"/>
      <c r="EIJ70" s="122"/>
      <c r="EIK70" s="122"/>
      <c r="EIL70" s="122"/>
      <c r="EIM70" s="122"/>
      <c r="EIN70" s="122"/>
      <c r="EIO70" s="122"/>
      <c r="EIP70" s="122"/>
      <c r="EIQ70" s="122"/>
      <c r="EIR70" s="122"/>
      <c r="EIS70" s="122"/>
      <c r="EIT70" s="122"/>
      <c r="EIU70" s="122"/>
      <c r="EIV70" s="122"/>
      <c r="EIW70" s="122"/>
      <c r="EIX70" s="122"/>
      <c r="EIY70" s="122"/>
      <c r="EIZ70" s="122"/>
      <c r="EJA70" s="122"/>
      <c r="EJB70" s="122"/>
      <c r="EJC70" s="122"/>
      <c r="EJD70" s="122"/>
      <c r="EJE70" s="122"/>
      <c r="EJF70" s="122"/>
      <c r="EJG70" s="122"/>
      <c r="EJH70" s="122"/>
      <c r="EJI70" s="122"/>
      <c r="EJJ70" s="122"/>
      <c r="EJK70" s="122"/>
      <c r="EJL70" s="122"/>
      <c r="EJM70" s="122"/>
      <c r="EJN70" s="122"/>
      <c r="EJO70" s="122"/>
      <c r="EJP70" s="122"/>
      <c r="EJQ70" s="122"/>
      <c r="EJR70" s="122"/>
      <c r="EJS70" s="122"/>
      <c r="EJT70" s="122"/>
      <c r="EJU70" s="122"/>
      <c r="EJV70" s="122"/>
      <c r="EJW70" s="122"/>
      <c r="EJX70" s="122"/>
      <c r="EJY70" s="122"/>
      <c r="EJZ70" s="122"/>
      <c r="EKA70" s="122"/>
      <c r="EKB70" s="122"/>
      <c r="EKC70" s="122"/>
      <c r="EKD70" s="122"/>
      <c r="EKE70" s="122"/>
      <c r="EKF70" s="122"/>
      <c r="EKG70" s="122"/>
      <c r="EKH70" s="122"/>
      <c r="EKI70" s="122"/>
      <c r="EKJ70" s="122"/>
      <c r="EKK70" s="122"/>
      <c r="EKL70" s="122"/>
      <c r="EKM70" s="122"/>
      <c r="EKN70" s="122"/>
      <c r="EKO70" s="122"/>
      <c r="EKP70" s="122"/>
      <c r="EKQ70" s="122"/>
      <c r="EKR70" s="122"/>
      <c r="EKS70" s="122"/>
      <c r="EKT70" s="122"/>
      <c r="EKU70" s="122"/>
      <c r="EKV70" s="122"/>
      <c r="EKW70" s="122"/>
      <c r="EKX70" s="122"/>
      <c r="EKY70" s="122"/>
      <c r="EKZ70" s="122"/>
      <c r="ELA70" s="122"/>
      <c r="ELB70" s="122"/>
      <c r="ELC70" s="122"/>
      <c r="ELD70" s="122"/>
      <c r="ELE70" s="122"/>
      <c r="ELF70" s="122"/>
      <c r="ELG70" s="122"/>
      <c r="ELH70" s="122"/>
      <c r="ELI70" s="122"/>
      <c r="ELJ70" s="122"/>
      <c r="ELK70" s="122"/>
      <c r="ELL70" s="122"/>
      <c r="ELM70" s="122"/>
      <c r="ELN70" s="122"/>
      <c r="ELO70" s="122"/>
      <c r="ELP70" s="122"/>
      <c r="ELQ70" s="122"/>
      <c r="ELR70" s="122"/>
      <c r="ELS70" s="122"/>
      <c r="ELT70" s="122"/>
      <c r="ELU70" s="122"/>
      <c r="ELV70" s="122"/>
      <c r="ELW70" s="122"/>
      <c r="ELX70" s="122"/>
      <c r="ELY70" s="122"/>
      <c r="ELZ70" s="122"/>
      <c r="EMA70" s="122"/>
      <c r="EMB70" s="122"/>
      <c r="EMC70" s="122"/>
      <c r="EMD70" s="122"/>
      <c r="EME70" s="122"/>
      <c r="EMF70" s="122"/>
      <c r="EMG70" s="122"/>
      <c r="EMH70" s="122"/>
      <c r="EMI70" s="122"/>
      <c r="EMJ70" s="122"/>
      <c r="EMK70" s="122"/>
      <c r="EML70" s="122"/>
      <c r="EMM70" s="122"/>
      <c r="EMN70" s="122"/>
      <c r="EMO70" s="122"/>
      <c r="EMP70" s="122"/>
      <c r="EMQ70" s="122"/>
      <c r="EMR70" s="122"/>
      <c r="EMS70" s="122"/>
      <c r="EMT70" s="122"/>
      <c r="EMU70" s="122"/>
      <c r="EMV70" s="122"/>
      <c r="EMW70" s="122"/>
      <c r="EMX70" s="122"/>
      <c r="EMY70" s="122"/>
      <c r="EMZ70" s="122"/>
      <c r="ENA70" s="122"/>
      <c r="ENB70" s="122"/>
      <c r="ENC70" s="122"/>
      <c r="END70" s="122"/>
      <c r="ENE70" s="122"/>
      <c r="ENF70" s="122"/>
      <c r="ENG70" s="122"/>
      <c r="ENH70" s="122"/>
      <c r="ENI70" s="122"/>
      <c r="ENJ70" s="122"/>
      <c r="ENK70" s="122"/>
      <c r="ENL70" s="122"/>
      <c r="ENM70" s="122"/>
      <c r="ENN70" s="122"/>
      <c r="ENO70" s="122"/>
      <c r="ENP70" s="122"/>
      <c r="ENQ70" s="122"/>
      <c r="ENR70" s="122"/>
      <c r="ENS70" s="122"/>
      <c r="ENT70" s="122"/>
      <c r="ENU70" s="122"/>
      <c r="ENV70" s="122"/>
      <c r="ENW70" s="122"/>
      <c r="ENX70" s="122"/>
      <c r="ENY70" s="122"/>
      <c r="ENZ70" s="122"/>
      <c r="EOA70" s="122"/>
      <c r="EOB70" s="122"/>
      <c r="EOC70" s="122"/>
      <c r="EOD70" s="122"/>
      <c r="EOE70" s="122"/>
      <c r="EOF70" s="122"/>
      <c r="EOG70" s="122"/>
      <c r="EOH70" s="122"/>
      <c r="EOI70" s="122"/>
      <c r="EOJ70" s="122"/>
      <c r="EOK70" s="122"/>
      <c r="EOL70" s="122"/>
      <c r="EOM70" s="122"/>
      <c r="EON70" s="122"/>
      <c r="EOO70" s="122"/>
      <c r="EOP70" s="122"/>
      <c r="EOQ70" s="122"/>
      <c r="EOR70" s="122"/>
      <c r="EOS70" s="122"/>
      <c r="EOT70" s="122"/>
      <c r="EOU70" s="122"/>
      <c r="EOV70" s="122"/>
      <c r="EOW70" s="122"/>
      <c r="EOX70" s="122"/>
      <c r="EOY70" s="122"/>
      <c r="EOZ70" s="122"/>
      <c r="EPA70" s="122"/>
      <c r="EPB70" s="122"/>
      <c r="EPC70" s="122"/>
      <c r="EPD70" s="122"/>
      <c r="EPE70" s="122"/>
      <c r="EPF70" s="122"/>
      <c r="EPG70" s="122"/>
      <c r="EPH70" s="122"/>
      <c r="EPI70" s="122"/>
      <c r="EPJ70" s="122"/>
      <c r="EPK70" s="122"/>
      <c r="EPL70" s="122"/>
      <c r="EPM70" s="122"/>
      <c r="EPN70" s="122"/>
      <c r="EPO70" s="122"/>
      <c r="EPP70" s="122"/>
      <c r="EPQ70" s="122"/>
      <c r="EPR70" s="122"/>
      <c r="EPS70" s="122"/>
      <c r="EPT70" s="122"/>
      <c r="EPU70" s="122"/>
      <c r="EPV70" s="122"/>
      <c r="EPW70" s="122"/>
      <c r="EPX70" s="122"/>
      <c r="EPY70" s="122"/>
      <c r="EPZ70" s="122"/>
      <c r="EQA70" s="122"/>
      <c r="EQB70" s="122"/>
      <c r="EQC70" s="122"/>
      <c r="EQD70" s="122"/>
      <c r="EQE70" s="122"/>
      <c r="EQF70" s="122"/>
      <c r="EQG70" s="122"/>
      <c r="EQH70" s="122"/>
      <c r="EQI70" s="122"/>
      <c r="EQJ70" s="122"/>
      <c r="EQK70" s="122"/>
      <c r="EQL70" s="122"/>
      <c r="EQM70" s="122"/>
      <c r="EQN70" s="122"/>
      <c r="EQO70" s="122"/>
      <c r="EQP70" s="122"/>
      <c r="EQQ70" s="122"/>
      <c r="EQR70" s="122"/>
      <c r="EQS70" s="122"/>
      <c r="EQT70" s="122"/>
      <c r="EQU70" s="122"/>
      <c r="EQV70" s="122"/>
      <c r="EQW70" s="122"/>
      <c r="EQX70" s="122"/>
      <c r="EQY70" s="122"/>
      <c r="EQZ70" s="122"/>
      <c r="ERA70" s="122"/>
      <c r="ERB70" s="122"/>
      <c r="ERC70" s="122"/>
      <c r="ERD70" s="122"/>
      <c r="ERE70" s="122"/>
      <c r="ERF70" s="122"/>
      <c r="ERG70" s="122"/>
      <c r="ERH70" s="122"/>
      <c r="ERI70" s="122"/>
      <c r="ERJ70" s="122"/>
      <c r="ERK70" s="122"/>
      <c r="ERL70" s="122"/>
      <c r="ERM70" s="122"/>
      <c r="ERN70" s="122"/>
      <c r="ERO70" s="122"/>
      <c r="ERP70" s="122"/>
      <c r="ERQ70" s="122"/>
      <c r="ERR70" s="122"/>
      <c r="ERS70" s="122"/>
      <c r="ERT70" s="122"/>
      <c r="ERU70" s="122"/>
      <c r="ERV70" s="122"/>
      <c r="ERW70" s="122"/>
      <c r="ERX70" s="122"/>
      <c r="ERY70" s="122"/>
      <c r="ERZ70" s="122"/>
      <c r="ESA70" s="122"/>
      <c r="ESB70" s="122"/>
      <c r="ESC70" s="122"/>
      <c r="ESD70" s="122"/>
      <c r="ESE70" s="122"/>
      <c r="ESF70" s="122"/>
      <c r="ESG70" s="122"/>
      <c r="ESH70" s="122"/>
      <c r="ESI70" s="122"/>
      <c r="ESJ70" s="122"/>
      <c r="ESK70" s="122"/>
      <c r="ESL70" s="122"/>
      <c r="ESM70" s="122"/>
      <c r="ESN70" s="122"/>
      <c r="ESO70" s="122"/>
      <c r="ESP70" s="122"/>
      <c r="ESQ70" s="122"/>
      <c r="ESR70" s="122"/>
      <c r="ESS70" s="122"/>
      <c r="EST70" s="122"/>
      <c r="ESU70" s="122"/>
      <c r="ESV70" s="122"/>
      <c r="ESW70" s="122"/>
      <c r="ESX70" s="122"/>
      <c r="ESY70" s="122"/>
      <c r="ESZ70" s="122"/>
      <c r="ETA70" s="122"/>
      <c r="ETB70" s="122"/>
      <c r="ETC70" s="122"/>
      <c r="ETD70" s="122"/>
      <c r="ETE70" s="122"/>
      <c r="ETF70" s="122"/>
      <c r="ETG70" s="122"/>
      <c r="ETH70" s="122"/>
      <c r="ETI70" s="122"/>
      <c r="ETJ70" s="122"/>
      <c r="ETK70" s="122"/>
      <c r="ETL70" s="122"/>
      <c r="ETM70" s="122"/>
      <c r="ETN70" s="122"/>
      <c r="ETO70" s="122"/>
      <c r="ETP70" s="122"/>
      <c r="ETQ70" s="122"/>
      <c r="ETR70" s="122"/>
      <c r="ETS70" s="122"/>
      <c r="ETT70" s="122"/>
      <c r="ETU70" s="122"/>
      <c r="ETV70" s="122"/>
      <c r="ETW70" s="122"/>
      <c r="ETX70" s="122"/>
      <c r="ETY70" s="122"/>
      <c r="ETZ70" s="122"/>
      <c r="EUA70" s="122"/>
      <c r="EUB70" s="122"/>
      <c r="EUC70" s="122"/>
      <c r="EUD70" s="122"/>
      <c r="EUE70" s="122"/>
      <c r="EUF70" s="122"/>
      <c r="EUG70" s="122"/>
      <c r="EUH70" s="122"/>
      <c r="EUI70" s="122"/>
      <c r="EUJ70" s="122"/>
      <c r="EUK70" s="122"/>
      <c r="EUL70" s="122"/>
      <c r="EUM70" s="122"/>
      <c r="EUN70" s="122"/>
      <c r="EUO70" s="122"/>
      <c r="EUP70" s="122"/>
      <c r="EUQ70" s="122"/>
      <c r="EUR70" s="122"/>
      <c r="EUS70" s="122"/>
      <c r="EUT70" s="122"/>
      <c r="EUU70" s="122"/>
      <c r="EUV70" s="122"/>
      <c r="EUW70" s="122"/>
      <c r="EUX70" s="122"/>
      <c r="EUY70" s="122"/>
      <c r="EUZ70" s="122"/>
      <c r="EVA70" s="122"/>
      <c r="EVB70" s="122"/>
      <c r="EVC70" s="122"/>
      <c r="EVD70" s="122"/>
      <c r="EVE70" s="122"/>
      <c r="EVF70" s="122"/>
      <c r="EVG70" s="122"/>
      <c r="EVH70" s="122"/>
      <c r="EVI70" s="122"/>
      <c r="EVJ70" s="122"/>
      <c r="EVK70" s="122"/>
      <c r="EVL70" s="122"/>
      <c r="EVM70" s="122"/>
      <c r="EVN70" s="122"/>
      <c r="EVO70" s="122"/>
      <c r="EVP70" s="122"/>
      <c r="EVQ70" s="122"/>
      <c r="EVR70" s="122"/>
      <c r="EVS70" s="122"/>
      <c r="EVT70" s="122"/>
      <c r="EVU70" s="122"/>
      <c r="EVV70" s="122"/>
      <c r="EVW70" s="122"/>
      <c r="EVX70" s="122"/>
      <c r="EVY70" s="122"/>
      <c r="EVZ70" s="122"/>
      <c r="EWA70" s="122"/>
      <c r="EWB70" s="122"/>
      <c r="EWC70" s="122"/>
      <c r="EWD70" s="122"/>
      <c r="EWE70" s="122"/>
      <c r="EWF70" s="122"/>
      <c r="EWG70" s="122"/>
      <c r="EWH70" s="122"/>
      <c r="EWI70" s="122"/>
      <c r="EWJ70" s="122"/>
      <c r="EWK70" s="122"/>
      <c r="EWL70" s="122"/>
      <c r="EWM70" s="122"/>
      <c r="EWN70" s="122"/>
      <c r="EWO70" s="122"/>
      <c r="EWP70" s="122"/>
      <c r="EWQ70" s="122"/>
      <c r="EWR70" s="122"/>
      <c r="EWS70" s="122"/>
      <c r="EWT70" s="122"/>
      <c r="EWU70" s="122"/>
      <c r="EWV70" s="122"/>
      <c r="EWW70" s="122"/>
      <c r="EWX70" s="122"/>
      <c r="EWY70" s="122"/>
      <c r="EWZ70" s="122"/>
      <c r="EXA70" s="122"/>
      <c r="EXB70" s="122"/>
      <c r="EXC70" s="122"/>
      <c r="EXD70" s="122"/>
      <c r="EXE70" s="122"/>
      <c r="EXF70" s="122"/>
      <c r="EXG70" s="122"/>
      <c r="EXH70" s="122"/>
      <c r="EXI70" s="122"/>
      <c r="EXJ70" s="122"/>
      <c r="EXK70" s="122"/>
      <c r="EXL70" s="122"/>
      <c r="EXM70" s="122"/>
      <c r="EXN70" s="122"/>
      <c r="EXO70" s="122"/>
      <c r="EXP70" s="122"/>
      <c r="EXQ70" s="122"/>
      <c r="EXR70" s="122"/>
      <c r="EXS70" s="122"/>
      <c r="EXT70" s="122"/>
      <c r="EXU70" s="122"/>
      <c r="EXV70" s="122"/>
      <c r="EXW70" s="122"/>
      <c r="EXX70" s="122"/>
      <c r="EXY70" s="122"/>
      <c r="EXZ70" s="122"/>
      <c r="EYA70" s="122"/>
      <c r="EYB70" s="122"/>
      <c r="EYC70" s="122"/>
      <c r="EYD70" s="122"/>
      <c r="EYE70" s="122"/>
      <c r="EYF70" s="122"/>
      <c r="EYG70" s="122"/>
      <c r="EYH70" s="122"/>
      <c r="EYI70" s="122"/>
      <c r="EYJ70" s="122"/>
      <c r="EYK70" s="122"/>
      <c r="EYL70" s="122"/>
      <c r="EYM70" s="122"/>
      <c r="EYN70" s="122"/>
      <c r="EYO70" s="122"/>
      <c r="EYP70" s="122"/>
      <c r="EYQ70" s="122"/>
      <c r="EYR70" s="122"/>
      <c r="EYS70" s="122"/>
      <c r="EYT70" s="122"/>
      <c r="EYU70" s="122"/>
      <c r="EYV70" s="122"/>
      <c r="EYW70" s="122"/>
      <c r="EYX70" s="122"/>
      <c r="EYY70" s="122"/>
      <c r="EYZ70" s="122"/>
      <c r="EZA70" s="122"/>
      <c r="EZB70" s="122"/>
      <c r="EZC70" s="122"/>
      <c r="EZD70" s="122"/>
      <c r="EZE70" s="122"/>
      <c r="EZF70" s="122"/>
      <c r="EZG70" s="122"/>
      <c r="EZH70" s="122"/>
      <c r="EZI70" s="122"/>
      <c r="EZJ70" s="122"/>
      <c r="EZK70" s="122"/>
      <c r="EZL70" s="122"/>
      <c r="EZM70" s="122"/>
      <c r="EZN70" s="122"/>
      <c r="EZO70" s="122"/>
      <c r="EZP70" s="122"/>
      <c r="EZQ70" s="122"/>
      <c r="EZR70" s="122"/>
      <c r="EZS70" s="122"/>
      <c r="EZT70" s="122"/>
      <c r="EZU70" s="122"/>
      <c r="EZV70" s="122"/>
      <c r="EZW70" s="122"/>
      <c r="EZX70" s="122"/>
      <c r="EZY70" s="122"/>
      <c r="EZZ70" s="122"/>
      <c r="FAA70" s="122"/>
      <c r="FAB70" s="122"/>
      <c r="FAC70" s="122"/>
      <c r="FAD70" s="122"/>
      <c r="FAE70" s="122"/>
      <c r="FAF70" s="122"/>
      <c r="FAG70" s="122"/>
      <c r="FAH70" s="122"/>
      <c r="FAI70" s="122"/>
      <c r="FAJ70" s="122"/>
      <c r="FAK70" s="122"/>
      <c r="FAL70" s="122"/>
      <c r="FAM70" s="122"/>
      <c r="FAN70" s="122"/>
      <c r="FAO70" s="122"/>
      <c r="FAP70" s="122"/>
      <c r="FAQ70" s="122"/>
      <c r="FAR70" s="122"/>
      <c r="FAS70" s="122"/>
      <c r="FAT70" s="122"/>
      <c r="FAU70" s="122"/>
      <c r="FAV70" s="122"/>
      <c r="FAW70" s="122"/>
      <c r="FAX70" s="122"/>
      <c r="FAY70" s="122"/>
      <c r="FAZ70" s="122"/>
      <c r="FBA70" s="122"/>
      <c r="FBB70" s="122"/>
      <c r="FBC70" s="122"/>
      <c r="FBD70" s="122"/>
      <c r="FBE70" s="122"/>
      <c r="FBF70" s="122"/>
      <c r="FBG70" s="122"/>
      <c r="FBH70" s="122"/>
      <c r="FBI70" s="122"/>
      <c r="FBJ70" s="122"/>
      <c r="FBK70" s="122"/>
      <c r="FBL70" s="122"/>
      <c r="FBM70" s="122"/>
      <c r="FBN70" s="122"/>
      <c r="FBO70" s="122"/>
      <c r="FBP70" s="122"/>
      <c r="FBQ70" s="122"/>
      <c r="FBR70" s="122"/>
      <c r="FBS70" s="122"/>
      <c r="FBT70" s="122"/>
      <c r="FBU70" s="122"/>
      <c r="FBV70" s="122"/>
      <c r="FBW70" s="122"/>
      <c r="FBX70" s="122"/>
      <c r="FBY70" s="122"/>
      <c r="FBZ70" s="122"/>
      <c r="FCA70" s="122"/>
      <c r="FCB70" s="122"/>
      <c r="FCC70" s="122"/>
      <c r="FCD70" s="122"/>
      <c r="FCE70" s="122"/>
      <c r="FCF70" s="122"/>
      <c r="FCG70" s="122"/>
      <c r="FCH70" s="122"/>
      <c r="FCI70" s="122"/>
      <c r="FCJ70" s="122"/>
      <c r="FCK70" s="122"/>
      <c r="FCL70" s="122"/>
      <c r="FCM70" s="122"/>
      <c r="FCN70" s="122"/>
      <c r="FCO70" s="122"/>
      <c r="FCP70" s="122"/>
      <c r="FCQ70" s="122"/>
      <c r="FCR70" s="122"/>
      <c r="FCS70" s="122"/>
      <c r="FCT70" s="122"/>
      <c r="FCU70" s="122"/>
      <c r="FCV70" s="122"/>
      <c r="FCW70" s="122"/>
      <c r="FCX70" s="122"/>
      <c r="FCY70" s="122"/>
      <c r="FCZ70" s="122"/>
      <c r="FDA70" s="122"/>
      <c r="FDB70" s="122"/>
      <c r="FDC70" s="122"/>
      <c r="FDD70" s="122"/>
      <c r="FDE70" s="122"/>
      <c r="FDF70" s="122"/>
      <c r="FDG70" s="122"/>
      <c r="FDH70" s="122"/>
      <c r="FDI70" s="122"/>
      <c r="FDJ70" s="122"/>
      <c r="FDK70" s="122"/>
      <c r="FDL70" s="122"/>
      <c r="FDM70" s="122"/>
      <c r="FDN70" s="122"/>
      <c r="FDO70" s="122"/>
      <c r="FDP70" s="122"/>
      <c r="FDQ70" s="122"/>
      <c r="FDR70" s="122"/>
      <c r="FDS70" s="122"/>
      <c r="FDT70" s="122"/>
      <c r="FDU70" s="122"/>
      <c r="FDV70" s="122"/>
      <c r="FDW70" s="122"/>
      <c r="FDX70" s="122"/>
      <c r="FDY70" s="122"/>
      <c r="FDZ70" s="122"/>
      <c r="FEA70" s="122"/>
      <c r="FEB70" s="122"/>
      <c r="FEC70" s="122"/>
      <c r="FED70" s="122"/>
      <c r="FEE70" s="122"/>
      <c r="FEF70" s="122"/>
      <c r="FEG70" s="122"/>
      <c r="FEH70" s="122"/>
      <c r="FEI70" s="122"/>
      <c r="FEJ70" s="122"/>
      <c r="FEK70" s="122"/>
      <c r="FEL70" s="122"/>
      <c r="FEM70" s="122"/>
      <c r="FEN70" s="122"/>
      <c r="FEO70" s="122"/>
      <c r="FEP70" s="122"/>
      <c r="FEQ70" s="122"/>
      <c r="FER70" s="122"/>
      <c r="FES70" s="122"/>
      <c r="FET70" s="122"/>
      <c r="FEU70" s="122"/>
      <c r="FEV70" s="122"/>
      <c r="FEW70" s="122"/>
      <c r="FEX70" s="122"/>
      <c r="FEY70" s="122"/>
      <c r="FEZ70" s="122"/>
      <c r="FFA70" s="122"/>
      <c r="FFB70" s="122"/>
      <c r="FFC70" s="122"/>
      <c r="FFD70" s="122"/>
      <c r="FFE70" s="122"/>
      <c r="FFF70" s="122"/>
      <c r="FFG70" s="122"/>
      <c r="FFH70" s="122"/>
      <c r="FFI70" s="122"/>
      <c r="FFJ70" s="122"/>
      <c r="FFK70" s="122"/>
      <c r="FFL70" s="122"/>
      <c r="FFM70" s="122"/>
      <c r="FFN70" s="122"/>
      <c r="FFO70" s="122"/>
      <c r="FFP70" s="122"/>
      <c r="FFQ70" s="122"/>
      <c r="FFR70" s="122"/>
      <c r="FFS70" s="122"/>
      <c r="FFT70" s="122"/>
      <c r="FFU70" s="122"/>
      <c r="FFV70" s="122"/>
      <c r="FFW70" s="122"/>
      <c r="FFX70" s="122"/>
      <c r="FFY70" s="122"/>
      <c r="FFZ70" s="122"/>
      <c r="FGA70" s="122"/>
      <c r="FGB70" s="122"/>
      <c r="FGC70" s="122"/>
      <c r="FGD70" s="122"/>
      <c r="FGE70" s="122"/>
      <c r="FGF70" s="122"/>
      <c r="FGG70" s="122"/>
      <c r="FGH70" s="122"/>
      <c r="FGI70" s="122"/>
      <c r="FGJ70" s="122"/>
      <c r="FGK70" s="122"/>
      <c r="FGL70" s="122"/>
      <c r="FGM70" s="122"/>
      <c r="FGN70" s="122"/>
      <c r="FGO70" s="122"/>
      <c r="FGP70" s="122"/>
      <c r="FGQ70" s="122"/>
      <c r="FGR70" s="122"/>
      <c r="FGS70" s="122"/>
      <c r="FGT70" s="122"/>
      <c r="FGU70" s="122"/>
      <c r="FGV70" s="122"/>
      <c r="FGW70" s="122"/>
      <c r="FGX70" s="122"/>
      <c r="FGY70" s="122"/>
      <c r="FGZ70" s="122"/>
      <c r="FHA70" s="122"/>
      <c r="FHB70" s="122"/>
      <c r="FHC70" s="122"/>
      <c r="FHD70" s="122"/>
      <c r="FHE70" s="122"/>
      <c r="FHF70" s="122"/>
      <c r="FHG70" s="122"/>
      <c r="FHH70" s="122"/>
      <c r="FHI70" s="122"/>
      <c r="FHJ70" s="122"/>
      <c r="FHK70" s="122"/>
      <c r="FHL70" s="122"/>
      <c r="FHM70" s="122"/>
      <c r="FHN70" s="122"/>
      <c r="FHO70" s="122"/>
      <c r="FHP70" s="122"/>
      <c r="FHQ70" s="122"/>
      <c r="FHR70" s="122"/>
      <c r="FHS70" s="122"/>
      <c r="FHT70" s="122"/>
      <c r="FHU70" s="122"/>
      <c r="FHV70" s="122"/>
      <c r="FHW70" s="122"/>
      <c r="FHX70" s="122"/>
      <c r="FHY70" s="122"/>
      <c r="FHZ70" s="122"/>
      <c r="FIA70" s="122"/>
      <c r="FIB70" s="122"/>
      <c r="FIC70" s="122"/>
      <c r="FID70" s="122"/>
      <c r="FIE70" s="122"/>
      <c r="FIF70" s="122"/>
      <c r="FIG70" s="122"/>
      <c r="FIH70" s="122"/>
      <c r="FII70" s="122"/>
      <c r="FIJ70" s="122"/>
      <c r="FIK70" s="122"/>
      <c r="FIL70" s="122"/>
      <c r="FIM70" s="122"/>
      <c r="FIN70" s="122"/>
      <c r="FIO70" s="122"/>
      <c r="FIP70" s="122"/>
      <c r="FIQ70" s="122"/>
      <c r="FIR70" s="122"/>
      <c r="FIS70" s="122"/>
      <c r="FIT70" s="122"/>
      <c r="FIU70" s="122"/>
      <c r="FIV70" s="122"/>
      <c r="FIW70" s="122"/>
      <c r="FIX70" s="122"/>
      <c r="FIY70" s="122"/>
      <c r="FIZ70" s="122"/>
      <c r="FJA70" s="122"/>
      <c r="FJB70" s="122"/>
      <c r="FJC70" s="122"/>
      <c r="FJD70" s="122"/>
      <c r="FJE70" s="122"/>
      <c r="FJF70" s="122"/>
      <c r="FJG70" s="122"/>
      <c r="FJH70" s="122"/>
      <c r="FJI70" s="122"/>
      <c r="FJJ70" s="122"/>
      <c r="FJK70" s="122"/>
      <c r="FJL70" s="122"/>
      <c r="FJM70" s="122"/>
      <c r="FJN70" s="122"/>
      <c r="FJO70" s="122"/>
      <c r="FJP70" s="122"/>
      <c r="FJQ70" s="122"/>
      <c r="FJR70" s="122"/>
      <c r="FJS70" s="122"/>
      <c r="FJT70" s="122"/>
      <c r="FJU70" s="122"/>
      <c r="FJV70" s="122"/>
      <c r="FJW70" s="122"/>
      <c r="FJX70" s="122"/>
      <c r="FJY70" s="122"/>
      <c r="FJZ70" s="122"/>
      <c r="FKA70" s="122"/>
      <c r="FKB70" s="122"/>
      <c r="FKC70" s="122"/>
      <c r="FKD70" s="122"/>
      <c r="FKE70" s="122"/>
      <c r="FKF70" s="122"/>
      <c r="FKG70" s="122"/>
      <c r="FKH70" s="122"/>
      <c r="FKI70" s="122"/>
      <c r="FKJ70" s="122"/>
      <c r="FKK70" s="122"/>
      <c r="FKL70" s="122"/>
      <c r="FKM70" s="122"/>
      <c r="FKN70" s="122"/>
      <c r="FKO70" s="122"/>
      <c r="FKP70" s="122"/>
      <c r="FKQ70" s="122"/>
      <c r="FKR70" s="122"/>
      <c r="FKS70" s="122"/>
      <c r="FKT70" s="122"/>
      <c r="FKU70" s="122"/>
      <c r="FKV70" s="122"/>
      <c r="FKW70" s="122"/>
      <c r="FKX70" s="122"/>
      <c r="FKY70" s="122"/>
      <c r="FKZ70" s="122"/>
      <c r="FLA70" s="122"/>
      <c r="FLB70" s="122"/>
      <c r="FLC70" s="122"/>
      <c r="FLD70" s="122"/>
      <c r="FLE70" s="122"/>
      <c r="FLF70" s="122"/>
      <c r="FLG70" s="122"/>
      <c r="FLH70" s="122"/>
      <c r="FLI70" s="122"/>
      <c r="FLJ70" s="122"/>
      <c r="FLK70" s="122"/>
      <c r="FLL70" s="122"/>
      <c r="FLM70" s="122"/>
      <c r="FLN70" s="122"/>
      <c r="FLO70" s="122"/>
      <c r="FLP70" s="122"/>
      <c r="FLQ70" s="122"/>
      <c r="FLR70" s="122"/>
      <c r="FLS70" s="122"/>
      <c r="FLT70" s="122"/>
      <c r="FLU70" s="122"/>
      <c r="FLV70" s="122"/>
      <c r="FLW70" s="122"/>
      <c r="FLX70" s="122"/>
      <c r="FLY70" s="122"/>
      <c r="FLZ70" s="122"/>
      <c r="FMA70" s="122"/>
      <c r="FMB70" s="122"/>
      <c r="FMC70" s="122"/>
      <c r="FMD70" s="122"/>
      <c r="FME70" s="122"/>
      <c r="FMF70" s="122"/>
      <c r="FMG70" s="122"/>
      <c r="FMH70" s="122"/>
      <c r="FMI70" s="122"/>
      <c r="FMJ70" s="122"/>
      <c r="FMK70" s="122"/>
      <c r="FML70" s="122"/>
      <c r="FMM70" s="122"/>
      <c r="FMN70" s="122"/>
      <c r="FMO70" s="122"/>
      <c r="FMP70" s="122"/>
      <c r="FMQ70" s="122"/>
      <c r="FMR70" s="122"/>
      <c r="FMS70" s="122"/>
      <c r="FMT70" s="122"/>
      <c r="FMU70" s="122"/>
      <c r="FMV70" s="122"/>
      <c r="FMW70" s="122"/>
      <c r="FMX70" s="122"/>
      <c r="FMY70" s="122"/>
      <c r="FMZ70" s="122"/>
      <c r="FNA70" s="122"/>
      <c r="FNB70" s="122"/>
      <c r="FNC70" s="122"/>
      <c r="FND70" s="122"/>
      <c r="FNE70" s="122"/>
      <c r="FNF70" s="122"/>
      <c r="FNG70" s="122"/>
      <c r="FNH70" s="122"/>
      <c r="FNI70" s="122"/>
      <c r="FNJ70" s="122"/>
      <c r="FNK70" s="122"/>
      <c r="FNL70" s="122"/>
      <c r="FNM70" s="122"/>
      <c r="FNN70" s="122"/>
      <c r="FNO70" s="122"/>
      <c r="FNP70" s="122"/>
      <c r="FNQ70" s="122"/>
      <c r="FNR70" s="122"/>
      <c r="FNS70" s="122"/>
      <c r="FNT70" s="122"/>
      <c r="FNU70" s="122"/>
      <c r="FNV70" s="122"/>
      <c r="FNW70" s="122"/>
      <c r="FNX70" s="122"/>
      <c r="FNY70" s="122"/>
      <c r="FNZ70" s="122"/>
      <c r="FOA70" s="122"/>
      <c r="FOB70" s="122"/>
      <c r="FOC70" s="122"/>
      <c r="FOD70" s="122"/>
      <c r="FOE70" s="122"/>
      <c r="FOF70" s="122"/>
      <c r="FOG70" s="122"/>
      <c r="FOH70" s="122"/>
      <c r="FOI70" s="122"/>
      <c r="FOJ70" s="122"/>
      <c r="FOK70" s="122"/>
      <c r="FOL70" s="122"/>
      <c r="FOM70" s="122"/>
      <c r="FON70" s="122"/>
      <c r="FOO70" s="122"/>
      <c r="FOP70" s="122"/>
      <c r="FOQ70" s="122"/>
      <c r="FOR70" s="122"/>
      <c r="FOS70" s="122"/>
      <c r="FOT70" s="122"/>
      <c r="FOU70" s="122"/>
      <c r="FOV70" s="122"/>
      <c r="FOW70" s="122"/>
      <c r="FOX70" s="122"/>
      <c r="FOY70" s="122"/>
      <c r="FOZ70" s="122"/>
      <c r="FPA70" s="122"/>
      <c r="FPB70" s="122"/>
      <c r="FPC70" s="122"/>
      <c r="FPD70" s="122"/>
      <c r="FPE70" s="122"/>
      <c r="FPF70" s="122"/>
      <c r="FPG70" s="122"/>
      <c r="FPH70" s="122"/>
      <c r="FPI70" s="122"/>
      <c r="FPJ70" s="122"/>
      <c r="FPK70" s="122"/>
      <c r="FPL70" s="122"/>
      <c r="FPM70" s="122"/>
      <c r="FPN70" s="122"/>
      <c r="FPO70" s="122"/>
      <c r="FPP70" s="122"/>
      <c r="FPQ70" s="122"/>
      <c r="FPR70" s="122"/>
      <c r="FPS70" s="122"/>
      <c r="FPT70" s="122"/>
      <c r="FPU70" s="122"/>
      <c r="FPV70" s="122"/>
      <c r="FPW70" s="122"/>
      <c r="FPX70" s="122"/>
      <c r="FPY70" s="122"/>
      <c r="FPZ70" s="122"/>
      <c r="FQA70" s="122"/>
      <c r="FQB70" s="122"/>
      <c r="FQC70" s="122"/>
      <c r="FQD70" s="122"/>
      <c r="FQE70" s="122"/>
      <c r="FQF70" s="122"/>
      <c r="FQG70" s="122"/>
      <c r="FQH70" s="122"/>
      <c r="FQI70" s="122"/>
      <c r="FQJ70" s="122"/>
      <c r="FQK70" s="122"/>
      <c r="FQL70" s="122"/>
      <c r="FQM70" s="122"/>
      <c r="FQN70" s="122"/>
      <c r="FQO70" s="122"/>
      <c r="FQP70" s="122"/>
      <c r="FQQ70" s="122"/>
      <c r="FQR70" s="122"/>
      <c r="FQS70" s="122"/>
      <c r="FQT70" s="122"/>
      <c r="FQU70" s="122"/>
      <c r="FQV70" s="122"/>
      <c r="FQW70" s="122"/>
      <c r="FQX70" s="122"/>
      <c r="FQY70" s="122"/>
      <c r="FQZ70" s="122"/>
      <c r="FRA70" s="122"/>
      <c r="FRB70" s="122"/>
      <c r="FRC70" s="122"/>
      <c r="FRD70" s="122"/>
      <c r="FRE70" s="122"/>
      <c r="FRF70" s="122"/>
      <c r="FRG70" s="122"/>
      <c r="FRH70" s="122"/>
      <c r="FRI70" s="122"/>
      <c r="FRJ70" s="122"/>
      <c r="FRK70" s="122"/>
      <c r="FRL70" s="122"/>
      <c r="FRM70" s="122"/>
      <c r="FRN70" s="122"/>
      <c r="FRO70" s="122"/>
      <c r="FRP70" s="122"/>
      <c r="FRQ70" s="122"/>
      <c r="FRR70" s="122"/>
      <c r="FRS70" s="122"/>
      <c r="FRT70" s="122"/>
      <c r="FRU70" s="122"/>
      <c r="FRV70" s="122"/>
      <c r="FRW70" s="122"/>
      <c r="FRX70" s="122"/>
      <c r="FRY70" s="122"/>
      <c r="FRZ70" s="122"/>
      <c r="FSA70" s="122"/>
      <c r="FSB70" s="122"/>
      <c r="FSC70" s="122"/>
      <c r="FSD70" s="122"/>
      <c r="FSE70" s="122"/>
      <c r="FSF70" s="122"/>
      <c r="FSG70" s="122"/>
      <c r="FSH70" s="122"/>
      <c r="FSI70" s="122"/>
      <c r="FSJ70" s="122"/>
      <c r="FSK70" s="122"/>
      <c r="FSL70" s="122"/>
      <c r="FSM70" s="122"/>
      <c r="FSN70" s="122"/>
      <c r="FSO70" s="122"/>
      <c r="FSP70" s="122"/>
      <c r="FSQ70" s="122"/>
      <c r="FSR70" s="122"/>
      <c r="FSS70" s="122"/>
      <c r="FST70" s="122"/>
      <c r="FSU70" s="122"/>
      <c r="FSV70" s="122"/>
      <c r="FSW70" s="122"/>
      <c r="FSX70" s="122"/>
      <c r="FSY70" s="122"/>
      <c r="FSZ70" s="122"/>
      <c r="FTA70" s="122"/>
      <c r="FTB70" s="122"/>
      <c r="FTC70" s="122"/>
      <c r="FTD70" s="122"/>
      <c r="FTE70" s="122"/>
      <c r="FTF70" s="122"/>
      <c r="FTG70" s="122"/>
      <c r="FTH70" s="122"/>
      <c r="FTI70" s="122"/>
      <c r="FTJ70" s="122"/>
      <c r="FTK70" s="122"/>
      <c r="FTL70" s="122"/>
      <c r="FTM70" s="122"/>
      <c r="FTN70" s="122"/>
      <c r="FTO70" s="122"/>
      <c r="FTP70" s="122"/>
      <c r="FTQ70" s="122"/>
      <c r="FTR70" s="122"/>
      <c r="FTS70" s="122"/>
      <c r="FTT70" s="122"/>
      <c r="FTU70" s="122"/>
      <c r="FTV70" s="122"/>
      <c r="FTW70" s="122"/>
      <c r="FTX70" s="122"/>
      <c r="FTY70" s="122"/>
      <c r="FTZ70" s="122"/>
      <c r="FUA70" s="122"/>
      <c r="FUB70" s="122"/>
      <c r="FUC70" s="122"/>
      <c r="FUD70" s="122"/>
      <c r="FUE70" s="122"/>
      <c r="FUF70" s="122"/>
      <c r="FUG70" s="122"/>
      <c r="FUH70" s="122"/>
      <c r="FUI70" s="122"/>
      <c r="FUJ70" s="122"/>
      <c r="FUK70" s="122"/>
      <c r="FUL70" s="122"/>
      <c r="FUM70" s="122"/>
      <c r="FUN70" s="122"/>
      <c r="FUO70" s="122"/>
      <c r="FUP70" s="122"/>
      <c r="FUQ70" s="122"/>
      <c r="FUR70" s="122"/>
      <c r="FUS70" s="122"/>
      <c r="FUT70" s="122"/>
      <c r="FUU70" s="122"/>
      <c r="FUV70" s="122"/>
      <c r="FUW70" s="122"/>
      <c r="FUX70" s="122"/>
      <c r="FUY70" s="122"/>
      <c r="FUZ70" s="122"/>
      <c r="FVA70" s="122"/>
      <c r="FVB70" s="122"/>
      <c r="FVC70" s="122"/>
      <c r="FVD70" s="122"/>
      <c r="FVE70" s="122"/>
      <c r="FVF70" s="122"/>
      <c r="FVG70" s="122"/>
      <c r="FVH70" s="122"/>
      <c r="FVI70" s="122"/>
      <c r="FVJ70" s="122"/>
      <c r="FVK70" s="122"/>
      <c r="FVL70" s="122"/>
      <c r="FVM70" s="122"/>
      <c r="FVN70" s="122"/>
      <c r="FVO70" s="122"/>
      <c r="FVP70" s="122"/>
      <c r="FVQ70" s="122"/>
      <c r="FVR70" s="122"/>
      <c r="FVS70" s="122"/>
      <c r="FVT70" s="122"/>
      <c r="FVU70" s="122"/>
      <c r="FVV70" s="122"/>
      <c r="FVW70" s="122"/>
      <c r="FVX70" s="122"/>
      <c r="FVY70" s="122"/>
      <c r="FVZ70" s="122"/>
      <c r="FWA70" s="122"/>
      <c r="FWB70" s="122"/>
      <c r="FWC70" s="122"/>
      <c r="FWD70" s="122"/>
      <c r="FWE70" s="122"/>
      <c r="FWF70" s="122"/>
      <c r="FWG70" s="122"/>
      <c r="FWH70" s="122"/>
      <c r="FWI70" s="122"/>
      <c r="FWJ70" s="122"/>
      <c r="FWK70" s="122"/>
      <c r="FWL70" s="122"/>
      <c r="FWM70" s="122"/>
      <c r="FWN70" s="122"/>
      <c r="FWO70" s="122"/>
      <c r="FWP70" s="122"/>
      <c r="FWQ70" s="122"/>
      <c r="FWR70" s="122"/>
      <c r="FWS70" s="122"/>
      <c r="FWT70" s="122"/>
      <c r="FWU70" s="122"/>
      <c r="FWV70" s="122"/>
      <c r="FWW70" s="122"/>
      <c r="FWX70" s="122"/>
      <c r="FWY70" s="122"/>
      <c r="FWZ70" s="122"/>
      <c r="FXA70" s="122"/>
      <c r="FXB70" s="122"/>
      <c r="FXC70" s="122"/>
      <c r="FXD70" s="122"/>
      <c r="FXE70" s="122"/>
      <c r="FXF70" s="122"/>
      <c r="FXG70" s="122"/>
      <c r="FXH70" s="122"/>
      <c r="FXI70" s="122"/>
      <c r="FXJ70" s="122"/>
      <c r="FXK70" s="122"/>
      <c r="FXL70" s="122"/>
      <c r="FXM70" s="122"/>
      <c r="FXN70" s="122"/>
      <c r="FXO70" s="122"/>
      <c r="FXP70" s="122"/>
      <c r="FXQ70" s="122"/>
      <c r="FXR70" s="122"/>
      <c r="FXS70" s="122"/>
      <c r="FXT70" s="122"/>
      <c r="FXU70" s="122"/>
      <c r="FXV70" s="122"/>
      <c r="FXW70" s="122"/>
      <c r="FXX70" s="122"/>
      <c r="FXY70" s="122"/>
      <c r="FXZ70" s="122"/>
      <c r="FYA70" s="122"/>
      <c r="FYB70" s="122"/>
      <c r="FYC70" s="122"/>
      <c r="FYD70" s="122"/>
      <c r="FYE70" s="122"/>
      <c r="FYF70" s="122"/>
      <c r="FYG70" s="122"/>
      <c r="FYH70" s="122"/>
      <c r="FYI70" s="122"/>
      <c r="FYJ70" s="122"/>
      <c r="FYK70" s="122"/>
      <c r="FYL70" s="122"/>
      <c r="FYM70" s="122"/>
      <c r="FYN70" s="122"/>
      <c r="FYO70" s="122"/>
      <c r="FYP70" s="122"/>
      <c r="FYQ70" s="122"/>
      <c r="FYR70" s="122"/>
      <c r="FYS70" s="122"/>
      <c r="FYT70" s="122"/>
      <c r="FYU70" s="122"/>
      <c r="FYV70" s="122"/>
      <c r="FYW70" s="122"/>
      <c r="FYX70" s="122"/>
      <c r="FYY70" s="122"/>
      <c r="FYZ70" s="122"/>
      <c r="FZA70" s="122"/>
      <c r="FZB70" s="122"/>
      <c r="FZC70" s="122"/>
      <c r="FZD70" s="122"/>
      <c r="FZE70" s="122"/>
      <c r="FZF70" s="122"/>
      <c r="FZG70" s="122"/>
      <c r="FZH70" s="122"/>
      <c r="FZI70" s="122"/>
      <c r="FZJ70" s="122"/>
      <c r="FZK70" s="122"/>
      <c r="FZL70" s="122"/>
      <c r="FZM70" s="122"/>
      <c r="FZN70" s="122"/>
      <c r="FZO70" s="122"/>
      <c r="FZP70" s="122"/>
      <c r="FZQ70" s="122"/>
      <c r="FZR70" s="122"/>
      <c r="FZS70" s="122"/>
      <c r="FZT70" s="122"/>
      <c r="FZU70" s="122"/>
      <c r="FZV70" s="122"/>
      <c r="FZW70" s="122"/>
      <c r="FZX70" s="122"/>
      <c r="FZY70" s="122"/>
      <c r="FZZ70" s="122"/>
      <c r="GAA70" s="122"/>
      <c r="GAB70" s="122"/>
      <c r="GAC70" s="122"/>
      <c r="GAD70" s="122"/>
      <c r="GAE70" s="122"/>
      <c r="GAF70" s="122"/>
      <c r="GAG70" s="122"/>
      <c r="GAH70" s="122"/>
      <c r="GAI70" s="122"/>
      <c r="GAJ70" s="122"/>
      <c r="GAK70" s="122"/>
      <c r="GAL70" s="122"/>
      <c r="GAM70" s="122"/>
      <c r="GAN70" s="122"/>
      <c r="GAO70" s="122"/>
      <c r="GAP70" s="122"/>
      <c r="GAQ70" s="122"/>
      <c r="GAR70" s="122"/>
      <c r="GAS70" s="122"/>
      <c r="GAT70" s="122"/>
      <c r="GAU70" s="122"/>
      <c r="GAV70" s="122"/>
      <c r="GAW70" s="122"/>
      <c r="GAX70" s="122"/>
      <c r="GAY70" s="122"/>
      <c r="GAZ70" s="122"/>
      <c r="GBA70" s="122"/>
      <c r="GBB70" s="122"/>
      <c r="GBC70" s="122"/>
      <c r="GBD70" s="122"/>
      <c r="GBE70" s="122"/>
      <c r="GBF70" s="122"/>
      <c r="GBG70" s="122"/>
      <c r="GBH70" s="122"/>
      <c r="GBI70" s="122"/>
      <c r="GBJ70" s="122"/>
      <c r="GBK70" s="122"/>
      <c r="GBL70" s="122"/>
      <c r="GBM70" s="122"/>
      <c r="GBN70" s="122"/>
      <c r="GBO70" s="122"/>
      <c r="GBP70" s="122"/>
      <c r="GBQ70" s="122"/>
      <c r="GBR70" s="122"/>
      <c r="GBS70" s="122"/>
      <c r="GBT70" s="122"/>
      <c r="GBU70" s="122"/>
      <c r="GBV70" s="122"/>
      <c r="GBW70" s="122"/>
      <c r="GBX70" s="122"/>
      <c r="GBY70" s="122"/>
      <c r="GBZ70" s="122"/>
      <c r="GCA70" s="122"/>
      <c r="GCB70" s="122"/>
      <c r="GCC70" s="122"/>
      <c r="GCD70" s="122"/>
      <c r="GCE70" s="122"/>
      <c r="GCF70" s="122"/>
      <c r="GCG70" s="122"/>
      <c r="GCH70" s="122"/>
      <c r="GCI70" s="122"/>
      <c r="GCJ70" s="122"/>
      <c r="GCK70" s="122"/>
      <c r="GCL70" s="122"/>
      <c r="GCM70" s="122"/>
      <c r="GCN70" s="122"/>
      <c r="GCO70" s="122"/>
      <c r="GCP70" s="122"/>
      <c r="GCQ70" s="122"/>
      <c r="GCR70" s="122"/>
      <c r="GCS70" s="122"/>
      <c r="GCT70" s="122"/>
      <c r="GCU70" s="122"/>
      <c r="GCV70" s="122"/>
      <c r="GCW70" s="122"/>
      <c r="GCX70" s="122"/>
      <c r="GCY70" s="122"/>
      <c r="GCZ70" s="122"/>
      <c r="GDA70" s="122"/>
      <c r="GDB70" s="122"/>
      <c r="GDC70" s="122"/>
      <c r="GDD70" s="122"/>
      <c r="GDE70" s="122"/>
      <c r="GDF70" s="122"/>
      <c r="GDG70" s="122"/>
      <c r="GDH70" s="122"/>
      <c r="GDI70" s="122"/>
      <c r="GDJ70" s="122"/>
      <c r="GDK70" s="122"/>
      <c r="GDL70" s="122"/>
      <c r="GDM70" s="122"/>
      <c r="GDN70" s="122"/>
      <c r="GDO70" s="122"/>
      <c r="GDP70" s="122"/>
      <c r="GDQ70" s="122"/>
      <c r="GDR70" s="122"/>
      <c r="GDS70" s="122"/>
      <c r="GDT70" s="122"/>
      <c r="GDU70" s="122"/>
      <c r="GDV70" s="122"/>
      <c r="GDW70" s="122"/>
      <c r="GDX70" s="122"/>
      <c r="GDY70" s="122"/>
      <c r="GDZ70" s="122"/>
      <c r="GEA70" s="122"/>
      <c r="GEB70" s="122"/>
      <c r="GEC70" s="122"/>
      <c r="GED70" s="122"/>
      <c r="GEE70" s="122"/>
      <c r="GEF70" s="122"/>
      <c r="GEG70" s="122"/>
      <c r="GEH70" s="122"/>
      <c r="GEI70" s="122"/>
      <c r="GEJ70" s="122"/>
      <c r="GEK70" s="122"/>
      <c r="GEL70" s="122"/>
      <c r="GEM70" s="122"/>
      <c r="GEN70" s="122"/>
      <c r="GEO70" s="122"/>
      <c r="GEP70" s="122"/>
      <c r="GEQ70" s="122"/>
      <c r="GER70" s="122"/>
      <c r="GES70" s="122"/>
      <c r="GET70" s="122"/>
      <c r="GEU70" s="122"/>
      <c r="GEV70" s="122"/>
      <c r="GEW70" s="122"/>
      <c r="GEX70" s="122"/>
      <c r="GEY70" s="122"/>
      <c r="GEZ70" s="122"/>
      <c r="GFA70" s="122"/>
      <c r="GFB70" s="122"/>
      <c r="GFC70" s="122"/>
      <c r="GFD70" s="122"/>
      <c r="GFE70" s="122"/>
      <c r="GFF70" s="122"/>
      <c r="GFG70" s="122"/>
      <c r="GFH70" s="122"/>
      <c r="GFI70" s="122"/>
      <c r="GFJ70" s="122"/>
      <c r="GFK70" s="122"/>
      <c r="GFL70" s="122"/>
      <c r="GFM70" s="122"/>
      <c r="GFN70" s="122"/>
      <c r="GFO70" s="122"/>
      <c r="GFP70" s="122"/>
      <c r="GFQ70" s="122"/>
      <c r="GFR70" s="122"/>
      <c r="GFS70" s="122"/>
      <c r="GFT70" s="122"/>
      <c r="GFU70" s="122"/>
      <c r="GFV70" s="122"/>
      <c r="GFW70" s="122"/>
      <c r="GFX70" s="122"/>
      <c r="GFY70" s="122"/>
      <c r="GFZ70" s="122"/>
      <c r="GGA70" s="122"/>
      <c r="GGB70" s="122"/>
      <c r="GGC70" s="122"/>
      <c r="GGD70" s="122"/>
      <c r="GGE70" s="122"/>
      <c r="GGF70" s="122"/>
      <c r="GGG70" s="122"/>
      <c r="GGH70" s="122"/>
      <c r="GGI70" s="122"/>
      <c r="GGJ70" s="122"/>
      <c r="GGK70" s="122"/>
      <c r="GGL70" s="122"/>
      <c r="GGM70" s="122"/>
      <c r="GGN70" s="122"/>
      <c r="GGO70" s="122"/>
      <c r="GGP70" s="122"/>
      <c r="GGQ70" s="122"/>
      <c r="GGR70" s="122"/>
      <c r="GGS70" s="122"/>
      <c r="GGT70" s="122"/>
      <c r="GGU70" s="122"/>
      <c r="GGV70" s="122"/>
      <c r="GGW70" s="122"/>
      <c r="GGX70" s="122"/>
      <c r="GGY70" s="122"/>
      <c r="GGZ70" s="122"/>
      <c r="GHA70" s="122"/>
      <c r="GHB70" s="122"/>
      <c r="GHC70" s="122"/>
      <c r="GHD70" s="122"/>
      <c r="GHE70" s="122"/>
      <c r="GHF70" s="122"/>
      <c r="GHG70" s="122"/>
      <c r="GHH70" s="122"/>
      <c r="GHI70" s="122"/>
      <c r="GHJ70" s="122"/>
      <c r="GHK70" s="122"/>
      <c r="GHL70" s="122"/>
      <c r="GHM70" s="122"/>
      <c r="GHN70" s="122"/>
      <c r="GHO70" s="122"/>
      <c r="GHP70" s="122"/>
      <c r="GHQ70" s="122"/>
      <c r="GHR70" s="122"/>
      <c r="GHS70" s="122"/>
      <c r="GHT70" s="122"/>
      <c r="GHU70" s="122"/>
      <c r="GHV70" s="122"/>
      <c r="GHW70" s="122"/>
      <c r="GHX70" s="122"/>
      <c r="GHY70" s="122"/>
      <c r="GHZ70" s="122"/>
      <c r="GIA70" s="122"/>
      <c r="GIB70" s="122"/>
      <c r="GIC70" s="122"/>
      <c r="GID70" s="122"/>
      <c r="GIE70" s="122"/>
      <c r="GIF70" s="122"/>
      <c r="GIG70" s="122"/>
      <c r="GIH70" s="122"/>
      <c r="GII70" s="122"/>
      <c r="GIJ70" s="122"/>
      <c r="GIK70" s="122"/>
      <c r="GIL70" s="122"/>
      <c r="GIM70" s="122"/>
      <c r="GIN70" s="122"/>
      <c r="GIO70" s="122"/>
      <c r="GIP70" s="122"/>
      <c r="GIQ70" s="122"/>
      <c r="GIR70" s="122"/>
      <c r="GIS70" s="122"/>
      <c r="GIT70" s="122"/>
      <c r="GIU70" s="122"/>
      <c r="GIV70" s="122"/>
      <c r="GIW70" s="122"/>
      <c r="GIX70" s="122"/>
      <c r="GIY70" s="122"/>
      <c r="GIZ70" s="122"/>
      <c r="GJA70" s="122"/>
      <c r="GJB70" s="122"/>
      <c r="GJC70" s="122"/>
      <c r="GJD70" s="122"/>
      <c r="GJE70" s="122"/>
      <c r="GJF70" s="122"/>
      <c r="GJG70" s="122"/>
      <c r="GJH70" s="122"/>
      <c r="GJI70" s="122"/>
      <c r="GJJ70" s="122"/>
      <c r="GJK70" s="122"/>
      <c r="GJL70" s="122"/>
      <c r="GJM70" s="122"/>
      <c r="GJN70" s="122"/>
      <c r="GJO70" s="122"/>
      <c r="GJP70" s="122"/>
      <c r="GJQ70" s="122"/>
      <c r="GJR70" s="122"/>
      <c r="GJS70" s="122"/>
      <c r="GJT70" s="122"/>
      <c r="GJU70" s="122"/>
      <c r="GJV70" s="122"/>
      <c r="GJW70" s="122"/>
      <c r="GJX70" s="122"/>
      <c r="GJY70" s="122"/>
      <c r="GJZ70" s="122"/>
      <c r="GKA70" s="122"/>
      <c r="GKB70" s="122"/>
      <c r="GKC70" s="122"/>
      <c r="GKD70" s="122"/>
      <c r="GKE70" s="122"/>
      <c r="GKF70" s="122"/>
      <c r="GKG70" s="122"/>
      <c r="GKH70" s="122"/>
      <c r="GKI70" s="122"/>
      <c r="GKJ70" s="122"/>
      <c r="GKK70" s="122"/>
      <c r="GKL70" s="122"/>
      <c r="GKM70" s="122"/>
      <c r="GKN70" s="122"/>
      <c r="GKO70" s="122"/>
      <c r="GKP70" s="122"/>
      <c r="GKQ70" s="122"/>
      <c r="GKR70" s="122"/>
      <c r="GKS70" s="122"/>
      <c r="GKT70" s="122"/>
      <c r="GKU70" s="122"/>
      <c r="GKV70" s="122"/>
      <c r="GKW70" s="122"/>
      <c r="GKX70" s="122"/>
      <c r="GKY70" s="122"/>
      <c r="GKZ70" s="122"/>
      <c r="GLA70" s="122"/>
      <c r="GLB70" s="122"/>
      <c r="GLC70" s="122"/>
      <c r="GLD70" s="122"/>
      <c r="GLE70" s="122"/>
      <c r="GLF70" s="122"/>
      <c r="GLG70" s="122"/>
      <c r="GLH70" s="122"/>
      <c r="GLI70" s="122"/>
      <c r="GLJ70" s="122"/>
      <c r="GLK70" s="122"/>
      <c r="GLL70" s="122"/>
      <c r="GLM70" s="122"/>
      <c r="GLN70" s="122"/>
      <c r="GLO70" s="122"/>
      <c r="GLP70" s="122"/>
      <c r="GLQ70" s="122"/>
      <c r="GLR70" s="122"/>
      <c r="GLS70" s="122"/>
      <c r="GLT70" s="122"/>
      <c r="GLU70" s="122"/>
      <c r="GLV70" s="122"/>
      <c r="GLW70" s="122"/>
      <c r="GLX70" s="122"/>
      <c r="GLY70" s="122"/>
      <c r="GLZ70" s="122"/>
      <c r="GMA70" s="122"/>
      <c r="GMB70" s="122"/>
      <c r="GMC70" s="122"/>
      <c r="GMD70" s="122"/>
      <c r="GME70" s="122"/>
      <c r="GMF70" s="122"/>
      <c r="GMG70" s="122"/>
      <c r="GMH70" s="122"/>
      <c r="GMI70" s="122"/>
      <c r="GMJ70" s="122"/>
      <c r="GMK70" s="122"/>
      <c r="GML70" s="122"/>
      <c r="GMM70" s="122"/>
      <c r="GMN70" s="122"/>
      <c r="GMO70" s="122"/>
      <c r="GMP70" s="122"/>
      <c r="GMQ70" s="122"/>
      <c r="GMR70" s="122"/>
      <c r="GMS70" s="122"/>
      <c r="GMT70" s="122"/>
      <c r="GMU70" s="122"/>
      <c r="GMV70" s="122"/>
      <c r="GMW70" s="122"/>
      <c r="GMX70" s="122"/>
      <c r="GMY70" s="122"/>
      <c r="GMZ70" s="122"/>
      <c r="GNA70" s="122"/>
      <c r="GNB70" s="122"/>
      <c r="GNC70" s="122"/>
      <c r="GND70" s="122"/>
      <c r="GNE70" s="122"/>
      <c r="GNF70" s="122"/>
      <c r="GNG70" s="122"/>
      <c r="GNH70" s="122"/>
      <c r="GNI70" s="122"/>
      <c r="GNJ70" s="122"/>
      <c r="GNK70" s="122"/>
      <c r="GNL70" s="122"/>
      <c r="GNM70" s="122"/>
      <c r="GNN70" s="122"/>
      <c r="GNO70" s="122"/>
      <c r="GNP70" s="122"/>
      <c r="GNQ70" s="122"/>
      <c r="GNR70" s="122"/>
      <c r="GNS70" s="122"/>
      <c r="GNT70" s="122"/>
      <c r="GNU70" s="122"/>
      <c r="GNV70" s="122"/>
      <c r="GNW70" s="122"/>
      <c r="GNX70" s="122"/>
      <c r="GNY70" s="122"/>
      <c r="GNZ70" s="122"/>
      <c r="GOA70" s="122"/>
      <c r="GOB70" s="122"/>
      <c r="GOC70" s="122"/>
      <c r="GOD70" s="122"/>
      <c r="GOE70" s="122"/>
      <c r="GOF70" s="122"/>
      <c r="GOG70" s="122"/>
      <c r="GOH70" s="122"/>
      <c r="GOI70" s="122"/>
      <c r="GOJ70" s="122"/>
      <c r="GOK70" s="122"/>
      <c r="GOL70" s="122"/>
      <c r="GOM70" s="122"/>
      <c r="GON70" s="122"/>
      <c r="GOO70" s="122"/>
      <c r="GOP70" s="122"/>
      <c r="GOQ70" s="122"/>
      <c r="GOR70" s="122"/>
      <c r="GOS70" s="122"/>
      <c r="GOT70" s="122"/>
      <c r="GOU70" s="122"/>
      <c r="GOV70" s="122"/>
      <c r="GOW70" s="122"/>
      <c r="GOX70" s="122"/>
      <c r="GOY70" s="122"/>
      <c r="GOZ70" s="122"/>
      <c r="GPA70" s="122"/>
      <c r="GPB70" s="122"/>
      <c r="GPC70" s="122"/>
      <c r="GPD70" s="122"/>
      <c r="GPE70" s="122"/>
      <c r="GPF70" s="122"/>
      <c r="GPG70" s="122"/>
      <c r="GPH70" s="122"/>
      <c r="GPI70" s="122"/>
      <c r="GPJ70" s="122"/>
      <c r="GPK70" s="122"/>
      <c r="GPL70" s="122"/>
      <c r="GPM70" s="122"/>
      <c r="GPN70" s="122"/>
      <c r="GPO70" s="122"/>
      <c r="GPP70" s="122"/>
      <c r="GPQ70" s="122"/>
      <c r="GPR70" s="122"/>
      <c r="GPS70" s="122"/>
      <c r="GPT70" s="122"/>
      <c r="GPU70" s="122"/>
      <c r="GPV70" s="122"/>
      <c r="GPW70" s="122"/>
      <c r="GPX70" s="122"/>
      <c r="GPY70" s="122"/>
      <c r="GPZ70" s="122"/>
      <c r="GQA70" s="122"/>
      <c r="GQB70" s="122"/>
      <c r="GQC70" s="122"/>
      <c r="GQD70" s="122"/>
      <c r="GQE70" s="122"/>
      <c r="GQF70" s="122"/>
      <c r="GQG70" s="122"/>
      <c r="GQH70" s="122"/>
      <c r="GQI70" s="122"/>
      <c r="GQJ70" s="122"/>
      <c r="GQK70" s="122"/>
      <c r="GQL70" s="122"/>
      <c r="GQM70" s="122"/>
      <c r="GQN70" s="122"/>
      <c r="GQO70" s="122"/>
      <c r="GQP70" s="122"/>
      <c r="GQQ70" s="122"/>
      <c r="GQR70" s="122"/>
      <c r="GQS70" s="122"/>
      <c r="GQT70" s="122"/>
      <c r="GQU70" s="122"/>
      <c r="GQV70" s="122"/>
      <c r="GQW70" s="122"/>
      <c r="GQX70" s="122"/>
      <c r="GQY70" s="122"/>
      <c r="GQZ70" s="122"/>
      <c r="GRA70" s="122"/>
      <c r="GRB70" s="122"/>
      <c r="GRC70" s="122"/>
      <c r="GRD70" s="122"/>
      <c r="GRE70" s="122"/>
      <c r="GRF70" s="122"/>
      <c r="GRG70" s="122"/>
      <c r="GRH70" s="122"/>
      <c r="GRI70" s="122"/>
      <c r="GRJ70" s="122"/>
      <c r="GRK70" s="122"/>
      <c r="GRL70" s="122"/>
      <c r="GRM70" s="122"/>
      <c r="GRN70" s="122"/>
      <c r="GRO70" s="122"/>
      <c r="GRP70" s="122"/>
      <c r="GRQ70" s="122"/>
      <c r="GRR70" s="122"/>
      <c r="GRS70" s="122"/>
      <c r="GRT70" s="122"/>
      <c r="GRU70" s="122"/>
      <c r="GRV70" s="122"/>
      <c r="GRW70" s="122"/>
      <c r="GRX70" s="122"/>
      <c r="GRY70" s="122"/>
      <c r="GRZ70" s="122"/>
      <c r="GSA70" s="122"/>
      <c r="GSB70" s="122"/>
      <c r="GSC70" s="122"/>
      <c r="GSD70" s="122"/>
      <c r="GSE70" s="122"/>
      <c r="GSF70" s="122"/>
      <c r="GSG70" s="122"/>
      <c r="GSH70" s="122"/>
      <c r="GSI70" s="122"/>
      <c r="GSJ70" s="122"/>
      <c r="GSK70" s="122"/>
      <c r="GSL70" s="122"/>
      <c r="GSM70" s="122"/>
      <c r="GSN70" s="122"/>
      <c r="GSO70" s="122"/>
      <c r="GSP70" s="122"/>
      <c r="GSQ70" s="122"/>
      <c r="GSR70" s="122"/>
      <c r="GSS70" s="122"/>
      <c r="GST70" s="122"/>
      <c r="GSU70" s="122"/>
      <c r="GSV70" s="122"/>
      <c r="GSW70" s="122"/>
      <c r="GSX70" s="122"/>
      <c r="GSY70" s="122"/>
      <c r="GSZ70" s="122"/>
      <c r="GTA70" s="122"/>
      <c r="GTB70" s="122"/>
      <c r="GTC70" s="122"/>
      <c r="GTD70" s="122"/>
      <c r="GTE70" s="122"/>
      <c r="GTF70" s="122"/>
      <c r="GTG70" s="122"/>
      <c r="GTH70" s="122"/>
      <c r="GTI70" s="122"/>
      <c r="GTJ70" s="122"/>
      <c r="GTK70" s="122"/>
      <c r="GTL70" s="122"/>
      <c r="GTM70" s="122"/>
      <c r="GTN70" s="122"/>
      <c r="GTO70" s="122"/>
      <c r="GTP70" s="122"/>
      <c r="GTQ70" s="122"/>
      <c r="GTR70" s="122"/>
      <c r="GTS70" s="122"/>
      <c r="GTT70" s="122"/>
      <c r="GTU70" s="122"/>
      <c r="GTV70" s="122"/>
      <c r="GTW70" s="122"/>
      <c r="GTX70" s="122"/>
      <c r="GTY70" s="122"/>
      <c r="GTZ70" s="122"/>
      <c r="GUA70" s="122"/>
      <c r="GUB70" s="122"/>
      <c r="GUC70" s="122"/>
      <c r="GUD70" s="122"/>
      <c r="GUE70" s="122"/>
      <c r="GUF70" s="122"/>
      <c r="GUG70" s="122"/>
      <c r="GUH70" s="122"/>
      <c r="GUI70" s="122"/>
      <c r="GUJ70" s="122"/>
      <c r="GUK70" s="122"/>
      <c r="GUL70" s="122"/>
      <c r="GUM70" s="122"/>
      <c r="GUN70" s="122"/>
      <c r="GUO70" s="122"/>
      <c r="GUP70" s="122"/>
      <c r="GUQ70" s="122"/>
      <c r="GUR70" s="122"/>
      <c r="GUS70" s="122"/>
      <c r="GUT70" s="122"/>
      <c r="GUU70" s="122"/>
      <c r="GUV70" s="122"/>
      <c r="GUW70" s="122"/>
      <c r="GUX70" s="122"/>
      <c r="GUY70" s="122"/>
      <c r="GUZ70" s="122"/>
      <c r="GVA70" s="122"/>
      <c r="GVB70" s="122"/>
      <c r="GVC70" s="122"/>
      <c r="GVD70" s="122"/>
      <c r="GVE70" s="122"/>
      <c r="GVF70" s="122"/>
      <c r="GVG70" s="122"/>
      <c r="GVH70" s="122"/>
      <c r="GVI70" s="122"/>
      <c r="GVJ70" s="122"/>
      <c r="GVK70" s="122"/>
      <c r="GVL70" s="122"/>
      <c r="GVM70" s="122"/>
      <c r="GVN70" s="122"/>
      <c r="GVO70" s="122"/>
      <c r="GVP70" s="122"/>
      <c r="GVQ70" s="122"/>
      <c r="GVR70" s="122"/>
      <c r="GVS70" s="122"/>
      <c r="GVT70" s="122"/>
      <c r="GVU70" s="122"/>
      <c r="GVV70" s="122"/>
      <c r="GVW70" s="122"/>
      <c r="GVX70" s="122"/>
      <c r="GVY70" s="122"/>
      <c r="GVZ70" s="122"/>
      <c r="GWA70" s="122"/>
      <c r="GWB70" s="122"/>
      <c r="GWC70" s="122"/>
      <c r="GWD70" s="122"/>
      <c r="GWE70" s="122"/>
      <c r="GWF70" s="122"/>
      <c r="GWG70" s="122"/>
      <c r="GWH70" s="122"/>
      <c r="GWI70" s="122"/>
      <c r="GWJ70" s="122"/>
      <c r="GWK70" s="122"/>
      <c r="GWL70" s="122"/>
      <c r="GWM70" s="122"/>
      <c r="GWN70" s="122"/>
      <c r="GWO70" s="122"/>
      <c r="GWP70" s="122"/>
      <c r="GWQ70" s="122"/>
      <c r="GWR70" s="122"/>
      <c r="GWS70" s="122"/>
      <c r="GWT70" s="122"/>
      <c r="GWU70" s="122"/>
      <c r="GWV70" s="122"/>
      <c r="GWW70" s="122"/>
      <c r="GWX70" s="122"/>
      <c r="GWY70" s="122"/>
      <c r="GWZ70" s="122"/>
      <c r="GXA70" s="122"/>
      <c r="GXB70" s="122"/>
      <c r="GXC70" s="122"/>
      <c r="GXD70" s="122"/>
      <c r="GXE70" s="122"/>
      <c r="GXF70" s="122"/>
      <c r="GXG70" s="122"/>
      <c r="GXH70" s="122"/>
      <c r="GXI70" s="122"/>
      <c r="GXJ70" s="122"/>
      <c r="GXK70" s="122"/>
      <c r="GXL70" s="122"/>
      <c r="GXM70" s="122"/>
      <c r="GXN70" s="122"/>
      <c r="GXO70" s="122"/>
      <c r="GXP70" s="122"/>
      <c r="GXQ70" s="122"/>
      <c r="GXR70" s="122"/>
      <c r="GXS70" s="122"/>
      <c r="GXT70" s="122"/>
      <c r="GXU70" s="122"/>
      <c r="GXV70" s="122"/>
      <c r="GXW70" s="122"/>
      <c r="GXX70" s="122"/>
      <c r="GXY70" s="122"/>
      <c r="GXZ70" s="122"/>
      <c r="GYA70" s="122"/>
      <c r="GYB70" s="122"/>
      <c r="GYC70" s="122"/>
      <c r="GYD70" s="122"/>
      <c r="GYE70" s="122"/>
      <c r="GYF70" s="122"/>
      <c r="GYG70" s="122"/>
      <c r="GYH70" s="122"/>
      <c r="GYI70" s="122"/>
      <c r="GYJ70" s="122"/>
      <c r="GYK70" s="122"/>
      <c r="GYL70" s="122"/>
      <c r="GYM70" s="122"/>
      <c r="GYN70" s="122"/>
      <c r="GYO70" s="122"/>
      <c r="GYP70" s="122"/>
      <c r="GYQ70" s="122"/>
      <c r="GYR70" s="122"/>
      <c r="GYS70" s="122"/>
      <c r="GYT70" s="122"/>
      <c r="GYU70" s="122"/>
      <c r="GYV70" s="122"/>
      <c r="GYW70" s="122"/>
      <c r="GYX70" s="122"/>
      <c r="GYY70" s="122"/>
      <c r="GYZ70" s="122"/>
      <c r="GZA70" s="122"/>
      <c r="GZB70" s="122"/>
      <c r="GZC70" s="122"/>
      <c r="GZD70" s="122"/>
      <c r="GZE70" s="122"/>
      <c r="GZF70" s="122"/>
      <c r="GZG70" s="122"/>
      <c r="GZH70" s="122"/>
      <c r="GZI70" s="122"/>
      <c r="GZJ70" s="122"/>
      <c r="GZK70" s="122"/>
      <c r="GZL70" s="122"/>
      <c r="GZM70" s="122"/>
      <c r="GZN70" s="122"/>
      <c r="GZO70" s="122"/>
      <c r="GZP70" s="122"/>
      <c r="GZQ70" s="122"/>
      <c r="GZR70" s="122"/>
      <c r="GZS70" s="122"/>
      <c r="GZT70" s="122"/>
      <c r="GZU70" s="122"/>
      <c r="GZV70" s="122"/>
      <c r="GZW70" s="122"/>
      <c r="GZX70" s="122"/>
      <c r="GZY70" s="122"/>
      <c r="GZZ70" s="122"/>
      <c r="HAA70" s="122"/>
      <c r="HAB70" s="122"/>
      <c r="HAC70" s="122"/>
      <c r="HAD70" s="122"/>
      <c r="HAE70" s="122"/>
      <c r="HAF70" s="122"/>
      <c r="HAG70" s="122"/>
      <c r="HAH70" s="122"/>
      <c r="HAI70" s="122"/>
      <c r="HAJ70" s="122"/>
      <c r="HAK70" s="122"/>
      <c r="HAL70" s="122"/>
      <c r="HAM70" s="122"/>
      <c r="HAN70" s="122"/>
      <c r="HAO70" s="122"/>
      <c r="HAP70" s="122"/>
      <c r="HAQ70" s="122"/>
      <c r="HAR70" s="122"/>
      <c r="HAS70" s="122"/>
      <c r="HAT70" s="122"/>
      <c r="HAU70" s="122"/>
      <c r="HAV70" s="122"/>
      <c r="HAW70" s="122"/>
      <c r="HAX70" s="122"/>
      <c r="HAY70" s="122"/>
      <c r="HAZ70" s="122"/>
      <c r="HBA70" s="122"/>
      <c r="HBB70" s="122"/>
      <c r="HBC70" s="122"/>
      <c r="HBD70" s="122"/>
      <c r="HBE70" s="122"/>
      <c r="HBF70" s="122"/>
      <c r="HBG70" s="122"/>
      <c r="HBH70" s="122"/>
      <c r="HBI70" s="122"/>
      <c r="HBJ70" s="122"/>
      <c r="HBK70" s="122"/>
      <c r="HBL70" s="122"/>
      <c r="HBM70" s="122"/>
      <c r="HBN70" s="122"/>
      <c r="HBO70" s="122"/>
      <c r="HBP70" s="122"/>
      <c r="HBQ70" s="122"/>
      <c r="HBR70" s="122"/>
      <c r="HBS70" s="122"/>
      <c r="HBT70" s="122"/>
      <c r="HBU70" s="122"/>
      <c r="HBV70" s="122"/>
      <c r="HBW70" s="122"/>
      <c r="HBX70" s="122"/>
      <c r="HBY70" s="122"/>
      <c r="HBZ70" s="122"/>
      <c r="HCA70" s="122"/>
      <c r="HCB70" s="122"/>
      <c r="HCC70" s="122"/>
      <c r="HCD70" s="122"/>
      <c r="HCE70" s="122"/>
      <c r="HCF70" s="122"/>
      <c r="HCG70" s="122"/>
      <c r="HCH70" s="122"/>
      <c r="HCI70" s="122"/>
      <c r="HCJ70" s="122"/>
      <c r="HCK70" s="122"/>
      <c r="HCL70" s="122"/>
      <c r="HCM70" s="122"/>
      <c r="HCN70" s="122"/>
      <c r="HCO70" s="122"/>
      <c r="HCP70" s="122"/>
      <c r="HCQ70" s="122"/>
      <c r="HCR70" s="122"/>
      <c r="HCS70" s="122"/>
      <c r="HCT70" s="122"/>
      <c r="HCU70" s="122"/>
      <c r="HCV70" s="122"/>
      <c r="HCW70" s="122"/>
      <c r="HCX70" s="122"/>
      <c r="HCY70" s="122"/>
      <c r="HCZ70" s="122"/>
      <c r="HDA70" s="122"/>
      <c r="HDB70" s="122"/>
      <c r="HDC70" s="122"/>
      <c r="HDD70" s="122"/>
      <c r="HDE70" s="122"/>
      <c r="HDF70" s="122"/>
      <c r="HDG70" s="122"/>
      <c r="HDH70" s="122"/>
      <c r="HDI70" s="122"/>
      <c r="HDJ70" s="122"/>
      <c r="HDK70" s="122"/>
      <c r="HDL70" s="122"/>
      <c r="HDM70" s="122"/>
      <c r="HDN70" s="122"/>
      <c r="HDO70" s="122"/>
      <c r="HDP70" s="122"/>
      <c r="HDQ70" s="122"/>
      <c r="HDR70" s="122"/>
      <c r="HDS70" s="122"/>
      <c r="HDT70" s="122"/>
      <c r="HDU70" s="122"/>
      <c r="HDV70" s="122"/>
      <c r="HDW70" s="122"/>
      <c r="HDX70" s="122"/>
      <c r="HDY70" s="122"/>
      <c r="HDZ70" s="122"/>
      <c r="HEA70" s="122"/>
      <c r="HEB70" s="122"/>
      <c r="HEC70" s="122"/>
      <c r="HED70" s="122"/>
      <c r="HEE70" s="122"/>
      <c r="HEF70" s="122"/>
      <c r="HEG70" s="122"/>
      <c r="HEH70" s="122"/>
      <c r="HEI70" s="122"/>
      <c r="HEJ70" s="122"/>
      <c r="HEK70" s="122"/>
      <c r="HEL70" s="122"/>
      <c r="HEM70" s="122"/>
      <c r="HEN70" s="122"/>
      <c r="HEO70" s="122"/>
      <c r="HEP70" s="122"/>
      <c r="HEQ70" s="122"/>
      <c r="HER70" s="122"/>
      <c r="HES70" s="122"/>
      <c r="HET70" s="122"/>
      <c r="HEU70" s="122"/>
      <c r="HEV70" s="122"/>
      <c r="HEW70" s="122"/>
      <c r="HEX70" s="122"/>
      <c r="HEY70" s="122"/>
      <c r="HEZ70" s="122"/>
      <c r="HFA70" s="122"/>
      <c r="HFB70" s="122"/>
      <c r="HFC70" s="122"/>
      <c r="HFD70" s="122"/>
      <c r="HFE70" s="122"/>
      <c r="HFF70" s="122"/>
      <c r="HFG70" s="122"/>
      <c r="HFH70" s="122"/>
      <c r="HFI70" s="122"/>
      <c r="HFJ70" s="122"/>
      <c r="HFK70" s="122"/>
      <c r="HFL70" s="122"/>
      <c r="HFM70" s="122"/>
      <c r="HFN70" s="122"/>
      <c r="HFO70" s="122"/>
      <c r="HFP70" s="122"/>
      <c r="HFQ70" s="122"/>
      <c r="HFR70" s="122"/>
      <c r="HFS70" s="122"/>
      <c r="HFT70" s="122"/>
      <c r="HFU70" s="122"/>
      <c r="HFV70" s="122"/>
      <c r="HFW70" s="122"/>
      <c r="HFX70" s="122"/>
      <c r="HFY70" s="122"/>
      <c r="HFZ70" s="122"/>
      <c r="HGA70" s="122"/>
      <c r="HGB70" s="122"/>
      <c r="HGC70" s="122"/>
      <c r="HGD70" s="122"/>
      <c r="HGE70" s="122"/>
      <c r="HGF70" s="122"/>
      <c r="HGG70" s="122"/>
      <c r="HGH70" s="122"/>
      <c r="HGI70" s="122"/>
      <c r="HGJ70" s="122"/>
      <c r="HGK70" s="122"/>
      <c r="HGL70" s="122"/>
      <c r="HGM70" s="122"/>
      <c r="HGN70" s="122"/>
      <c r="HGO70" s="122"/>
      <c r="HGP70" s="122"/>
      <c r="HGQ70" s="122"/>
      <c r="HGR70" s="122"/>
      <c r="HGS70" s="122"/>
      <c r="HGT70" s="122"/>
      <c r="HGU70" s="122"/>
      <c r="HGV70" s="122"/>
      <c r="HGW70" s="122"/>
      <c r="HGX70" s="122"/>
      <c r="HGY70" s="122"/>
      <c r="HGZ70" s="122"/>
      <c r="HHA70" s="122"/>
      <c r="HHB70" s="122"/>
      <c r="HHC70" s="122"/>
      <c r="HHD70" s="122"/>
      <c r="HHE70" s="122"/>
      <c r="HHF70" s="122"/>
      <c r="HHG70" s="122"/>
      <c r="HHH70" s="122"/>
      <c r="HHI70" s="122"/>
      <c r="HHJ70" s="122"/>
      <c r="HHK70" s="122"/>
      <c r="HHL70" s="122"/>
      <c r="HHM70" s="122"/>
      <c r="HHN70" s="122"/>
      <c r="HHO70" s="122"/>
      <c r="HHP70" s="122"/>
      <c r="HHQ70" s="122"/>
      <c r="HHR70" s="122"/>
      <c r="HHS70" s="122"/>
      <c r="HHT70" s="122"/>
      <c r="HHU70" s="122"/>
      <c r="HHV70" s="122"/>
      <c r="HHW70" s="122"/>
      <c r="HHX70" s="122"/>
      <c r="HHY70" s="122"/>
      <c r="HHZ70" s="122"/>
      <c r="HIA70" s="122"/>
      <c r="HIB70" s="122"/>
      <c r="HIC70" s="122"/>
      <c r="HID70" s="122"/>
      <c r="HIE70" s="122"/>
      <c r="HIF70" s="122"/>
      <c r="HIG70" s="122"/>
      <c r="HIH70" s="122"/>
      <c r="HII70" s="122"/>
      <c r="HIJ70" s="122"/>
      <c r="HIK70" s="122"/>
      <c r="HIL70" s="122"/>
      <c r="HIM70" s="122"/>
      <c r="HIN70" s="122"/>
      <c r="HIO70" s="122"/>
      <c r="HIP70" s="122"/>
      <c r="HIQ70" s="122"/>
      <c r="HIR70" s="122"/>
      <c r="HIS70" s="122"/>
      <c r="HIT70" s="122"/>
      <c r="HIU70" s="122"/>
      <c r="HIV70" s="122"/>
      <c r="HIW70" s="122"/>
      <c r="HIX70" s="122"/>
      <c r="HIY70" s="122"/>
      <c r="HIZ70" s="122"/>
      <c r="HJA70" s="122"/>
      <c r="HJB70" s="122"/>
      <c r="HJC70" s="122"/>
      <c r="HJD70" s="122"/>
      <c r="HJE70" s="122"/>
      <c r="HJF70" s="122"/>
      <c r="HJG70" s="122"/>
      <c r="HJH70" s="122"/>
      <c r="HJI70" s="122"/>
      <c r="HJJ70" s="122"/>
      <c r="HJK70" s="122"/>
      <c r="HJL70" s="122"/>
      <c r="HJM70" s="122"/>
      <c r="HJN70" s="122"/>
      <c r="HJO70" s="122"/>
      <c r="HJP70" s="122"/>
      <c r="HJQ70" s="122"/>
      <c r="HJR70" s="122"/>
      <c r="HJS70" s="122"/>
      <c r="HJT70" s="122"/>
      <c r="HJU70" s="122"/>
      <c r="HJV70" s="122"/>
      <c r="HJW70" s="122"/>
      <c r="HJX70" s="122"/>
      <c r="HJY70" s="122"/>
      <c r="HJZ70" s="122"/>
      <c r="HKA70" s="122"/>
      <c r="HKB70" s="122"/>
      <c r="HKC70" s="122"/>
      <c r="HKD70" s="122"/>
      <c r="HKE70" s="122"/>
      <c r="HKF70" s="122"/>
      <c r="HKG70" s="122"/>
      <c r="HKH70" s="122"/>
      <c r="HKI70" s="122"/>
      <c r="HKJ70" s="122"/>
      <c r="HKK70" s="122"/>
      <c r="HKL70" s="122"/>
      <c r="HKM70" s="122"/>
      <c r="HKN70" s="122"/>
      <c r="HKO70" s="122"/>
      <c r="HKP70" s="122"/>
      <c r="HKQ70" s="122"/>
      <c r="HKR70" s="122"/>
      <c r="HKS70" s="122"/>
      <c r="HKT70" s="122"/>
      <c r="HKU70" s="122"/>
      <c r="HKV70" s="122"/>
      <c r="HKW70" s="122"/>
      <c r="HKX70" s="122"/>
      <c r="HKY70" s="122"/>
      <c r="HKZ70" s="122"/>
      <c r="HLA70" s="122"/>
      <c r="HLB70" s="122"/>
      <c r="HLC70" s="122"/>
      <c r="HLD70" s="122"/>
      <c r="HLE70" s="122"/>
      <c r="HLF70" s="122"/>
      <c r="HLG70" s="122"/>
      <c r="HLH70" s="122"/>
      <c r="HLI70" s="122"/>
      <c r="HLJ70" s="122"/>
      <c r="HLK70" s="122"/>
      <c r="HLL70" s="122"/>
      <c r="HLM70" s="122"/>
      <c r="HLN70" s="122"/>
      <c r="HLO70" s="122"/>
      <c r="HLP70" s="122"/>
      <c r="HLQ70" s="122"/>
      <c r="HLR70" s="122"/>
      <c r="HLS70" s="122"/>
      <c r="HLT70" s="122"/>
      <c r="HLU70" s="122"/>
      <c r="HLV70" s="122"/>
      <c r="HLW70" s="122"/>
      <c r="HLX70" s="122"/>
      <c r="HLY70" s="122"/>
      <c r="HLZ70" s="122"/>
      <c r="HMA70" s="122"/>
      <c r="HMB70" s="122"/>
      <c r="HMC70" s="122"/>
      <c r="HMD70" s="122"/>
      <c r="HME70" s="122"/>
      <c r="HMF70" s="122"/>
      <c r="HMG70" s="122"/>
      <c r="HMH70" s="122"/>
      <c r="HMI70" s="122"/>
      <c r="HMJ70" s="122"/>
      <c r="HMK70" s="122"/>
      <c r="HML70" s="122"/>
      <c r="HMM70" s="122"/>
      <c r="HMN70" s="122"/>
      <c r="HMO70" s="122"/>
      <c r="HMP70" s="122"/>
      <c r="HMQ70" s="122"/>
      <c r="HMR70" s="122"/>
      <c r="HMS70" s="122"/>
      <c r="HMT70" s="122"/>
      <c r="HMU70" s="122"/>
      <c r="HMV70" s="122"/>
      <c r="HMW70" s="122"/>
      <c r="HMX70" s="122"/>
      <c r="HMY70" s="122"/>
      <c r="HMZ70" s="122"/>
      <c r="HNA70" s="122"/>
      <c r="HNB70" s="122"/>
      <c r="HNC70" s="122"/>
      <c r="HND70" s="122"/>
      <c r="HNE70" s="122"/>
      <c r="HNF70" s="122"/>
      <c r="HNG70" s="122"/>
      <c r="HNH70" s="122"/>
      <c r="HNI70" s="122"/>
      <c r="HNJ70" s="122"/>
      <c r="HNK70" s="122"/>
      <c r="HNL70" s="122"/>
      <c r="HNM70" s="122"/>
      <c r="HNN70" s="122"/>
      <c r="HNO70" s="122"/>
      <c r="HNP70" s="122"/>
      <c r="HNQ70" s="122"/>
      <c r="HNR70" s="122"/>
      <c r="HNS70" s="122"/>
      <c r="HNT70" s="122"/>
      <c r="HNU70" s="122"/>
      <c r="HNV70" s="122"/>
      <c r="HNW70" s="122"/>
      <c r="HNX70" s="122"/>
      <c r="HNY70" s="122"/>
      <c r="HNZ70" s="122"/>
      <c r="HOA70" s="122"/>
      <c r="HOB70" s="122"/>
      <c r="HOC70" s="122"/>
      <c r="HOD70" s="122"/>
      <c r="HOE70" s="122"/>
      <c r="HOF70" s="122"/>
      <c r="HOG70" s="122"/>
      <c r="HOH70" s="122"/>
      <c r="HOI70" s="122"/>
      <c r="HOJ70" s="122"/>
      <c r="HOK70" s="122"/>
      <c r="HOL70" s="122"/>
      <c r="HOM70" s="122"/>
      <c r="HON70" s="122"/>
      <c r="HOO70" s="122"/>
      <c r="HOP70" s="122"/>
      <c r="HOQ70" s="122"/>
      <c r="HOR70" s="122"/>
      <c r="HOS70" s="122"/>
      <c r="HOT70" s="122"/>
      <c r="HOU70" s="122"/>
      <c r="HOV70" s="122"/>
      <c r="HOW70" s="122"/>
      <c r="HOX70" s="122"/>
      <c r="HOY70" s="122"/>
      <c r="HOZ70" s="122"/>
      <c r="HPA70" s="122"/>
      <c r="HPB70" s="122"/>
      <c r="HPC70" s="122"/>
      <c r="HPD70" s="122"/>
      <c r="HPE70" s="122"/>
      <c r="HPF70" s="122"/>
      <c r="HPG70" s="122"/>
      <c r="HPH70" s="122"/>
      <c r="HPI70" s="122"/>
      <c r="HPJ70" s="122"/>
      <c r="HPK70" s="122"/>
      <c r="HPL70" s="122"/>
      <c r="HPM70" s="122"/>
      <c r="HPN70" s="122"/>
      <c r="HPO70" s="122"/>
      <c r="HPP70" s="122"/>
      <c r="HPQ70" s="122"/>
      <c r="HPR70" s="122"/>
      <c r="HPS70" s="122"/>
      <c r="HPT70" s="122"/>
      <c r="HPU70" s="122"/>
      <c r="HPV70" s="122"/>
      <c r="HPW70" s="122"/>
      <c r="HPX70" s="122"/>
      <c r="HPY70" s="122"/>
      <c r="HPZ70" s="122"/>
      <c r="HQA70" s="122"/>
      <c r="HQB70" s="122"/>
      <c r="HQC70" s="122"/>
      <c r="HQD70" s="122"/>
      <c r="HQE70" s="122"/>
      <c r="HQF70" s="122"/>
      <c r="HQG70" s="122"/>
      <c r="HQH70" s="122"/>
      <c r="HQI70" s="122"/>
      <c r="HQJ70" s="122"/>
      <c r="HQK70" s="122"/>
      <c r="HQL70" s="122"/>
      <c r="HQM70" s="122"/>
      <c r="HQN70" s="122"/>
      <c r="HQO70" s="122"/>
      <c r="HQP70" s="122"/>
      <c r="HQQ70" s="122"/>
      <c r="HQR70" s="122"/>
      <c r="HQS70" s="122"/>
      <c r="HQT70" s="122"/>
      <c r="HQU70" s="122"/>
      <c r="HQV70" s="122"/>
      <c r="HQW70" s="122"/>
      <c r="HQX70" s="122"/>
      <c r="HQY70" s="122"/>
      <c r="HQZ70" s="122"/>
      <c r="HRA70" s="122"/>
      <c r="HRB70" s="122"/>
      <c r="HRC70" s="122"/>
      <c r="HRD70" s="122"/>
      <c r="HRE70" s="122"/>
      <c r="HRF70" s="122"/>
      <c r="HRG70" s="122"/>
      <c r="HRH70" s="122"/>
      <c r="HRI70" s="122"/>
      <c r="HRJ70" s="122"/>
      <c r="HRK70" s="122"/>
      <c r="HRL70" s="122"/>
      <c r="HRM70" s="122"/>
      <c r="HRN70" s="122"/>
      <c r="HRO70" s="122"/>
      <c r="HRP70" s="122"/>
      <c r="HRQ70" s="122"/>
      <c r="HRR70" s="122"/>
      <c r="HRS70" s="122"/>
      <c r="HRT70" s="122"/>
      <c r="HRU70" s="122"/>
      <c r="HRV70" s="122"/>
      <c r="HRW70" s="122"/>
      <c r="HRX70" s="122"/>
      <c r="HRY70" s="122"/>
      <c r="HRZ70" s="122"/>
      <c r="HSA70" s="122"/>
      <c r="HSB70" s="122"/>
      <c r="HSC70" s="122"/>
      <c r="HSD70" s="122"/>
      <c r="HSE70" s="122"/>
      <c r="HSF70" s="122"/>
      <c r="HSG70" s="122"/>
      <c r="HSH70" s="122"/>
      <c r="HSI70" s="122"/>
      <c r="HSJ70" s="122"/>
      <c r="HSK70" s="122"/>
      <c r="HSL70" s="122"/>
      <c r="HSM70" s="122"/>
      <c r="HSN70" s="122"/>
      <c r="HSO70" s="122"/>
      <c r="HSP70" s="122"/>
      <c r="HSQ70" s="122"/>
      <c r="HSR70" s="122"/>
      <c r="HSS70" s="122"/>
      <c r="HST70" s="122"/>
      <c r="HSU70" s="122"/>
      <c r="HSV70" s="122"/>
      <c r="HSW70" s="122"/>
      <c r="HSX70" s="122"/>
      <c r="HSY70" s="122"/>
      <c r="HSZ70" s="122"/>
      <c r="HTA70" s="122"/>
      <c r="HTB70" s="122"/>
      <c r="HTC70" s="122"/>
      <c r="HTD70" s="122"/>
      <c r="HTE70" s="122"/>
      <c r="HTF70" s="122"/>
      <c r="HTG70" s="122"/>
      <c r="HTH70" s="122"/>
      <c r="HTI70" s="122"/>
      <c r="HTJ70" s="122"/>
      <c r="HTK70" s="122"/>
      <c r="HTL70" s="122"/>
      <c r="HTM70" s="122"/>
      <c r="HTN70" s="122"/>
      <c r="HTO70" s="122"/>
      <c r="HTP70" s="122"/>
      <c r="HTQ70" s="122"/>
      <c r="HTR70" s="122"/>
      <c r="HTS70" s="122"/>
      <c r="HTT70" s="122"/>
      <c r="HTU70" s="122"/>
      <c r="HTV70" s="122"/>
      <c r="HTW70" s="122"/>
      <c r="HTX70" s="122"/>
      <c r="HTY70" s="122"/>
      <c r="HTZ70" s="122"/>
      <c r="HUA70" s="122"/>
      <c r="HUB70" s="122"/>
      <c r="HUC70" s="122"/>
      <c r="HUD70" s="122"/>
      <c r="HUE70" s="122"/>
      <c r="HUF70" s="122"/>
      <c r="HUG70" s="122"/>
      <c r="HUH70" s="122"/>
      <c r="HUI70" s="122"/>
      <c r="HUJ70" s="122"/>
      <c r="HUK70" s="122"/>
      <c r="HUL70" s="122"/>
      <c r="HUM70" s="122"/>
      <c r="HUN70" s="122"/>
      <c r="HUO70" s="122"/>
      <c r="HUP70" s="122"/>
      <c r="HUQ70" s="122"/>
      <c r="HUR70" s="122"/>
      <c r="HUS70" s="122"/>
      <c r="HUT70" s="122"/>
      <c r="HUU70" s="122"/>
      <c r="HUV70" s="122"/>
      <c r="HUW70" s="122"/>
      <c r="HUX70" s="122"/>
      <c r="HUY70" s="122"/>
      <c r="HUZ70" s="122"/>
      <c r="HVA70" s="122"/>
      <c r="HVB70" s="122"/>
      <c r="HVC70" s="122"/>
      <c r="HVD70" s="122"/>
      <c r="HVE70" s="122"/>
      <c r="HVF70" s="122"/>
      <c r="HVG70" s="122"/>
      <c r="HVH70" s="122"/>
      <c r="HVI70" s="122"/>
      <c r="HVJ70" s="122"/>
      <c r="HVK70" s="122"/>
      <c r="HVL70" s="122"/>
      <c r="HVM70" s="122"/>
      <c r="HVN70" s="122"/>
      <c r="HVO70" s="122"/>
      <c r="HVP70" s="122"/>
      <c r="HVQ70" s="122"/>
      <c r="HVR70" s="122"/>
      <c r="HVS70" s="122"/>
      <c r="HVT70" s="122"/>
      <c r="HVU70" s="122"/>
      <c r="HVV70" s="122"/>
      <c r="HVW70" s="122"/>
      <c r="HVX70" s="122"/>
      <c r="HVY70" s="122"/>
      <c r="HVZ70" s="122"/>
      <c r="HWA70" s="122"/>
      <c r="HWB70" s="122"/>
      <c r="HWC70" s="122"/>
      <c r="HWD70" s="122"/>
      <c r="HWE70" s="122"/>
      <c r="HWF70" s="122"/>
      <c r="HWG70" s="122"/>
      <c r="HWH70" s="122"/>
      <c r="HWI70" s="122"/>
      <c r="HWJ70" s="122"/>
      <c r="HWK70" s="122"/>
      <c r="HWL70" s="122"/>
      <c r="HWM70" s="122"/>
      <c r="HWN70" s="122"/>
      <c r="HWO70" s="122"/>
      <c r="HWP70" s="122"/>
      <c r="HWQ70" s="122"/>
      <c r="HWR70" s="122"/>
      <c r="HWS70" s="122"/>
      <c r="HWT70" s="122"/>
      <c r="HWU70" s="122"/>
      <c r="HWV70" s="122"/>
      <c r="HWW70" s="122"/>
      <c r="HWX70" s="122"/>
      <c r="HWY70" s="122"/>
      <c r="HWZ70" s="122"/>
      <c r="HXA70" s="122"/>
      <c r="HXB70" s="122"/>
      <c r="HXC70" s="122"/>
      <c r="HXD70" s="122"/>
      <c r="HXE70" s="122"/>
      <c r="HXF70" s="122"/>
      <c r="HXG70" s="122"/>
      <c r="HXH70" s="122"/>
      <c r="HXI70" s="122"/>
      <c r="HXJ70" s="122"/>
      <c r="HXK70" s="122"/>
      <c r="HXL70" s="122"/>
      <c r="HXM70" s="122"/>
      <c r="HXN70" s="122"/>
      <c r="HXO70" s="122"/>
      <c r="HXP70" s="122"/>
      <c r="HXQ70" s="122"/>
      <c r="HXR70" s="122"/>
      <c r="HXS70" s="122"/>
      <c r="HXT70" s="122"/>
      <c r="HXU70" s="122"/>
      <c r="HXV70" s="122"/>
      <c r="HXW70" s="122"/>
      <c r="HXX70" s="122"/>
      <c r="HXY70" s="122"/>
      <c r="HXZ70" s="122"/>
      <c r="HYA70" s="122"/>
      <c r="HYB70" s="122"/>
      <c r="HYC70" s="122"/>
      <c r="HYD70" s="122"/>
      <c r="HYE70" s="122"/>
      <c r="HYF70" s="122"/>
      <c r="HYG70" s="122"/>
      <c r="HYH70" s="122"/>
      <c r="HYI70" s="122"/>
      <c r="HYJ70" s="122"/>
      <c r="HYK70" s="122"/>
      <c r="HYL70" s="122"/>
      <c r="HYM70" s="122"/>
      <c r="HYN70" s="122"/>
      <c r="HYO70" s="122"/>
      <c r="HYP70" s="122"/>
      <c r="HYQ70" s="122"/>
      <c r="HYR70" s="122"/>
      <c r="HYS70" s="122"/>
      <c r="HYT70" s="122"/>
      <c r="HYU70" s="122"/>
      <c r="HYV70" s="122"/>
      <c r="HYW70" s="122"/>
      <c r="HYX70" s="122"/>
      <c r="HYY70" s="122"/>
      <c r="HYZ70" s="122"/>
      <c r="HZA70" s="122"/>
      <c r="HZB70" s="122"/>
      <c r="HZC70" s="122"/>
      <c r="HZD70" s="122"/>
      <c r="HZE70" s="122"/>
      <c r="HZF70" s="122"/>
      <c r="HZG70" s="122"/>
      <c r="HZH70" s="122"/>
      <c r="HZI70" s="122"/>
      <c r="HZJ70" s="122"/>
      <c r="HZK70" s="122"/>
      <c r="HZL70" s="122"/>
      <c r="HZM70" s="122"/>
      <c r="HZN70" s="122"/>
      <c r="HZO70" s="122"/>
      <c r="HZP70" s="122"/>
      <c r="HZQ70" s="122"/>
      <c r="HZR70" s="122"/>
      <c r="HZS70" s="122"/>
      <c r="HZT70" s="122"/>
      <c r="HZU70" s="122"/>
      <c r="HZV70" s="122"/>
      <c r="HZW70" s="122"/>
      <c r="HZX70" s="122"/>
      <c r="HZY70" s="122"/>
      <c r="HZZ70" s="122"/>
      <c r="IAA70" s="122"/>
      <c r="IAB70" s="122"/>
      <c r="IAC70" s="122"/>
      <c r="IAD70" s="122"/>
      <c r="IAE70" s="122"/>
      <c r="IAF70" s="122"/>
      <c r="IAG70" s="122"/>
      <c r="IAH70" s="122"/>
      <c r="IAI70" s="122"/>
      <c r="IAJ70" s="122"/>
      <c r="IAK70" s="122"/>
      <c r="IAL70" s="122"/>
      <c r="IAM70" s="122"/>
      <c r="IAN70" s="122"/>
      <c r="IAO70" s="122"/>
      <c r="IAP70" s="122"/>
      <c r="IAQ70" s="122"/>
      <c r="IAR70" s="122"/>
      <c r="IAS70" s="122"/>
      <c r="IAT70" s="122"/>
      <c r="IAU70" s="122"/>
      <c r="IAV70" s="122"/>
      <c r="IAW70" s="122"/>
      <c r="IAX70" s="122"/>
      <c r="IAY70" s="122"/>
      <c r="IAZ70" s="122"/>
      <c r="IBA70" s="122"/>
      <c r="IBB70" s="122"/>
      <c r="IBC70" s="122"/>
      <c r="IBD70" s="122"/>
      <c r="IBE70" s="122"/>
      <c r="IBF70" s="122"/>
      <c r="IBG70" s="122"/>
      <c r="IBH70" s="122"/>
      <c r="IBI70" s="122"/>
      <c r="IBJ70" s="122"/>
      <c r="IBK70" s="122"/>
      <c r="IBL70" s="122"/>
      <c r="IBM70" s="122"/>
      <c r="IBN70" s="122"/>
      <c r="IBO70" s="122"/>
      <c r="IBP70" s="122"/>
      <c r="IBQ70" s="122"/>
      <c r="IBR70" s="122"/>
      <c r="IBS70" s="122"/>
      <c r="IBT70" s="122"/>
      <c r="IBU70" s="122"/>
      <c r="IBV70" s="122"/>
      <c r="IBW70" s="122"/>
      <c r="IBX70" s="122"/>
      <c r="IBY70" s="122"/>
      <c r="IBZ70" s="122"/>
      <c r="ICA70" s="122"/>
      <c r="ICB70" s="122"/>
      <c r="ICC70" s="122"/>
      <c r="ICD70" s="122"/>
      <c r="ICE70" s="122"/>
      <c r="ICF70" s="122"/>
      <c r="ICG70" s="122"/>
      <c r="ICH70" s="122"/>
      <c r="ICI70" s="122"/>
      <c r="ICJ70" s="122"/>
      <c r="ICK70" s="122"/>
      <c r="ICL70" s="122"/>
      <c r="ICM70" s="122"/>
      <c r="ICN70" s="122"/>
      <c r="ICO70" s="122"/>
      <c r="ICP70" s="122"/>
      <c r="ICQ70" s="122"/>
      <c r="ICR70" s="122"/>
      <c r="ICS70" s="122"/>
      <c r="ICT70" s="122"/>
      <c r="ICU70" s="122"/>
      <c r="ICV70" s="122"/>
      <c r="ICW70" s="122"/>
      <c r="ICX70" s="122"/>
      <c r="ICY70" s="122"/>
      <c r="ICZ70" s="122"/>
      <c r="IDA70" s="122"/>
      <c r="IDB70" s="122"/>
      <c r="IDC70" s="122"/>
      <c r="IDD70" s="122"/>
      <c r="IDE70" s="122"/>
      <c r="IDF70" s="122"/>
      <c r="IDG70" s="122"/>
      <c r="IDH70" s="122"/>
      <c r="IDI70" s="122"/>
      <c r="IDJ70" s="122"/>
      <c r="IDK70" s="122"/>
      <c r="IDL70" s="122"/>
      <c r="IDM70" s="122"/>
      <c r="IDN70" s="122"/>
      <c r="IDO70" s="122"/>
      <c r="IDP70" s="122"/>
      <c r="IDQ70" s="122"/>
      <c r="IDR70" s="122"/>
      <c r="IDS70" s="122"/>
      <c r="IDT70" s="122"/>
      <c r="IDU70" s="122"/>
      <c r="IDV70" s="122"/>
      <c r="IDW70" s="122"/>
      <c r="IDX70" s="122"/>
      <c r="IDY70" s="122"/>
      <c r="IDZ70" s="122"/>
      <c r="IEA70" s="122"/>
      <c r="IEB70" s="122"/>
      <c r="IEC70" s="122"/>
      <c r="IED70" s="122"/>
      <c r="IEE70" s="122"/>
      <c r="IEF70" s="122"/>
      <c r="IEG70" s="122"/>
      <c r="IEH70" s="122"/>
      <c r="IEI70" s="122"/>
      <c r="IEJ70" s="122"/>
      <c r="IEK70" s="122"/>
      <c r="IEL70" s="122"/>
      <c r="IEM70" s="122"/>
      <c r="IEN70" s="122"/>
      <c r="IEO70" s="122"/>
      <c r="IEP70" s="122"/>
      <c r="IEQ70" s="122"/>
      <c r="IER70" s="122"/>
      <c r="IES70" s="122"/>
      <c r="IET70" s="122"/>
      <c r="IEU70" s="122"/>
      <c r="IEV70" s="122"/>
      <c r="IEW70" s="122"/>
      <c r="IEX70" s="122"/>
      <c r="IEY70" s="122"/>
      <c r="IEZ70" s="122"/>
      <c r="IFA70" s="122"/>
      <c r="IFB70" s="122"/>
      <c r="IFC70" s="122"/>
      <c r="IFD70" s="122"/>
      <c r="IFE70" s="122"/>
      <c r="IFF70" s="122"/>
      <c r="IFG70" s="122"/>
      <c r="IFH70" s="122"/>
      <c r="IFI70" s="122"/>
      <c r="IFJ70" s="122"/>
      <c r="IFK70" s="122"/>
      <c r="IFL70" s="122"/>
      <c r="IFM70" s="122"/>
      <c r="IFN70" s="122"/>
      <c r="IFO70" s="122"/>
      <c r="IFP70" s="122"/>
      <c r="IFQ70" s="122"/>
      <c r="IFR70" s="122"/>
      <c r="IFS70" s="122"/>
      <c r="IFT70" s="122"/>
      <c r="IFU70" s="122"/>
      <c r="IFV70" s="122"/>
      <c r="IFW70" s="122"/>
      <c r="IFX70" s="122"/>
      <c r="IFY70" s="122"/>
      <c r="IFZ70" s="122"/>
      <c r="IGA70" s="122"/>
      <c r="IGB70" s="122"/>
      <c r="IGC70" s="122"/>
      <c r="IGD70" s="122"/>
      <c r="IGE70" s="122"/>
      <c r="IGF70" s="122"/>
      <c r="IGG70" s="122"/>
      <c r="IGH70" s="122"/>
      <c r="IGI70" s="122"/>
      <c r="IGJ70" s="122"/>
      <c r="IGK70" s="122"/>
      <c r="IGL70" s="122"/>
      <c r="IGM70" s="122"/>
      <c r="IGN70" s="122"/>
      <c r="IGO70" s="122"/>
      <c r="IGP70" s="122"/>
      <c r="IGQ70" s="122"/>
      <c r="IGR70" s="122"/>
      <c r="IGS70" s="122"/>
      <c r="IGT70" s="122"/>
      <c r="IGU70" s="122"/>
      <c r="IGV70" s="122"/>
      <c r="IGW70" s="122"/>
      <c r="IGX70" s="122"/>
      <c r="IGY70" s="122"/>
      <c r="IGZ70" s="122"/>
      <c r="IHA70" s="122"/>
      <c r="IHB70" s="122"/>
      <c r="IHC70" s="122"/>
      <c r="IHD70" s="122"/>
      <c r="IHE70" s="122"/>
      <c r="IHF70" s="122"/>
      <c r="IHG70" s="122"/>
      <c r="IHH70" s="122"/>
      <c r="IHI70" s="122"/>
      <c r="IHJ70" s="122"/>
      <c r="IHK70" s="122"/>
      <c r="IHL70" s="122"/>
      <c r="IHM70" s="122"/>
      <c r="IHN70" s="122"/>
      <c r="IHO70" s="122"/>
      <c r="IHP70" s="122"/>
      <c r="IHQ70" s="122"/>
      <c r="IHR70" s="122"/>
      <c r="IHS70" s="122"/>
      <c r="IHT70" s="122"/>
      <c r="IHU70" s="122"/>
      <c r="IHV70" s="122"/>
      <c r="IHW70" s="122"/>
      <c r="IHX70" s="122"/>
      <c r="IHY70" s="122"/>
      <c r="IHZ70" s="122"/>
      <c r="IIA70" s="122"/>
      <c r="IIB70" s="122"/>
      <c r="IIC70" s="122"/>
      <c r="IID70" s="122"/>
      <c r="IIE70" s="122"/>
      <c r="IIF70" s="122"/>
      <c r="IIG70" s="122"/>
      <c r="IIH70" s="122"/>
      <c r="III70" s="122"/>
      <c r="IIJ70" s="122"/>
      <c r="IIK70" s="122"/>
      <c r="IIL70" s="122"/>
      <c r="IIM70" s="122"/>
      <c r="IIN70" s="122"/>
      <c r="IIO70" s="122"/>
      <c r="IIP70" s="122"/>
      <c r="IIQ70" s="122"/>
      <c r="IIR70" s="122"/>
      <c r="IIS70" s="122"/>
      <c r="IIT70" s="122"/>
      <c r="IIU70" s="122"/>
      <c r="IIV70" s="122"/>
      <c r="IIW70" s="122"/>
      <c r="IIX70" s="122"/>
      <c r="IIY70" s="122"/>
      <c r="IIZ70" s="122"/>
      <c r="IJA70" s="122"/>
      <c r="IJB70" s="122"/>
      <c r="IJC70" s="122"/>
      <c r="IJD70" s="122"/>
      <c r="IJE70" s="122"/>
      <c r="IJF70" s="122"/>
      <c r="IJG70" s="122"/>
      <c r="IJH70" s="122"/>
      <c r="IJI70" s="122"/>
      <c r="IJJ70" s="122"/>
      <c r="IJK70" s="122"/>
      <c r="IJL70" s="122"/>
      <c r="IJM70" s="122"/>
      <c r="IJN70" s="122"/>
      <c r="IJO70" s="122"/>
      <c r="IJP70" s="122"/>
      <c r="IJQ70" s="122"/>
      <c r="IJR70" s="122"/>
      <c r="IJS70" s="122"/>
      <c r="IJT70" s="122"/>
      <c r="IJU70" s="122"/>
      <c r="IJV70" s="122"/>
      <c r="IJW70" s="122"/>
      <c r="IJX70" s="122"/>
      <c r="IJY70" s="122"/>
      <c r="IJZ70" s="122"/>
      <c r="IKA70" s="122"/>
      <c r="IKB70" s="122"/>
      <c r="IKC70" s="122"/>
      <c r="IKD70" s="122"/>
      <c r="IKE70" s="122"/>
      <c r="IKF70" s="122"/>
      <c r="IKG70" s="122"/>
      <c r="IKH70" s="122"/>
      <c r="IKI70" s="122"/>
      <c r="IKJ70" s="122"/>
      <c r="IKK70" s="122"/>
      <c r="IKL70" s="122"/>
      <c r="IKM70" s="122"/>
      <c r="IKN70" s="122"/>
      <c r="IKO70" s="122"/>
      <c r="IKP70" s="122"/>
      <c r="IKQ70" s="122"/>
      <c r="IKR70" s="122"/>
      <c r="IKS70" s="122"/>
      <c r="IKT70" s="122"/>
      <c r="IKU70" s="122"/>
      <c r="IKV70" s="122"/>
      <c r="IKW70" s="122"/>
      <c r="IKX70" s="122"/>
      <c r="IKY70" s="122"/>
      <c r="IKZ70" s="122"/>
      <c r="ILA70" s="122"/>
      <c r="ILB70" s="122"/>
      <c r="ILC70" s="122"/>
      <c r="ILD70" s="122"/>
      <c r="ILE70" s="122"/>
      <c r="ILF70" s="122"/>
      <c r="ILG70" s="122"/>
      <c r="ILH70" s="122"/>
      <c r="ILI70" s="122"/>
      <c r="ILJ70" s="122"/>
      <c r="ILK70" s="122"/>
      <c r="ILL70" s="122"/>
      <c r="ILM70" s="122"/>
      <c r="ILN70" s="122"/>
      <c r="ILO70" s="122"/>
      <c r="ILP70" s="122"/>
      <c r="ILQ70" s="122"/>
      <c r="ILR70" s="122"/>
      <c r="ILS70" s="122"/>
      <c r="ILT70" s="122"/>
      <c r="ILU70" s="122"/>
      <c r="ILV70" s="122"/>
      <c r="ILW70" s="122"/>
      <c r="ILX70" s="122"/>
      <c r="ILY70" s="122"/>
      <c r="ILZ70" s="122"/>
      <c r="IMA70" s="122"/>
      <c r="IMB70" s="122"/>
      <c r="IMC70" s="122"/>
      <c r="IMD70" s="122"/>
      <c r="IME70" s="122"/>
      <c r="IMF70" s="122"/>
      <c r="IMG70" s="122"/>
      <c r="IMH70" s="122"/>
      <c r="IMI70" s="122"/>
      <c r="IMJ70" s="122"/>
      <c r="IMK70" s="122"/>
      <c r="IML70" s="122"/>
      <c r="IMM70" s="122"/>
      <c r="IMN70" s="122"/>
      <c r="IMO70" s="122"/>
      <c r="IMP70" s="122"/>
      <c r="IMQ70" s="122"/>
      <c r="IMR70" s="122"/>
      <c r="IMS70" s="122"/>
      <c r="IMT70" s="122"/>
      <c r="IMU70" s="122"/>
      <c r="IMV70" s="122"/>
      <c r="IMW70" s="122"/>
      <c r="IMX70" s="122"/>
      <c r="IMY70" s="122"/>
      <c r="IMZ70" s="122"/>
      <c r="INA70" s="122"/>
      <c r="INB70" s="122"/>
      <c r="INC70" s="122"/>
      <c r="IND70" s="122"/>
      <c r="INE70" s="122"/>
      <c r="INF70" s="122"/>
      <c r="ING70" s="122"/>
      <c r="INH70" s="122"/>
      <c r="INI70" s="122"/>
      <c r="INJ70" s="122"/>
      <c r="INK70" s="122"/>
      <c r="INL70" s="122"/>
      <c r="INM70" s="122"/>
      <c r="INN70" s="122"/>
      <c r="INO70" s="122"/>
      <c r="INP70" s="122"/>
      <c r="INQ70" s="122"/>
      <c r="INR70" s="122"/>
      <c r="INS70" s="122"/>
      <c r="INT70" s="122"/>
      <c r="INU70" s="122"/>
      <c r="INV70" s="122"/>
      <c r="INW70" s="122"/>
      <c r="INX70" s="122"/>
      <c r="INY70" s="122"/>
      <c r="INZ70" s="122"/>
      <c r="IOA70" s="122"/>
      <c r="IOB70" s="122"/>
      <c r="IOC70" s="122"/>
      <c r="IOD70" s="122"/>
      <c r="IOE70" s="122"/>
      <c r="IOF70" s="122"/>
      <c r="IOG70" s="122"/>
      <c r="IOH70" s="122"/>
      <c r="IOI70" s="122"/>
      <c r="IOJ70" s="122"/>
      <c r="IOK70" s="122"/>
      <c r="IOL70" s="122"/>
      <c r="IOM70" s="122"/>
      <c r="ION70" s="122"/>
      <c r="IOO70" s="122"/>
      <c r="IOP70" s="122"/>
      <c r="IOQ70" s="122"/>
      <c r="IOR70" s="122"/>
      <c r="IOS70" s="122"/>
      <c r="IOT70" s="122"/>
      <c r="IOU70" s="122"/>
      <c r="IOV70" s="122"/>
      <c r="IOW70" s="122"/>
      <c r="IOX70" s="122"/>
      <c r="IOY70" s="122"/>
      <c r="IOZ70" s="122"/>
      <c r="IPA70" s="122"/>
      <c r="IPB70" s="122"/>
      <c r="IPC70" s="122"/>
      <c r="IPD70" s="122"/>
      <c r="IPE70" s="122"/>
      <c r="IPF70" s="122"/>
      <c r="IPG70" s="122"/>
      <c r="IPH70" s="122"/>
      <c r="IPI70" s="122"/>
      <c r="IPJ70" s="122"/>
      <c r="IPK70" s="122"/>
      <c r="IPL70" s="122"/>
      <c r="IPM70" s="122"/>
      <c r="IPN70" s="122"/>
      <c r="IPO70" s="122"/>
      <c r="IPP70" s="122"/>
      <c r="IPQ70" s="122"/>
      <c r="IPR70" s="122"/>
      <c r="IPS70" s="122"/>
      <c r="IPT70" s="122"/>
      <c r="IPU70" s="122"/>
      <c r="IPV70" s="122"/>
      <c r="IPW70" s="122"/>
      <c r="IPX70" s="122"/>
      <c r="IPY70" s="122"/>
      <c r="IPZ70" s="122"/>
      <c r="IQA70" s="122"/>
      <c r="IQB70" s="122"/>
      <c r="IQC70" s="122"/>
      <c r="IQD70" s="122"/>
      <c r="IQE70" s="122"/>
      <c r="IQF70" s="122"/>
      <c r="IQG70" s="122"/>
      <c r="IQH70" s="122"/>
      <c r="IQI70" s="122"/>
      <c r="IQJ70" s="122"/>
      <c r="IQK70" s="122"/>
      <c r="IQL70" s="122"/>
      <c r="IQM70" s="122"/>
      <c r="IQN70" s="122"/>
      <c r="IQO70" s="122"/>
      <c r="IQP70" s="122"/>
      <c r="IQQ70" s="122"/>
      <c r="IQR70" s="122"/>
      <c r="IQS70" s="122"/>
      <c r="IQT70" s="122"/>
      <c r="IQU70" s="122"/>
      <c r="IQV70" s="122"/>
      <c r="IQW70" s="122"/>
      <c r="IQX70" s="122"/>
      <c r="IQY70" s="122"/>
      <c r="IQZ70" s="122"/>
      <c r="IRA70" s="122"/>
      <c r="IRB70" s="122"/>
      <c r="IRC70" s="122"/>
      <c r="IRD70" s="122"/>
      <c r="IRE70" s="122"/>
      <c r="IRF70" s="122"/>
      <c r="IRG70" s="122"/>
      <c r="IRH70" s="122"/>
      <c r="IRI70" s="122"/>
      <c r="IRJ70" s="122"/>
      <c r="IRK70" s="122"/>
      <c r="IRL70" s="122"/>
      <c r="IRM70" s="122"/>
      <c r="IRN70" s="122"/>
      <c r="IRO70" s="122"/>
      <c r="IRP70" s="122"/>
      <c r="IRQ70" s="122"/>
      <c r="IRR70" s="122"/>
      <c r="IRS70" s="122"/>
      <c r="IRT70" s="122"/>
      <c r="IRU70" s="122"/>
      <c r="IRV70" s="122"/>
      <c r="IRW70" s="122"/>
      <c r="IRX70" s="122"/>
      <c r="IRY70" s="122"/>
      <c r="IRZ70" s="122"/>
      <c r="ISA70" s="122"/>
      <c r="ISB70" s="122"/>
      <c r="ISC70" s="122"/>
      <c r="ISD70" s="122"/>
      <c r="ISE70" s="122"/>
      <c r="ISF70" s="122"/>
      <c r="ISG70" s="122"/>
      <c r="ISH70" s="122"/>
      <c r="ISI70" s="122"/>
      <c r="ISJ70" s="122"/>
      <c r="ISK70" s="122"/>
      <c r="ISL70" s="122"/>
      <c r="ISM70" s="122"/>
      <c r="ISN70" s="122"/>
      <c r="ISO70" s="122"/>
      <c r="ISP70" s="122"/>
      <c r="ISQ70" s="122"/>
      <c r="ISR70" s="122"/>
      <c r="ISS70" s="122"/>
      <c r="IST70" s="122"/>
      <c r="ISU70" s="122"/>
      <c r="ISV70" s="122"/>
      <c r="ISW70" s="122"/>
      <c r="ISX70" s="122"/>
      <c r="ISY70" s="122"/>
      <c r="ISZ70" s="122"/>
      <c r="ITA70" s="122"/>
      <c r="ITB70" s="122"/>
      <c r="ITC70" s="122"/>
      <c r="ITD70" s="122"/>
      <c r="ITE70" s="122"/>
      <c r="ITF70" s="122"/>
      <c r="ITG70" s="122"/>
      <c r="ITH70" s="122"/>
      <c r="ITI70" s="122"/>
      <c r="ITJ70" s="122"/>
      <c r="ITK70" s="122"/>
      <c r="ITL70" s="122"/>
      <c r="ITM70" s="122"/>
      <c r="ITN70" s="122"/>
      <c r="ITO70" s="122"/>
      <c r="ITP70" s="122"/>
      <c r="ITQ70" s="122"/>
      <c r="ITR70" s="122"/>
      <c r="ITS70" s="122"/>
      <c r="ITT70" s="122"/>
      <c r="ITU70" s="122"/>
      <c r="ITV70" s="122"/>
      <c r="ITW70" s="122"/>
      <c r="ITX70" s="122"/>
      <c r="ITY70" s="122"/>
      <c r="ITZ70" s="122"/>
      <c r="IUA70" s="122"/>
      <c r="IUB70" s="122"/>
      <c r="IUC70" s="122"/>
      <c r="IUD70" s="122"/>
      <c r="IUE70" s="122"/>
      <c r="IUF70" s="122"/>
      <c r="IUG70" s="122"/>
      <c r="IUH70" s="122"/>
      <c r="IUI70" s="122"/>
      <c r="IUJ70" s="122"/>
      <c r="IUK70" s="122"/>
      <c r="IUL70" s="122"/>
      <c r="IUM70" s="122"/>
      <c r="IUN70" s="122"/>
      <c r="IUO70" s="122"/>
      <c r="IUP70" s="122"/>
      <c r="IUQ70" s="122"/>
      <c r="IUR70" s="122"/>
      <c r="IUS70" s="122"/>
      <c r="IUT70" s="122"/>
      <c r="IUU70" s="122"/>
      <c r="IUV70" s="122"/>
      <c r="IUW70" s="122"/>
      <c r="IUX70" s="122"/>
      <c r="IUY70" s="122"/>
      <c r="IUZ70" s="122"/>
      <c r="IVA70" s="122"/>
      <c r="IVB70" s="122"/>
      <c r="IVC70" s="122"/>
      <c r="IVD70" s="122"/>
      <c r="IVE70" s="122"/>
      <c r="IVF70" s="122"/>
      <c r="IVG70" s="122"/>
      <c r="IVH70" s="122"/>
      <c r="IVI70" s="122"/>
      <c r="IVJ70" s="122"/>
      <c r="IVK70" s="122"/>
      <c r="IVL70" s="122"/>
      <c r="IVM70" s="122"/>
      <c r="IVN70" s="122"/>
      <c r="IVO70" s="122"/>
      <c r="IVP70" s="122"/>
      <c r="IVQ70" s="122"/>
      <c r="IVR70" s="122"/>
      <c r="IVS70" s="122"/>
      <c r="IVT70" s="122"/>
      <c r="IVU70" s="122"/>
      <c r="IVV70" s="122"/>
      <c r="IVW70" s="122"/>
      <c r="IVX70" s="122"/>
      <c r="IVY70" s="122"/>
      <c r="IVZ70" s="122"/>
      <c r="IWA70" s="122"/>
      <c r="IWB70" s="122"/>
      <c r="IWC70" s="122"/>
      <c r="IWD70" s="122"/>
      <c r="IWE70" s="122"/>
      <c r="IWF70" s="122"/>
      <c r="IWG70" s="122"/>
      <c r="IWH70" s="122"/>
      <c r="IWI70" s="122"/>
      <c r="IWJ70" s="122"/>
      <c r="IWK70" s="122"/>
      <c r="IWL70" s="122"/>
      <c r="IWM70" s="122"/>
      <c r="IWN70" s="122"/>
      <c r="IWO70" s="122"/>
      <c r="IWP70" s="122"/>
      <c r="IWQ70" s="122"/>
      <c r="IWR70" s="122"/>
      <c r="IWS70" s="122"/>
      <c r="IWT70" s="122"/>
      <c r="IWU70" s="122"/>
      <c r="IWV70" s="122"/>
      <c r="IWW70" s="122"/>
      <c r="IWX70" s="122"/>
      <c r="IWY70" s="122"/>
      <c r="IWZ70" s="122"/>
      <c r="IXA70" s="122"/>
      <c r="IXB70" s="122"/>
      <c r="IXC70" s="122"/>
      <c r="IXD70" s="122"/>
      <c r="IXE70" s="122"/>
      <c r="IXF70" s="122"/>
      <c r="IXG70" s="122"/>
      <c r="IXH70" s="122"/>
      <c r="IXI70" s="122"/>
      <c r="IXJ70" s="122"/>
      <c r="IXK70" s="122"/>
      <c r="IXL70" s="122"/>
      <c r="IXM70" s="122"/>
      <c r="IXN70" s="122"/>
      <c r="IXO70" s="122"/>
      <c r="IXP70" s="122"/>
      <c r="IXQ70" s="122"/>
      <c r="IXR70" s="122"/>
      <c r="IXS70" s="122"/>
      <c r="IXT70" s="122"/>
      <c r="IXU70" s="122"/>
      <c r="IXV70" s="122"/>
      <c r="IXW70" s="122"/>
      <c r="IXX70" s="122"/>
      <c r="IXY70" s="122"/>
      <c r="IXZ70" s="122"/>
      <c r="IYA70" s="122"/>
      <c r="IYB70" s="122"/>
      <c r="IYC70" s="122"/>
      <c r="IYD70" s="122"/>
      <c r="IYE70" s="122"/>
      <c r="IYF70" s="122"/>
      <c r="IYG70" s="122"/>
      <c r="IYH70" s="122"/>
      <c r="IYI70" s="122"/>
      <c r="IYJ70" s="122"/>
      <c r="IYK70" s="122"/>
      <c r="IYL70" s="122"/>
      <c r="IYM70" s="122"/>
      <c r="IYN70" s="122"/>
      <c r="IYO70" s="122"/>
      <c r="IYP70" s="122"/>
      <c r="IYQ70" s="122"/>
      <c r="IYR70" s="122"/>
      <c r="IYS70" s="122"/>
      <c r="IYT70" s="122"/>
      <c r="IYU70" s="122"/>
      <c r="IYV70" s="122"/>
      <c r="IYW70" s="122"/>
      <c r="IYX70" s="122"/>
      <c r="IYY70" s="122"/>
      <c r="IYZ70" s="122"/>
      <c r="IZA70" s="122"/>
      <c r="IZB70" s="122"/>
      <c r="IZC70" s="122"/>
      <c r="IZD70" s="122"/>
      <c r="IZE70" s="122"/>
      <c r="IZF70" s="122"/>
      <c r="IZG70" s="122"/>
      <c r="IZH70" s="122"/>
      <c r="IZI70" s="122"/>
      <c r="IZJ70" s="122"/>
      <c r="IZK70" s="122"/>
      <c r="IZL70" s="122"/>
      <c r="IZM70" s="122"/>
      <c r="IZN70" s="122"/>
      <c r="IZO70" s="122"/>
      <c r="IZP70" s="122"/>
      <c r="IZQ70" s="122"/>
      <c r="IZR70" s="122"/>
      <c r="IZS70" s="122"/>
      <c r="IZT70" s="122"/>
      <c r="IZU70" s="122"/>
      <c r="IZV70" s="122"/>
      <c r="IZW70" s="122"/>
      <c r="IZX70" s="122"/>
      <c r="IZY70" s="122"/>
      <c r="IZZ70" s="122"/>
      <c r="JAA70" s="122"/>
      <c r="JAB70" s="122"/>
      <c r="JAC70" s="122"/>
      <c r="JAD70" s="122"/>
      <c r="JAE70" s="122"/>
      <c r="JAF70" s="122"/>
      <c r="JAG70" s="122"/>
      <c r="JAH70" s="122"/>
      <c r="JAI70" s="122"/>
      <c r="JAJ70" s="122"/>
      <c r="JAK70" s="122"/>
      <c r="JAL70" s="122"/>
      <c r="JAM70" s="122"/>
      <c r="JAN70" s="122"/>
      <c r="JAO70" s="122"/>
      <c r="JAP70" s="122"/>
      <c r="JAQ70" s="122"/>
      <c r="JAR70" s="122"/>
      <c r="JAS70" s="122"/>
      <c r="JAT70" s="122"/>
      <c r="JAU70" s="122"/>
      <c r="JAV70" s="122"/>
      <c r="JAW70" s="122"/>
      <c r="JAX70" s="122"/>
      <c r="JAY70" s="122"/>
      <c r="JAZ70" s="122"/>
      <c r="JBA70" s="122"/>
      <c r="JBB70" s="122"/>
      <c r="JBC70" s="122"/>
      <c r="JBD70" s="122"/>
      <c r="JBE70" s="122"/>
      <c r="JBF70" s="122"/>
      <c r="JBG70" s="122"/>
      <c r="JBH70" s="122"/>
      <c r="JBI70" s="122"/>
      <c r="JBJ70" s="122"/>
      <c r="JBK70" s="122"/>
      <c r="JBL70" s="122"/>
      <c r="JBM70" s="122"/>
      <c r="JBN70" s="122"/>
      <c r="JBO70" s="122"/>
      <c r="JBP70" s="122"/>
      <c r="JBQ70" s="122"/>
      <c r="JBR70" s="122"/>
      <c r="JBS70" s="122"/>
      <c r="JBT70" s="122"/>
      <c r="JBU70" s="122"/>
      <c r="JBV70" s="122"/>
      <c r="JBW70" s="122"/>
      <c r="JBX70" s="122"/>
      <c r="JBY70" s="122"/>
      <c r="JBZ70" s="122"/>
      <c r="JCA70" s="122"/>
      <c r="JCB70" s="122"/>
      <c r="JCC70" s="122"/>
      <c r="JCD70" s="122"/>
      <c r="JCE70" s="122"/>
      <c r="JCF70" s="122"/>
      <c r="JCG70" s="122"/>
      <c r="JCH70" s="122"/>
      <c r="JCI70" s="122"/>
      <c r="JCJ70" s="122"/>
      <c r="JCK70" s="122"/>
      <c r="JCL70" s="122"/>
      <c r="JCM70" s="122"/>
      <c r="JCN70" s="122"/>
      <c r="JCO70" s="122"/>
      <c r="JCP70" s="122"/>
      <c r="JCQ70" s="122"/>
      <c r="JCR70" s="122"/>
      <c r="JCS70" s="122"/>
      <c r="JCT70" s="122"/>
      <c r="JCU70" s="122"/>
      <c r="JCV70" s="122"/>
      <c r="JCW70" s="122"/>
      <c r="JCX70" s="122"/>
      <c r="JCY70" s="122"/>
      <c r="JCZ70" s="122"/>
      <c r="JDA70" s="122"/>
      <c r="JDB70" s="122"/>
      <c r="JDC70" s="122"/>
      <c r="JDD70" s="122"/>
      <c r="JDE70" s="122"/>
      <c r="JDF70" s="122"/>
      <c r="JDG70" s="122"/>
      <c r="JDH70" s="122"/>
      <c r="JDI70" s="122"/>
      <c r="JDJ70" s="122"/>
      <c r="JDK70" s="122"/>
      <c r="JDL70" s="122"/>
      <c r="JDM70" s="122"/>
      <c r="JDN70" s="122"/>
      <c r="JDO70" s="122"/>
      <c r="JDP70" s="122"/>
      <c r="JDQ70" s="122"/>
      <c r="JDR70" s="122"/>
      <c r="JDS70" s="122"/>
      <c r="JDT70" s="122"/>
      <c r="JDU70" s="122"/>
      <c r="JDV70" s="122"/>
      <c r="JDW70" s="122"/>
      <c r="JDX70" s="122"/>
      <c r="JDY70" s="122"/>
      <c r="JDZ70" s="122"/>
      <c r="JEA70" s="122"/>
      <c r="JEB70" s="122"/>
      <c r="JEC70" s="122"/>
      <c r="JED70" s="122"/>
      <c r="JEE70" s="122"/>
      <c r="JEF70" s="122"/>
      <c r="JEG70" s="122"/>
      <c r="JEH70" s="122"/>
      <c r="JEI70" s="122"/>
      <c r="JEJ70" s="122"/>
      <c r="JEK70" s="122"/>
      <c r="JEL70" s="122"/>
      <c r="JEM70" s="122"/>
      <c r="JEN70" s="122"/>
      <c r="JEO70" s="122"/>
      <c r="JEP70" s="122"/>
      <c r="JEQ70" s="122"/>
      <c r="JER70" s="122"/>
      <c r="JES70" s="122"/>
      <c r="JET70" s="122"/>
      <c r="JEU70" s="122"/>
      <c r="JEV70" s="122"/>
      <c r="JEW70" s="122"/>
      <c r="JEX70" s="122"/>
      <c r="JEY70" s="122"/>
      <c r="JEZ70" s="122"/>
      <c r="JFA70" s="122"/>
      <c r="JFB70" s="122"/>
      <c r="JFC70" s="122"/>
      <c r="JFD70" s="122"/>
      <c r="JFE70" s="122"/>
      <c r="JFF70" s="122"/>
      <c r="JFG70" s="122"/>
      <c r="JFH70" s="122"/>
      <c r="JFI70" s="122"/>
      <c r="JFJ70" s="122"/>
      <c r="JFK70" s="122"/>
      <c r="JFL70" s="122"/>
      <c r="JFM70" s="122"/>
      <c r="JFN70" s="122"/>
      <c r="JFO70" s="122"/>
      <c r="JFP70" s="122"/>
      <c r="JFQ70" s="122"/>
      <c r="JFR70" s="122"/>
      <c r="JFS70" s="122"/>
      <c r="JFT70" s="122"/>
      <c r="JFU70" s="122"/>
      <c r="JFV70" s="122"/>
      <c r="JFW70" s="122"/>
      <c r="JFX70" s="122"/>
      <c r="JFY70" s="122"/>
      <c r="JFZ70" s="122"/>
      <c r="JGA70" s="122"/>
      <c r="JGB70" s="122"/>
      <c r="JGC70" s="122"/>
      <c r="JGD70" s="122"/>
      <c r="JGE70" s="122"/>
      <c r="JGF70" s="122"/>
      <c r="JGG70" s="122"/>
      <c r="JGH70" s="122"/>
      <c r="JGI70" s="122"/>
      <c r="JGJ70" s="122"/>
      <c r="JGK70" s="122"/>
      <c r="JGL70" s="122"/>
      <c r="JGM70" s="122"/>
      <c r="JGN70" s="122"/>
      <c r="JGO70" s="122"/>
      <c r="JGP70" s="122"/>
      <c r="JGQ70" s="122"/>
      <c r="JGR70" s="122"/>
      <c r="JGS70" s="122"/>
      <c r="JGT70" s="122"/>
      <c r="JGU70" s="122"/>
      <c r="JGV70" s="122"/>
      <c r="JGW70" s="122"/>
      <c r="JGX70" s="122"/>
      <c r="JGY70" s="122"/>
      <c r="JGZ70" s="122"/>
      <c r="JHA70" s="122"/>
      <c r="JHB70" s="122"/>
      <c r="JHC70" s="122"/>
      <c r="JHD70" s="122"/>
      <c r="JHE70" s="122"/>
      <c r="JHF70" s="122"/>
      <c r="JHG70" s="122"/>
      <c r="JHH70" s="122"/>
      <c r="JHI70" s="122"/>
      <c r="JHJ70" s="122"/>
      <c r="JHK70" s="122"/>
      <c r="JHL70" s="122"/>
      <c r="JHM70" s="122"/>
      <c r="JHN70" s="122"/>
      <c r="JHO70" s="122"/>
      <c r="JHP70" s="122"/>
      <c r="JHQ70" s="122"/>
      <c r="JHR70" s="122"/>
      <c r="JHS70" s="122"/>
      <c r="JHT70" s="122"/>
      <c r="JHU70" s="122"/>
      <c r="JHV70" s="122"/>
      <c r="JHW70" s="122"/>
      <c r="JHX70" s="122"/>
      <c r="JHY70" s="122"/>
      <c r="JHZ70" s="122"/>
      <c r="JIA70" s="122"/>
      <c r="JIB70" s="122"/>
      <c r="JIC70" s="122"/>
      <c r="JID70" s="122"/>
      <c r="JIE70" s="122"/>
      <c r="JIF70" s="122"/>
      <c r="JIG70" s="122"/>
      <c r="JIH70" s="122"/>
      <c r="JII70" s="122"/>
      <c r="JIJ70" s="122"/>
      <c r="JIK70" s="122"/>
      <c r="JIL70" s="122"/>
      <c r="JIM70" s="122"/>
      <c r="JIN70" s="122"/>
      <c r="JIO70" s="122"/>
      <c r="JIP70" s="122"/>
      <c r="JIQ70" s="122"/>
      <c r="JIR70" s="122"/>
      <c r="JIS70" s="122"/>
      <c r="JIT70" s="122"/>
      <c r="JIU70" s="122"/>
      <c r="JIV70" s="122"/>
      <c r="JIW70" s="122"/>
      <c r="JIX70" s="122"/>
      <c r="JIY70" s="122"/>
      <c r="JIZ70" s="122"/>
      <c r="JJA70" s="122"/>
      <c r="JJB70" s="122"/>
      <c r="JJC70" s="122"/>
      <c r="JJD70" s="122"/>
      <c r="JJE70" s="122"/>
      <c r="JJF70" s="122"/>
      <c r="JJG70" s="122"/>
      <c r="JJH70" s="122"/>
      <c r="JJI70" s="122"/>
      <c r="JJJ70" s="122"/>
      <c r="JJK70" s="122"/>
      <c r="JJL70" s="122"/>
      <c r="JJM70" s="122"/>
      <c r="JJN70" s="122"/>
      <c r="JJO70" s="122"/>
      <c r="JJP70" s="122"/>
      <c r="JJQ70" s="122"/>
      <c r="JJR70" s="122"/>
      <c r="JJS70" s="122"/>
      <c r="JJT70" s="122"/>
      <c r="JJU70" s="122"/>
      <c r="JJV70" s="122"/>
      <c r="JJW70" s="122"/>
      <c r="JJX70" s="122"/>
      <c r="JJY70" s="122"/>
      <c r="JJZ70" s="122"/>
      <c r="JKA70" s="122"/>
      <c r="JKB70" s="122"/>
      <c r="JKC70" s="122"/>
      <c r="JKD70" s="122"/>
      <c r="JKE70" s="122"/>
      <c r="JKF70" s="122"/>
      <c r="JKG70" s="122"/>
      <c r="JKH70" s="122"/>
      <c r="JKI70" s="122"/>
      <c r="JKJ70" s="122"/>
      <c r="JKK70" s="122"/>
      <c r="JKL70" s="122"/>
      <c r="JKM70" s="122"/>
      <c r="JKN70" s="122"/>
      <c r="JKO70" s="122"/>
      <c r="JKP70" s="122"/>
      <c r="JKQ70" s="122"/>
      <c r="JKR70" s="122"/>
      <c r="JKS70" s="122"/>
      <c r="JKT70" s="122"/>
      <c r="JKU70" s="122"/>
      <c r="JKV70" s="122"/>
      <c r="JKW70" s="122"/>
      <c r="JKX70" s="122"/>
      <c r="JKY70" s="122"/>
      <c r="JKZ70" s="122"/>
      <c r="JLA70" s="122"/>
      <c r="JLB70" s="122"/>
      <c r="JLC70" s="122"/>
      <c r="JLD70" s="122"/>
      <c r="JLE70" s="122"/>
      <c r="JLF70" s="122"/>
      <c r="JLG70" s="122"/>
      <c r="JLH70" s="122"/>
      <c r="JLI70" s="122"/>
      <c r="JLJ70" s="122"/>
      <c r="JLK70" s="122"/>
      <c r="JLL70" s="122"/>
      <c r="JLM70" s="122"/>
      <c r="JLN70" s="122"/>
      <c r="JLO70" s="122"/>
      <c r="JLP70" s="122"/>
      <c r="JLQ70" s="122"/>
      <c r="JLR70" s="122"/>
      <c r="JLS70" s="122"/>
      <c r="JLT70" s="122"/>
      <c r="JLU70" s="122"/>
      <c r="JLV70" s="122"/>
      <c r="JLW70" s="122"/>
      <c r="JLX70" s="122"/>
      <c r="JLY70" s="122"/>
      <c r="JLZ70" s="122"/>
      <c r="JMA70" s="122"/>
      <c r="JMB70" s="122"/>
      <c r="JMC70" s="122"/>
      <c r="JMD70" s="122"/>
      <c r="JME70" s="122"/>
      <c r="JMF70" s="122"/>
      <c r="JMG70" s="122"/>
      <c r="JMH70" s="122"/>
      <c r="JMI70" s="122"/>
      <c r="JMJ70" s="122"/>
      <c r="JMK70" s="122"/>
      <c r="JML70" s="122"/>
      <c r="JMM70" s="122"/>
      <c r="JMN70" s="122"/>
      <c r="JMO70" s="122"/>
      <c r="JMP70" s="122"/>
      <c r="JMQ70" s="122"/>
      <c r="JMR70" s="122"/>
      <c r="JMS70" s="122"/>
      <c r="JMT70" s="122"/>
      <c r="JMU70" s="122"/>
      <c r="JMV70" s="122"/>
      <c r="JMW70" s="122"/>
      <c r="JMX70" s="122"/>
      <c r="JMY70" s="122"/>
      <c r="JMZ70" s="122"/>
      <c r="JNA70" s="122"/>
      <c r="JNB70" s="122"/>
      <c r="JNC70" s="122"/>
      <c r="JND70" s="122"/>
      <c r="JNE70" s="122"/>
      <c r="JNF70" s="122"/>
      <c r="JNG70" s="122"/>
      <c r="JNH70" s="122"/>
      <c r="JNI70" s="122"/>
      <c r="JNJ70" s="122"/>
      <c r="JNK70" s="122"/>
      <c r="JNL70" s="122"/>
      <c r="JNM70" s="122"/>
      <c r="JNN70" s="122"/>
      <c r="JNO70" s="122"/>
      <c r="JNP70" s="122"/>
      <c r="JNQ70" s="122"/>
      <c r="JNR70" s="122"/>
      <c r="JNS70" s="122"/>
      <c r="JNT70" s="122"/>
      <c r="JNU70" s="122"/>
      <c r="JNV70" s="122"/>
      <c r="JNW70" s="122"/>
      <c r="JNX70" s="122"/>
      <c r="JNY70" s="122"/>
      <c r="JNZ70" s="122"/>
      <c r="JOA70" s="122"/>
      <c r="JOB70" s="122"/>
      <c r="JOC70" s="122"/>
      <c r="JOD70" s="122"/>
      <c r="JOE70" s="122"/>
      <c r="JOF70" s="122"/>
      <c r="JOG70" s="122"/>
      <c r="JOH70" s="122"/>
      <c r="JOI70" s="122"/>
      <c r="JOJ70" s="122"/>
      <c r="JOK70" s="122"/>
      <c r="JOL70" s="122"/>
      <c r="JOM70" s="122"/>
      <c r="JON70" s="122"/>
      <c r="JOO70" s="122"/>
      <c r="JOP70" s="122"/>
      <c r="JOQ70" s="122"/>
      <c r="JOR70" s="122"/>
      <c r="JOS70" s="122"/>
      <c r="JOT70" s="122"/>
      <c r="JOU70" s="122"/>
      <c r="JOV70" s="122"/>
      <c r="JOW70" s="122"/>
      <c r="JOX70" s="122"/>
      <c r="JOY70" s="122"/>
      <c r="JOZ70" s="122"/>
      <c r="JPA70" s="122"/>
      <c r="JPB70" s="122"/>
      <c r="JPC70" s="122"/>
      <c r="JPD70" s="122"/>
      <c r="JPE70" s="122"/>
      <c r="JPF70" s="122"/>
      <c r="JPG70" s="122"/>
      <c r="JPH70" s="122"/>
      <c r="JPI70" s="122"/>
      <c r="JPJ70" s="122"/>
      <c r="JPK70" s="122"/>
      <c r="JPL70" s="122"/>
      <c r="JPM70" s="122"/>
      <c r="JPN70" s="122"/>
      <c r="JPO70" s="122"/>
      <c r="JPP70" s="122"/>
      <c r="JPQ70" s="122"/>
      <c r="JPR70" s="122"/>
      <c r="JPS70" s="122"/>
      <c r="JPT70" s="122"/>
      <c r="JPU70" s="122"/>
      <c r="JPV70" s="122"/>
      <c r="JPW70" s="122"/>
      <c r="JPX70" s="122"/>
      <c r="JPY70" s="122"/>
      <c r="JPZ70" s="122"/>
      <c r="JQA70" s="122"/>
      <c r="JQB70" s="122"/>
      <c r="JQC70" s="122"/>
      <c r="JQD70" s="122"/>
      <c r="JQE70" s="122"/>
      <c r="JQF70" s="122"/>
      <c r="JQG70" s="122"/>
      <c r="JQH70" s="122"/>
      <c r="JQI70" s="122"/>
      <c r="JQJ70" s="122"/>
      <c r="JQK70" s="122"/>
      <c r="JQL70" s="122"/>
      <c r="JQM70" s="122"/>
      <c r="JQN70" s="122"/>
      <c r="JQO70" s="122"/>
      <c r="JQP70" s="122"/>
      <c r="JQQ70" s="122"/>
      <c r="JQR70" s="122"/>
      <c r="JQS70" s="122"/>
      <c r="JQT70" s="122"/>
      <c r="JQU70" s="122"/>
      <c r="JQV70" s="122"/>
      <c r="JQW70" s="122"/>
      <c r="JQX70" s="122"/>
      <c r="JQY70" s="122"/>
      <c r="JQZ70" s="122"/>
      <c r="JRA70" s="122"/>
      <c r="JRB70" s="122"/>
      <c r="JRC70" s="122"/>
      <c r="JRD70" s="122"/>
      <c r="JRE70" s="122"/>
      <c r="JRF70" s="122"/>
      <c r="JRG70" s="122"/>
      <c r="JRH70" s="122"/>
      <c r="JRI70" s="122"/>
      <c r="JRJ70" s="122"/>
      <c r="JRK70" s="122"/>
      <c r="JRL70" s="122"/>
      <c r="JRM70" s="122"/>
      <c r="JRN70" s="122"/>
      <c r="JRO70" s="122"/>
      <c r="JRP70" s="122"/>
      <c r="JRQ70" s="122"/>
      <c r="JRR70" s="122"/>
      <c r="JRS70" s="122"/>
      <c r="JRT70" s="122"/>
      <c r="JRU70" s="122"/>
      <c r="JRV70" s="122"/>
      <c r="JRW70" s="122"/>
      <c r="JRX70" s="122"/>
      <c r="JRY70" s="122"/>
      <c r="JRZ70" s="122"/>
      <c r="JSA70" s="122"/>
      <c r="JSB70" s="122"/>
      <c r="JSC70" s="122"/>
      <c r="JSD70" s="122"/>
      <c r="JSE70" s="122"/>
      <c r="JSF70" s="122"/>
      <c r="JSG70" s="122"/>
      <c r="JSH70" s="122"/>
      <c r="JSI70" s="122"/>
      <c r="JSJ70" s="122"/>
      <c r="JSK70" s="122"/>
      <c r="JSL70" s="122"/>
      <c r="JSM70" s="122"/>
      <c r="JSN70" s="122"/>
      <c r="JSO70" s="122"/>
      <c r="JSP70" s="122"/>
      <c r="JSQ70" s="122"/>
      <c r="JSR70" s="122"/>
      <c r="JSS70" s="122"/>
      <c r="JST70" s="122"/>
      <c r="JSU70" s="122"/>
      <c r="JSV70" s="122"/>
      <c r="JSW70" s="122"/>
      <c r="JSX70" s="122"/>
      <c r="JSY70" s="122"/>
      <c r="JSZ70" s="122"/>
      <c r="JTA70" s="122"/>
      <c r="JTB70" s="122"/>
      <c r="JTC70" s="122"/>
      <c r="JTD70" s="122"/>
      <c r="JTE70" s="122"/>
      <c r="JTF70" s="122"/>
      <c r="JTG70" s="122"/>
      <c r="JTH70" s="122"/>
      <c r="JTI70" s="122"/>
      <c r="JTJ70" s="122"/>
      <c r="JTK70" s="122"/>
      <c r="JTL70" s="122"/>
      <c r="JTM70" s="122"/>
      <c r="JTN70" s="122"/>
      <c r="JTO70" s="122"/>
      <c r="JTP70" s="122"/>
      <c r="JTQ70" s="122"/>
      <c r="JTR70" s="122"/>
      <c r="JTS70" s="122"/>
      <c r="JTT70" s="122"/>
      <c r="JTU70" s="122"/>
      <c r="JTV70" s="122"/>
      <c r="JTW70" s="122"/>
      <c r="JTX70" s="122"/>
      <c r="JTY70" s="122"/>
      <c r="JTZ70" s="122"/>
      <c r="JUA70" s="122"/>
      <c r="JUB70" s="122"/>
      <c r="JUC70" s="122"/>
      <c r="JUD70" s="122"/>
      <c r="JUE70" s="122"/>
      <c r="JUF70" s="122"/>
      <c r="JUG70" s="122"/>
      <c r="JUH70" s="122"/>
      <c r="JUI70" s="122"/>
      <c r="JUJ70" s="122"/>
      <c r="JUK70" s="122"/>
      <c r="JUL70" s="122"/>
      <c r="JUM70" s="122"/>
      <c r="JUN70" s="122"/>
      <c r="JUO70" s="122"/>
      <c r="JUP70" s="122"/>
      <c r="JUQ70" s="122"/>
      <c r="JUR70" s="122"/>
      <c r="JUS70" s="122"/>
      <c r="JUT70" s="122"/>
      <c r="JUU70" s="122"/>
      <c r="JUV70" s="122"/>
      <c r="JUW70" s="122"/>
      <c r="JUX70" s="122"/>
      <c r="JUY70" s="122"/>
      <c r="JUZ70" s="122"/>
      <c r="JVA70" s="122"/>
      <c r="JVB70" s="122"/>
      <c r="JVC70" s="122"/>
      <c r="JVD70" s="122"/>
      <c r="JVE70" s="122"/>
      <c r="JVF70" s="122"/>
      <c r="JVG70" s="122"/>
      <c r="JVH70" s="122"/>
      <c r="JVI70" s="122"/>
      <c r="JVJ70" s="122"/>
      <c r="JVK70" s="122"/>
      <c r="JVL70" s="122"/>
      <c r="JVM70" s="122"/>
      <c r="JVN70" s="122"/>
      <c r="JVO70" s="122"/>
      <c r="JVP70" s="122"/>
      <c r="JVQ70" s="122"/>
      <c r="JVR70" s="122"/>
      <c r="JVS70" s="122"/>
      <c r="JVT70" s="122"/>
      <c r="JVU70" s="122"/>
      <c r="JVV70" s="122"/>
      <c r="JVW70" s="122"/>
      <c r="JVX70" s="122"/>
      <c r="JVY70" s="122"/>
      <c r="JVZ70" s="122"/>
      <c r="JWA70" s="122"/>
      <c r="JWB70" s="122"/>
      <c r="JWC70" s="122"/>
      <c r="JWD70" s="122"/>
      <c r="JWE70" s="122"/>
      <c r="JWF70" s="122"/>
      <c r="JWG70" s="122"/>
      <c r="JWH70" s="122"/>
      <c r="JWI70" s="122"/>
      <c r="JWJ70" s="122"/>
      <c r="JWK70" s="122"/>
      <c r="JWL70" s="122"/>
      <c r="JWM70" s="122"/>
      <c r="JWN70" s="122"/>
      <c r="JWO70" s="122"/>
      <c r="JWP70" s="122"/>
      <c r="JWQ70" s="122"/>
      <c r="JWR70" s="122"/>
      <c r="JWS70" s="122"/>
      <c r="JWT70" s="122"/>
      <c r="JWU70" s="122"/>
      <c r="JWV70" s="122"/>
      <c r="JWW70" s="122"/>
      <c r="JWX70" s="122"/>
      <c r="JWY70" s="122"/>
      <c r="JWZ70" s="122"/>
      <c r="JXA70" s="122"/>
      <c r="JXB70" s="122"/>
      <c r="JXC70" s="122"/>
      <c r="JXD70" s="122"/>
      <c r="JXE70" s="122"/>
      <c r="JXF70" s="122"/>
      <c r="JXG70" s="122"/>
      <c r="JXH70" s="122"/>
      <c r="JXI70" s="122"/>
      <c r="JXJ70" s="122"/>
      <c r="JXK70" s="122"/>
      <c r="JXL70" s="122"/>
      <c r="JXM70" s="122"/>
      <c r="JXN70" s="122"/>
      <c r="JXO70" s="122"/>
      <c r="JXP70" s="122"/>
      <c r="JXQ70" s="122"/>
      <c r="JXR70" s="122"/>
      <c r="JXS70" s="122"/>
      <c r="JXT70" s="122"/>
      <c r="JXU70" s="122"/>
      <c r="JXV70" s="122"/>
      <c r="JXW70" s="122"/>
      <c r="JXX70" s="122"/>
      <c r="JXY70" s="122"/>
      <c r="JXZ70" s="122"/>
      <c r="JYA70" s="122"/>
      <c r="JYB70" s="122"/>
      <c r="JYC70" s="122"/>
      <c r="JYD70" s="122"/>
      <c r="JYE70" s="122"/>
      <c r="JYF70" s="122"/>
      <c r="JYG70" s="122"/>
      <c r="JYH70" s="122"/>
      <c r="JYI70" s="122"/>
      <c r="JYJ70" s="122"/>
      <c r="JYK70" s="122"/>
      <c r="JYL70" s="122"/>
      <c r="JYM70" s="122"/>
      <c r="JYN70" s="122"/>
      <c r="JYO70" s="122"/>
      <c r="JYP70" s="122"/>
      <c r="JYQ70" s="122"/>
      <c r="JYR70" s="122"/>
      <c r="JYS70" s="122"/>
      <c r="JYT70" s="122"/>
      <c r="JYU70" s="122"/>
      <c r="JYV70" s="122"/>
      <c r="JYW70" s="122"/>
      <c r="JYX70" s="122"/>
      <c r="JYY70" s="122"/>
      <c r="JYZ70" s="122"/>
      <c r="JZA70" s="122"/>
      <c r="JZB70" s="122"/>
      <c r="JZC70" s="122"/>
      <c r="JZD70" s="122"/>
      <c r="JZE70" s="122"/>
      <c r="JZF70" s="122"/>
      <c r="JZG70" s="122"/>
      <c r="JZH70" s="122"/>
      <c r="JZI70" s="122"/>
      <c r="JZJ70" s="122"/>
      <c r="JZK70" s="122"/>
      <c r="JZL70" s="122"/>
      <c r="JZM70" s="122"/>
      <c r="JZN70" s="122"/>
      <c r="JZO70" s="122"/>
      <c r="JZP70" s="122"/>
      <c r="JZQ70" s="122"/>
      <c r="JZR70" s="122"/>
      <c r="JZS70" s="122"/>
      <c r="JZT70" s="122"/>
      <c r="JZU70" s="122"/>
      <c r="JZV70" s="122"/>
      <c r="JZW70" s="122"/>
      <c r="JZX70" s="122"/>
      <c r="JZY70" s="122"/>
      <c r="JZZ70" s="122"/>
      <c r="KAA70" s="122"/>
      <c r="KAB70" s="122"/>
      <c r="KAC70" s="122"/>
      <c r="KAD70" s="122"/>
      <c r="KAE70" s="122"/>
      <c r="KAF70" s="122"/>
      <c r="KAG70" s="122"/>
      <c r="KAH70" s="122"/>
      <c r="KAI70" s="122"/>
      <c r="KAJ70" s="122"/>
      <c r="KAK70" s="122"/>
      <c r="KAL70" s="122"/>
      <c r="KAM70" s="122"/>
      <c r="KAN70" s="122"/>
      <c r="KAO70" s="122"/>
      <c r="KAP70" s="122"/>
      <c r="KAQ70" s="122"/>
      <c r="KAR70" s="122"/>
      <c r="KAS70" s="122"/>
      <c r="KAT70" s="122"/>
      <c r="KAU70" s="122"/>
      <c r="KAV70" s="122"/>
      <c r="KAW70" s="122"/>
      <c r="KAX70" s="122"/>
      <c r="KAY70" s="122"/>
      <c r="KAZ70" s="122"/>
      <c r="KBA70" s="122"/>
      <c r="KBB70" s="122"/>
      <c r="KBC70" s="122"/>
      <c r="KBD70" s="122"/>
      <c r="KBE70" s="122"/>
      <c r="KBF70" s="122"/>
      <c r="KBG70" s="122"/>
      <c r="KBH70" s="122"/>
      <c r="KBI70" s="122"/>
      <c r="KBJ70" s="122"/>
      <c r="KBK70" s="122"/>
      <c r="KBL70" s="122"/>
      <c r="KBM70" s="122"/>
      <c r="KBN70" s="122"/>
      <c r="KBO70" s="122"/>
      <c r="KBP70" s="122"/>
      <c r="KBQ70" s="122"/>
      <c r="KBR70" s="122"/>
      <c r="KBS70" s="122"/>
      <c r="KBT70" s="122"/>
      <c r="KBU70" s="122"/>
      <c r="KBV70" s="122"/>
      <c r="KBW70" s="122"/>
      <c r="KBX70" s="122"/>
      <c r="KBY70" s="122"/>
      <c r="KBZ70" s="122"/>
      <c r="KCA70" s="122"/>
      <c r="KCB70" s="122"/>
      <c r="KCC70" s="122"/>
      <c r="KCD70" s="122"/>
      <c r="KCE70" s="122"/>
      <c r="KCF70" s="122"/>
      <c r="KCG70" s="122"/>
      <c r="KCH70" s="122"/>
      <c r="KCI70" s="122"/>
      <c r="KCJ70" s="122"/>
      <c r="KCK70" s="122"/>
      <c r="KCL70" s="122"/>
      <c r="KCM70" s="122"/>
      <c r="KCN70" s="122"/>
      <c r="KCO70" s="122"/>
      <c r="KCP70" s="122"/>
      <c r="KCQ70" s="122"/>
      <c r="KCR70" s="122"/>
      <c r="KCS70" s="122"/>
      <c r="KCT70" s="122"/>
      <c r="KCU70" s="122"/>
      <c r="KCV70" s="122"/>
      <c r="KCW70" s="122"/>
      <c r="KCX70" s="122"/>
      <c r="KCY70" s="122"/>
      <c r="KCZ70" s="122"/>
      <c r="KDA70" s="122"/>
      <c r="KDB70" s="122"/>
      <c r="KDC70" s="122"/>
      <c r="KDD70" s="122"/>
      <c r="KDE70" s="122"/>
      <c r="KDF70" s="122"/>
      <c r="KDG70" s="122"/>
      <c r="KDH70" s="122"/>
      <c r="KDI70" s="122"/>
      <c r="KDJ70" s="122"/>
      <c r="KDK70" s="122"/>
      <c r="KDL70" s="122"/>
      <c r="KDM70" s="122"/>
      <c r="KDN70" s="122"/>
      <c r="KDO70" s="122"/>
      <c r="KDP70" s="122"/>
      <c r="KDQ70" s="122"/>
      <c r="KDR70" s="122"/>
      <c r="KDS70" s="122"/>
      <c r="KDT70" s="122"/>
      <c r="KDU70" s="122"/>
      <c r="KDV70" s="122"/>
      <c r="KDW70" s="122"/>
      <c r="KDX70" s="122"/>
      <c r="KDY70" s="122"/>
      <c r="KDZ70" s="122"/>
      <c r="KEA70" s="122"/>
      <c r="KEB70" s="122"/>
      <c r="KEC70" s="122"/>
      <c r="KED70" s="122"/>
      <c r="KEE70" s="122"/>
      <c r="KEF70" s="122"/>
      <c r="KEG70" s="122"/>
      <c r="KEH70" s="122"/>
      <c r="KEI70" s="122"/>
      <c r="KEJ70" s="122"/>
      <c r="KEK70" s="122"/>
      <c r="KEL70" s="122"/>
      <c r="KEM70" s="122"/>
      <c r="KEN70" s="122"/>
      <c r="KEO70" s="122"/>
      <c r="KEP70" s="122"/>
      <c r="KEQ70" s="122"/>
      <c r="KER70" s="122"/>
      <c r="KES70" s="122"/>
      <c r="KET70" s="122"/>
      <c r="KEU70" s="122"/>
      <c r="KEV70" s="122"/>
      <c r="KEW70" s="122"/>
      <c r="KEX70" s="122"/>
      <c r="KEY70" s="122"/>
      <c r="KEZ70" s="122"/>
      <c r="KFA70" s="122"/>
      <c r="KFB70" s="122"/>
      <c r="KFC70" s="122"/>
      <c r="KFD70" s="122"/>
      <c r="KFE70" s="122"/>
      <c r="KFF70" s="122"/>
      <c r="KFG70" s="122"/>
      <c r="KFH70" s="122"/>
      <c r="KFI70" s="122"/>
      <c r="KFJ70" s="122"/>
      <c r="KFK70" s="122"/>
      <c r="KFL70" s="122"/>
      <c r="KFM70" s="122"/>
      <c r="KFN70" s="122"/>
      <c r="KFO70" s="122"/>
      <c r="KFP70" s="122"/>
      <c r="KFQ70" s="122"/>
      <c r="KFR70" s="122"/>
      <c r="KFS70" s="122"/>
      <c r="KFT70" s="122"/>
      <c r="KFU70" s="122"/>
      <c r="KFV70" s="122"/>
      <c r="KFW70" s="122"/>
      <c r="KFX70" s="122"/>
      <c r="KFY70" s="122"/>
      <c r="KFZ70" s="122"/>
      <c r="KGA70" s="122"/>
      <c r="KGB70" s="122"/>
      <c r="KGC70" s="122"/>
      <c r="KGD70" s="122"/>
      <c r="KGE70" s="122"/>
      <c r="KGF70" s="122"/>
      <c r="KGG70" s="122"/>
      <c r="KGH70" s="122"/>
      <c r="KGI70" s="122"/>
      <c r="KGJ70" s="122"/>
      <c r="KGK70" s="122"/>
      <c r="KGL70" s="122"/>
      <c r="KGM70" s="122"/>
      <c r="KGN70" s="122"/>
      <c r="KGO70" s="122"/>
      <c r="KGP70" s="122"/>
      <c r="KGQ70" s="122"/>
      <c r="KGR70" s="122"/>
      <c r="KGS70" s="122"/>
      <c r="KGT70" s="122"/>
      <c r="KGU70" s="122"/>
      <c r="KGV70" s="122"/>
      <c r="KGW70" s="122"/>
      <c r="KGX70" s="122"/>
      <c r="KGY70" s="122"/>
      <c r="KGZ70" s="122"/>
      <c r="KHA70" s="122"/>
      <c r="KHB70" s="122"/>
      <c r="KHC70" s="122"/>
      <c r="KHD70" s="122"/>
      <c r="KHE70" s="122"/>
      <c r="KHF70" s="122"/>
      <c r="KHG70" s="122"/>
      <c r="KHH70" s="122"/>
      <c r="KHI70" s="122"/>
      <c r="KHJ70" s="122"/>
      <c r="KHK70" s="122"/>
      <c r="KHL70" s="122"/>
      <c r="KHM70" s="122"/>
      <c r="KHN70" s="122"/>
      <c r="KHO70" s="122"/>
      <c r="KHP70" s="122"/>
      <c r="KHQ70" s="122"/>
      <c r="KHR70" s="122"/>
      <c r="KHS70" s="122"/>
      <c r="KHT70" s="122"/>
      <c r="KHU70" s="122"/>
      <c r="KHV70" s="122"/>
      <c r="KHW70" s="122"/>
      <c r="KHX70" s="122"/>
      <c r="KHY70" s="122"/>
      <c r="KHZ70" s="122"/>
      <c r="KIA70" s="122"/>
      <c r="KIB70" s="122"/>
      <c r="KIC70" s="122"/>
      <c r="KID70" s="122"/>
      <c r="KIE70" s="122"/>
      <c r="KIF70" s="122"/>
      <c r="KIG70" s="122"/>
      <c r="KIH70" s="122"/>
      <c r="KII70" s="122"/>
      <c r="KIJ70" s="122"/>
      <c r="KIK70" s="122"/>
      <c r="KIL70" s="122"/>
      <c r="KIM70" s="122"/>
      <c r="KIN70" s="122"/>
      <c r="KIO70" s="122"/>
      <c r="KIP70" s="122"/>
      <c r="KIQ70" s="122"/>
      <c r="KIR70" s="122"/>
      <c r="KIS70" s="122"/>
      <c r="KIT70" s="122"/>
      <c r="KIU70" s="122"/>
      <c r="KIV70" s="122"/>
      <c r="KIW70" s="122"/>
      <c r="KIX70" s="122"/>
      <c r="KIY70" s="122"/>
      <c r="KIZ70" s="122"/>
      <c r="KJA70" s="122"/>
      <c r="KJB70" s="122"/>
      <c r="KJC70" s="122"/>
      <c r="KJD70" s="122"/>
      <c r="KJE70" s="122"/>
      <c r="KJF70" s="122"/>
      <c r="KJG70" s="122"/>
      <c r="KJH70" s="122"/>
      <c r="KJI70" s="122"/>
      <c r="KJJ70" s="122"/>
      <c r="KJK70" s="122"/>
      <c r="KJL70" s="122"/>
      <c r="KJM70" s="122"/>
      <c r="KJN70" s="122"/>
      <c r="KJO70" s="122"/>
      <c r="KJP70" s="122"/>
      <c r="KJQ70" s="122"/>
      <c r="KJR70" s="122"/>
      <c r="KJS70" s="122"/>
      <c r="KJT70" s="122"/>
      <c r="KJU70" s="122"/>
      <c r="KJV70" s="122"/>
      <c r="KJW70" s="122"/>
      <c r="KJX70" s="122"/>
      <c r="KJY70" s="122"/>
      <c r="KJZ70" s="122"/>
      <c r="KKA70" s="122"/>
      <c r="KKB70" s="122"/>
      <c r="KKC70" s="122"/>
      <c r="KKD70" s="122"/>
      <c r="KKE70" s="122"/>
      <c r="KKF70" s="122"/>
      <c r="KKG70" s="122"/>
      <c r="KKH70" s="122"/>
      <c r="KKI70" s="122"/>
      <c r="KKJ70" s="122"/>
      <c r="KKK70" s="122"/>
      <c r="KKL70" s="122"/>
      <c r="KKM70" s="122"/>
      <c r="KKN70" s="122"/>
      <c r="KKO70" s="122"/>
      <c r="KKP70" s="122"/>
      <c r="KKQ70" s="122"/>
      <c r="KKR70" s="122"/>
      <c r="KKS70" s="122"/>
      <c r="KKT70" s="122"/>
      <c r="KKU70" s="122"/>
      <c r="KKV70" s="122"/>
      <c r="KKW70" s="122"/>
      <c r="KKX70" s="122"/>
      <c r="KKY70" s="122"/>
      <c r="KKZ70" s="122"/>
      <c r="KLA70" s="122"/>
      <c r="KLB70" s="122"/>
      <c r="KLC70" s="122"/>
      <c r="KLD70" s="122"/>
      <c r="KLE70" s="122"/>
      <c r="KLF70" s="122"/>
      <c r="KLG70" s="122"/>
      <c r="KLH70" s="122"/>
      <c r="KLI70" s="122"/>
      <c r="KLJ70" s="122"/>
      <c r="KLK70" s="122"/>
      <c r="KLL70" s="122"/>
      <c r="KLM70" s="122"/>
      <c r="KLN70" s="122"/>
      <c r="KLO70" s="122"/>
      <c r="KLP70" s="122"/>
      <c r="KLQ70" s="122"/>
      <c r="KLR70" s="122"/>
      <c r="KLS70" s="122"/>
      <c r="KLT70" s="122"/>
      <c r="KLU70" s="122"/>
      <c r="KLV70" s="122"/>
      <c r="KLW70" s="122"/>
      <c r="KLX70" s="122"/>
      <c r="KLY70" s="122"/>
      <c r="KLZ70" s="122"/>
      <c r="KMA70" s="122"/>
      <c r="KMB70" s="122"/>
      <c r="KMC70" s="122"/>
      <c r="KMD70" s="122"/>
      <c r="KME70" s="122"/>
      <c r="KMF70" s="122"/>
      <c r="KMG70" s="122"/>
      <c r="KMH70" s="122"/>
      <c r="KMI70" s="122"/>
      <c r="KMJ70" s="122"/>
      <c r="KMK70" s="122"/>
      <c r="KML70" s="122"/>
      <c r="KMM70" s="122"/>
      <c r="KMN70" s="122"/>
      <c r="KMO70" s="122"/>
      <c r="KMP70" s="122"/>
      <c r="KMQ70" s="122"/>
      <c r="KMR70" s="122"/>
      <c r="KMS70" s="122"/>
      <c r="KMT70" s="122"/>
      <c r="KMU70" s="122"/>
      <c r="KMV70" s="122"/>
      <c r="KMW70" s="122"/>
      <c r="KMX70" s="122"/>
      <c r="KMY70" s="122"/>
      <c r="KMZ70" s="122"/>
      <c r="KNA70" s="122"/>
      <c r="KNB70" s="122"/>
      <c r="KNC70" s="122"/>
      <c r="KND70" s="122"/>
      <c r="KNE70" s="122"/>
      <c r="KNF70" s="122"/>
      <c r="KNG70" s="122"/>
      <c r="KNH70" s="122"/>
      <c r="KNI70" s="122"/>
      <c r="KNJ70" s="122"/>
      <c r="KNK70" s="122"/>
      <c r="KNL70" s="122"/>
      <c r="KNM70" s="122"/>
      <c r="KNN70" s="122"/>
      <c r="KNO70" s="122"/>
      <c r="KNP70" s="122"/>
      <c r="KNQ70" s="122"/>
      <c r="KNR70" s="122"/>
      <c r="KNS70" s="122"/>
      <c r="KNT70" s="122"/>
      <c r="KNU70" s="122"/>
      <c r="KNV70" s="122"/>
      <c r="KNW70" s="122"/>
      <c r="KNX70" s="122"/>
      <c r="KNY70" s="122"/>
      <c r="KNZ70" s="122"/>
      <c r="KOA70" s="122"/>
      <c r="KOB70" s="122"/>
      <c r="KOC70" s="122"/>
      <c r="KOD70" s="122"/>
      <c r="KOE70" s="122"/>
      <c r="KOF70" s="122"/>
      <c r="KOG70" s="122"/>
      <c r="KOH70" s="122"/>
      <c r="KOI70" s="122"/>
      <c r="KOJ70" s="122"/>
      <c r="KOK70" s="122"/>
      <c r="KOL70" s="122"/>
      <c r="KOM70" s="122"/>
      <c r="KON70" s="122"/>
      <c r="KOO70" s="122"/>
      <c r="KOP70" s="122"/>
      <c r="KOQ70" s="122"/>
      <c r="KOR70" s="122"/>
      <c r="KOS70" s="122"/>
      <c r="KOT70" s="122"/>
      <c r="KOU70" s="122"/>
      <c r="KOV70" s="122"/>
      <c r="KOW70" s="122"/>
      <c r="KOX70" s="122"/>
      <c r="KOY70" s="122"/>
      <c r="KOZ70" s="122"/>
      <c r="KPA70" s="122"/>
      <c r="KPB70" s="122"/>
      <c r="KPC70" s="122"/>
      <c r="KPD70" s="122"/>
      <c r="KPE70" s="122"/>
      <c r="KPF70" s="122"/>
      <c r="KPG70" s="122"/>
      <c r="KPH70" s="122"/>
      <c r="KPI70" s="122"/>
      <c r="KPJ70" s="122"/>
      <c r="KPK70" s="122"/>
      <c r="KPL70" s="122"/>
      <c r="KPM70" s="122"/>
      <c r="KPN70" s="122"/>
      <c r="KPO70" s="122"/>
      <c r="KPP70" s="122"/>
      <c r="KPQ70" s="122"/>
      <c r="KPR70" s="122"/>
      <c r="KPS70" s="122"/>
      <c r="KPT70" s="122"/>
      <c r="KPU70" s="122"/>
      <c r="KPV70" s="122"/>
      <c r="KPW70" s="122"/>
      <c r="KPX70" s="122"/>
      <c r="KPY70" s="122"/>
      <c r="KPZ70" s="122"/>
      <c r="KQA70" s="122"/>
      <c r="KQB70" s="122"/>
      <c r="KQC70" s="122"/>
      <c r="KQD70" s="122"/>
      <c r="KQE70" s="122"/>
      <c r="KQF70" s="122"/>
      <c r="KQG70" s="122"/>
      <c r="KQH70" s="122"/>
      <c r="KQI70" s="122"/>
      <c r="KQJ70" s="122"/>
      <c r="KQK70" s="122"/>
      <c r="KQL70" s="122"/>
      <c r="KQM70" s="122"/>
      <c r="KQN70" s="122"/>
      <c r="KQO70" s="122"/>
      <c r="KQP70" s="122"/>
      <c r="KQQ70" s="122"/>
      <c r="KQR70" s="122"/>
      <c r="KQS70" s="122"/>
      <c r="KQT70" s="122"/>
      <c r="KQU70" s="122"/>
      <c r="KQV70" s="122"/>
      <c r="KQW70" s="122"/>
      <c r="KQX70" s="122"/>
      <c r="KQY70" s="122"/>
      <c r="KQZ70" s="122"/>
      <c r="KRA70" s="122"/>
      <c r="KRB70" s="122"/>
      <c r="KRC70" s="122"/>
      <c r="KRD70" s="122"/>
      <c r="KRE70" s="122"/>
      <c r="KRF70" s="122"/>
      <c r="KRG70" s="122"/>
      <c r="KRH70" s="122"/>
      <c r="KRI70" s="122"/>
      <c r="KRJ70" s="122"/>
      <c r="KRK70" s="122"/>
      <c r="KRL70" s="122"/>
      <c r="KRM70" s="122"/>
      <c r="KRN70" s="122"/>
      <c r="KRO70" s="122"/>
      <c r="KRP70" s="122"/>
      <c r="KRQ70" s="122"/>
      <c r="KRR70" s="122"/>
      <c r="KRS70" s="122"/>
      <c r="KRT70" s="122"/>
      <c r="KRU70" s="122"/>
      <c r="KRV70" s="122"/>
      <c r="KRW70" s="122"/>
      <c r="KRX70" s="122"/>
      <c r="KRY70" s="122"/>
      <c r="KRZ70" s="122"/>
      <c r="KSA70" s="122"/>
      <c r="KSB70" s="122"/>
      <c r="KSC70" s="122"/>
      <c r="KSD70" s="122"/>
      <c r="KSE70" s="122"/>
      <c r="KSF70" s="122"/>
      <c r="KSG70" s="122"/>
      <c r="KSH70" s="122"/>
      <c r="KSI70" s="122"/>
      <c r="KSJ70" s="122"/>
      <c r="KSK70" s="122"/>
      <c r="KSL70" s="122"/>
      <c r="KSM70" s="122"/>
      <c r="KSN70" s="122"/>
      <c r="KSO70" s="122"/>
      <c r="KSP70" s="122"/>
      <c r="KSQ70" s="122"/>
      <c r="KSR70" s="122"/>
      <c r="KSS70" s="122"/>
      <c r="KST70" s="122"/>
      <c r="KSU70" s="122"/>
      <c r="KSV70" s="122"/>
      <c r="KSW70" s="122"/>
      <c r="KSX70" s="122"/>
      <c r="KSY70" s="122"/>
      <c r="KSZ70" s="122"/>
      <c r="KTA70" s="122"/>
      <c r="KTB70" s="122"/>
      <c r="KTC70" s="122"/>
      <c r="KTD70" s="122"/>
      <c r="KTE70" s="122"/>
      <c r="KTF70" s="122"/>
      <c r="KTG70" s="122"/>
      <c r="KTH70" s="122"/>
      <c r="KTI70" s="122"/>
      <c r="KTJ70" s="122"/>
      <c r="KTK70" s="122"/>
      <c r="KTL70" s="122"/>
      <c r="KTM70" s="122"/>
      <c r="KTN70" s="122"/>
      <c r="KTO70" s="122"/>
      <c r="KTP70" s="122"/>
      <c r="KTQ70" s="122"/>
      <c r="KTR70" s="122"/>
      <c r="KTS70" s="122"/>
      <c r="KTT70" s="122"/>
      <c r="KTU70" s="122"/>
      <c r="KTV70" s="122"/>
      <c r="KTW70" s="122"/>
      <c r="KTX70" s="122"/>
      <c r="KTY70" s="122"/>
      <c r="KTZ70" s="122"/>
      <c r="KUA70" s="122"/>
      <c r="KUB70" s="122"/>
      <c r="KUC70" s="122"/>
      <c r="KUD70" s="122"/>
      <c r="KUE70" s="122"/>
      <c r="KUF70" s="122"/>
      <c r="KUG70" s="122"/>
      <c r="KUH70" s="122"/>
      <c r="KUI70" s="122"/>
      <c r="KUJ70" s="122"/>
      <c r="KUK70" s="122"/>
      <c r="KUL70" s="122"/>
      <c r="KUM70" s="122"/>
      <c r="KUN70" s="122"/>
      <c r="KUO70" s="122"/>
      <c r="KUP70" s="122"/>
      <c r="KUQ70" s="122"/>
      <c r="KUR70" s="122"/>
      <c r="KUS70" s="122"/>
      <c r="KUT70" s="122"/>
      <c r="KUU70" s="122"/>
      <c r="KUV70" s="122"/>
      <c r="KUW70" s="122"/>
      <c r="KUX70" s="122"/>
      <c r="KUY70" s="122"/>
      <c r="KUZ70" s="122"/>
      <c r="KVA70" s="122"/>
      <c r="KVB70" s="122"/>
      <c r="KVC70" s="122"/>
      <c r="KVD70" s="122"/>
      <c r="KVE70" s="122"/>
      <c r="KVF70" s="122"/>
      <c r="KVG70" s="122"/>
      <c r="KVH70" s="122"/>
      <c r="KVI70" s="122"/>
      <c r="KVJ70" s="122"/>
      <c r="KVK70" s="122"/>
      <c r="KVL70" s="122"/>
      <c r="KVM70" s="122"/>
      <c r="KVN70" s="122"/>
      <c r="KVO70" s="122"/>
      <c r="KVP70" s="122"/>
      <c r="KVQ70" s="122"/>
      <c r="KVR70" s="122"/>
      <c r="KVS70" s="122"/>
      <c r="KVT70" s="122"/>
      <c r="KVU70" s="122"/>
      <c r="KVV70" s="122"/>
      <c r="KVW70" s="122"/>
      <c r="KVX70" s="122"/>
      <c r="KVY70" s="122"/>
      <c r="KVZ70" s="122"/>
      <c r="KWA70" s="122"/>
      <c r="KWB70" s="122"/>
      <c r="KWC70" s="122"/>
      <c r="KWD70" s="122"/>
      <c r="KWE70" s="122"/>
      <c r="KWF70" s="122"/>
      <c r="KWG70" s="122"/>
      <c r="KWH70" s="122"/>
      <c r="KWI70" s="122"/>
      <c r="KWJ70" s="122"/>
      <c r="KWK70" s="122"/>
      <c r="KWL70" s="122"/>
      <c r="KWM70" s="122"/>
      <c r="KWN70" s="122"/>
      <c r="KWO70" s="122"/>
      <c r="KWP70" s="122"/>
      <c r="KWQ70" s="122"/>
      <c r="KWR70" s="122"/>
      <c r="KWS70" s="122"/>
      <c r="KWT70" s="122"/>
      <c r="KWU70" s="122"/>
      <c r="KWV70" s="122"/>
      <c r="KWW70" s="122"/>
      <c r="KWX70" s="122"/>
      <c r="KWY70" s="122"/>
      <c r="KWZ70" s="122"/>
      <c r="KXA70" s="122"/>
      <c r="KXB70" s="122"/>
      <c r="KXC70" s="122"/>
      <c r="KXD70" s="122"/>
      <c r="KXE70" s="122"/>
      <c r="KXF70" s="122"/>
      <c r="KXG70" s="122"/>
      <c r="KXH70" s="122"/>
      <c r="KXI70" s="122"/>
      <c r="KXJ70" s="122"/>
      <c r="KXK70" s="122"/>
      <c r="KXL70" s="122"/>
      <c r="KXM70" s="122"/>
      <c r="KXN70" s="122"/>
      <c r="KXO70" s="122"/>
      <c r="KXP70" s="122"/>
      <c r="KXQ70" s="122"/>
      <c r="KXR70" s="122"/>
      <c r="KXS70" s="122"/>
      <c r="KXT70" s="122"/>
      <c r="KXU70" s="122"/>
      <c r="KXV70" s="122"/>
      <c r="KXW70" s="122"/>
      <c r="KXX70" s="122"/>
      <c r="KXY70" s="122"/>
      <c r="KXZ70" s="122"/>
      <c r="KYA70" s="122"/>
      <c r="KYB70" s="122"/>
      <c r="KYC70" s="122"/>
      <c r="KYD70" s="122"/>
      <c r="KYE70" s="122"/>
      <c r="KYF70" s="122"/>
      <c r="KYG70" s="122"/>
      <c r="KYH70" s="122"/>
      <c r="KYI70" s="122"/>
      <c r="KYJ70" s="122"/>
      <c r="KYK70" s="122"/>
      <c r="KYL70" s="122"/>
      <c r="KYM70" s="122"/>
      <c r="KYN70" s="122"/>
      <c r="KYO70" s="122"/>
      <c r="KYP70" s="122"/>
      <c r="KYQ70" s="122"/>
      <c r="KYR70" s="122"/>
      <c r="KYS70" s="122"/>
      <c r="KYT70" s="122"/>
      <c r="KYU70" s="122"/>
      <c r="KYV70" s="122"/>
      <c r="KYW70" s="122"/>
      <c r="KYX70" s="122"/>
      <c r="KYY70" s="122"/>
      <c r="KYZ70" s="122"/>
      <c r="KZA70" s="122"/>
      <c r="KZB70" s="122"/>
      <c r="KZC70" s="122"/>
      <c r="KZD70" s="122"/>
      <c r="KZE70" s="122"/>
      <c r="KZF70" s="122"/>
      <c r="KZG70" s="122"/>
      <c r="KZH70" s="122"/>
      <c r="KZI70" s="122"/>
      <c r="KZJ70" s="122"/>
      <c r="KZK70" s="122"/>
      <c r="KZL70" s="122"/>
      <c r="KZM70" s="122"/>
      <c r="KZN70" s="122"/>
      <c r="KZO70" s="122"/>
      <c r="KZP70" s="122"/>
      <c r="KZQ70" s="122"/>
      <c r="KZR70" s="122"/>
      <c r="KZS70" s="122"/>
      <c r="KZT70" s="122"/>
      <c r="KZU70" s="122"/>
      <c r="KZV70" s="122"/>
      <c r="KZW70" s="122"/>
      <c r="KZX70" s="122"/>
      <c r="KZY70" s="122"/>
      <c r="KZZ70" s="122"/>
      <c r="LAA70" s="122"/>
      <c r="LAB70" s="122"/>
      <c r="LAC70" s="122"/>
      <c r="LAD70" s="122"/>
      <c r="LAE70" s="122"/>
      <c r="LAF70" s="122"/>
      <c r="LAG70" s="122"/>
      <c r="LAH70" s="122"/>
      <c r="LAI70" s="122"/>
      <c r="LAJ70" s="122"/>
      <c r="LAK70" s="122"/>
      <c r="LAL70" s="122"/>
      <c r="LAM70" s="122"/>
      <c r="LAN70" s="122"/>
      <c r="LAO70" s="122"/>
      <c r="LAP70" s="122"/>
      <c r="LAQ70" s="122"/>
      <c r="LAR70" s="122"/>
      <c r="LAS70" s="122"/>
      <c r="LAT70" s="122"/>
      <c r="LAU70" s="122"/>
      <c r="LAV70" s="122"/>
      <c r="LAW70" s="122"/>
      <c r="LAX70" s="122"/>
      <c r="LAY70" s="122"/>
      <c r="LAZ70" s="122"/>
      <c r="LBA70" s="122"/>
      <c r="LBB70" s="122"/>
      <c r="LBC70" s="122"/>
      <c r="LBD70" s="122"/>
      <c r="LBE70" s="122"/>
      <c r="LBF70" s="122"/>
      <c r="LBG70" s="122"/>
      <c r="LBH70" s="122"/>
      <c r="LBI70" s="122"/>
      <c r="LBJ70" s="122"/>
      <c r="LBK70" s="122"/>
      <c r="LBL70" s="122"/>
      <c r="LBM70" s="122"/>
      <c r="LBN70" s="122"/>
      <c r="LBO70" s="122"/>
      <c r="LBP70" s="122"/>
      <c r="LBQ70" s="122"/>
      <c r="LBR70" s="122"/>
      <c r="LBS70" s="122"/>
      <c r="LBT70" s="122"/>
      <c r="LBU70" s="122"/>
      <c r="LBV70" s="122"/>
      <c r="LBW70" s="122"/>
      <c r="LBX70" s="122"/>
      <c r="LBY70" s="122"/>
      <c r="LBZ70" s="122"/>
      <c r="LCA70" s="122"/>
      <c r="LCB70" s="122"/>
      <c r="LCC70" s="122"/>
      <c r="LCD70" s="122"/>
      <c r="LCE70" s="122"/>
      <c r="LCF70" s="122"/>
      <c r="LCG70" s="122"/>
      <c r="LCH70" s="122"/>
      <c r="LCI70" s="122"/>
      <c r="LCJ70" s="122"/>
      <c r="LCK70" s="122"/>
      <c r="LCL70" s="122"/>
      <c r="LCM70" s="122"/>
      <c r="LCN70" s="122"/>
      <c r="LCO70" s="122"/>
      <c r="LCP70" s="122"/>
      <c r="LCQ70" s="122"/>
      <c r="LCR70" s="122"/>
      <c r="LCS70" s="122"/>
      <c r="LCT70" s="122"/>
      <c r="LCU70" s="122"/>
      <c r="LCV70" s="122"/>
      <c r="LCW70" s="122"/>
      <c r="LCX70" s="122"/>
      <c r="LCY70" s="122"/>
      <c r="LCZ70" s="122"/>
      <c r="LDA70" s="122"/>
      <c r="LDB70" s="122"/>
      <c r="LDC70" s="122"/>
      <c r="LDD70" s="122"/>
      <c r="LDE70" s="122"/>
      <c r="LDF70" s="122"/>
      <c r="LDG70" s="122"/>
      <c r="LDH70" s="122"/>
      <c r="LDI70" s="122"/>
      <c r="LDJ70" s="122"/>
      <c r="LDK70" s="122"/>
      <c r="LDL70" s="122"/>
      <c r="LDM70" s="122"/>
      <c r="LDN70" s="122"/>
      <c r="LDO70" s="122"/>
      <c r="LDP70" s="122"/>
      <c r="LDQ70" s="122"/>
      <c r="LDR70" s="122"/>
      <c r="LDS70" s="122"/>
      <c r="LDT70" s="122"/>
      <c r="LDU70" s="122"/>
      <c r="LDV70" s="122"/>
      <c r="LDW70" s="122"/>
      <c r="LDX70" s="122"/>
      <c r="LDY70" s="122"/>
      <c r="LDZ70" s="122"/>
      <c r="LEA70" s="122"/>
      <c r="LEB70" s="122"/>
      <c r="LEC70" s="122"/>
      <c r="LED70" s="122"/>
      <c r="LEE70" s="122"/>
      <c r="LEF70" s="122"/>
      <c r="LEG70" s="122"/>
      <c r="LEH70" s="122"/>
      <c r="LEI70" s="122"/>
      <c r="LEJ70" s="122"/>
      <c r="LEK70" s="122"/>
      <c r="LEL70" s="122"/>
      <c r="LEM70" s="122"/>
      <c r="LEN70" s="122"/>
      <c r="LEO70" s="122"/>
      <c r="LEP70" s="122"/>
      <c r="LEQ70" s="122"/>
      <c r="LER70" s="122"/>
      <c r="LES70" s="122"/>
      <c r="LET70" s="122"/>
      <c r="LEU70" s="122"/>
      <c r="LEV70" s="122"/>
      <c r="LEW70" s="122"/>
      <c r="LEX70" s="122"/>
      <c r="LEY70" s="122"/>
      <c r="LEZ70" s="122"/>
      <c r="LFA70" s="122"/>
      <c r="LFB70" s="122"/>
      <c r="LFC70" s="122"/>
      <c r="LFD70" s="122"/>
      <c r="LFE70" s="122"/>
      <c r="LFF70" s="122"/>
      <c r="LFG70" s="122"/>
      <c r="LFH70" s="122"/>
      <c r="LFI70" s="122"/>
      <c r="LFJ70" s="122"/>
      <c r="LFK70" s="122"/>
      <c r="LFL70" s="122"/>
      <c r="LFM70" s="122"/>
      <c r="LFN70" s="122"/>
      <c r="LFO70" s="122"/>
      <c r="LFP70" s="122"/>
      <c r="LFQ70" s="122"/>
      <c r="LFR70" s="122"/>
      <c r="LFS70" s="122"/>
      <c r="LFT70" s="122"/>
      <c r="LFU70" s="122"/>
      <c r="LFV70" s="122"/>
      <c r="LFW70" s="122"/>
      <c r="LFX70" s="122"/>
      <c r="LFY70" s="122"/>
      <c r="LFZ70" s="122"/>
      <c r="LGA70" s="122"/>
      <c r="LGB70" s="122"/>
      <c r="LGC70" s="122"/>
      <c r="LGD70" s="122"/>
      <c r="LGE70" s="122"/>
      <c r="LGF70" s="122"/>
      <c r="LGG70" s="122"/>
      <c r="LGH70" s="122"/>
      <c r="LGI70" s="122"/>
      <c r="LGJ70" s="122"/>
      <c r="LGK70" s="122"/>
      <c r="LGL70" s="122"/>
      <c r="LGM70" s="122"/>
      <c r="LGN70" s="122"/>
      <c r="LGO70" s="122"/>
      <c r="LGP70" s="122"/>
      <c r="LGQ70" s="122"/>
      <c r="LGR70" s="122"/>
      <c r="LGS70" s="122"/>
      <c r="LGT70" s="122"/>
      <c r="LGU70" s="122"/>
      <c r="LGV70" s="122"/>
      <c r="LGW70" s="122"/>
      <c r="LGX70" s="122"/>
      <c r="LGY70" s="122"/>
      <c r="LGZ70" s="122"/>
      <c r="LHA70" s="122"/>
      <c r="LHB70" s="122"/>
      <c r="LHC70" s="122"/>
      <c r="LHD70" s="122"/>
      <c r="LHE70" s="122"/>
      <c r="LHF70" s="122"/>
      <c r="LHG70" s="122"/>
      <c r="LHH70" s="122"/>
      <c r="LHI70" s="122"/>
      <c r="LHJ70" s="122"/>
      <c r="LHK70" s="122"/>
      <c r="LHL70" s="122"/>
      <c r="LHM70" s="122"/>
      <c r="LHN70" s="122"/>
      <c r="LHO70" s="122"/>
      <c r="LHP70" s="122"/>
      <c r="LHQ70" s="122"/>
      <c r="LHR70" s="122"/>
      <c r="LHS70" s="122"/>
      <c r="LHT70" s="122"/>
      <c r="LHU70" s="122"/>
      <c r="LHV70" s="122"/>
      <c r="LHW70" s="122"/>
      <c r="LHX70" s="122"/>
      <c r="LHY70" s="122"/>
      <c r="LHZ70" s="122"/>
      <c r="LIA70" s="122"/>
      <c r="LIB70" s="122"/>
      <c r="LIC70" s="122"/>
      <c r="LID70" s="122"/>
      <c r="LIE70" s="122"/>
      <c r="LIF70" s="122"/>
      <c r="LIG70" s="122"/>
      <c r="LIH70" s="122"/>
      <c r="LII70" s="122"/>
      <c r="LIJ70" s="122"/>
      <c r="LIK70" s="122"/>
      <c r="LIL70" s="122"/>
      <c r="LIM70" s="122"/>
      <c r="LIN70" s="122"/>
      <c r="LIO70" s="122"/>
      <c r="LIP70" s="122"/>
      <c r="LIQ70" s="122"/>
      <c r="LIR70" s="122"/>
      <c r="LIS70" s="122"/>
      <c r="LIT70" s="122"/>
      <c r="LIU70" s="122"/>
      <c r="LIV70" s="122"/>
      <c r="LIW70" s="122"/>
      <c r="LIX70" s="122"/>
      <c r="LIY70" s="122"/>
      <c r="LIZ70" s="122"/>
      <c r="LJA70" s="122"/>
      <c r="LJB70" s="122"/>
      <c r="LJC70" s="122"/>
      <c r="LJD70" s="122"/>
      <c r="LJE70" s="122"/>
      <c r="LJF70" s="122"/>
      <c r="LJG70" s="122"/>
      <c r="LJH70" s="122"/>
      <c r="LJI70" s="122"/>
      <c r="LJJ70" s="122"/>
      <c r="LJK70" s="122"/>
      <c r="LJL70" s="122"/>
      <c r="LJM70" s="122"/>
      <c r="LJN70" s="122"/>
      <c r="LJO70" s="122"/>
      <c r="LJP70" s="122"/>
      <c r="LJQ70" s="122"/>
      <c r="LJR70" s="122"/>
      <c r="LJS70" s="122"/>
      <c r="LJT70" s="122"/>
      <c r="LJU70" s="122"/>
      <c r="LJV70" s="122"/>
      <c r="LJW70" s="122"/>
      <c r="LJX70" s="122"/>
      <c r="LJY70" s="122"/>
      <c r="LJZ70" s="122"/>
      <c r="LKA70" s="122"/>
      <c r="LKB70" s="122"/>
      <c r="LKC70" s="122"/>
      <c r="LKD70" s="122"/>
      <c r="LKE70" s="122"/>
      <c r="LKF70" s="122"/>
      <c r="LKG70" s="122"/>
      <c r="LKH70" s="122"/>
      <c r="LKI70" s="122"/>
      <c r="LKJ70" s="122"/>
      <c r="LKK70" s="122"/>
      <c r="LKL70" s="122"/>
      <c r="LKM70" s="122"/>
      <c r="LKN70" s="122"/>
      <c r="LKO70" s="122"/>
      <c r="LKP70" s="122"/>
      <c r="LKQ70" s="122"/>
      <c r="LKR70" s="122"/>
      <c r="LKS70" s="122"/>
      <c r="LKT70" s="122"/>
      <c r="LKU70" s="122"/>
      <c r="LKV70" s="122"/>
      <c r="LKW70" s="122"/>
      <c r="LKX70" s="122"/>
      <c r="LKY70" s="122"/>
      <c r="LKZ70" s="122"/>
      <c r="LLA70" s="122"/>
      <c r="LLB70" s="122"/>
      <c r="LLC70" s="122"/>
      <c r="LLD70" s="122"/>
      <c r="LLE70" s="122"/>
      <c r="LLF70" s="122"/>
      <c r="LLG70" s="122"/>
      <c r="LLH70" s="122"/>
      <c r="LLI70" s="122"/>
      <c r="LLJ70" s="122"/>
      <c r="LLK70" s="122"/>
      <c r="LLL70" s="122"/>
      <c r="LLM70" s="122"/>
      <c r="LLN70" s="122"/>
      <c r="LLO70" s="122"/>
      <c r="LLP70" s="122"/>
      <c r="LLQ70" s="122"/>
      <c r="LLR70" s="122"/>
      <c r="LLS70" s="122"/>
      <c r="LLT70" s="122"/>
      <c r="LLU70" s="122"/>
      <c r="LLV70" s="122"/>
      <c r="LLW70" s="122"/>
      <c r="LLX70" s="122"/>
      <c r="LLY70" s="122"/>
      <c r="LLZ70" s="122"/>
      <c r="LMA70" s="122"/>
      <c r="LMB70" s="122"/>
      <c r="LMC70" s="122"/>
      <c r="LMD70" s="122"/>
      <c r="LME70" s="122"/>
      <c r="LMF70" s="122"/>
      <c r="LMG70" s="122"/>
      <c r="LMH70" s="122"/>
      <c r="LMI70" s="122"/>
      <c r="LMJ70" s="122"/>
      <c r="LMK70" s="122"/>
      <c r="LML70" s="122"/>
      <c r="LMM70" s="122"/>
      <c r="LMN70" s="122"/>
      <c r="LMO70" s="122"/>
      <c r="LMP70" s="122"/>
      <c r="LMQ70" s="122"/>
      <c r="LMR70" s="122"/>
      <c r="LMS70" s="122"/>
      <c r="LMT70" s="122"/>
      <c r="LMU70" s="122"/>
      <c r="LMV70" s="122"/>
      <c r="LMW70" s="122"/>
      <c r="LMX70" s="122"/>
      <c r="LMY70" s="122"/>
      <c r="LMZ70" s="122"/>
      <c r="LNA70" s="122"/>
      <c r="LNB70" s="122"/>
      <c r="LNC70" s="122"/>
      <c r="LND70" s="122"/>
      <c r="LNE70" s="122"/>
      <c r="LNF70" s="122"/>
      <c r="LNG70" s="122"/>
      <c r="LNH70" s="122"/>
      <c r="LNI70" s="122"/>
      <c r="LNJ70" s="122"/>
      <c r="LNK70" s="122"/>
      <c r="LNL70" s="122"/>
      <c r="LNM70" s="122"/>
      <c r="LNN70" s="122"/>
      <c r="LNO70" s="122"/>
      <c r="LNP70" s="122"/>
      <c r="LNQ70" s="122"/>
      <c r="LNR70" s="122"/>
      <c r="LNS70" s="122"/>
      <c r="LNT70" s="122"/>
      <c r="LNU70" s="122"/>
      <c r="LNV70" s="122"/>
      <c r="LNW70" s="122"/>
      <c r="LNX70" s="122"/>
      <c r="LNY70" s="122"/>
      <c r="LNZ70" s="122"/>
      <c r="LOA70" s="122"/>
      <c r="LOB70" s="122"/>
      <c r="LOC70" s="122"/>
      <c r="LOD70" s="122"/>
      <c r="LOE70" s="122"/>
      <c r="LOF70" s="122"/>
      <c r="LOG70" s="122"/>
      <c r="LOH70" s="122"/>
      <c r="LOI70" s="122"/>
      <c r="LOJ70" s="122"/>
      <c r="LOK70" s="122"/>
      <c r="LOL70" s="122"/>
      <c r="LOM70" s="122"/>
      <c r="LON70" s="122"/>
      <c r="LOO70" s="122"/>
      <c r="LOP70" s="122"/>
      <c r="LOQ70" s="122"/>
      <c r="LOR70" s="122"/>
      <c r="LOS70" s="122"/>
      <c r="LOT70" s="122"/>
      <c r="LOU70" s="122"/>
      <c r="LOV70" s="122"/>
      <c r="LOW70" s="122"/>
      <c r="LOX70" s="122"/>
      <c r="LOY70" s="122"/>
      <c r="LOZ70" s="122"/>
      <c r="LPA70" s="122"/>
      <c r="LPB70" s="122"/>
      <c r="LPC70" s="122"/>
      <c r="LPD70" s="122"/>
      <c r="LPE70" s="122"/>
      <c r="LPF70" s="122"/>
      <c r="LPG70" s="122"/>
      <c r="LPH70" s="122"/>
      <c r="LPI70" s="122"/>
      <c r="LPJ70" s="122"/>
      <c r="LPK70" s="122"/>
      <c r="LPL70" s="122"/>
      <c r="LPM70" s="122"/>
      <c r="LPN70" s="122"/>
      <c r="LPO70" s="122"/>
      <c r="LPP70" s="122"/>
      <c r="LPQ70" s="122"/>
      <c r="LPR70" s="122"/>
      <c r="LPS70" s="122"/>
      <c r="LPT70" s="122"/>
      <c r="LPU70" s="122"/>
      <c r="LPV70" s="122"/>
      <c r="LPW70" s="122"/>
      <c r="LPX70" s="122"/>
      <c r="LPY70" s="122"/>
      <c r="LPZ70" s="122"/>
      <c r="LQA70" s="122"/>
      <c r="LQB70" s="122"/>
      <c r="LQC70" s="122"/>
      <c r="LQD70" s="122"/>
      <c r="LQE70" s="122"/>
      <c r="LQF70" s="122"/>
      <c r="LQG70" s="122"/>
      <c r="LQH70" s="122"/>
      <c r="LQI70" s="122"/>
      <c r="LQJ70" s="122"/>
      <c r="LQK70" s="122"/>
      <c r="LQL70" s="122"/>
      <c r="LQM70" s="122"/>
      <c r="LQN70" s="122"/>
      <c r="LQO70" s="122"/>
      <c r="LQP70" s="122"/>
      <c r="LQQ70" s="122"/>
      <c r="LQR70" s="122"/>
      <c r="LQS70" s="122"/>
      <c r="LQT70" s="122"/>
      <c r="LQU70" s="122"/>
      <c r="LQV70" s="122"/>
      <c r="LQW70" s="122"/>
      <c r="LQX70" s="122"/>
      <c r="LQY70" s="122"/>
      <c r="LQZ70" s="122"/>
      <c r="LRA70" s="122"/>
      <c r="LRB70" s="122"/>
      <c r="LRC70" s="122"/>
      <c r="LRD70" s="122"/>
      <c r="LRE70" s="122"/>
      <c r="LRF70" s="122"/>
      <c r="LRG70" s="122"/>
      <c r="LRH70" s="122"/>
      <c r="LRI70" s="122"/>
      <c r="LRJ70" s="122"/>
      <c r="LRK70" s="122"/>
      <c r="LRL70" s="122"/>
      <c r="LRM70" s="122"/>
      <c r="LRN70" s="122"/>
      <c r="LRO70" s="122"/>
      <c r="LRP70" s="122"/>
      <c r="LRQ70" s="122"/>
      <c r="LRR70" s="122"/>
      <c r="LRS70" s="122"/>
      <c r="LRT70" s="122"/>
      <c r="LRU70" s="122"/>
      <c r="LRV70" s="122"/>
      <c r="LRW70" s="122"/>
      <c r="LRX70" s="122"/>
      <c r="LRY70" s="122"/>
      <c r="LRZ70" s="122"/>
      <c r="LSA70" s="122"/>
      <c r="LSB70" s="122"/>
      <c r="LSC70" s="122"/>
      <c r="LSD70" s="122"/>
      <c r="LSE70" s="122"/>
      <c r="LSF70" s="122"/>
      <c r="LSG70" s="122"/>
      <c r="LSH70" s="122"/>
      <c r="LSI70" s="122"/>
      <c r="LSJ70" s="122"/>
      <c r="LSK70" s="122"/>
      <c r="LSL70" s="122"/>
      <c r="LSM70" s="122"/>
      <c r="LSN70" s="122"/>
      <c r="LSO70" s="122"/>
      <c r="LSP70" s="122"/>
      <c r="LSQ70" s="122"/>
      <c r="LSR70" s="122"/>
      <c r="LSS70" s="122"/>
      <c r="LST70" s="122"/>
      <c r="LSU70" s="122"/>
      <c r="LSV70" s="122"/>
      <c r="LSW70" s="122"/>
      <c r="LSX70" s="122"/>
      <c r="LSY70" s="122"/>
      <c r="LSZ70" s="122"/>
      <c r="LTA70" s="122"/>
      <c r="LTB70" s="122"/>
      <c r="LTC70" s="122"/>
      <c r="LTD70" s="122"/>
      <c r="LTE70" s="122"/>
      <c r="LTF70" s="122"/>
      <c r="LTG70" s="122"/>
      <c r="LTH70" s="122"/>
      <c r="LTI70" s="122"/>
      <c r="LTJ70" s="122"/>
      <c r="LTK70" s="122"/>
      <c r="LTL70" s="122"/>
      <c r="LTM70" s="122"/>
      <c r="LTN70" s="122"/>
      <c r="LTO70" s="122"/>
      <c r="LTP70" s="122"/>
      <c r="LTQ70" s="122"/>
      <c r="LTR70" s="122"/>
      <c r="LTS70" s="122"/>
      <c r="LTT70" s="122"/>
      <c r="LTU70" s="122"/>
      <c r="LTV70" s="122"/>
      <c r="LTW70" s="122"/>
      <c r="LTX70" s="122"/>
      <c r="LTY70" s="122"/>
      <c r="LTZ70" s="122"/>
      <c r="LUA70" s="122"/>
      <c r="LUB70" s="122"/>
      <c r="LUC70" s="122"/>
      <c r="LUD70" s="122"/>
      <c r="LUE70" s="122"/>
      <c r="LUF70" s="122"/>
      <c r="LUG70" s="122"/>
      <c r="LUH70" s="122"/>
      <c r="LUI70" s="122"/>
      <c r="LUJ70" s="122"/>
      <c r="LUK70" s="122"/>
      <c r="LUL70" s="122"/>
      <c r="LUM70" s="122"/>
      <c r="LUN70" s="122"/>
      <c r="LUO70" s="122"/>
      <c r="LUP70" s="122"/>
      <c r="LUQ70" s="122"/>
      <c r="LUR70" s="122"/>
      <c r="LUS70" s="122"/>
      <c r="LUT70" s="122"/>
      <c r="LUU70" s="122"/>
      <c r="LUV70" s="122"/>
      <c r="LUW70" s="122"/>
      <c r="LUX70" s="122"/>
      <c r="LUY70" s="122"/>
      <c r="LUZ70" s="122"/>
      <c r="LVA70" s="122"/>
      <c r="LVB70" s="122"/>
      <c r="LVC70" s="122"/>
      <c r="LVD70" s="122"/>
      <c r="LVE70" s="122"/>
      <c r="LVF70" s="122"/>
      <c r="LVG70" s="122"/>
      <c r="LVH70" s="122"/>
      <c r="LVI70" s="122"/>
      <c r="LVJ70" s="122"/>
      <c r="LVK70" s="122"/>
      <c r="LVL70" s="122"/>
      <c r="LVM70" s="122"/>
      <c r="LVN70" s="122"/>
      <c r="LVO70" s="122"/>
      <c r="LVP70" s="122"/>
      <c r="LVQ70" s="122"/>
      <c r="LVR70" s="122"/>
      <c r="LVS70" s="122"/>
      <c r="LVT70" s="122"/>
      <c r="LVU70" s="122"/>
      <c r="LVV70" s="122"/>
      <c r="LVW70" s="122"/>
      <c r="LVX70" s="122"/>
      <c r="LVY70" s="122"/>
      <c r="LVZ70" s="122"/>
      <c r="LWA70" s="122"/>
      <c r="LWB70" s="122"/>
      <c r="LWC70" s="122"/>
      <c r="LWD70" s="122"/>
      <c r="LWE70" s="122"/>
      <c r="LWF70" s="122"/>
      <c r="LWG70" s="122"/>
      <c r="LWH70" s="122"/>
      <c r="LWI70" s="122"/>
      <c r="LWJ70" s="122"/>
      <c r="LWK70" s="122"/>
      <c r="LWL70" s="122"/>
      <c r="LWM70" s="122"/>
      <c r="LWN70" s="122"/>
      <c r="LWO70" s="122"/>
      <c r="LWP70" s="122"/>
      <c r="LWQ70" s="122"/>
      <c r="LWR70" s="122"/>
      <c r="LWS70" s="122"/>
      <c r="LWT70" s="122"/>
      <c r="LWU70" s="122"/>
      <c r="LWV70" s="122"/>
      <c r="LWW70" s="122"/>
      <c r="LWX70" s="122"/>
      <c r="LWY70" s="122"/>
      <c r="LWZ70" s="122"/>
      <c r="LXA70" s="122"/>
      <c r="LXB70" s="122"/>
      <c r="LXC70" s="122"/>
      <c r="LXD70" s="122"/>
      <c r="LXE70" s="122"/>
      <c r="LXF70" s="122"/>
      <c r="LXG70" s="122"/>
      <c r="LXH70" s="122"/>
      <c r="LXI70" s="122"/>
      <c r="LXJ70" s="122"/>
      <c r="LXK70" s="122"/>
      <c r="LXL70" s="122"/>
      <c r="LXM70" s="122"/>
      <c r="LXN70" s="122"/>
      <c r="LXO70" s="122"/>
      <c r="LXP70" s="122"/>
      <c r="LXQ70" s="122"/>
      <c r="LXR70" s="122"/>
      <c r="LXS70" s="122"/>
      <c r="LXT70" s="122"/>
      <c r="LXU70" s="122"/>
      <c r="LXV70" s="122"/>
      <c r="LXW70" s="122"/>
      <c r="LXX70" s="122"/>
      <c r="LXY70" s="122"/>
      <c r="LXZ70" s="122"/>
      <c r="LYA70" s="122"/>
      <c r="LYB70" s="122"/>
      <c r="LYC70" s="122"/>
      <c r="LYD70" s="122"/>
      <c r="LYE70" s="122"/>
      <c r="LYF70" s="122"/>
      <c r="LYG70" s="122"/>
      <c r="LYH70" s="122"/>
      <c r="LYI70" s="122"/>
      <c r="LYJ70" s="122"/>
      <c r="LYK70" s="122"/>
      <c r="LYL70" s="122"/>
      <c r="LYM70" s="122"/>
      <c r="LYN70" s="122"/>
      <c r="LYO70" s="122"/>
      <c r="LYP70" s="122"/>
      <c r="LYQ70" s="122"/>
      <c r="LYR70" s="122"/>
      <c r="LYS70" s="122"/>
      <c r="LYT70" s="122"/>
      <c r="LYU70" s="122"/>
      <c r="LYV70" s="122"/>
      <c r="LYW70" s="122"/>
      <c r="LYX70" s="122"/>
      <c r="LYY70" s="122"/>
      <c r="LYZ70" s="122"/>
      <c r="LZA70" s="122"/>
      <c r="LZB70" s="122"/>
      <c r="LZC70" s="122"/>
      <c r="LZD70" s="122"/>
      <c r="LZE70" s="122"/>
      <c r="LZF70" s="122"/>
      <c r="LZG70" s="122"/>
      <c r="LZH70" s="122"/>
      <c r="LZI70" s="122"/>
      <c r="LZJ70" s="122"/>
      <c r="LZK70" s="122"/>
      <c r="LZL70" s="122"/>
      <c r="LZM70" s="122"/>
      <c r="LZN70" s="122"/>
      <c r="LZO70" s="122"/>
      <c r="LZP70" s="122"/>
      <c r="LZQ70" s="122"/>
      <c r="LZR70" s="122"/>
      <c r="LZS70" s="122"/>
      <c r="LZT70" s="122"/>
      <c r="LZU70" s="122"/>
      <c r="LZV70" s="122"/>
      <c r="LZW70" s="122"/>
      <c r="LZX70" s="122"/>
      <c r="LZY70" s="122"/>
      <c r="LZZ70" s="122"/>
      <c r="MAA70" s="122"/>
      <c r="MAB70" s="122"/>
      <c r="MAC70" s="122"/>
      <c r="MAD70" s="122"/>
      <c r="MAE70" s="122"/>
      <c r="MAF70" s="122"/>
      <c r="MAG70" s="122"/>
      <c r="MAH70" s="122"/>
      <c r="MAI70" s="122"/>
      <c r="MAJ70" s="122"/>
      <c r="MAK70" s="122"/>
      <c r="MAL70" s="122"/>
      <c r="MAM70" s="122"/>
      <c r="MAN70" s="122"/>
      <c r="MAO70" s="122"/>
      <c r="MAP70" s="122"/>
      <c r="MAQ70" s="122"/>
      <c r="MAR70" s="122"/>
      <c r="MAS70" s="122"/>
      <c r="MAT70" s="122"/>
      <c r="MAU70" s="122"/>
      <c r="MAV70" s="122"/>
      <c r="MAW70" s="122"/>
      <c r="MAX70" s="122"/>
      <c r="MAY70" s="122"/>
      <c r="MAZ70" s="122"/>
      <c r="MBA70" s="122"/>
      <c r="MBB70" s="122"/>
      <c r="MBC70" s="122"/>
      <c r="MBD70" s="122"/>
      <c r="MBE70" s="122"/>
      <c r="MBF70" s="122"/>
      <c r="MBG70" s="122"/>
      <c r="MBH70" s="122"/>
      <c r="MBI70" s="122"/>
      <c r="MBJ70" s="122"/>
      <c r="MBK70" s="122"/>
      <c r="MBL70" s="122"/>
      <c r="MBM70" s="122"/>
      <c r="MBN70" s="122"/>
      <c r="MBO70" s="122"/>
      <c r="MBP70" s="122"/>
      <c r="MBQ70" s="122"/>
      <c r="MBR70" s="122"/>
      <c r="MBS70" s="122"/>
      <c r="MBT70" s="122"/>
      <c r="MBU70" s="122"/>
      <c r="MBV70" s="122"/>
      <c r="MBW70" s="122"/>
      <c r="MBX70" s="122"/>
      <c r="MBY70" s="122"/>
      <c r="MBZ70" s="122"/>
      <c r="MCA70" s="122"/>
      <c r="MCB70" s="122"/>
      <c r="MCC70" s="122"/>
      <c r="MCD70" s="122"/>
      <c r="MCE70" s="122"/>
      <c r="MCF70" s="122"/>
      <c r="MCG70" s="122"/>
      <c r="MCH70" s="122"/>
      <c r="MCI70" s="122"/>
      <c r="MCJ70" s="122"/>
      <c r="MCK70" s="122"/>
      <c r="MCL70" s="122"/>
      <c r="MCM70" s="122"/>
      <c r="MCN70" s="122"/>
      <c r="MCO70" s="122"/>
      <c r="MCP70" s="122"/>
      <c r="MCQ70" s="122"/>
      <c r="MCR70" s="122"/>
      <c r="MCS70" s="122"/>
      <c r="MCT70" s="122"/>
      <c r="MCU70" s="122"/>
      <c r="MCV70" s="122"/>
      <c r="MCW70" s="122"/>
      <c r="MCX70" s="122"/>
      <c r="MCY70" s="122"/>
      <c r="MCZ70" s="122"/>
      <c r="MDA70" s="122"/>
      <c r="MDB70" s="122"/>
      <c r="MDC70" s="122"/>
      <c r="MDD70" s="122"/>
      <c r="MDE70" s="122"/>
      <c r="MDF70" s="122"/>
      <c r="MDG70" s="122"/>
      <c r="MDH70" s="122"/>
      <c r="MDI70" s="122"/>
      <c r="MDJ70" s="122"/>
      <c r="MDK70" s="122"/>
      <c r="MDL70" s="122"/>
      <c r="MDM70" s="122"/>
      <c r="MDN70" s="122"/>
      <c r="MDO70" s="122"/>
      <c r="MDP70" s="122"/>
      <c r="MDQ70" s="122"/>
      <c r="MDR70" s="122"/>
      <c r="MDS70" s="122"/>
      <c r="MDT70" s="122"/>
      <c r="MDU70" s="122"/>
      <c r="MDV70" s="122"/>
      <c r="MDW70" s="122"/>
      <c r="MDX70" s="122"/>
      <c r="MDY70" s="122"/>
      <c r="MDZ70" s="122"/>
      <c r="MEA70" s="122"/>
      <c r="MEB70" s="122"/>
      <c r="MEC70" s="122"/>
      <c r="MED70" s="122"/>
      <c r="MEE70" s="122"/>
      <c r="MEF70" s="122"/>
      <c r="MEG70" s="122"/>
      <c r="MEH70" s="122"/>
      <c r="MEI70" s="122"/>
      <c r="MEJ70" s="122"/>
      <c r="MEK70" s="122"/>
      <c r="MEL70" s="122"/>
      <c r="MEM70" s="122"/>
      <c r="MEN70" s="122"/>
      <c r="MEO70" s="122"/>
      <c r="MEP70" s="122"/>
      <c r="MEQ70" s="122"/>
      <c r="MER70" s="122"/>
      <c r="MES70" s="122"/>
      <c r="MET70" s="122"/>
      <c r="MEU70" s="122"/>
      <c r="MEV70" s="122"/>
      <c r="MEW70" s="122"/>
      <c r="MEX70" s="122"/>
      <c r="MEY70" s="122"/>
      <c r="MEZ70" s="122"/>
      <c r="MFA70" s="122"/>
      <c r="MFB70" s="122"/>
      <c r="MFC70" s="122"/>
      <c r="MFD70" s="122"/>
      <c r="MFE70" s="122"/>
      <c r="MFF70" s="122"/>
      <c r="MFG70" s="122"/>
      <c r="MFH70" s="122"/>
      <c r="MFI70" s="122"/>
      <c r="MFJ70" s="122"/>
      <c r="MFK70" s="122"/>
      <c r="MFL70" s="122"/>
      <c r="MFM70" s="122"/>
      <c r="MFN70" s="122"/>
      <c r="MFO70" s="122"/>
      <c r="MFP70" s="122"/>
      <c r="MFQ70" s="122"/>
      <c r="MFR70" s="122"/>
      <c r="MFS70" s="122"/>
      <c r="MFT70" s="122"/>
      <c r="MFU70" s="122"/>
      <c r="MFV70" s="122"/>
      <c r="MFW70" s="122"/>
      <c r="MFX70" s="122"/>
      <c r="MFY70" s="122"/>
      <c r="MFZ70" s="122"/>
      <c r="MGA70" s="122"/>
      <c r="MGB70" s="122"/>
      <c r="MGC70" s="122"/>
      <c r="MGD70" s="122"/>
      <c r="MGE70" s="122"/>
      <c r="MGF70" s="122"/>
      <c r="MGG70" s="122"/>
      <c r="MGH70" s="122"/>
      <c r="MGI70" s="122"/>
      <c r="MGJ70" s="122"/>
      <c r="MGK70" s="122"/>
      <c r="MGL70" s="122"/>
      <c r="MGM70" s="122"/>
      <c r="MGN70" s="122"/>
      <c r="MGO70" s="122"/>
      <c r="MGP70" s="122"/>
      <c r="MGQ70" s="122"/>
      <c r="MGR70" s="122"/>
      <c r="MGS70" s="122"/>
      <c r="MGT70" s="122"/>
      <c r="MGU70" s="122"/>
      <c r="MGV70" s="122"/>
      <c r="MGW70" s="122"/>
      <c r="MGX70" s="122"/>
      <c r="MGY70" s="122"/>
      <c r="MGZ70" s="122"/>
      <c r="MHA70" s="122"/>
      <c r="MHB70" s="122"/>
      <c r="MHC70" s="122"/>
      <c r="MHD70" s="122"/>
      <c r="MHE70" s="122"/>
      <c r="MHF70" s="122"/>
      <c r="MHG70" s="122"/>
      <c r="MHH70" s="122"/>
      <c r="MHI70" s="122"/>
      <c r="MHJ70" s="122"/>
      <c r="MHK70" s="122"/>
      <c r="MHL70" s="122"/>
      <c r="MHM70" s="122"/>
      <c r="MHN70" s="122"/>
      <c r="MHO70" s="122"/>
      <c r="MHP70" s="122"/>
      <c r="MHQ70" s="122"/>
      <c r="MHR70" s="122"/>
      <c r="MHS70" s="122"/>
      <c r="MHT70" s="122"/>
      <c r="MHU70" s="122"/>
      <c r="MHV70" s="122"/>
      <c r="MHW70" s="122"/>
      <c r="MHX70" s="122"/>
      <c r="MHY70" s="122"/>
      <c r="MHZ70" s="122"/>
      <c r="MIA70" s="122"/>
      <c r="MIB70" s="122"/>
      <c r="MIC70" s="122"/>
      <c r="MID70" s="122"/>
      <c r="MIE70" s="122"/>
      <c r="MIF70" s="122"/>
      <c r="MIG70" s="122"/>
      <c r="MIH70" s="122"/>
      <c r="MII70" s="122"/>
      <c r="MIJ70" s="122"/>
      <c r="MIK70" s="122"/>
      <c r="MIL70" s="122"/>
      <c r="MIM70" s="122"/>
      <c r="MIN70" s="122"/>
      <c r="MIO70" s="122"/>
      <c r="MIP70" s="122"/>
      <c r="MIQ70" s="122"/>
      <c r="MIR70" s="122"/>
      <c r="MIS70" s="122"/>
      <c r="MIT70" s="122"/>
      <c r="MIU70" s="122"/>
      <c r="MIV70" s="122"/>
      <c r="MIW70" s="122"/>
      <c r="MIX70" s="122"/>
      <c r="MIY70" s="122"/>
      <c r="MIZ70" s="122"/>
      <c r="MJA70" s="122"/>
      <c r="MJB70" s="122"/>
      <c r="MJC70" s="122"/>
      <c r="MJD70" s="122"/>
      <c r="MJE70" s="122"/>
      <c r="MJF70" s="122"/>
      <c r="MJG70" s="122"/>
      <c r="MJH70" s="122"/>
      <c r="MJI70" s="122"/>
      <c r="MJJ70" s="122"/>
      <c r="MJK70" s="122"/>
      <c r="MJL70" s="122"/>
      <c r="MJM70" s="122"/>
      <c r="MJN70" s="122"/>
      <c r="MJO70" s="122"/>
      <c r="MJP70" s="122"/>
      <c r="MJQ70" s="122"/>
      <c r="MJR70" s="122"/>
      <c r="MJS70" s="122"/>
      <c r="MJT70" s="122"/>
      <c r="MJU70" s="122"/>
      <c r="MJV70" s="122"/>
      <c r="MJW70" s="122"/>
      <c r="MJX70" s="122"/>
      <c r="MJY70" s="122"/>
      <c r="MJZ70" s="122"/>
      <c r="MKA70" s="122"/>
      <c r="MKB70" s="122"/>
      <c r="MKC70" s="122"/>
      <c r="MKD70" s="122"/>
      <c r="MKE70" s="122"/>
      <c r="MKF70" s="122"/>
      <c r="MKG70" s="122"/>
      <c r="MKH70" s="122"/>
      <c r="MKI70" s="122"/>
      <c r="MKJ70" s="122"/>
      <c r="MKK70" s="122"/>
      <c r="MKL70" s="122"/>
      <c r="MKM70" s="122"/>
      <c r="MKN70" s="122"/>
      <c r="MKO70" s="122"/>
      <c r="MKP70" s="122"/>
      <c r="MKQ70" s="122"/>
      <c r="MKR70" s="122"/>
      <c r="MKS70" s="122"/>
      <c r="MKT70" s="122"/>
      <c r="MKU70" s="122"/>
      <c r="MKV70" s="122"/>
      <c r="MKW70" s="122"/>
      <c r="MKX70" s="122"/>
      <c r="MKY70" s="122"/>
      <c r="MKZ70" s="122"/>
      <c r="MLA70" s="122"/>
      <c r="MLB70" s="122"/>
      <c r="MLC70" s="122"/>
      <c r="MLD70" s="122"/>
      <c r="MLE70" s="122"/>
      <c r="MLF70" s="122"/>
      <c r="MLG70" s="122"/>
      <c r="MLH70" s="122"/>
      <c r="MLI70" s="122"/>
      <c r="MLJ70" s="122"/>
      <c r="MLK70" s="122"/>
      <c r="MLL70" s="122"/>
      <c r="MLM70" s="122"/>
      <c r="MLN70" s="122"/>
      <c r="MLO70" s="122"/>
      <c r="MLP70" s="122"/>
      <c r="MLQ70" s="122"/>
      <c r="MLR70" s="122"/>
      <c r="MLS70" s="122"/>
      <c r="MLT70" s="122"/>
      <c r="MLU70" s="122"/>
      <c r="MLV70" s="122"/>
      <c r="MLW70" s="122"/>
      <c r="MLX70" s="122"/>
      <c r="MLY70" s="122"/>
      <c r="MLZ70" s="122"/>
      <c r="MMA70" s="122"/>
      <c r="MMB70" s="122"/>
      <c r="MMC70" s="122"/>
      <c r="MMD70" s="122"/>
      <c r="MME70" s="122"/>
      <c r="MMF70" s="122"/>
      <c r="MMG70" s="122"/>
      <c r="MMH70" s="122"/>
      <c r="MMI70" s="122"/>
      <c r="MMJ70" s="122"/>
      <c r="MMK70" s="122"/>
      <c r="MML70" s="122"/>
      <c r="MMM70" s="122"/>
      <c r="MMN70" s="122"/>
      <c r="MMO70" s="122"/>
      <c r="MMP70" s="122"/>
      <c r="MMQ70" s="122"/>
      <c r="MMR70" s="122"/>
      <c r="MMS70" s="122"/>
      <c r="MMT70" s="122"/>
      <c r="MMU70" s="122"/>
      <c r="MMV70" s="122"/>
      <c r="MMW70" s="122"/>
      <c r="MMX70" s="122"/>
      <c r="MMY70" s="122"/>
      <c r="MMZ70" s="122"/>
      <c r="MNA70" s="122"/>
      <c r="MNB70" s="122"/>
      <c r="MNC70" s="122"/>
      <c r="MND70" s="122"/>
      <c r="MNE70" s="122"/>
      <c r="MNF70" s="122"/>
      <c r="MNG70" s="122"/>
      <c r="MNH70" s="122"/>
      <c r="MNI70" s="122"/>
      <c r="MNJ70" s="122"/>
      <c r="MNK70" s="122"/>
      <c r="MNL70" s="122"/>
      <c r="MNM70" s="122"/>
      <c r="MNN70" s="122"/>
      <c r="MNO70" s="122"/>
      <c r="MNP70" s="122"/>
      <c r="MNQ70" s="122"/>
      <c r="MNR70" s="122"/>
      <c r="MNS70" s="122"/>
      <c r="MNT70" s="122"/>
      <c r="MNU70" s="122"/>
      <c r="MNV70" s="122"/>
      <c r="MNW70" s="122"/>
      <c r="MNX70" s="122"/>
      <c r="MNY70" s="122"/>
      <c r="MNZ70" s="122"/>
      <c r="MOA70" s="122"/>
      <c r="MOB70" s="122"/>
      <c r="MOC70" s="122"/>
      <c r="MOD70" s="122"/>
      <c r="MOE70" s="122"/>
      <c r="MOF70" s="122"/>
      <c r="MOG70" s="122"/>
      <c r="MOH70" s="122"/>
      <c r="MOI70" s="122"/>
      <c r="MOJ70" s="122"/>
      <c r="MOK70" s="122"/>
      <c r="MOL70" s="122"/>
      <c r="MOM70" s="122"/>
      <c r="MON70" s="122"/>
      <c r="MOO70" s="122"/>
      <c r="MOP70" s="122"/>
      <c r="MOQ70" s="122"/>
      <c r="MOR70" s="122"/>
      <c r="MOS70" s="122"/>
      <c r="MOT70" s="122"/>
      <c r="MOU70" s="122"/>
      <c r="MOV70" s="122"/>
      <c r="MOW70" s="122"/>
      <c r="MOX70" s="122"/>
      <c r="MOY70" s="122"/>
      <c r="MOZ70" s="122"/>
      <c r="MPA70" s="122"/>
      <c r="MPB70" s="122"/>
      <c r="MPC70" s="122"/>
      <c r="MPD70" s="122"/>
      <c r="MPE70" s="122"/>
      <c r="MPF70" s="122"/>
      <c r="MPG70" s="122"/>
      <c r="MPH70" s="122"/>
      <c r="MPI70" s="122"/>
      <c r="MPJ70" s="122"/>
      <c r="MPK70" s="122"/>
      <c r="MPL70" s="122"/>
      <c r="MPM70" s="122"/>
      <c r="MPN70" s="122"/>
      <c r="MPO70" s="122"/>
      <c r="MPP70" s="122"/>
      <c r="MPQ70" s="122"/>
      <c r="MPR70" s="122"/>
      <c r="MPS70" s="122"/>
      <c r="MPT70" s="122"/>
      <c r="MPU70" s="122"/>
      <c r="MPV70" s="122"/>
      <c r="MPW70" s="122"/>
      <c r="MPX70" s="122"/>
      <c r="MPY70" s="122"/>
      <c r="MPZ70" s="122"/>
      <c r="MQA70" s="122"/>
      <c r="MQB70" s="122"/>
      <c r="MQC70" s="122"/>
      <c r="MQD70" s="122"/>
      <c r="MQE70" s="122"/>
      <c r="MQF70" s="122"/>
      <c r="MQG70" s="122"/>
      <c r="MQH70" s="122"/>
      <c r="MQI70" s="122"/>
      <c r="MQJ70" s="122"/>
      <c r="MQK70" s="122"/>
      <c r="MQL70" s="122"/>
      <c r="MQM70" s="122"/>
      <c r="MQN70" s="122"/>
      <c r="MQO70" s="122"/>
      <c r="MQP70" s="122"/>
      <c r="MQQ70" s="122"/>
      <c r="MQR70" s="122"/>
      <c r="MQS70" s="122"/>
      <c r="MQT70" s="122"/>
      <c r="MQU70" s="122"/>
      <c r="MQV70" s="122"/>
      <c r="MQW70" s="122"/>
      <c r="MQX70" s="122"/>
      <c r="MQY70" s="122"/>
      <c r="MQZ70" s="122"/>
      <c r="MRA70" s="122"/>
      <c r="MRB70" s="122"/>
      <c r="MRC70" s="122"/>
      <c r="MRD70" s="122"/>
      <c r="MRE70" s="122"/>
      <c r="MRF70" s="122"/>
      <c r="MRG70" s="122"/>
      <c r="MRH70" s="122"/>
      <c r="MRI70" s="122"/>
      <c r="MRJ70" s="122"/>
      <c r="MRK70" s="122"/>
      <c r="MRL70" s="122"/>
      <c r="MRM70" s="122"/>
      <c r="MRN70" s="122"/>
      <c r="MRO70" s="122"/>
      <c r="MRP70" s="122"/>
      <c r="MRQ70" s="122"/>
      <c r="MRR70" s="122"/>
      <c r="MRS70" s="122"/>
      <c r="MRT70" s="122"/>
      <c r="MRU70" s="122"/>
      <c r="MRV70" s="122"/>
      <c r="MRW70" s="122"/>
      <c r="MRX70" s="122"/>
      <c r="MRY70" s="122"/>
      <c r="MRZ70" s="122"/>
      <c r="MSA70" s="122"/>
      <c r="MSB70" s="122"/>
      <c r="MSC70" s="122"/>
      <c r="MSD70" s="122"/>
      <c r="MSE70" s="122"/>
      <c r="MSF70" s="122"/>
      <c r="MSG70" s="122"/>
      <c r="MSH70" s="122"/>
      <c r="MSI70" s="122"/>
      <c r="MSJ70" s="122"/>
      <c r="MSK70" s="122"/>
      <c r="MSL70" s="122"/>
      <c r="MSM70" s="122"/>
      <c r="MSN70" s="122"/>
      <c r="MSO70" s="122"/>
      <c r="MSP70" s="122"/>
      <c r="MSQ70" s="122"/>
      <c r="MSR70" s="122"/>
      <c r="MSS70" s="122"/>
      <c r="MST70" s="122"/>
      <c r="MSU70" s="122"/>
      <c r="MSV70" s="122"/>
      <c r="MSW70" s="122"/>
      <c r="MSX70" s="122"/>
      <c r="MSY70" s="122"/>
      <c r="MSZ70" s="122"/>
      <c r="MTA70" s="122"/>
      <c r="MTB70" s="122"/>
      <c r="MTC70" s="122"/>
      <c r="MTD70" s="122"/>
      <c r="MTE70" s="122"/>
      <c r="MTF70" s="122"/>
      <c r="MTG70" s="122"/>
      <c r="MTH70" s="122"/>
      <c r="MTI70" s="122"/>
      <c r="MTJ70" s="122"/>
      <c r="MTK70" s="122"/>
      <c r="MTL70" s="122"/>
      <c r="MTM70" s="122"/>
      <c r="MTN70" s="122"/>
      <c r="MTO70" s="122"/>
      <c r="MTP70" s="122"/>
      <c r="MTQ70" s="122"/>
      <c r="MTR70" s="122"/>
      <c r="MTS70" s="122"/>
      <c r="MTT70" s="122"/>
      <c r="MTU70" s="122"/>
      <c r="MTV70" s="122"/>
      <c r="MTW70" s="122"/>
      <c r="MTX70" s="122"/>
      <c r="MTY70" s="122"/>
      <c r="MTZ70" s="122"/>
      <c r="MUA70" s="122"/>
      <c r="MUB70" s="122"/>
      <c r="MUC70" s="122"/>
      <c r="MUD70" s="122"/>
      <c r="MUE70" s="122"/>
      <c r="MUF70" s="122"/>
      <c r="MUG70" s="122"/>
      <c r="MUH70" s="122"/>
      <c r="MUI70" s="122"/>
      <c r="MUJ70" s="122"/>
      <c r="MUK70" s="122"/>
      <c r="MUL70" s="122"/>
      <c r="MUM70" s="122"/>
      <c r="MUN70" s="122"/>
      <c r="MUO70" s="122"/>
      <c r="MUP70" s="122"/>
      <c r="MUQ70" s="122"/>
      <c r="MUR70" s="122"/>
      <c r="MUS70" s="122"/>
      <c r="MUT70" s="122"/>
      <c r="MUU70" s="122"/>
      <c r="MUV70" s="122"/>
      <c r="MUW70" s="122"/>
      <c r="MUX70" s="122"/>
      <c r="MUY70" s="122"/>
      <c r="MUZ70" s="122"/>
      <c r="MVA70" s="122"/>
      <c r="MVB70" s="122"/>
      <c r="MVC70" s="122"/>
      <c r="MVD70" s="122"/>
      <c r="MVE70" s="122"/>
      <c r="MVF70" s="122"/>
      <c r="MVG70" s="122"/>
      <c r="MVH70" s="122"/>
      <c r="MVI70" s="122"/>
      <c r="MVJ70" s="122"/>
      <c r="MVK70" s="122"/>
      <c r="MVL70" s="122"/>
      <c r="MVM70" s="122"/>
      <c r="MVN70" s="122"/>
      <c r="MVO70" s="122"/>
      <c r="MVP70" s="122"/>
      <c r="MVQ70" s="122"/>
      <c r="MVR70" s="122"/>
      <c r="MVS70" s="122"/>
      <c r="MVT70" s="122"/>
      <c r="MVU70" s="122"/>
      <c r="MVV70" s="122"/>
      <c r="MVW70" s="122"/>
      <c r="MVX70" s="122"/>
      <c r="MVY70" s="122"/>
      <c r="MVZ70" s="122"/>
      <c r="MWA70" s="122"/>
      <c r="MWB70" s="122"/>
      <c r="MWC70" s="122"/>
      <c r="MWD70" s="122"/>
      <c r="MWE70" s="122"/>
      <c r="MWF70" s="122"/>
      <c r="MWG70" s="122"/>
      <c r="MWH70" s="122"/>
      <c r="MWI70" s="122"/>
      <c r="MWJ70" s="122"/>
      <c r="MWK70" s="122"/>
      <c r="MWL70" s="122"/>
      <c r="MWM70" s="122"/>
      <c r="MWN70" s="122"/>
      <c r="MWO70" s="122"/>
      <c r="MWP70" s="122"/>
      <c r="MWQ70" s="122"/>
      <c r="MWR70" s="122"/>
      <c r="MWS70" s="122"/>
      <c r="MWT70" s="122"/>
      <c r="MWU70" s="122"/>
      <c r="MWV70" s="122"/>
      <c r="MWW70" s="122"/>
      <c r="MWX70" s="122"/>
      <c r="MWY70" s="122"/>
      <c r="MWZ70" s="122"/>
      <c r="MXA70" s="122"/>
      <c r="MXB70" s="122"/>
      <c r="MXC70" s="122"/>
      <c r="MXD70" s="122"/>
      <c r="MXE70" s="122"/>
      <c r="MXF70" s="122"/>
      <c r="MXG70" s="122"/>
      <c r="MXH70" s="122"/>
      <c r="MXI70" s="122"/>
      <c r="MXJ70" s="122"/>
      <c r="MXK70" s="122"/>
      <c r="MXL70" s="122"/>
      <c r="MXM70" s="122"/>
      <c r="MXN70" s="122"/>
      <c r="MXO70" s="122"/>
      <c r="MXP70" s="122"/>
      <c r="MXQ70" s="122"/>
      <c r="MXR70" s="122"/>
      <c r="MXS70" s="122"/>
      <c r="MXT70" s="122"/>
      <c r="MXU70" s="122"/>
      <c r="MXV70" s="122"/>
      <c r="MXW70" s="122"/>
      <c r="MXX70" s="122"/>
      <c r="MXY70" s="122"/>
      <c r="MXZ70" s="122"/>
      <c r="MYA70" s="122"/>
      <c r="MYB70" s="122"/>
      <c r="MYC70" s="122"/>
      <c r="MYD70" s="122"/>
      <c r="MYE70" s="122"/>
      <c r="MYF70" s="122"/>
      <c r="MYG70" s="122"/>
      <c r="MYH70" s="122"/>
      <c r="MYI70" s="122"/>
      <c r="MYJ70" s="122"/>
      <c r="MYK70" s="122"/>
      <c r="MYL70" s="122"/>
      <c r="MYM70" s="122"/>
      <c r="MYN70" s="122"/>
      <c r="MYO70" s="122"/>
      <c r="MYP70" s="122"/>
      <c r="MYQ70" s="122"/>
      <c r="MYR70" s="122"/>
      <c r="MYS70" s="122"/>
      <c r="MYT70" s="122"/>
      <c r="MYU70" s="122"/>
      <c r="MYV70" s="122"/>
      <c r="MYW70" s="122"/>
      <c r="MYX70" s="122"/>
      <c r="MYY70" s="122"/>
      <c r="MYZ70" s="122"/>
      <c r="MZA70" s="122"/>
      <c r="MZB70" s="122"/>
      <c r="MZC70" s="122"/>
      <c r="MZD70" s="122"/>
      <c r="MZE70" s="122"/>
      <c r="MZF70" s="122"/>
      <c r="MZG70" s="122"/>
      <c r="MZH70" s="122"/>
      <c r="MZI70" s="122"/>
      <c r="MZJ70" s="122"/>
      <c r="MZK70" s="122"/>
      <c r="MZL70" s="122"/>
      <c r="MZM70" s="122"/>
      <c r="MZN70" s="122"/>
      <c r="MZO70" s="122"/>
      <c r="MZP70" s="122"/>
      <c r="MZQ70" s="122"/>
      <c r="MZR70" s="122"/>
      <c r="MZS70" s="122"/>
      <c r="MZT70" s="122"/>
      <c r="MZU70" s="122"/>
      <c r="MZV70" s="122"/>
      <c r="MZW70" s="122"/>
      <c r="MZX70" s="122"/>
      <c r="MZY70" s="122"/>
      <c r="MZZ70" s="122"/>
      <c r="NAA70" s="122"/>
      <c r="NAB70" s="122"/>
      <c r="NAC70" s="122"/>
      <c r="NAD70" s="122"/>
      <c r="NAE70" s="122"/>
      <c r="NAF70" s="122"/>
      <c r="NAG70" s="122"/>
      <c r="NAH70" s="122"/>
      <c r="NAI70" s="122"/>
      <c r="NAJ70" s="122"/>
      <c r="NAK70" s="122"/>
      <c r="NAL70" s="122"/>
      <c r="NAM70" s="122"/>
      <c r="NAN70" s="122"/>
      <c r="NAO70" s="122"/>
      <c r="NAP70" s="122"/>
      <c r="NAQ70" s="122"/>
      <c r="NAR70" s="122"/>
      <c r="NAS70" s="122"/>
      <c r="NAT70" s="122"/>
      <c r="NAU70" s="122"/>
      <c r="NAV70" s="122"/>
      <c r="NAW70" s="122"/>
      <c r="NAX70" s="122"/>
      <c r="NAY70" s="122"/>
      <c r="NAZ70" s="122"/>
      <c r="NBA70" s="122"/>
      <c r="NBB70" s="122"/>
      <c r="NBC70" s="122"/>
      <c r="NBD70" s="122"/>
      <c r="NBE70" s="122"/>
      <c r="NBF70" s="122"/>
      <c r="NBG70" s="122"/>
      <c r="NBH70" s="122"/>
      <c r="NBI70" s="122"/>
      <c r="NBJ70" s="122"/>
      <c r="NBK70" s="122"/>
      <c r="NBL70" s="122"/>
      <c r="NBM70" s="122"/>
      <c r="NBN70" s="122"/>
      <c r="NBO70" s="122"/>
      <c r="NBP70" s="122"/>
      <c r="NBQ70" s="122"/>
      <c r="NBR70" s="122"/>
      <c r="NBS70" s="122"/>
      <c r="NBT70" s="122"/>
      <c r="NBU70" s="122"/>
      <c r="NBV70" s="122"/>
      <c r="NBW70" s="122"/>
      <c r="NBX70" s="122"/>
      <c r="NBY70" s="122"/>
      <c r="NBZ70" s="122"/>
      <c r="NCA70" s="122"/>
      <c r="NCB70" s="122"/>
      <c r="NCC70" s="122"/>
      <c r="NCD70" s="122"/>
      <c r="NCE70" s="122"/>
      <c r="NCF70" s="122"/>
      <c r="NCG70" s="122"/>
      <c r="NCH70" s="122"/>
      <c r="NCI70" s="122"/>
      <c r="NCJ70" s="122"/>
      <c r="NCK70" s="122"/>
      <c r="NCL70" s="122"/>
      <c r="NCM70" s="122"/>
      <c r="NCN70" s="122"/>
      <c r="NCO70" s="122"/>
      <c r="NCP70" s="122"/>
      <c r="NCQ70" s="122"/>
      <c r="NCR70" s="122"/>
      <c r="NCS70" s="122"/>
      <c r="NCT70" s="122"/>
      <c r="NCU70" s="122"/>
      <c r="NCV70" s="122"/>
      <c r="NCW70" s="122"/>
      <c r="NCX70" s="122"/>
      <c r="NCY70" s="122"/>
      <c r="NCZ70" s="122"/>
      <c r="NDA70" s="122"/>
      <c r="NDB70" s="122"/>
      <c r="NDC70" s="122"/>
      <c r="NDD70" s="122"/>
      <c r="NDE70" s="122"/>
      <c r="NDF70" s="122"/>
      <c r="NDG70" s="122"/>
      <c r="NDH70" s="122"/>
      <c r="NDI70" s="122"/>
      <c r="NDJ70" s="122"/>
      <c r="NDK70" s="122"/>
      <c r="NDL70" s="122"/>
      <c r="NDM70" s="122"/>
      <c r="NDN70" s="122"/>
      <c r="NDO70" s="122"/>
      <c r="NDP70" s="122"/>
      <c r="NDQ70" s="122"/>
      <c r="NDR70" s="122"/>
      <c r="NDS70" s="122"/>
      <c r="NDT70" s="122"/>
      <c r="NDU70" s="122"/>
      <c r="NDV70" s="122"/>
      <c r="NDW70" s="122"/>
      <c r="NDX70" s="122"/>
      <c r="NDY70" s="122"/>
      <c r="NDZ70" s="122"/>
      <c r="NEA70" s="122"/>
      <c r="NEB70" s="122"/>
      <c r="NEC70" s="122"/>
      <c r="NED70" s="122"/>
      <c r="NEE70" s="122"/>
      <c r="NEF70" s="122"/>
      <c r="NEG70" s="122"/>
      <c r="NEH70" s="122"/>
      <c r="NEI70" s="122"/>
      <c r="NEJ70" s="122"/>
      <c r="NEK70" s="122"/>
      <c r="NEL70" s="122"/>
      <c r="NEM70" s="122"/>
      <c r="NEN70" s="122"/>
      <c r="NEO70" s="122"/>
      <c r="NEP70" s="122"/>
      <c r="NEQ70" s="122"/>
      <c r="NER70" s="122"/>
      <c r="NES70" s="122"/>
      <c r="NET70" s="122"/>
      <c r="NEU70" s="122"/>
      <c r="NEV70" s="122"/>
      <c r="NEW70" s="122"/>
      <c r="NEX70" s="122"/>
      <c r="NEY70" s="122"/>
      <c r="NEZ70" s="122"/>
      <c r="NFA70" s="122"/>
      <c r="NFB70" s="122"/>
      <c r="NFC70" s="122"/>
      <c r="NFD70" s="122"/>
      <c r="NFE70" s="122"/>
      <c r="NFF70" s="122"/>
      <c r="NFG70" s="122"/>
      <c r="NFH70" s="122"/>
      <c r="NFI70" s="122"/>
      <c r="NFJ70" s="122"/>
      <c r="NFK70" s="122"/>
      <c r="NFL70" s="122"/>
      <c r="NFM70" s="122"/>
      <c r="NFN70" s="122"/>
      <c r="NFO70" s="122"/>
      <c r="NFP70" s="122"/>
      <c r="NFQ70" s="122"/>
      <c r="NFR70" s="122"/>
      <c r="NFS70" s="122"/>
      <c r="NFT70" s="122"/>
      <c r="NFU70" s="122"/>
      <c r="NFV70" s="122"/>
      <c r="NFW70" s="122"/>
      <c r="NFX70" s="122"/>
      <c r="NFY70" s="122"/>
      <c r="NFZ70" s="122"/>
      <c r="NGA70" s="122"/>
      <c r="NGB70" s="122"/>
      <c r="NGC70" s="122"/>
      <c r="NGD70" s="122"/>
      <c r="NGE70" s="122"/>
      <c r="NGF70" s="122"/>
      <c r="NGG70" s="122"/>
      <c r="NGH70" s="122"/>
      <c r="NGI70" s="122"/>
      <c r="NGJ70" s="122"/>
      <c r="NGK70" s="122"/>
      <c r="NGL70" s="122"/>
      <c r="NGM70" s="122"/>
      <c r="NGN70" s="122"/>
      <c r="NGO70" s="122"/>
      <c r="NGP70" s="122"/>
      <c r="NGQ70" s="122"/>
      <c r="NGR70" s="122"/>
      <c r="NGS70" s="122"/>
      <c r="NGT70" s="122"/>
      <c r="NGU70" s="122"/>
      <c r="NGV70" s="122"/>
      <c r="NGW70" s="122"/>
      <c r="NGX70" s="122"/>
      <c r="NGY70" s="122"/>
      <c r="NGZ70" s="122"/>
      <c r="NHA70" s="122"/>
      <c r="NHB70" s="122"/>
      <c r="NHC70" s="122"/>
      <c r="NHD70" s="122"/>
      <c r="NHE70" s="122"/>
      <c r="NHF70" s="122"/>
      <c r="NHG70" s="122"/>
      <c r="NHH70" s="122"/>
      <c r="NHI70" s="122"/>
      <c r="NHJ70" s="122"/>
      <c r="NHK70" s="122"/>
      <c r="NHL70" s="122"/>
      <c r="NHM70" s="122"/>
      <c r="NHN70" s="122"/>
      <c r="NHO70" s="122"/>
      <c r="NHP70" s="122"/>
      <c r="NHQ70" s="122"/>
      <c r="NHR70" s="122"/>
      <c r="NHS70" s="122"/>
      <c r="NHT70" s="122"/>
      <c r="NHU70" s="122"/>
      <c r="NHV70" s="122"/>
      <c r="NHW70" s="122"/>
      <c r="NHX70" s="122"/>
      <c r="NHY70" s="122"/>
      <c r="NHZ70" s="122"/>
      <c r="NIA70" s="122"/>
      <c r="NIB70" s="122"/>
      <c r="NIC70" s="122"/>
      <c r="NID70" s="122"/>
      <c r="NIE70" s="122"/>
      <c r="NIF70" s="122"/>
      <c r="NIG70" s="122"/>
      <c r="NIH70" s="122"/>
      <c r="NII70" s="122"/>
      <c r="NIJ70" s="122"/>
      <c r="NIK70" s="122"/>
      <c r="NIL70" s="122"/>
      <c r="NIM70" s="122"/>
      <c r="NIN70" s="122"/>
      <c r="NIO70" s="122"/>
      <c r="NIP70" s="122"/>
      <c r="NIQ70" s="122"/>
      <c r="NIR70" s="122"/>
      <c r="NIS70" s="122"/>
      <c r="NIT70" s="122"/>
      <c r="NIU70" s="122"/>
      <c r="NIV70" s="122"/>
      <c r="NIW70" s="122"/>
      <c r="NIX70" s="122"/>
      <c r="NIY70" s="122"/>
      <c r="NIZ70" s="122"/>
      <c r="NJA70" s="122"/>
      <c r="NJB70" s="122"/>
      <c r="NJC70" s="122"/>
      <c r="NJD70" s="122"/>
      <c r="NJE70" s="122"/>
      <c r="NJF70" s="122"/>
      <c r="NJG70" s="122"/>
      <c r="NJH70" s="122"/>
      <c r="NJI70" s="122"/>
      <c r="NJJ70" s="122"/>
      <c r="NJK70" s="122"/>
      <c r="NJL70" s="122"/>
      <c r="NJM70" s="122"/>
      <c r="NJN70" s="122"/>
      <c r="NJO70" s="122"/>
      <c r="NJP70" s="122"/>
      <c r="NJQ70" s="122"/>
      <c r="NJR70" s="122"/>
      <c r="NJS70" s="122"/>
      <c r="NJT70" s="122"/>
      <c r="NJU70" s="122"/>
      <c r="NJV70" s="122"/>
      <c r="NJW70" s="122"/>
      <c r="NJX70" s="122"/>
      <c r="NJY70" s="122"/>
      <c r="NJZ70" s="122"/>
      <c r="NKA70" s="122"/>
      <c r="NKB70" s="122"/>
      <c r="NKC70" s="122"/>
      <c r="NKD70" s="122"/>
      <c r="NKE70" s="122"/>
      <c r="NKF70" s="122"/>
      <c r="NKG70" s="122"/>
      <c r="NKH70" s="122"/>
      <c r="NKI70" s="122"/>
      <c r="NKJ70" s="122"/>
      <c r="NKK70" s="122"/>
      <c r="NKL70" s="122"/>
      <c r="NKM70" s="122"/>
      <c r="NKN70" s="122"/>
      <c r="NKO70" s="122"/>
      <c r="NKP70" s="122"/>
      <c r="NKQ70" s="122"/>
      <c r="NKR70" s="122"/>
      <c r="NKS70" s="122"/>
      <c r="NKT70" s="122"/>
      <c r="NKU70" s="122"/>
      <c r="NKV70" s="122"/>
      <c r="NKW70" s="122"/>
      <c r="NKX70" s="122"/>
      <c r="NKY70" s="122"/>
      <c r="NKZ70" s="122"/>
      <c r="NLA70" s="122"/>
      <c r="NLB70" s="122"/>
      <c r="NLC70" s="122"/>
      <c r="NLD70" s="122"/>
      <c r="NLE70" s="122"/>
      <c r="NLF70" s="122"/>
      <c r="NLG70" s="122"/>
      <c r="NLH70" s="122"/>
      <c r="NLI70" s="122"/>
      <c r="NLJ70" s="122"/>
      <c r="NLK70" s="122"/>
      <c r="NLL70" s="122"/>
      <c r="NLM70" s="122"/>
      <c r="NLN70" s="122"/>
      <c r="NLO70" s="122"/>
      <c r="NLP70" s="122"/>
      <c r="NLQ70" s="122"/>
      <c r="NLR70" s="122"/>
      <c r="NLS70" s="122"/>
      <c r="NLT70" s="122"/>
      <c r="NLU70" s="122"/>
      <c r="NLV70" s="122"/>
      <c r="NLW70" s="122"/>
      <c r="NLX70" s="122"/>
      <c r="NLY70" s="122"/>
      <c r="NLZ70" s="122"/>
      <c r="NMA70" s="122"/>
      <c r="NMB70" s="122"/>
      <c r="NMC70" s="122"/>
      <c r="NMD70" s="122"/>
      <c r="NME70" s="122"/>
      <c r="NMF70" s="122"/>
      <c r="NMG70" s="122"/>
      <c r="NMH70" s="122"/>
      <c r="NMI70" s="122"/>
      <c r="NMJ70" s="122"/>
      <c r="NMK70" s="122"/>
      <c r="NML70" s="122"/>
      <c r="NMM70" s="122"/>
      <c r="NMN70" s="122"/>
      <c r="NMO70" s="122"/>
      <c r="NMP70" s="122"/>
      <c r="NMQ70" s="122"/>
      <c r="NMR70" s="122"/>
      <c r="NMS70" s="122"/>
      <c r="NMT70" s="122"/>
      <c r="NMU70" s="122"/>
      <c r="NMV70" s="122"/>
      <c r="NMW70" s="122"/>
      <c r="NMX70" s="122"/>
      <c r="NMY70" s="122"/>
      <c r="NMZ70" s="122"/>
      <c r="NNA70" s="122"/>
      <c r="NNB70" s="122"/>
      <c r="NNC70" s="122"/>
      <c r="NND70" s="122"/>
      <c r="NNE70" s="122"/>
      <c r="NNF70" s="122"/>
      <c r="NNG70" s="122"/>
      <c r="NNH70" s="122"/>
      <c r="NNI70" s="122"/>
      <c r="NNJ70" s="122"/>
      <c r="NNK70" s="122"/>
      <c r="NNL70" s="122"/>
      <c r="NNM70" s="122"/>
      <c r="NNN70" s="122"/>
      <c r="NNO70" s="122"/>
      <c r="NNP70" s="122"/>
      <c r="NNQ70" s="122"/>
      <c r="NNR70" s="122"/>
      <c r="NNS70" s="122"/>
      <c r="NNT70" s="122"/>
      <c r="NNU70" s="122"/>
      <c r="NNV70" s="122"/>
      <c r="NNW70" s="122"/>
      <c r="NNX70" s="122"/>
      <c r="NNY70" s="122"/>
      <c r="NNZ70" s="122"/>
      <c r="NOA70" s="122"/>
      <c r="NOB70" s="122"/>
      <c r="NOC70" s="122"/>
      <c r="NOD70" s="122"/>
      <c r="NOE70" s="122"/>
      <c r="NOF70" s="122"/>
      <c r="NOG70" s="122"/>
      <c r="NOH70" s="122"/>
      <c r="NOI70" s="122"/>
      <c r="NOJ70" s="122"/>
      <c r="NOK70" s="122"/>
      <c r="NOL70" s="122"/>
      <c r="NOM70" s="122"/>
      <c r="NON70" s="122"/>
      <c r="NOO70" s="122"/>
      <c r="NOP70" s="122"/>
      <c r="NOQ70" s="122"/>
      <c r="NOR70" s="122"/>
      <c r="NOS70" s="122"/>
      <c r="NOT70" s="122"/>
      <c r="NOU70" s="122"/>
      <c r="NOV70" s="122"/>
      <c r="NOW70" s="122"/>
      <c r="NOX70" s="122"/>
      <c r="NOY70" s="122"/>
      <c r="NOZ70" s="122"/>
      <c r="NPA70" s="122"/>
      <c r="NPB70" s="122"/>
      <c r="NPC70" s="122"/>
      <c r="NPD70" s="122"/>
      <c r="NPE70" s="122"/>
      <c r="NPF70" s="122"/>
      <c r="NPG70" s="122"/>
      <c r="NPH70" s="122"/>
      <c r="NPI70" s="122"/>
      <c r="NPJ70" s="122"/>
      <c r="NPK70" s="122"/>
      <c r="NPL70" s="122"/>
      <c r="NPM70" s="122"/>
      <c r="NPN70" s="122"/>
      <c r="NPO70" s="122"/>
      <c r="NPP70" s="122"/>
      <c r="NPQ70" s="122"/>
      <c r="NPR70" s="122"/>
      <c r="NPS70" s="122"/>
      <c r="NPT70" s="122"/>
      <c r="NPU70" s="122"/>
      <c r="NPV70" s="122"/>
      <c r="NPW70" s="122"/>
      <c r="NPX70" s="122"/>
      <c r="NPY70" s="122"/>
      <c r="NPZ70" s="122"/>
      <c r="NQA70" s="122"/>
      <c r="NQB70" s="122"/>
      <c r="NQC70" s="122"/>
      <c r="NQD70" s="122"/>
      <c r="NQE70" s="122"/>
      <c r="NQF70" s="122"/>
      <c r="NQG70" s="122"/>
      <c r="NQH70" s="122"/>
      <c r="NQI70" s="122"/>
      <c r="NQJ70" s="122"/>
      <c r="NQK70" s="122"/>
      <c r="NQL70" s="122"/>
      <c r="NQM70" s="122"/>
      <c r="NQN70" s="122"/>
      <c r="NQO70" s="122"/>
      <c r="NQP70" s="122"/>
      <c r="NQQ70" s="122"/>
      <c r="NQR70" s="122"/>
      <c r="NQS70" s="122"/>
      <c r="NQT70" s="122"/>
      <c r="NQU70" s="122"/>
      <c r="NQV70" s="122"/>
      <c r="NQW70" s="122"/>
      <c r="NQX70" s="122"/>
      <c r="NQY70" s="122"/>
      <c r="NQZ70" s="122"/>
      <c r="NRA70" s="122"/>
      <c r="NRB70" s="122"/>
      <c r="NRC70" s="122"/>
      <c r="NRD70" s="122"/>
      <c r="NRE70" s="122"/>
      <c r="NRF70" s="122"/>
      <c r="NRG70" s="122"/>
      <c r="NRH70" s="122"/>
      <c r="NRI70" s="122"/>
      <c r="NRJ70" s="122"/>
      <c r="NRK70" s="122"/>
      <c r="NRL70" s="122"/>
      <c r="NRM70" s="122"/>
      <c r="NRN70" s="122"/>
      <c r="NRO70" s="122"/>
      <c r="NRP70" s="122"/>
      <c r="NRQ70" s="122"/>
      <c r="NRR70" s="122"/>
      <c r="NRS70" s="122"/>
      <c r="NRT70" s="122"/>
      <c r="NRU70" s="122"/>
      <c r="NRV70" s="122"/>
      <c r="NRW70" s="122"/>
      <c r="NRX70" s="122"/>
      <c r="NRY70" s="122"/>
      <c r="NRZ70" s="122"/>
      <c r="NSA70" s="122"/>
      <c r="NSB70" s="122"/>
      <c r="NSC70" s="122"/>
      <c r="NSD70" s="122"/>
      <c r="NSE70" s="122"/>
      <c r="NSF70" s="122"/>
      <c r="NSG70" s="122"/>
      <c r="NSH70" s="122"/>
      <c r="NSI70" s="122"/>
      <c r="NSJ70" s="122"/>
      <c r="NSK70" s="122"/>
      <c r="NSL70" s="122"/>
      <c r="NSM70" s="122"/>
      <c r="NSN70" s="122"/>
      <c r="NSO70" s="122"/>
      <c r="NSP70" s="122"/>
      <c r="NSQ70" s="122"/>
      <c r="NSR70" s="122"/>
      <c r="NSS70" s="122"/>
      <c r="NST70" s="122"/>
      <c r="NSU70" s="122"/>
      <c r="NSV70" s="122"/>
      <c r="NSW70" s="122"/>
      <c r="NSX70" s="122"/>
      <c r="NSY70" s="122"/>
      <c r="NSZ70" s="122"/>
      <c r="NTA70" s="122"/>
      <c r="NTB70" s="122"/>
      <c r="NTC70" s="122"/>
      <c r="NTD70" s="122"/>
      <c r="NTE70" s="122"/>
      <c r="NTF70" s="122"/>
      <c r="NTG70" s="122"/>
      <c r="NTH70" s="122"/>
      <c r="NTI70" s="122"/>
      <c r="NTJ70" s="122"/>
      <c r="NTK70" s="122"/>
      <c r="NTL70" s="122"/>
      <c r="NTM70" s="122"/>
      <c r="NTN70" s="122"/>
      <c r="NTO70" s="122"/>
      <c r="NTP70" s="122"/>
      <c r="NTQ70" s="122"/>
      <c r="NTR70" s="122"/>
      <c r="NTS70" s="122"/>
      <c r="NTT70" s="122"/>
      <c r="NTU70" s="122"/>
      <c r="NTV70" s="122"/>
      <c r="NTW70" s="122"/>
      <c r="NTX70" s="122"/>
      <c r="NTY70" s="122"/>
      <c r="NTZ70" s="122"/>
      <c r="NUA70" s="122"/>
      <c r="NUB70" s="122"/>
      <c r="NUC70" s="122"/>
      <c r="NUD70" s="122"/>
      <c r="NUE70" s="122"/>
      <c r="NUF70" s="122"/>
      <c r="NUG70" s="122"/>
      <c r="NUH70" s="122"/>
      <c r="NUI70" s="122"/>
      <c r="NUJ70" s="122"/>
      <c r="NUK70" s="122"/>
      <c r="NUL70" s="122"/>
      <c r="NUM70" s="122"/>
      <c r="NUN70" s="122"/>
      <c r="NUO70" s="122"/>
      <c r="NUP70" s="122"/>
      <c r="NUQ70" s="122"/>
      <c r="NUR70" s="122"/>
      <c r="NUS70" s="122"/>
      <c r="NUT70" s="122"/>
      <c r="NUU70" s="122"/>
      <c r="NUV70" s="122"/>
      <c r="NUW70" s="122"/>
      <c r="NUX70" s="122"/>
      <c r="NUY70" s="122"/>
      <c r="NUZ70" s="122"/>
      <c r="NVA70" s="122"/>
      <c r="NVB70" s="122"/>
      <c r="NVC70" s="122"/>
      <c r="NVD70" s="122"/>
      <c r="NVE70" s="122"/>
      <c r="NVF70" s="122"/>
      <c r="NVG70" s="122"/>
      <c r="NVH70" s="122"/>
      <c r="NVI70" s="122"/>
      <c r="NVJ70" s="122"/>
      <c r="NVK70" s="122"/>
      <c r="NVL70" s="122"/>
      <c r="NVM70" s="122"/>
      <c r="NVN70" s="122"/>
      <c r="NVO70" s="122"/>
      <c r="NVP70" s="122"/>
      <c r="NVQ70" s="122"/>
      <c r="NVR70" s="122"/>
      <c r="NVS70" s="122"/>
      <c r="NVT70" s="122"/>
      <c r="NVU70" s="122"/>
      <c r="NVV70" s="122"/>
      <c r="NVW70" s="122"/>
      <c r="NVX70" s="122"/>
      <c r="NVY70" s="122"/>
      <c r="NVZ70" s="122"/>
      <c r="NWA70" s="122"/>
      <c r="NWB70" s="122"/>
      <c r="NWC70" s="122"/>
      <c r="NWD70" s="122"/>
      <c r="NWE70" s="122"/>
      <c r="NWF70" s="122"/>
      <c r="NWG70" s="122"/>
      <c r="NWH70" s="122"/>
      <c r="NWI70" s="122"/>
      <c r="NWJ70" s="122"/>
      <c r="NWK70" s="122"/>
      <c r="NWL70" s="122"/>
      <c r="NWM70" s="122"/>
      <c r="NWN70" s="122"/>
      <c r="NWO70" s="122"/>
      <c r="NWP70" s="122"/>
      <c r="NWQ70" s="122"/>
      <c r="NWR70" s="122"/>
      <c r="NWS70" s="122"/>
      <c r="NWT70" s="122"/>
      <c r="NWU70" s="122"/>
      <c r="NWV70" s="122"/>
      <c r="NWW70" s="122"/>
      <c r="NWX70" s="122"/>
      <c r="NWY70" s="122"/>
      <c r="NWZ70" s="122"/>
      <c r="NXA70" s="122"/>
      <c r="NXB70" s="122"/>
      <c r="NXC70" s="122"/>
      <c r="NXD70" s="122"/>
      <c r="NXE70" s="122"/>
      <c r="NXF70" s="122"/>
      <c r="NXG70" s="122"/>
      <c r="NXH70" s="122"/>
      <c r="NXI70" s="122"/>
      <c r="NXJ70" s="122"/>
      <c r="NXK70" s="122"/>
      <c r="NXL70" s="122"/>
      <c r="NXM70" s="122"/>
      <c r="NXN70" s="122"/>
      <c r="NXO70" s="122"/>
      <c r="NXP70" s="122"/>
      <c r="NXQ70" s="122"/>
      <c r="NXR70" s="122"/>
      <c r="NXS70" s="122"/>
      <c r="NXT70" s="122"/>
      <c r="NXU70" s="122"/>
      <c r="NXV70" s="122"/>
      <c r="NXW70" s="122"/>
      <c r="NXX70" s="122"/>
      <c r="NXY70" s="122"/>
      <c r="NXZ70" s="122"/>
      <c r="NYA70" s="122"/>
      <c r="NYB70" s="122"/>
      <c r="NYC70" s="122"/>
      <c r="NYD70" s="122"/>
      <c r="NYE70" s="122"/>
      <c r="NYF70" s="122"/>
      <c r="NYG70" s="122"/>
      <c r="NYH70" s="122"/>
      <c r="NYI70" s="122"/>
      <c r="NYJ70" s="122"/>
      <c r="NYK70" s="122"/>
      <c r="NYL70" s="122"/>
      <c r="NYM70" s="122"/>
      <c r="NYN70" s="122"/>
      <c r="NYO70" s="122"/>
      <c r="NYP70" s="122"/>
      <c r="NYQ70" s="122"/>
      <c r="NYR70" s="122"/>
      <c r="NYS70" s="122"/>
      <c r="NYT70" s="122"/>
      <c r="NYU70" s="122"/>
      <c r="NYV70" s="122"/>
      <c r="NYW70" s="122"/>
      <c r="NYX70" s="122"/>
      <c r="NYY70" s="122"/>
      <c r="NYZ70" s="122"/>
      <c r="NZA70" s="122"/>
      <c r="NZB70" s="122"/>
      <c r="NZC70" s="122"/>
      <c r="NZD70" s="122"/>
      <c r="NZE70" s="122"/>
      <c r="NZF70" s="122"/>
      <c r="NZG70" s="122"/>
      <c r="NZH70" s="122"/>
      <c r="NZI70" s="122"/>
      <c r="NZJ70" s="122"/>
      <c r="NZK70" s="122"/>
      <c r="NZL70" s="122"/>
      <c r="NZM70" s="122"/>
      <c r="NZN70" s="122"/>
      <c r="NZO70" s="122"/>
      <c r="NZP70" s="122"/>
      <c r="NZQ70" s="122"/>
      <c r="NZR70" s="122"/>
      <c r="NZS70" s="122"/>
      <c r="NZT70" s="122"/>
      <c r="NZU70" s="122"/>
      <c r="NZV70" s="122"/>
      <c r="NZW70" s="122"/>
      <c r="NZX70" s="122"/>
      <c r="NZY70" s="122"/>
      <c r="NZZ70" s="122"/>
      <c r="OAA70" s="122"/>
      <c r="OAB70" s="122"/>
      <c r="OAC70" s="122"/>
      <c r="OAD70" s="122"/>
      <c r="OAE70" s="122"/>
      <c r="OAF70" s="122"/>
      <c r="OAG70" s="122"/>
      <c r="OAH70" s="122"/>
      <c r="OAI70" s="122"/>
      <c r="OAJ70" s="122"/>
      <c r="OAK70" s="122"/>
      <c r="OAL70" s="122"/>
      <c r="OAM70" s="122"/>
      <c r="OAN70" s="122"/>
      <c r="OAO70" s="122"/>
      <c r="OAP70" s="122"/>
      <c r="OAQ70" s="122"/>
      <c r="OAR70" s="122"/>
      <c r="OAS70" s="122"/>
      <c r="OAT70" s="122"/>
      <c r="OAU70" s="122"/>
      <c r="OAV70" s="122"/>
      <c r="OAW70" s="122"/>
      <c r="OAX70" s="122"/>
      <c r="OAY70" s="122"/>
      <c r="OAZ70" s="122"/>
      <c r="OBA70" s="122"/>
      <c r="OBB70" s="122"/>
      <c r="OBC70" s="122"/>
      <c r="OBD70" s="122"/>
      <c r="OBE70" s="122"/>
      <c r="OBF70" s="122"/>
      <c r="OBG70" s="122"/>
      <c r="OBH70" s="122"/>
      <c r="OBI70" s="122"/>
      <c r="OBJ70" s="122"/>
      <c r="OBK70" s="122"/>
      <c r="OBL70" s="122"/>
      <c r="OBM70" s="122"/>
      <c r="OBN70" s="122"/>
      <c r="OBO70" s="122"/>
      <c r="OBP70" s="122"/>
      <c r="OBQ70" s="122"/>
      <c r="OBR70" s="122"/>
      <c r="OBS70" s="122"/>
      <c r="OBT70" s="122"/>
      <c r="OBU70" s="122"/>
      <c r="OBV70" s="122"/>
      <c r="OBW70" s="122"/>
      <c r="OBX70" s="122"/>
      <c r="OBY70" s="122"/>
      <c r="OBZ70" s="122"/>
      <c r="OCA70" s="122"/>
      <c r="OCB70" s="122"/>
      <c r="OCC70" s="122"/>
      <c r="OCD70" s="122"/>
      <c r="OCE70" s="122"/>
      <c r="OCF70" s="122"/>
      <c r="OCG70" s="122"/>
      <c r="OCH70" s="122"/>
      <c r="OCI70" s="122"/>
      <c r="OCJ70" s="122"/>
      <c r="OCK70" s="122"/>
      <c r="OCL70" s="122"/>
      <c r="OCM70" s="122"/>
      <c r="OCN70" s="122"/>
      <c r="OCO70" s="122"/>
      <c r="OCP70" s="122"/>
      <c r="OCQ70" s="122"/>
      <c r="OCR70" s="122"/>
      <c r="OCS70" s="122"/>
      <c r="OCT70" s="122"/>
      <c r="OCU70" s="122"/>
      <c r="OCV70" s="122"/>
      <c r="OCW70" s="122"/>
      <c r="OCX70" s="122"/>
      <c r="OCY70" s="122"/>
      <c r="OCZ70" s="122"/>
      <c r="ODA70" s="122"/>
      <c r="ODB70" s="122"/>
      <c r="ODC70" s="122"/>
      <c r="ODD70" s="122"/>
      <c r="ODE70" s="122"/>
      <c r="ODF70" s="122"/>
      <c r="ODG70" s="122"/>
      <c r="ODH70" s="122"/>
      <c r="ODI70" s="122"/>
      <c r="ODJ70" s="122"/>
      <c r="ODK70" s="122"/>
      <c r="ODL70" s="122"/>
      <c r="ODM70" s="122"/>
      <c r="ODN70" s="122"/>
      <c r="ODO70" s="122"/>
      <c r="ODP70" s="122"/>
      <c r="ODQ70" s="122"/>
      <c r="ODR70" s="122"/>
      <c r="ODS70" s="122"/>
      <c r="ODT70" s="122"/>
      <c r="ODU70" s="122"/>
      <c r="ODV70" s="122"/>
      <c r="ODW70" s="122"/>
      <c r="ODX70" s="122"/>
      <c r="ODY70" s="122"/>
      <c r="ODZ70" s="122"/>
      <c r="OEA70" s="122"/>
      <c r="OEB70" s="122"/>
      <c r="OEC70" s="122"/>
      <c r="OED70" s="122"/>
      <c r="OEE70" s="122"/>
      <c r="OEF70" s="122"/>
      <c r="OEG70" s="122"/>
      <c r="OEH70" s="122"/>
      <c r="OEI70" s="122"/>
      <c r="OEJ70" s="122"/>
      <c r="OEK70" s="122"/>
      <c r="OEL70" s="122"/>
      <c r="OEM70" s="122"/>
      <c r="OEN70" s="122"/>
      <c r="OEO70" s="122"/>
      <c r="OEP70" s="122"/>
      <c r="OEQ70" s="122"/>
      <c r="OER70" s="122"/>
      <c r="OES70" s="122"/>
      <c r="OET70" s="122"/>
      <c r="OEU70" s="122"/>
      <c r="OEV70" s="122"/>
      <c r="OEW70" s="122"/>
      <c r="OEX70" s="122"/>
      <c r="OEY70" s="122"/>
      <c r="OEZ70" s="122"/>
      <c r="OFA70" s="122"/>
      <c r="OFB70" s="122"/>
      <c r="OFC70" s="122"/>
      <c r="OFD70" s="122"/>
      <c r="OFE70" s="122"/>
      <c r="OFF70" s="122"/>
      <c r="OFG70" s="122"/>
      <c r="OFH70" s="122"/>
      <c r="OFI70" s="122"/>
      <c r="OFJ70" s="122"/>
      <c r="OFK70" s="122"/>
      <c r="OFL70" s="122"/>
      <c r="OFM70" s="122"/>
      <c r="OFN70" s="122"/>
      <c r="OFO70" s="122"/>
      <c r="OFP70" s="122"/>
      <c r="OFQ70" s="122"/>
      <c r="OFR70" s="122"/>
      <c r="OFS70" s="122"/>
      <c r="OFT70" s="122"/>
      <c r="OFU70" s="122"/>
      <c r="OFV70" s="122"/>
      <c r="OFW70" s="122"/>
      <c r="OFX70" s="122"/>
      <c r="OFY70" s="122"/>
      <c r="OFZ70" s="122"/>
      <c r="OGA70" s="122"/>
      <c r="OGB70" s="122"/>
      <c r="OGC70" s="122"/>
      <c r="OGD70" s="122"/>
      <c r="OGE70" s="122"/>
      <c r="OGF70" s="122"/>
      <c r="OGG70" s="122"/>
      <c r="OGH70" s="122"/>
      <c r="OGI70" s="122"/>
      <c r="OGJ70" s="122"/>
      <c r="OGK70" s="122"/>
      <c r="OGL70" s="122"/>
      <c r="OGM70" s="122"/>
      <c r="OGN70" s="122"/>
      <c r="OGO70" s="122"/>
      <c r="OGP70" s="122"/>
      <c r="OGQ70" s="122"/>
      <c r="OGR70" s="122"/>
      <c r="OGS70" s="122"/>
      <c r="OGT70" s="122"/>
      <c r="OGU70" s="122"/>
      <c r="OGV70" s="122"/>
      <c r="OGW70" s="122"/>
      <c r="OGX70" s="122"/>
      <c r="OGY70" s="122"/>
      <c r="OGZ70" s="122"/>
      <c r="OHA70" s="122"/>
      <c r="OHB70" s="122"/>
      <c r="OHC70" s="122"/>
      <c r="OHD70" s="122"/>
      <c r="OHE70" s="122"/>
      <c r="OHF70" s="122"/>
      <c r="OHG70" s="122"/>
      <c r="OHH70" s="122"/>
      <c r="OHI70" s="122"/>
      <c r="OHJ70" s="122"/>
      <c r="OHK70" s="122"/>
      <c r="OHL70" s="122"/>
      <c r="OHM70" s="122"/>
      <c r="OHN70" s="122"/>
      <c r="OHO70" s="122"/>
      <c r="OHP70" s="122"/>
      <c r="OHQ70" s="122"/>
      <c r="OHR70" s="122"/>
      <c r="OHS70" s="122"/>
      <c r="OHT70" s="122"/>
      <c r="OHU70" s="122"/>
      <c r="OHV70" s="122"/>
      <c r="OHW70" s="122"/>
      <c r="OHX70" s="122"/>
      <c r="OHY70" s="122"/>
      <c r="OHZ70" s="122"/>
      <c r="OIA70" s="122"/>
      <c r="OIB70" s="122"/>
      <c r="OIC70" s="122"/>
      <c r="OID70" s="122"/>
      <c r="OIE70" s="122"/>
      <c r="OIF70" s="122"/>
      <c r="OIG70" s="122"/>
      <c r="OIH70" s="122"/>
      <c r="OII70" s="122"/>
      <c r="OIJ70" s="122"/>
      <c r="OIK70" s="122"/>
      <c r="OIL70" s="122"/>
      <c r="OIM70" s="122"/>
      <c r="OIN70" s="122"/>
      <c r="OIO70" s="122"/>
      <c r="OIP70" s="122"/>
      <c r="OIQ70" s="122"/>
      <c r="OIR70" s="122"/>
      <c r="OIS70" s="122"/>
      <c r="OIT70" s="122"/>
      <c r="OIU70" s="122"/>
      <c r="OIV70" s="122"/>
      <c r="OIW70" s="122"/>
      <c r="OIX70" s="122"/>
      <c r="OIY70" s="122"/>
      <c r="OIZ70" s="122"/>
      <c r="OJA70" s="122"/>
      <c r="OJB70" s="122"/>
      <c r="OJC70" s="122"/>
      <c r="OJD70" s="122"/>
      <c r="OJE70" s="122"/>
      <c r="OJF70" s="122"/>
      <c r="OJG70" s="122"/>
      <c r="OJH70" s="122"/>
      <c r="OJI70" s="122"/>
      <c r="OJJ70" s="122"/>
      <c r="OJK70" s="122"/>
      <c r="OJL70" s="122"/>
      <c r="OJM70" s="122"/>
      <c r="OJN70" s="122"/>
      <c r="OJO70" s="122"/>
      <c r="OJP70" s="122"/>
      <c r="OJQ70" s="122"/>
      <c r="OJR70" s="122"/>
      <c r="OJS70" s="122"/>
      <c r="OJT70" s="122"/>
      <c r="OJU70" s="122"/>
      <c r="OJV70" s="122"/>
      <c r="OJW70" s="122"/>
      <c r="OJX70" s="122"/>
      <c r="OJY70" s="122"/>
      <c r="OJZ70" s="122"/>
      <c r="OKA70" s="122"/>
      <c r="OKB70" s="122"/>
      <c r="OKC70" s="122"/>
      <c r="OKD70" s="122"/>
      <c r="OKE70" s="122"/>
      <c r="OKF70" s="122"/>
      <c r="OKG70" s="122"/>
      <c r="OKH70" s="122"/>
      <c r="OKI70" s="122"/>
      <c r="OKJ70" s="122"/>
      <c r="OKK70" s="122"/>
      <c r="OKL70" s="122"/>
      <c r="OKM70" s="122"/>
      <c r="OKN70" s="122"/>
      <c r="OKO70" s="122"/>
      <c r="OKP70" s="122"/>
      <c r="OKQ70" s="122"/>
      <c r="OKR70" s="122"/>
      <c r="OKS70" s="122"/>
      <c r="OKT70" s="122"/>
      <c r="OKU70" s="122"/>
      <c r="OKV70" s="122"/>
      <c r="OKW70" s="122"/>
      <c r="OKX70" s="122"/>
      <c r="OKY70" s="122"/>
      <c r="OKZ70" s="122"/>
      <c r="OLA70" s="122"/>
      <c r="OLB70" s="122"/>
      <c r="OLC70" s="122"/>
      <c r="OLD70" s="122"/>
      <c r="OLE70" s="122"/>
      <c r="OLF70" s="122"/>
      <c r="OLG70" s="122"/>
      <c r="OLH70" s="122"/>
      <c r="OLI70" s="122"/>
      <c r="OLJ70" s="122"/>
      <c r="OLK70" s="122"/>
      <c r="OLL70" s="122"/>
      <c r="OLM70" s="122"/>
      <c r="OLN70" s="122"/>
      <c r="OLO70" s="122"/>
      <c r="OLP70" s="122"/>
      <c r="OLQ70" s="122"/>
      <c r="OLR70" s="122"/>
      <c r="OLS70" s="122"/>
      <c r="OLT70" s="122"/>
      <c r="OLU70" s="122"/>
      <c r="OLV70" s="122"/>
      <c r="OLW70" s="122"/>
      <c r="OLX70" s="122"/>
      <c r="OLY70" s="122"/>
      <c r="OLZ70" s="122"/>
      <c r="OMA70" s="122"/>
      <c r="OMB70" s="122"/>
      <c r="OMC70" s="122"/>
      <c r="OMD70" s="122"/>
      <c r="OME70" s="122"/>
      <c r="OMF70" s="122"/>
      <c r="OMG70" s="122"/>
      <c r="OMH70" s="122"/>
      <c r="OMI70" s="122"/>
      <c r="OMJ70" s="122"/>
      <c r="OMK70" s="122"/>
      <c r="OML70" s="122"/>
      <c r="OMM70" s="122"/>
      <c r="OMN70" s="122"/>
      <c r="OMO70" s="122"/>
      <c r="OMP70" s="122"/>
      <c r="OMQ70" s="122"/>
      <c r="OMR70" s="122"/>
      <c r="OMS70" s="122"/>
      <c r="OMT70" s="122"/>
      <c r="OMU70" s="122"/>
      <c r="OMV70" s="122"/>
      <c r="OMW70" s="122"/>
      <c r="OMX70" s="122"/>
      <c r="OMY70" s="122"/>
      <c r="OMZ70" s="122"/>
      <c r="ONA70" s="122"/>
      <c r="ONB70" s="122"/>
      <c r="ONC70" s="122"/>
      <c r="OND70" s="122"/>
      <c r="ONE70" s="122"/>
      <c r="ONF70" s="122"/>
      <c r="ONG70" s="122"/>
      <c r="ONH70" s="122"/>
      <c r="ONI70" s="122"/>
      <c r="ONJ70" s="122"/>
      <c r="ONK70" s="122"/>
      <c r="ONL70" s="122"/>
      <c r="ONM70" s="122"/>
      <c r="ONN70" s="122"/>
      <c r="ONO70" s="122"/>
      <c r="ONP70" s="122"/>
      <c r="ONQ70" s="122"/>
      <c r="ONR70" s="122"/>
      <c r="ONS70" s="122"/>
      <c r="ONT70" s="122"/>
      <c r="ONU70" s="122"/>
      <c r="ONV70" s="122"/>
      <c r="ONW70" s="122"/>
      <c r="ONX70" s="122"/>
      <c r="ONY70" s="122"/>
      <c r="ONZ70" s="122"/>
      <c r="OOA70" s="122"/>
      <c r="OOB70" s="122"/>
      <c r="OOC70" s="122"/>
      <c r="OOD70" s="122"/>
      <c r="OOE70" s="122"/>
      <c r="OOF70" s="122"/>
      <c r="OOG70" s="122"/>
      <c r="OOH70" s="122"/>
      <c r="OOI70" s="122"/>
      <c r="OOJ70" s="122"/>
      <c r="OOK70" s="122"/>
      <c r="OOL70" s="122"/>
      <c r="OOM70" s="122"/>
      <c r="OON70" s="122"/>
      <c r="OOO70" s="122"/>
      <c r="OOP70" s="122"/>
      <c r="OOQ70" s="122"/>
      <c r="OOR70" s="122"/>
      <c r="OOS70" s="122"/>
      <c r="OOT70" s="122"/>
      <c r="OOU70" s="122"/>
      <c r="OOV70" s="122"/>
      <c r="OOW70" s="122"/>
      <c r="OOX70" s="122"/>
      <c r="OOY70" s="122"/>
      <c r="OOZ70" s="122"/>
      <c r="OPA70" s="122"/>
      <c r="OPB70" s="122"/>
      <c r="OPC70" s="122"/>
      <c r="OPD70" s="122"/>
      <c r="OPE70" s="122"/>
      <c r="OPF70" s="122"/>
      <c r="OPG70" s="122"/>
      <c r="OPH70" s="122"/>
      <c r="OPI70" s="122"/>
      <c r="OPJ70" s="122"/>
      <c r="OPK70" s="122"/>
      <c r="OPL70" s="122"/>
      <c r="OPM70" s="122"/>
      <c r="OPN70" s="122"/>
      <c r="OPO70" s="122"/>
      <c r="OPP70" s="122"/>
      <c r="OPQ70" s="122"/>
      <c r="OPR70" s="122"/>
      <c r="OPS70" s="122"/>
      <c r="OPT70" s="122"/>
      <c r="OPU70" s="122"/>
      <c r="OPV70" s="122"/>
      <c r="OPW70" s="122"/>
      <c r="OPX70" s="122"/>
      <c r="OPY70" s="122"/>
      <c r="OPZ70" s="122"/>
      <c r="OQA70" s="122"/>
      <c r="OQB70" s="122"/>
      <c r="OQC70" s="122"/>
      <c r="OQD70" s="122"/>
      <c r="OQE70" s="122"/>
      <c r="OQF70" s="122"/>
      <c r="OQG70" s="122"/>
      <c r="OQH70" s="122"/>
      <c r="OQI70" s="122"/>
      <c r="OQJ70" s="122"/>
      <c r="OQK70" s="122"/>
      <c r="OQL70" s="122"/>
      <c r="OQM70" s="122"/>
      <c r="OQN70" s="122"/>
      <c r="OQO70" s="122"/>
      <c r="OQP70" s="122"/>
      <c r="OQQ70" s="122"/>
      <c r="OQR70" s="122"/>
      <c r="OQS70" s="122"/>
      <c r="OQT70" s="122"/>
      <c r="OQU70" s="122"/>
      <c r="OQV70" s="122"/>
      <c r="OQW70" s="122"/>
      <c r="OQX70" s="122"/>
      <c r="OQY70" s="122"/>
      <c r="OQZ70" s="122"/>
      <c r="ORA70" s="122"/>
      <c r="ORB70" s="122"/>
      <c r="ORC70" s="122"/>
      <c r="ORD70" s="122"/>
      <c r="ORE70" s="122"/>
      <c r="ORF70" s="122"/>
      <c r="ORG70" s="122"/>
      <c r="ORH70" s="122"/>
      <c r="ORI70" s="122"/>
      <c r="ORJ70" s="122"/>
      <c r="ORK70" s="122"/>
      <c r="ORL70" s="122"/>
      <c r="ORM70" s="122"/>
      <c r="ORN70" s="122"/>
      <c r="ORO70" s="122"/>
      <c r="ORP70" s="122"/>
      <c r="ORQ70" s="122"/>
      <c r="ORR70" s="122"/>
      <c r="ORS70" s="122"/>
      <c r="ORT70" s="122"/>
      <c r="ORU70" s="122"/>
      <c r="ORV70" s="122"/>
      <c r="ORW70" s="122"/>
      <c r="ORX70" s="122"/>
      <c r="ORY70" s="122"/>
      <c r="ORZ70" s="122"/>
      <c r="OSA70" s="122"/>
      <c r="OSB70" s="122"/>
      <c r="OSC70" s="122"/>
      <c r="OSD70" s="122"/>
      <c r="OSE70" s="122"/>
      <c r="OSF70" s="122"/>
      <c r="OSG70" s="122"/>
      <c r="OSH70" s="122"/>
      <c r="OSI70" s="122"/>
      <c r="OSJ70" s="122"/>
      <c r="OSK70" s="122"/>
      <c r="OSL70" s="122"/>
      <c r="OSM70" s="122"/>
      <c r="OSN70" s="122"/>
      <c r="OSO70" s="122"/>
      <c r="OSP70" s="122"/>
      <c r="OSQ70" s="122"/>
      <c r="OSR70" s="122"/>
      <c r="OSS70" s="122"/>
      <c r="OST70" s="122"/>
      <c r="OSU70" s="122"/>
      <c r="OSV70" s="122"/>
      <c r="OSW70" s="122"/>
      <c r="OSX70" s="122"/>
      <c r="OSY70" s="122"/>
      <c r="OSZ70" s="122"/>
      <c r="OTA70" s="122"/>
      <c r="OTB70" s="122"/>
      <c r="OTC70" s="122"/>
      <c r="OTD70" s="122"/>
      <c r="OTE70" s="122"/>
      <c r="OTF70" s="122"/>
      <c r="OTG70" s="122"/>
      <c r="OTH70" s="122"/>
      <c r="OTI70" s="122"/>
      <c r="OTJ70" s="122"/>
      <c r="OTK70" s="122"/>
      <c r="OTL70" s="122"/>
      <c r="OTM70" s="122"/>
      <c r="OTN70" s="122"/>
      <c r="OTO70" s="122"/>
      <c r="OTP70" s="122"/>
      <c r="OTQ70" s="122"/>
      <c r="OTR70" s="122"/>
      <c r="OTS70" s="122"/>
      <c r="OTT70" s="122"/>
      <c r="OTU70" s="122"/>
      <c r="OTV70" s="122"/>
      <c r="OTW70" s="122"/>
      <c r="OTX70" s="122"/>
      <c r="OTY70" s="122"/>
      <c r="OTZ70" s="122"/>
      <c r="OUA70" s="122"/>
      <c r="OUB70" s="122"/>
      <c r="OUC70" s="122"/>
      <c r="OUD70" s="122"/>
      <c r="OUE70" s="122"/>
      <c r="OUF70" s="122"/>
      <c r="OUG70" s="122"/>
      <c r="OUH70" s="122"/>
      <c r="OUI70" s="122"/>
      <c r="OUJ70" s="122"/>
      <c r="OUK70" s="122"/>
      <c r="OUL70" s="122"/>
      <c r="OUM70" s="122"/>
      <c r="OUN70" s="122"/>
      <c r="OUO70" s="122"/>
      <c r="OUP70" s="122"/>
      <c r="OUQ70" s="122"/>
      <c r="OUR70" s="122"/>
      <c r="OUS70" s="122"/>
      <c r="OUT70" s="122"/>
      <c r="OUU70" s="122"/>
      <c r="OUV70" s="122"/>
      <c r="OUW70" s="122"/>
      <c r="OUX70" s="122"/>
      <c r="OUY70" s="122"/>
      <c r="OUZ70" s="122"/>
      <c r="OVA70" s="122"/>
      <c r="OVB70" s="122"/>
      <c r="OVC70" s="122"/>
      <c r="OVD70" s="122"/>
      <c r="OVE70" s="122"/>
      <c r="OVF70" s="122"/>
      <c r="OVG70" s="122"/>
      <c r="OVH70" s="122"/>
      <c r="OVI70" s="122"/>
      <c r="OVJ70" s="122"/>
      <c r="OVK70" s="122"/>
      <c r="OVL70" s="122"/>
      <c r="OVM70" s="122"/>
      <c r="OVN70" s="122"/>
      <c r="OVO70" s="122"/>
      <c r="OVP70" s="122"/>
      <c r="OVQ70" s="122"/>
      <c r="OVR70" s="122"/>
      <c r="OVS70" s="122"/>
      <c r="OVT70" s="122"/>
      <c r="OVU70" s="122"/>
      <c r="OVV70" s="122"/>
      <c r="OVW70" s="122"/>
      <c r="OVX70" s="122"/>
      <c r="OVY70" s="122"/>
      <c r="OVZ70" s="122"/>
      <c r="OWA70" s="122"/>
      <c r="OWB70" s="122"/>
      <c r="OWC70" s="122"/>
      <c r="OWD70" s="122"/>
      <c r="OWE70" s="122"/>
      <c r="OWF70" s="122"/>
      <c r="OWG70" s="122"/>
      <c r="OWH70" s="122"/>
      <c r="OWI70" s="122"/>
      <c r="OWJ70" s="122"/>
      <c r="OWK70" s="122"/>
      <c r="OWL70" s="122"/>
      <c r="OWM70" s="122"/>
      <c r="OWN70" s="122"/>
      <c r="OWO70" s="122"/>
      <c r="OWP70" s="122"/>
      <c r="OWQ70" s="122"/>
      <c r="OWR70" s="122"/>
      <c r="OWS70" s="122"/>
      <c r="OWT70" s="122"/>
      <c r="OWU70" s="122"/>
      <c r="OWV70" s="122"/>
      <c r="OWW70" s="122"/>
      <c r="OWX70" s="122"/>
      <c r="OWY70" s="122"/>
      <c r="OWZ70" s="122"/>
      <c r="OXA70" s="122"/>
      <c r="OXB70" s="122"/>
      <c r="OXC70" s="122"/>
      <c r="OXD70" s="122"/>
      <c r="OXE70" s="122"/>
      <c r="OXF70" s="122"/>
      <c r="OXG70" s="122"/>
      <c r="OXH70" s="122"/>
      <c r="OXI70" s="122"/>
      <c r="OXJ70" s="122"/>
      <c r="OXK70" s="122"/>
      <c r="OXL70" s="122"/>
      <c r="OXM70" s="122"/>
      <c r="OXN70" s="122"/>
      <c r="OXO70" s="122"/>
      <c r="OXP70" s="122"/>
      <c r="OXQ70" s="122"/>
      <c r="OXR70" s="122"/>
      <c r="OXS70" s="122"/>
      <c r="OXT70" s="122"/>
      <c r="OXU70" s="122"/>
      <c r="OXV70" s="122"/>
      <c r="OXW70" s="122"/>
      <c r="OXX70" s="122"/>
      <c r="OXY70" s="122"/>
      <c r="OXZ70" s="122"/>
      <c r="OYA70" s="122"/>
      <c r="OYB70" s="122"/>
      <c r="OYC70" s="122"/>
      <c r="OYD70" s="122"/>
      <c r="OYE70" s="122"/>
      <c r="OYF70" s="122"/>
      <c r="OYG70" s="122"/>
      <c r="OYH70" s="122"/>
      <c r="OYI70" s="122"/>
      <c r="OYJ70" s="122"/>
      <c r="OYK70" s="122"/>
      <c r="OYL70" s="122"/>
      <c r="OYM70" s="122"/>
      <c r="OYN70" s="122"/>
      <c r="OYO70" s="122"/>
      <c r="OYP70" s="122"/>
      <c r="OYQ70" s="122"/>
      <c r="OYR70" s="122"/>
      <c r="OYS70" s="122"/>
      <c r="OYT70" s="122"/>
      <c r="OYU70" s="122"/>
      <c r="OYV70" s="122"/>
      <c r="OYW70" s="122"/>
      <c r="OYX70" s="122"/>
      <c r="OYY70" s="122"/>
      <c r="OYZ70" s="122"/>
      <c r="OZA70" s="122"/>
      <c r="OZB70" s="122"/>
      <c r="OZC70" s="122"/>
      <c r="OZD70" s="122"/>
      <c r="OZE70" s="122"/>
      <c r="OZF70" s="122"/>
      <c r="OZG70" s="122"/>
      <c r="OZH70" s="122"/>
      <c r="OZI70" s="122"/>
      <c r="OZJ70" s="122"/>
      <c r="OZK70" s="122"/>
      <c r="OZL70" s="122"/>
      <c r="OZM70" s="122"/>
      <c r="OZN70" s="122"/>
      <c r="OZO70" s="122"/>
      <c r="OZP70" s="122"/>
      <c r="OZQ70" s="122"/>
      <c r="OZR70" s="122"/>
      <c r="OZS70" s="122"/>
      <c r="OZT70" s="122"/>
      <c r="OZU70" s="122"/>
      <c r="OZV70" s="122"/>
      <c r="OZW70" s="122"/>
      <c r="OZX70" s="122"/>
      <c r="OZY70" s="122"/>
      <c r="OZZ70" s="122"/>
      <c r="PAA70" s="122"/>
      <c r="PAB70" s="122"/>
      <c r="PAC70" s="122"/>
      <c r="PAD70" s="122"/>
      <c r="PAE70" s="122"/>
      <c r="PAF70" s="122"/>
      <c r="PAG70" s="122"/>
      <c r="PAH70" s="122"/>
      <c r="PAI70" s="122"/>
      <c r="PAJ70" s="122"/>
      <c r="PAK70" s="122"/>
      <c r="PAL70" s="122"/>
      <c r="PAM70" s="122"/>
      <c r="PAN70" s="122"/>
      <c r="PAO70" s="122"/>
      <c r="PAP70" s="122"/>
      <c r="PAQ70" s="122"/>
      <c r="PAR70" s="122"/>
      <c r="PAS70" s="122"/>
      <c r="PAT70" s="122"/>
      <c r="PAU70" s="122"/>
      <c r="PAV70" s="122"/>
      <c r="PAW70" s="122"/>
      <c r="PAX70" s="122"/>
      <c r="PAY70" s="122"/>
      <c r="PAZ70" s="122"/>
      <c r="PBA70" s="122"/>
      <c r="PBB70" s="122"/>
      <c r="PBC70" s="122"/>
      <c r="PBD70" s="122"/>
      <c r="PBE70" s="122"/>
      <c r="PBF70" s="122"/>
      <c r="PBG70" s="122"/>
      <c r="PBH70" s="122"/>
      <c r="PBI70" s="122"/>
      <c r="PBJ70" s="122"/>
      <c r="PBK70" s="122"/>
      <c r="PBL70" s="122"/>
      <c r="PBM70" s="122"/>
      <c r="PBN70" s="122"/>
      <c r="PBO70" s="122"/>
      <c r="PBP70" s="122"/>
      <c r="PBQ70" s="122"/>
      <c r="PBR70" s="122"/>
      <c r="PBS70" s="122"/>
      <c r="PBT70" s="122"/>
      <c r="PBU70" s="122"/>
      <c r="PBV70" s="122"/>
      <c r="PBW70" s="122"/>
      <c r="PBX70" s="122"/>
      <c r="PBY70" s="122"/>
      <c r="PBZ70" s="122"/>
      <c r="PCA70" s="122"/>
      <c r="PCB70" s="122"/>
      <c r="PCC70" s="122"/>
      <c r="PCD70" s="122"/>
      <c r="PCE70" s="122"/>
      <c r="PCF70" s="122"/>
      <c r="PCG70" s="122"/>
      <c r="PCH70" s="122"/>
      <c r="PCI70" s="122"/>
      <c r="PCJ70" s="122"/>
      <c r="PCK70" s="122"/>
      <c r="PCL70" s="122"/>
      <c r="PCM70" s="122"/>
      <c r="PCN70" s="122"/>
      <c r="PCO70" s="122"/>
      <c r="PCP70" s="122"/>
      <c r="PCQ70" s="122"/>
      <c r="PCR70" s="122"/>
      <c r="PCS70" s="122"/>
      <c r="PCT70" s="122"/>
      <c r="PCU70" s="122"/>
      <c r="PCV70" s="122"/>
      <c r="PCW70" s="122"/>
      <c r="PCX70" s="122"/>
      <c r="PCY70" s="122"/>
      <c r="PCZ70" s="122"/>
      <c r="PDA70" s="122"/>
      <c r="PDB70" s="122"/>
      <c r="PDC70" s="122"/>
      <c r="PDD70" s="122"/>
      <c r="PDE70" s="122"/>
      <c r="PDF70" s="122"/>
      <c r="PDG70" s="122"/>
      <c r="PDH70" s="122"/>
      <c r="PDI70" s="122"/>
      <c r="PDJ70" s="122"/>
      <c r="PDK70" s="122"/>
      <c r="PDL70" s="122"/>
      <c r="PDM70" s="122"/>
      <c r="PDN70" s="122"/>
      <c r="PDO70" s="122"/>
      <c r="PDP70" s="122"/>
      <c r="PDQ70" s="122"/>
      <c r="PDR70" s="122"/>
      <c r="PDS70" s="122"/>
      <c r="PDT70" s="122"/>
      <c r="PDU70" s="122"/>
      <c r="PDV70" s="122"/>
      <c r="PDW70" s="122"/>
      <c r="PDX70" s="122"/>
      <c r="PDY70" s="122"/>
      <c r="PDZ70" s="122"/>
      <c r="PEA70" s="122"/>
      <c r="PEB70" s="122"/>
      <c r="PEC70" s="122"/>
      <c r="PED70" s="122"/>
      <c r="PEE70" s="122"/>
      <c r="PEF70" s="122"/>
      <c r="PEG70" s="122"/>
      <c r="PEH70" s="122"/>
      <c r="PEI70" s="122"/>
      <c r="PEJ70" s="122"/>
      <c r="PEK70" s="122"/>
      <c r="PEL70" s="122"/>
      <c r="PEM70" s="122"/>
      <c r="PEN70" s="122"/>
      <c r="PEO70" s="122"/>
      <c r="PEP70" s="122"/>
      <c r="PEQ70" s="122"/>
      <c r="PER70" s="122"/>
      <c r="PES70" s="122"/>
      <c r="PET70" s="122"/>
      <c r="PEU70" s="122"/>
      <c r="PEV70" s="122"/>
      <c r="PEW70" s="122"/>
      <c r="PEX70" s="122"/>
      <c r="PEY70" s="122"/>
      <c r="PEZ70" s="122"/>
      <c r="PFA70" s="122"/>
      <c r="PFB70" s="122"/>
      <c r="PFC70" s="122"/>
      <c r="PFD70" s="122"/>
      <c r="PFE70" s="122"/>
      <c r="PFF70" s="122"/>
      <c r="PFG70" s="122"/>
      <c r="PFH70" s="122"/>
      <c r="PFI70" s="122"/>
      <c r="PFJ70" s="122"/>
      <c r="PFK70" s="122"/>
      <c r="PFL70" s="122"/>
      <c r="PFM70" s="122"/>
      <c r="PFN70" s="122"/>
      <c r="PFO70" s="122"/>
      <c r="PFP70" s="122"/>
      <c r="PFQ70" s="122"/>
      <c r="PFR70" s="122"/>
      <c r="PFS70" s="122"/>
      <c r="PFT70" s="122"/>
      <c r="PFU70" s="122"/>
      <c r="PFV70" s="122"/>
      <c r="PFW70" s="122"/>
      <c r="PFX70" s="122"/>
      <c r="PFY70" s="122"/>
      <c r="PFZ70" s="122"/>
      <c r="PGA70" s="122"/>
      <c r="PGB70" s="122"/>
      <c r="PGC70" s="122"/>
      <c r="PGD70" s="122"/>
      <c r="PGE70" s="122"/>
      <c r="PGF70" s="122"/>
      <c r="PGG70" s="122"/>
      <c r="PGH70" s="122"/>
      <c r="PGI70" s="122"/>
      <c r="PGJ70" s="122"/>
      <c r="PGK70" s="122"/>
      <c r="PGL70" s="122"/>
      <c r="PGM70" s="122"/>
      <c r="PGN70" s="122"/>
      <c r="PGO70" s="122"/>
      <c r="PGP70" s="122"/>
      <c r="PGQ70" s="122"/>
      <c r="PGR70" s="122"/>
      <c r="PGS70" s="122"/>
      <c r="PGT70" s="122"/>
      <c r="PGU70" s="122"/>
      <c r="PGV70" s="122"/>
      <c r="PGW70" s="122"/>
      <c r="PGX70" s="122"/>
      <c r="PGY70" s="122"/>
      <c r="PGZ70" s="122"/>
      <c r="PHA70" s="122"/>
      <c r="PHB70" s="122"/>
      <c r="PHC70" s="122"/>
      <c r="PHD70" s="122"/>
      <c r="PHE70" s="122"/>
      <c r="PHF70" s="122"/>
      <c r="PHG70" s="122"/>
      <c r="PHH70" s="122"/>
      <c r="PHI70" s="122"/>
      <c r="PHJ70" s="122"/>
      <c r="PHK70" s="122"/>
      <c r="PHL70" s="122"/>
      <c r="PHM70" s="122"/>
      <c r="PHN70" s="122"/>
      <c r="PHO70" s="122"/>
      <c r="PHP70" s="122"/>
      <c r="PHQ70" s="122"/>
      <c r="PHR70" s="122"/>
      <c r="PHS70" s="122"/>
      <c r="PHT70" s="122"/>
      <c r="PHU70" s="122"/>
      <c r="PHV70" s="122"/>
      <c r="PHW70" s="122"/>
      <c r="PHX70" s="122"/>
      <c r="PHY70" s="122"/>
      <c r="PHZ70" s="122"/>
      <c r="PIA70" s="122"/>
      <c r="PIB70" s="122"/>
      <c r="PIC70" s="122"/>
      <c r="PID70" s="122"/>
      <c r="PIE70" s="122"/>
      <c r="PIF70" s="122"/>
      <c r="PIG70" s="122"/>
      <c r="PIH70" s="122"/>
      <c r="PII70" s="122"/>
      <c r="PIJ70" s="122"/>
      <c r="PIK70" s="122"/>
      <c r="PIL70" s="122"/>
      <c r="PIM70" s="122"/>
      <c r="PIN70" s="122"/>
      <c r="PIO70" s="122"/>
      <c r="PIP70" s="122"/>
      <c r="PIQ70" s="122"/>
      <c r="PIR70" s="122"/>
      <c r="PIS70" s="122"/>
      <c r="PIT70" s="122"/>
      <c r="PIU70" s="122"/>
      <c r="PIV70" s="122"/>
      <c r="PIW70" s="122"/>
      <c r="PIX70" s="122"/>
      <c r="PIY70" s="122"/>
      <c r="PIZ70" s="122"/>
      <c r="PJA70" s="122"/>
      <c r="PJB70" s="122"/>
      <c r="PJC70" s="122"/>
      <c r="PJD70" s="122"/>
      <c r="PJE70" s="122"/>
      <c r="PJF70" s="122"/>
      <c r="PJG70" s="122"/>
      <c r="PJH70" s="122"/>
      <c r="PJI70" s="122"/>
      <c r="PJJ70" s="122"/>
      <c r="PJK70" s="122"/>
      <c r="PJL70" s="122"/>
      <c r="PJM70" s="122"/>
      <c r="PJN70" s="122"/>
      <c r="PJO70" s="122"/>
      <c r="PJP70" s="122"/>
      <c r="PJQ70" s="122"/>
      <c r="PJR70" s="122"/>
      <c r="PJS70" s="122"/>
      <c r="PJT70" s="122"/>
      <c r="PJU70" s="122"/>
      <c r="PJV70" s="122"/>
      <c r="PJW70" s="122"/>
      <c r="PJX70" s="122"/>
      <c r="PJY70" s="122"/>
      <c r="PJZ70" s="122"/>
      <c r="PKA70" s="122"/>
      <c r="PKB70" s="122"/>
      <c r="PKC70" s="122"/>
      <c r="PKD70" s="122"/>
      <c r="PKE70" s="122"/>
      <c r="PKF70" s="122"/>
      <c r="PKG70" s="122"/>
      <c r="PKH70" s="122"/>
      <c r="PKI70" s="122"/>
      <c r="PKJ70" s="122"/>
      <c r="PKK70" s="122"/>
      <c r="PKL70" s="122"/>
      <c r="PKM70" s="122"/>
      <c r="PKN70" s="122"/>
      <c r="PKO70" s="122"/>
      <c r="PKP70" s="122"/>
      <c r="PKQ70" s="122"/>
      <c r="PKR70" s="122"/>
      <c r="PKS70" s="122"/>
      <c r="PKT70" s="122"/>
      <c r="PKU70" s="122"/>
      <c r="PKV70" s="122"/>
      <c r="PKW70" s="122"/>
      <c r="PKX70" s="122"/>
      <c r="PKY70" s="122"/>
      <c r="PKZ70" s="122"/>
      <c r="PLA70" s="122"/>
      <c r="PLB70" s="122"/>
      <c r="PLC70" s="122"/>
      <c r="PLD70" s="122"/>
      <c r="PLE70" s="122"/>
      <c r="PLF70" s="122"/>
      <c r="PLG70" s="122"/>
      <c r="PLH70" s="122"/>
      <c r="PLI70" s="122"/>
      <c r="PLJ70" s="122"/>
      <c r="PLK70" s="122"/>
      <c r="PLL70" s="122"/>
      <c r="PLM70" s="122"/>
      <c r="PLN70" s="122"/>
      <c r="PLO70" s="122"/>
      <c r="PLP70" s="122"/>
      <c r="PLQ70" s="122"/>
      <c r="PLR70" s="122"/>
      <c r="PLS70" s="122"/>
      <c r="PLT70" s="122"/>
      <c r="PLU70" s="122"/>
      <c r="PLV70" s="122"/>
      <c r="PLW70" s="122"/>
      <c r="PLX70" s="122"/>
      <c r="PLY70" s="122"/>
      <c r="PLZ70" s="122"/>
      <c r="PMA70" s="122"/>
      <c r="PMB70" s="122"/>
      <c r="PMC70" s="122"/>
      <c r="PMD70" s="122"/>
      <c r="PME70" s="122"/>
      <c r="PMF70" s="122"/>
      <c r="PMG70" s="122"/>
      <c r="PMH70" s="122"/>
      <c r="PMI70" s="122"/>
      <c r="PMJ70" s="122"/>
      <c r="PMK70" s="122"/>
      <c r="PML70" s="122"/>
      <c r="PMM70" s="122"/>
      <c r="PMN70" s="122"/>
      <c r="PMO70" s="122"/>
      <c r="PMP70" s="122"/>
      <c r="PMQ70" s="122"/>
      <c r="PMR70" s="122"/>
      <c r="PMS70" s="122"/>
      <c r="PMT70" s="122"/>
      <c r="PMU70" s="122"/>
      <c r="PMV70" s="122"/>
      <c r="PMW70" s="122"/>
      <c r="PMX70" s="122"/>
      <c r="PMY70" s="122"/>
      <c r="PMZ70" s="122"/>
      <c r="PNA70" s="122"/>
      <c r="PNB70" s="122"/>
      <c r="PNC70" s="122"/>
      <c r="PND70" s="122"/>
      <c r="PNE70" s="122"/>
      <c r="PNF70" s="122"/>
      <c r="PNG70" s="122"/>
      <c r="PNH70" s="122"/>
      <c r="PNI70" s="122"/>
      <c r="PNJ70" s="122"/>
      <c r="PNK70" s="122"/>
      <c r="PNL70" s="122"/>
      <c r="PNM70" s="122"/>
      <c r="PNN70" s="122"/>
      <c r="PNO70" s="122"/>
      <c r="PNP70" s="122"/>
      <c r="PNQ70" s="122"/>
      <c r="PNR70" s="122"/>
      <c r="PNS70" s="122"/>
      <c r="PNT70" s="122"/>
      <c r="PNU70" s="122"/>
      <c r="PNV70" s="122"/>
      <c r="PNW70" s="122"/>
      <c r="PNX70" s="122"/>
      <c r="PNY70" s="122"/>
      <c r="PNZ70" s="122"/>
      <c r="POA70" s="122"/>
      <c r="POB70" s="122"/>
      <c r="POC70" s="122"/>
      <c r="POD70" s="122"/>
      <c r="POE70" s="122"/>
      <c r="POF70" s="122"/>
      <c r="POG70" s="122"/>
      <c r="POH70" s="122"/>
      <c r="POI70" s="122"/>
      <c r="POJ70" s="122"/>
      <c r="POK70" s="122"/>
      <c r="POL70" s="122"/>
      <c r="POM70" s="122"/>
      <c r="PON70" s="122"/>
      <c r="POO70" s="122"/>
      <c r="POP70" s="122"/>
      <c r="POQ70" s="122"/>
      <c r="POR70" s="122"/>
      <c r="POS70" s="122"/>
      <c r="POT70" s="122"/>
      <c r="POU70" s="122"/>
      <c r="POV70" s="122"/>
      <c r="POW70" s="122"/>
      <c r="POX70" s="122"/>
      <c r="POY70" s="122"/>
      <c r="POZ70" s="122"/>
      <c r="PPA70" s="122"/>
      <c r="PPB70" s="122"/>
      <c r="PPC70" s="122"/>
      <c r="PPD70" s="122"/>
      <c r="PPE70" s="122"/>
      <c r="PPF70" s="122"/>
      <c r="PPG70" s="122"/>
      <c r="PPH70" s="122"/>
      <c r="PPI70" s="122"/>
      <c r="PPJ70" s="122"/>
      <c r="PPK70" s="122"/>
      <c r="PPL70" s="122"/>
      <c r="PPM70" s="122"/>
      <c r="PPN70" s="122"/>
      <c r="PPO70" s="122"/>
      <c r="PPP70" s="122"/>
      <c r="PPQ70" s="122"/>
      <c r="PPR70" s="122"/>
      <c r="PPS70" s="122"/>
      <c r="PPT70" s="122"/>
      <c r="PPU70" s="122"/>
      <c r="PPV70" s="122"/>
      <c r="PPW70" s="122"/>
      <c r="PPX70" s="122"/>
      <c r="PPY70" s="122"/>
      <c r="PPZ70" s="122"/>
      <c r="PQA70" s="122"/>
      <c r="PQB70" s="122"/>
      <c r="PQC70" s="122"/>
      <c r="PQD70" s="122"/>
      <c r="PQE70" s="122"/>
      <c r="PQF70" s="122"/>
      <c r="PQG70" s="122"/>
      <c r="PQH70" s="122"/>
      <c r="PQI70" s="122"/>
      <c r="PQJ70" s="122"/>
      <c r="PQK70" s="122"/>
      <c r="PQL70" s="122"/>
      <c r="PQM70" s="122"/>
      <c r="PQN70" s="122"/>
      <c r="PQO70" s="122"/>
      <c r="PQP70" s="122"/>
      <c r="PQQ70" s="122"/>
      <c r="PQR70" s="122"/>
      <c r="PQS70" s="122"/>
      <c r="PQT70" s="122"/>
      <c r="PQU70" s="122"/>
      <c r="PQV70" s="122"/>
      <c r="PQW70" s="122"/>
      <c r="PQX70" s="122"/>
      <c r="PQY70" s="122"/>
      <c r="PQZ70" s="122"/>
      <c r="PRA70" s="122"/>
      <c r="PRB70" s="122"/>
      <c r="PRC70" s="122"/>
      <c r="PRD70" s="122"/>
      <c r="PRE70" s="122"/>
      <c r="PRF70" s="122"/>
      <c r="PRG70" s="122"/>
      <c r="PRH70" s="122"/>
      <c r="PRI70" s="122"/>
      <c r="PRJ70" s="122"/>
      <c r="PRK70" s="122"/>
      <c r="PRL70" s="122"/>
      <c r="PRM70" s="122"/>
      <c r="PRN70" s="122"/>
      <c r="PRO70" s="122"/>
      <c r="PRP70" s="122"/>
      <c r="PRQ70" s="122"/>
      <c r="PRR70" s="122"/>
      <c r="PRS70" s="122"/>
      <c r="PRT70" s="122"/>
      <c r="PRU70" s="122"/>
      <c r="PRV70" s="122"/>
      <c r="PRW70" s="122"/>
      <c r="PRX70" s="122"/>
      <c r="PRY70" s="122"/>
      <c r="PRZ70" s="122"/>
      <c r="PSA70" s="122"/>
      <c r="PSB70" s="122"/>
      <c r="PSC70" s="122"/>
      <c r="PSD70" s="122"/>
      <c r="PSE70" s="122"/>
      <c r="PSF70" s="122"/>
      <c r="PSG70" s="122"/>
      <c r="PSH70" s="122"/>
      <c r="PSI70" s="122"/>
      <c r="PSJ70" s="122"/>
      <c r="PSK70" s="122"/>
      <c r="PSL70" s="122"/>
      <c r="PSM70" s="122"/>
      <c r="PSN70" s="122"/>
      <c r="PSO70" s="122"/>
      <c r="PSP70" s="122"/>
      <c r="PSQ70" s="122"/>
      <c r="PSR70" s="122"/>
      <c r="PSS70" s="122"/>
      <c r="PST70" s="122"/>
      <c r="PSU70" s="122"/>
      <c r="PSV70" s="122"/>
      <c r="PSW70" s="122"/>
      <c r="PSX70" s="122"/>
      <c r="PSY70" s="122"/>
      <c r="PSZ70" s="122"/>
      <c r="PTA70" s="122"/>
      <c r="PTB70" s="122"/>
      <c r="PTC70" s="122"/>
      <c r="PTD70" s="122"/>
      <c r="PTE70" s="122"/>
      <c r="PTF70" s="122"/>
      <c r="PTG70" s="122"/>
      <c r="PTH70" s="122"/>
      <c r="PTI70" s="122"/>
      <c r="PTJ70" s="122"/>
      <c r="PTK70" s="122"/>
      <c r="PTL70" s="122"/>
      <c r="PTM70" s="122"/>
      <c r="PTN70" s="122"/>
      <c r="PTO70" s="122"/>
      <c r="PTP70" s="122"/>
      <c r="PTQ70" s="122"/>
      <c r="PTR70" s="122"/>
      <c r="PTS70" s="122"/>
      <c r="PTT70" s="122"/>
      <c r="PTU70" s="122"/>
      <c r="PTV70" s="122"/>
      <c r="PTW70" s="122"/>
      <c r="PTX70" s="122"/>
      <c r="PTY70" s="122"/>
      <c r="PTZ70" s="122"/>
      <c r="PUA70" s="122"/>
      <c r="PUB70" s="122"/>
      <c r="PUC70" s="122"/>
      <c r="PUD70" s="122"/>
      <c r="PUE70" s="122"/>
      <c r="PUF70" s="122"/>
      <c r="PUG70" s="122"/>
      <c r="PUH70" s="122"/>
      <c r="PUI70" s="122"/>
      <c r="PUJ70" s="122"/>
      <c r="PUK70" s="122"/>
      <c r="PUL70" s="122"/>
      <c r="PUM70" s="122"/>
      <c r="PUN70" s="122"/>
      <c r="PUO70" s="122"/>
      <c r="PUP70" s="122"/>
      <c r="PUQ70" s="122"/>
      <c r="PUR70" s="122"/>
      <c r="PUS70" s="122"/>
      <c r="PUT70" s="122"/>
      <c r="PUU70" s="122"/>
      <c r="PUV70" s="122"/>
      <c r="PUW70" s="122"/>
      <c r="PUX70" s="122"/>
      <c r="PUY70" s="122"/>
      <c r="PUZ70" s="122"/>
      <c r="PVA70" s="122"/>
      <c r="PVB70" s="122"/>
      <c r="PVC70" s="122"/>
      <c r="PVD70" s="122"/>
      <c r="PVE70" s="122"/>
      <c r="PVF70" s="122"/>
      <c r="PVG70" s="122"/>
      <c r="PVH70" s="122"/>
      <c r="PVI70" s="122"/>
      <c r="PVJ70" s="122"/>
      <c r="PVK70" s="122"/>
      <c r="PVL70" s="122"/>
      <c r="PVM70" s="122"/>
      <c r="PVN70" s="122"/>
      <c r="PVO70" s="122"/>
      <c r="PVP70" s="122"/>
      <c r="PVQ70" s="122"/>
      <c r="PVR70" s="122"/>
      <c r="PVS70" s="122"/>
      <c r="PVT70" s="122"/>
      <c r="PVU70" s="122"/>
      <c r="PVV70" s="122"/>
      <c r="PVW70" s="122"/>
      <c r="PVX70" s="122"/>
      <c r="PVY70" s="122"/>
      <c r="PVZ70" s="122"/>
      <c r="PWA70" s="122"/>
      <c r="PWB70" s="122"/>
      <c r="PWC70" s="122"/>
      <c r="PWD70" s="122"/>
      <c r="PWE70" s="122"/>
      <c r="PWF70" s="122"/>
      <c r="PWG70" s="122"/>
      <c r="PWH70" s="122"/>
      <c r="PWI70" s="122"/>
      <c r="PWJ70" s="122"/>
      <c r="PWK70" s="122"/>
      <c r="PWL70" s="122"/>
      <c r="PWM70" s="122"/>
      <c r="PWN70" s="122"/>
      <c r="PWO70" s="122"/>
      <c r="PWP70" s="122"/>
      <c r="PWQ70" s="122"/>
      <c r="PWR70" s="122"/>
      <c r="PWS70" s="122"/>
      <c r="PWT70" s="122"/>
      <c r="PWU70" s="122"/>
      <c r="PWV70" s="122"/>
      <c r="PWW70" s="122"/>
      <c r="PWX70" s="122"/>
      <c r="PWY70" s="122"/>
      <c r="PWZ70" s="122"/>
      <c r="PXA70" s="122"/>
      <c r="PXB70" s="122"/>
      <c r="PXC70" s="122"/>
      <c r="PXD70" s="122"/>
      <c r="PXE70" s="122"/>
      <c r="PXF70" s="122"/>
      <c r="PXG70" s="122"/>
      <c r="PXH70" s="122"/>
      <c r="PXI70" s="122"/>
      <c r="PXJ70" s="122"/>
      <c r="PXK70" s="122"/>
      <c r="PXL70" s="122"/>
      <c r="PXM70" s="122"/>
      <c r="PXN70" s="122"/>
      <c r="PXO70" s="122"/>
      <c r="PXP70" s="122"/>
      <c r="PXQ70" s="122"/>
      <c r="PXR70" s="122"/>
      <c r="PXS70" s="122"/>
      <c r="PXT70" s="122"/>
      <c r="PXU70" s="122"/>
      <c r="PXV70" s="122"/>
      <c r="PXW70" s="122"/>
      <c r="PXX70" s="122"/>
      <c r="PXY70" s="122"/>
      <c r="PXZ70" s="122"/>
      <c r="PYA70" s="122"/>
      <c r="PYB70" s="122"/>
      <c r="PYC70" s="122"/>
      <c r="PYD70" s="122"/>
      <c r="PYE70" s="122"/>
      <c r="PYF70" s="122"/>
      <c r="PYG70" s="122"/>
      <c r="PYH70" s="122"/>
      <c r="PYI70" s="122"/>
      <c r="PYJ70" s="122"/>
      <c r="PYK70" s="122"/>
      <c r="PYL70" s="122"/>
      <c r="PYM70" s="122"/>
      <c r="PYN70" s="122"/>
      <c r="PYO70" s="122"/>
      <c r="PYP70" s="122"/>
      <c r="PYQ70" s="122"/>
      <c r="PYR70" s="122"/>
      <c r="PYS70" s="122"/>
      <c r="PYT70" s="122"/>
      <c r="PYU70" s="122"/>
      <c r="PYV70" s="122"/>
      <c r="PYW70" s="122"/>
      <c r="PYX70" s="122"/>
      <c r="PYY70" s="122"/>
      <c r="PYZ70" s="122"/>
      <c r="PZA70" s="122"/>
      <c r="PZB70" s="122"/>
      <c r="PZC70" s="122"/>
      <c r="PZD70" s="122"/>
      <c r="PZE70" s="122"/>
      <c r="PZF70" s="122"/>
      <c r="PZG70" s="122"/>
      <c r="PZH70" s="122"/>
      <c r="PZI70" s="122"/>
      <c r="PZJ70" s="122"/>
      <c r="PZK70" s="122"/>
      <c r="PZL70" s="122"/>
      <c r="PZM70" s="122"/>
      <c r="PZN70" s="122"/>
      <c r="PZO70" s="122"/>
      <c r="PZP70" s="122"/>
      <c r="PZQ70" s="122"/>
      <c r="PZR70" s="122"/>
      <c r="PZS70" s="122"/>
      <c r="PZT70" s="122"/>
      <c r="PZU70" s="122"/>
      <c r="PZV70" s="122"/>
      <c r="PZW70" s="122"/>
      <c r="PZX70" s="122"/>
      <c r="PZY70" s="122"/>
      <c r="PZZ70" s="122"/>
      <c r="QAA70" s="122"/>
      <c r="QAB70" s="122"/>
      <c r="QAC70" s="122"/>
      <c r="QAD70" s="122"/>
      <c r="QAE70" s="122"/>
      <c r="QAF70" s="122"/>
      <c r="QAG70" s="122"/>
      <c r="QAH70" s="122"/>
      <c r="QAI70" s="122"/>
      <c r="QAJ70" s="122"/>
      <c r="QAK70" s="122"/>
      <c r="QAL70" s="122"/>
      <c r="QAM70" s="122"/>
      <c r="QAN70" s="122"/>
      <c r="QAO70" s="122"/>
      <c r="QAP70" s="122"/>
      <c r="QAQ70" s="122"/>
      <c r="QAR70" s="122"/>
      <c r="QAS70" s="122"/>
      <c r="QAT70" s="122"/>
      <c r="QAU70" s="122"/>
      <c r="QAV70" s="122"/>
      <c r="QAW70" s="122"/>
      <c r="QAX70" s="122"/>
      <c r="QAY70" s="122"/>
      <c r="QAZ70" s="122"/>
      <c r="QBA70" s="122"/>
      <c r="QBB70" s="122"/>
      <c r="QBC70" s="122"/>
      <c r="QBD70" s="122"/>
      <c r="QBE70" s="122"/>
      <c r="QBF70" s="122"/>
      <c r="QBG70" s="122"/>
      <c r="QBH70" s="122"/>
      <c r="QBI70" s="122"/>
      <c r="QBJ70" s="122"/>
      <c r="QBK70" s="122"/>
      <c r="QBL70" s="122"/>
      <c r="QBM70" s="122"/>
      <c r="QBN70" s="122"/>
      <c r="QBO70" s="122"/>
      <c r="QBP70" s="122"/>
      <c r="QBQ70" s="122"/>
      <c r="QBR70" s="122"/>
      <c r="QBS70" s="122"/>
      <c r="QBT70" s="122"/>
      <c r="QBU70" s="122"/>
      <c r="QBV70" s="122"/>
      <c r="QBW70" s="122"/>
      <c r="QBX70" s="122"/>
      <c r="QBY70" s="122"/>
      <c r="QBZ70" s="122"/>
      <c r="QCA70" s="122"/>
      <c r="QCB70" s="122"/>
      <c r="QCC70" s="122"/>
      <c r="QCD70" s="122"/>
      <c r="QCE70" s="122"/>
      <c r="QCF70" s="122"/>
      <c r="QCG70" s="122"/>
      <c r="QCH70" s="122"/>
      <c r="QCI70" s="122"/>
      <c r="QCJ70" s="122"/>
      <c r="QCK70" s="122"/>
      <c r="QCL70" s="122"/>
      <c r="QCM70" s="122"/>
      <c r="QCN70" s="122"/>
      <c r="QCO70" s="122"/>
      <c r="QCP70" s="122"/>
      <c r="QCQ70" s="122"/>
      <c r="QCR70" s="122"/>
      <c r="QCS70" s="122"/>
      <c r="QCT70" s="122"/>
      <c r="QCU70" s="122"/>
      <c r="QCV70" s="122"/>
      <c r="QCW70" s="122"/>
      <c r="QCX70" s="122"/>
      <c r="QCY70" s="122"/>
      <c r="QCZ70" s="122"/>
      <c r="QDA70" s="122"/>
      <c r="QDB70" s="122"/>
      <c r="QDC70" s="122"/>
      <c r="QDD70" s="122"/>
      <c r="QDE70" s="122"/>
      <c r="QDF70" s="122"/>
      <c r="QDG70" s="122"/>
      <c r="QDH70" s="122"/>
      <c r="QDI70" s="122"/>
      <c r="QDJ70" s="122"/>
      <c r="QDK70" s="122"/>
      <c r="QDL70" s="122"/>
      <c r="QDM70" s="122"/>
      <c r="QDN70" s="122"/>
      <c r="QDO70" s="122"/>
      <c r="QDP70" s="122"/>
      <c r="QDQ70" s="122"/>
      <c r="QDR70" s="122"/>
      <c r="QDS70" s="122"/>
      <c r="QDT70" s="122"/>
      <c r="QDU70" s="122"/>
      <c r="QDV70" s="122"/>
      <c r="QDW70" s="122"/>
      <c r="QDX70" s="122"/>
      <c r="QDY70" s="122"/>
      <c r="QDZ70" s="122"/>
      <c r="QEA70" s="122"/>
      <c r="QEB70" s="122"/>
      <c r="QEC70" s="122"/>
      <c r="QED70" s="122"/>
      <c r="QEE70" s="122"/>
      <c r="QEF70" s="122"/>
      <c r="QEG70" s="122"/>
      <c r="QEH70" s="122"/>
      <c r="QEI70" s="122"/>
      <c r="QEJ70" s="122"/>
      <c r="QEK70" s="122"/>
      <c r="QEL70" s="122"/>
      <c r="QEM70" s="122"/>
      <c r="QEN70" s="122"/>
      <c r="QEO70" s="122"/>
      <c r="QEP70" s="122"/>
      <c r="QEQ70" s="122"/>
      <c r="QER70" s="122"/>
      <c r="QES70" s="122"/>
      <c r="QET70" s="122"/>
      <c r="QEU70" s="122"/>
      <c r="QEV70" s="122"/>
      <c r="QEW70" s="122"/>
      <c r="QEX70" s="122"/>
      <c r="QEY70" s="122"/>
      <c r="QEZ70" s="122"/>
      <c r="QFA70" s="122"/>
      <c r="QFB70" s="122"/>
      <c r="QFC70" s="122"/>
      <c r="QFD70" s="122"/>
      <c r="QFE70" s="122"/>
      <c r="QFF70" s="122"/>
      <c r="QFG70" s="122"/>
      <c r="QFH70" s="122"/>
      <c r="QFI70" s="122"/>
      <c r="QFJ70" s="122"/>
      <c r="QFK70" s="122"/>
      <c r="QFL70" s="122"/>
      <c r="QFM70" s="122"/>
      <c r="QFN70" s="122"/>
      <c r="QFO70" s="122"/>
      <c r="QFP70" s="122"/>
      <c r="QFQ70" s="122"/>
      <c r="QFR70" s="122"/>
      <c r="QFS70" s="122"/>
      <c r="QFT70" s="122"/>
      <c r="QFU70" s="122"/>
      <c r="QFV70" s="122"/>
      <c r="QFW70" s="122"/>
      <c r="QFX70" s="122"/>
      <c r="QFY70" s="122"/>
      <c r="QFZ70" s="122"/>
      <c r="QGA70" s="122"/>
      <c r="QGB70" s="122"/>
      <c r="QGC70" s="122"/>
      <c r="QGD70" s="122"/>
      <c r="QGE70" s="122"/>
      <c r="QGF70" s="122"/>
      <c r="QGG70" s="122"/>
      <c r="QGH70" s="122"/>
      <c r="QGI70" s="122"/>
      <c r="QGJ70" s="122"/>
      <c r="QGK70" s="122"/>
      <c r="QGL70" s="122"/>
      <c r="QGM70" s="122"/>
      <c r="QGN70" s="122"/>
      <c r="QGO70" s="122"/>
      <c r="QGP70" s="122"/>
      <c r="QGQ70" s="122"/>
      <c r="QGR70" s="122"/>
      <c r="QGS70" s="122"/>
      <c r="QGT70" s="122"/>
      <c r="QGU70" s="122"/>
      <c r="QGV70" s="122"/>
      <c r="QGW70" s="122"/>
      <c r="QGX70" s="122"/>
      <c r="QGY70" s="122"/>
      <c r="QGZ70" s="122"/>
      <c r="QHA70" s="122"/>
      <c r="QHB70" s="122"/>
      <c r="QHC70" s="122"/>
      <c r="QHD70" s="122"/>
      <c r="QHE70" s="122"/>
      <c r="QHF70" s="122"/>
      <c r="QHG70" s="122"/>
      <c r="QHH70" s="122"/>
      <c r="QHI70" s="122"/>
      <c r="QHJ70" s="122"/>
      <c r="QHK70" s="122"/>
      <c r="QHL70" s="122"/>
      <c r="QHM70" s="122"/>
      <c r="QHN70" s="122"/>
      <c r="QHO70" s="122"/>
      <c r="QHP70" s="122"/>
      <c r="QHQ70" s="122"/>
      <c r="QHR70" s="122"/>
      <c r="QHS70" s="122"/>
      <c r="QHT70" s="122"/>
      <c r="QHU70" s="122"/>
      <c r="QHV70" s="122"/>
      <c r="QHW70" s="122"/>
      <c r="QHX70" s="122"/>
      <c r="QHY70" s="122"/>
      <c r="QHZ70" s="122"/>
      <c r="QIA70" s="122"/>
      <c r="QIB70" s="122"/>
      <c r="QIC70" s="122"/>
      <c r="QID70" s="122"/>
      <c r="QIE70" s="122"/>
      <c r="QIF70" s="122"/>
      <c r="QIG70" s="122"/>
      <c r="QIH70" s="122"/>
      <c r="QII70" s="122"/>
      <c r="QIJ70" s="122"/>
      <c r="QIK70" s="122"/>
      <c r="QIL70" s="122"/>
      <c r="QIM70" s="122"/>
      <c r="QIN70" s="122"/>
      <c r="QIO70" s="122"/>
      <c r="QIP70" s="122"/>
      <c r="QIQ70" s="122"/>
      <c r="QIR70" s="122"/>
      <c r="QIS70" s="122"/>
      <c r="QIT70" s="122"/>
      <c r="QIU70" s="122"/>
      <c r="QIV70" s="122"/>
      <c r="QIW70" s="122"/>
      <c r="QIX70" s="122"/>
      <c r="QIY70" s="122"/>
      <c r="QIZ70" s="122"/>
      <c r="QJA70" s="122"/>
      <c r="QJB70" s="122"/>
      <c r="QJC70" s="122"/>
      <c r="QJD70" s="122"/>
      <c r="QJE70" s="122"/>
      <c r="QJF70" s="122"/>
      <c r="QJG70" s="122"/>
      <c r="QJH70" s="122"/>
      <c r="QJI70" s="122"/>
      <c r="QJJ70" s="122"/>
      <c r="QJK70" s="122"/>
      <c r="QJL70" s="122"/>
      <c r="QJM70" s="122"/>
      <c r="QJN70" s="122"/>
      <c r="QJO70" s="122"/>
      <c r="QJP70" s="122"/>
      <c r="QJQ70" s="122"/>
      <c r="QJR70" s="122"/>
      <c r="QJS70" s="122"/>
      <c r="QJT70" s="122"/>
      <c r="QJU70" s="122"/>
      <c r="QJV70" s="122"/>
      <c r="QJW70" s="122"/>
      <c r="QJX70" s="122"/>
      <c r="QJY70" s="122"/>
      <c r="QJZ70" s="122"/>
      <c r="QKA70" s="122"/>
      <c r="QKB70" s="122"/>
      <c r="QKC70" s="122"/>
      <c r="QKD70" s="122"/>
      <c r="QKE70" s="122"/>
      <c r="QKF70" s="122"/>
      <c r="QKG70" s="122"/>
      <c r="QKH70" s="122"/>
      <c r="QKI70" s="122"/>
      <c r="QKJ70" s="122"/>
      <c r="QKK70" s="122"/>
      <c r="QKL70" s="122"/>
      <c r="QKM70" s="122"/>
      <c r="QKN70" s="122"/>
      <c r="QKO70" s="122"/>
      <c r="QKP70" s="122"/>
      <c r="QKQ70" s="122"/>
      <c r="QKR70" s="122"/>
      <c r="QKS70" s="122"/>
      <c r="QKT70" s="122"/>
      <c r="QKU70" s="122"/>
      <c r="QKV70" s="122"/>
      <c r="QKW70" s="122"/>
      <c r="QKX70" s="122"/>
      <c r="QKY70" s="122"/>
      <c r="QKZ70" s="122"/>
      <c r="QLA70" s="122"/>
      <c r="QLB70" s="122"/>
      <c r="QLC70" s="122"/>
      <c r="QLD70" s="122"/>
      <c r="QLE70" s="122"/>
      <c r="QLF70" s="122"/>
      <c r="QLG70" s="122"/>
      <c r="QLH70" s="122"/>
      <c r="QLI70" s="122"/>
      <c r="QLJ70" s="122"/>
      <c r="QLK70" s="122"/>
      <c r="QLL70" s="122"/>
      <c r="QLM70" s="122"/>
      <c r="QLN70" s="122"/>
      <c r="QLO70" s="122"/>
      <c r="QLP70" s="122"/>
      <c r="QLQ70" s="122"/>
      <c r="QLR70" s="122"/>
      <c r="QLS70" s="122"/>
      <c r="QLT70" s="122"/>
      <c r="QLU70" s="122"/>
      <c r="QLV70" s="122"/>
      <c r="QLW70" s="122"/>
      <c r="QLX70" s="122"/>
      <c r="QLY70" s="122"/>
      <c r="QLZ70" s="122"/>
      <c r="QMA70" s="122"/>
      <c r="QMB70" s="122"/>
      <c r="QMC70" s="122"/>
      <c r="QMD70" s="122"/>
      <c r="QME70" s="122"/>
      <c r="QMF70" s="122"/>
      <c r="QMG70" s="122"/>
      <c r="QMH70" s="122"/>
      <c r="QMI70" s="122"/>
      <c r="QMJ70" s="122"/>
      <c r="QMK70" s="122"/>
      <c r="QML70" s="122"/>
      <c r="QMM70" s="122"/>
      <c r="QMN70" s="122"/>
      <c r="QMO70" s="122"/>
      <c r="QMP70" s="122"/>
      <c r="QMQ70" s="122"/>
      <c r="QMR70" s="122"/>
      <c r="QMS70" s="122"/>
      <c r="QMT70" s="122"/>
      <c r="QMU70" s="122"/>
      <c r="QMV70" s="122"/>
      <c r="QMW70" s="122"/>
      <c r="QMX70" s="122"/>
      <c r="QMY70" s="122"/>
      <c r="QMZ70" s="122"/>
      <c r="QNA70" s="122"/>
      <c r="QNB70" s="122"/>
      <c r="QNC70" s="122"/>
      <c r="QND70" s="122"/>
      <c r="QNE70" s="122"/>
      <c r="QNF70" s="122"/>
      <c r="QNG70" s="122"/>
      <c r="QNH70" s="122"/>
      <c r="QNI70" s="122"/>
      <c r="QNJ70" s="122"/>
      <c r="QNK70" s="122"/>
      <c r="QNL70" s="122"/>
      <c r="QNM70" s="122"/>
      <c r="QNN70" s="122"/>
      <c r="QNO70" s="122"/>
      <c r="QNP70" s="122"/>
      <c r="QNQ70" s="122"/>
      <c r="QNR70" s="122"/>
      <c r="QNS70" s="122"/>
      <c r="QNT70" s="122"/>
      <c r="QNU70" s="122"/>
      <c r="QNV70" s="122"/>
      <c r="QNW70" s="122"/>
      <c r="QNX70" s="122"/>
      <c r="QNY70" s="122"/>
      <c r="QNZ70" s="122"/>
      <c r="QOA70" s="122"/>
      <c r="QOB70" s="122"/>
      <c r="QOC70" s="122"/>
      <c r="QOD70" s="122"/>
      <c r="QOE70" s="122"/>
      <c r="QOF70" s="122"/>
      <c r="QOG70" s="122"/>
      <c r="QOH70" s="122"/>
      <c r="QOI70" s="122"/>
      <c r="QOJ70" s="122"/>
      <c r="QOK70" s="122"/>
      <c r="QOL70" s="122"/>
      <c r="QOM70" s="122"/>
      <c r="QON70" s="122"/>
      <c r="QOO70" s="122"/>
      <c r="QOP70" s="122"/>
      <c r="QOQ70" s="122"/>
      <c r="QOR70" s="122"/>
      <c r="QOS70" s="122"/>
      <c r="QOT70" s="122"/>
      <c r="QOU70" s="122"/>
      <c r="QOV70" s="122"/>
      <c r="QOW70" s="122"/>
      <c r="QOX70" s="122"/>
      <c r="QOY70" s="122"/>
      <c r="QOZ70" s="122"/>
      <c r="QPA70" s="122"/>
      <c r="QPB70" s="122"/>
      <c r="QPC70" s="122"/>
      <c r="QPD70" s="122"/>
      <c r="QPE70" s="122"/>
      <c r="QPF70" s="122"/>
      <c r="QPG70" s="122"/>
      <c r="QPH70" s="122"/>
      <c r="QPI70" s="122"/>
      <c r="QPJ70" s="122"/>
      <c r="QPK70" s="122"/>
      <c r="QPL70" s="122"/>
      <c r="QPM70" s="122"/>
      <c r="QPN70" s="122"/>
      <c r="QPO70" s="122"/>
      <c r="QPP70" s="122"/>
      <c r="QPQ70" s="122"/>
      <c r="QPR70" s="122"/>
      <c r="QPS70" s="122"/>
      <c r="QPT70" s="122"/>
      <c r="QPU70" s="122"/>
      <c r="QPV70" s="122"/>
      <c r="QPW70" s="122"/>
      <c r="QPX70" s="122"/>
      <c r="QPY70" s="122"/>
      <c r="QPZ70" s="122"/>
      <c r="QQA70" s="122"/>
      <c r="QQB70" s="122"/>
      <c r="QQC70" s="122"/>
      <c r="QQD70" s="122"/>
      <c r="QQE70" s="122"/>
      <c r="QQF70" s="122"/>
      <c r="QQG70" s="122"/>
      <c r="QQH70" s="122"/>
      <c r="QQI70" s="122"/>
      <c r="QQJ70" s="122"/>
      <c r="QQK70" s="122"/>
      <c r="QQL70" s="122"/>
      <c r="QQM70" s="122"/>
      <c r="QQN70" s="122"/>
      <c r="QQO70" s="122"/>
      <c r="QQP70" s="122"/>
      <c r="QQQ70" s="122"/>
      <c r="QQR70" s="122"/>
      <c r="QQS70" s="122"/>
      <c r="QQT70" s="122"/>
      <c r="QQU70" s="122"/>
      <c r="QQV70" s="122"/>
      <c r="QQW70" s="122"/>
      <c r="QQX70" s="122"/>
      <c r="QQY70" s="122"/>
      <c r="QQZ70" s="122"/>
      <c r="QRA70" s="122"/>
      <c r="QRB70" s="122"/>
      <c r="QRC70" s="122"/>
      <c r="QRD70" s="122"/>
      <c r="QRE70" s="122"/>
      <c r="QRF70" s="122"/>
      <c r="QRG70" s="122"/>
      <c r="QRH70" s="122"/>
      <c r="QRI70" s="122"/>
      <c r="QRJ70" s="122"/>
      <c r="QRK70" s="122"/>
      <c r="QRL70" s="122"/>
      <c r="QRM70" s="122"/>
      <c r="QRN70" s="122"/>
      <c r="QRO70" s="122"/>
      <c r="QRP70" s="122"/>
      <c r="QRQ70" s="122"/>
      <c r="QRR70" s="122"/>
      <c r="QRS70" s="122"/>
      <c r="QRT70" s="122"/>
      <c r="QRU70" s="122"/>
      <c r="QRV70" s="122"/>
      <c r="QRW70" s="122"/>
      <c r="QRX70" s="122"/>
      <c r="QRY70" s="122"/>
      <c r="QRZ70" s="122"/>
      <c r="QSA70" s="122"/>
      <c r="QSB70" s="122"/>
      <c r="QSC70" s="122"/>
      <c r="QSD70" s="122"/>
      <c r="QSE70" s="122"/>
      <c r="QSF70" s="122"/>
      <c r="QSG70" s="122"/>
      <c r="QSH70" s="122"/>
      <c r="QSI70" s="122"/>
      <c r="QSJ70" s="122"/>
      <c r="QSK70" s="122"/>
      <c r="QSL70" s="122"/>
      <c r="QSM70" s="122"/>
      <c r="QSN70" s="122"/>
      <c r="QSO70" s="122"/>
      <c r="QSP70" s="122"/>
      <c r="QSQ70" s="122"/>
      <c r="QSR70" s="122"/>
      <c r="QSS70" s="122"/>
      <c r="QST70" s="122"/>
      <c r="QSU70" s="122"/>
      <c r="QSV70" s="122"/>
      <c r="QSW70" s="122"/>
      <c r="QSX70" s="122"/>
      <c r="QSY70" s="122"/>
      <c r="QSZ70" s="122"/>
      <c r="QTA70" s="122"/>
      <c r="QTB70" s="122"/>
      <c r="QTC70" s="122"/>
      <c r="QTD70" s="122"/>
      <c r="QTE70" s="122"/>
      <c r="QTF70" s="122"/>
      <c r="QTG70" s="122"/>
      <c r="QTH70" s="122"/>
      <c r="QTI70" s="122"/>
      <c r="QTJ70" s="122"/>
      <c r="QTK70" s="122"/>
      <c r="QTL70" s="122"/>
      <c r="QTM70" s="122"/>
      <c r="QTN70" s="122"/>
      <c r="QTO70" s="122"/>
      <c r="QTP70" s="122"/>
      <c r="QTQ70" s="122"/>
      <c r="QTR70" s="122"/>
      <c r="QTS70" s="122"/>
      <c r="QTT70" s="122"/>
      <c r="QTU70" s="122"/>
      <c r="QTV70" s="122"/>
      <c r="QTW70" s="122"/>
      <c r="QTX70" s="122"/>
      <c r="QTY70" s="122"/>
      <c r="QTZ70" s="122"/>
      <c r="QUA70" s="122"/>
      <c r="QUB70" s="122"/>
      <c r="QUC70" s="122"/>
      <c r="QUD70" s="122"/>
      <c r="QUE70" s="122"/>
      <c r="QUF70" s="122"/>
      <c r="QUG70" s="122"/>
      <c r="QUH70" s="122"/>
      <c r="QUI70" s="122"/>
      <c r="QUJ70" s="122"/>
      <c r="QUK70" s="122"/>
      <c r="QUL70" s="122"/>
      <c r="QUM70" s="122"/>
      <c r="QUN70" s="122"/>
      <c r="QUO70" s="122"/>
      <c r="QUP70" s="122"/>
      <c r="QUQ70" s="122"/>
      <c r="QUR70" s="122"/>
      <c r="QUS70" s="122"/>
      <c r="QUT70" s="122"/>
      <c r="QUU70" s="122"/>
      <c r="QUV70" s="122"/>
      <c r="QUW70" s="122"/>
      <c r="QUX70" s="122"/>
      <c r="QUY70" s="122"/>
      <c r="QUZ70" s="122"/>
      <c r="QVA70" s="122"/>
      <c r="QVB70" s="122"/>
      <c r="QVC70" s="122"/>
      <c r="QVD70" s="122"/>
      <c r="QVE70" s="122"/>
      <c r="QVF70" s="122"/>
      <c r="QVG70" s="122"/>
      <c r="QVH70" s="122"/>
      <c r="QVI70" s="122"/>
      <c r="QVJ70" s="122"/>
      <c r="QVK70" s="122"/>
      <c r="QVL70" s="122"/>
      <c r="QVM70" s="122"/>
      <c r="QVN70" s="122"/>
      <c r="QVO70" s="122"/>
      <c r="QVP70" s="122"/>
      <c r="QVQ70" s="122"/>
      <c r="QVR70" s="122"/>
      <c r="QVS70" s="122"/>
      <c r="QVT70" s="122"/>
      <c r="QVU70" s="122"/>
      <c r="QVV70" s="122"/>
      <c r="QVW70" s="122"/>
      <c r="QVX70" s="122"/>
      <c r="QVY70" s="122"/>
      <c r="QVZ70" s="122"/>
      <c r="QWA70" s="122"/>
      <c r="QWB70" s="122"/>
      <c r="QWC70" s="122"/>
      <c r="QWD70" s="122"/>
      <c r="QWE70" s="122"/>
      <c r="QWF70" s="122"/>
      <c r="QWG70" s="122"/>
      <c r="QWH70" s="122"/>
      <c r="QWI70" s="122"/>
      <c r="QWJ70" s="122"/>
      <c r="QWK70" s="122"/>
      <c r="QWL70" s="122"/>
      <c r="QWM70" s="122"/>
      <c r="QWN70" s="122"/>
      <c r="QWO70" s="122"/>
      <c r="QWP70" s="122"/>
      <c r="QWQ70" s="122"/>
      <c r="QWR70" s="122"/>
      <c r="QWS70" s="122"/>
      <c r="QWT70" s="122"/>
      <c r="QWU70" s="122"/>
      <c r="QWV70" s="122"/>
      <c r="QWW70" s="122"/>
      <c r="QWX70" s="122"/>
      <c r="QWY70" s="122"/>
      <c r="QWZ70" s="122"/>
      <c r="QXA70" s="122"/>
      <c r="QXB70" s="122"/>
      <c r="QXC70" s="122"/>
      <c r="QXD70" s="122"/>
      <c r="QXE70" s="122"/>
      <c r="QXF70" s="122"/>
      <c r="QXG70" s="122"/>
      <c r="QXH70" s="122"/>
      <c r="QXI70" s="122"/>
      <c r="QXJ70" s="122"/>
      <c r="QXK70" s="122"/>
      <c r="QXL70" s="122"/>
      <c r="QXM70" s="122"/>
      <c r="QXN70" s="122"/>
      <c r="QXO70" s="122"/>
      <c r="QXP70" s="122"/>
      <c r="QXQ70" s="122"/>
      <c r="QXR70" s="122"/>
      <c r="QXS70" s="122"/>
      <c r="QXT70" s="122"/>
      <c r="QXU70" s="122"/>
      <c r="QXV70" s="122"/>
      <c r="QXW70" s="122"/>
      <c r="QXX70" s="122"/>
      <c r="QXY70" s="122"/>
      <c r="QXZ70" s="122"/>
      <c r="QYA70" s="122"/>
      <c r="QYB70" s="122"/>
      <c r="QYC70" s="122"/>
      <c r="QYD70" s="122"/>
      <c r="QYE70" s="122"/>
      <c r="QYF70" s="122"/>
      <c r="QYG70" s="122"/>
      <c r="QYH70" s="122"/>
      <c r="QYI70" s="122"/>
      <c r="QYJ70" s="122"/>
      <c r="QYK70" s="122"/>
      <c r="QYL70" s="122"/>
      <c r="QYM70" s="122"/>
      <c r="QYN70" s="122"/>
      <c r="QYO70" s="122"/>
      <c r="QYP70" s="122"/>
      <c r="QYQ70" s="122"/>
      <c r="QYR70" s="122"/>
      <c r="QYS70" s="122"/>
      <c r="QYT70" s="122"/>
      <c r="QYU70" s="122"/>
      <c r="QYV70" s="122"/>
      <c r="QYW70" s="122"/>
      <c r="QYX70" s="122"/>
      <c r="QYY70" s="122"/>
      <c r="QYZ70" s="122"/>
      <c r="QZA70" s="122"/>
      <c r="QZB70" s="122"/>
      <c r="QZC70" s="122"/>
      <c r="QZD70" s="122"/>
      <c r="QZE70" s="122"/>
      <c r="QZF70" s="122"/>
      <c r="QZG70" s="122"/>
      <c r="QZH70" s="122"/>
      <c r="QZI70" s="122"/>
      <c r="QZJ70" s="122"/>
      <c r="QZK70" s="122"/>
      <c r="QZL70" s="122"/>
      <c r="QZM70" s="122"/>
      <c r="QZN70" s="122"/>
      <c r="QZO70" s="122"/>
      <c r="QZP70" s="122"/>
      <c r="QZQ70" s="122"/>
      <c r="QZR70" s="122"/>
      <c r="QZS70" s="122"/>
      <c r="QZT70" s="122"/>
      <c r="QZU70" s="122"/>
      <c r="QZV70" s="122"/>
      <c r="QZW70" s="122"/>
      <c r="QZX70" s="122"/>
      <c r="QZY70" s="122"/>
      <c r="QZZ70" s="122"/>
      <c r="RAA70" s="122"/>
      <c r="RAB70" s="122"/>
      <c r="RAC70" s="122"/>
      <c r="RAD70" s="122"/>
      <c r="RAE70" s="122"/>
      <c r="RAF70" s="122"/>
      <c r="RAG70" s="122"/>
      <c r="RAH70" s="122"/>
      <c r="RAI70" s="122"/>
      <c r="RAJ70" s="122"/>
      <c r="RAK70" s="122"/>
      <c r="RAL70" s="122"/>
      <c r="RAM70" s="122"/>
      <c r="RAN70" s="122"/>
      <c r="RAO70" s="122"/>
      <c r="RAP70" s="122"/>
      <c r="RAQ70" s="122"/>
      <c r="RAR70" s="122"/>
      <c r="RAS70" s="122"/>
      <c r="RAT70" s="122"/>
      <c r="RAU70" s="122"/>
      <c r="RAV70" s="122"/>
      <c r="RAW70" s="122"/>
      <c r="RAX70" s="122"/>
      <c r="RAY70" s="122"/>
      <c r="RAZ70" s="122"/>
      <c r="RBA70" s="122"/>
      <c r="RBB70" s="122"/>
      <c r="RBC70" s="122"/>
      <c r="RBD70" s="122"/>
      <c r="RBE70" s="122"/>
      <c r="RBF70" s="122"/>
      <c r="RBG70" s="122"/>
      <c r="RBH70" s="122"/>
      <c r="RBI70" s="122"/>
      <c r="RBJ70" s="122"/>
      <c r="RBK70" s="122"/>
      <c r="RBL70" s="122"/>
      <c r="RBM70" s="122"/>
      <c r="RBN70" s="122"/>
      <c r="RBO70" s="122"/>
      <c r="RBP70" s="122"/>
      <c r="RBQ70" s="122"/>
      <c r="RBR70" s="122"/>
      <c r="RBS70" s="122"/>
      <c r="RBT70" s="122"/>
      <c r="RBU70" s="122"/>
      <c r="RBV70" s="122"/>
      <c r="RBW70" s="122"/>
      <c r="RBX70" s="122"/>
      <c r="RBY70" s="122"/>
      <c r="RBZ70" s="122"/>
      <c r="RCA70" s="122"/>
      <c r="RCB70" s="122"/>
      <c r="RCC70" s="122"/>
      <c r="RCD70" s="122"/>
      <c r="RCE70" s="122"/>
      <c r="RCF70" s="122"/>
      <c r="RCG70" s="122"/>
      <c r="RCH70" s="122"/>
      <c r="RCI70" s="122"/>
      <c r="RCJ70" s="122"/>
      <c r="RCK70" s="122"/>
      <c r="RCL70" s="122"/>
      <c r="RCM70" s="122"/>
      <c r="RCN70" s="122"/>
      <c r="RCO70" s="122"/>
      <c r="RCP70" s="122"/>
      <c r="RCQ70" s="122"/>
      <c r="RCR70" s="122"/>
      <c r="RCS70" s="122"/>
      <c r="RCT70" s="122"/>
      <c r="RCU70" s="122"/>
      <c r="RCV70" s="122"/>
      <c r="RCW70" s="122"/>
      <c r="RCX70" s="122"/>
      <c r="RCY70" s="122"/>
      <c r="RCZ70" s="122"/>
      <c r="RDA70" s="122"/>
      <c r="RDB70" s="122"/>
      <c r="RDC70" s="122"/>
      <c r="RDD70" s="122"/>
      <c r="RDE70" s="122"/>
      <c r="RDF70" s="122"/>
      <c r="RDG70" s="122"/>
      <c r="RDH70" s="122"/>
      <c r="RDI70" s="122"/>
      <c r="RDJ70" s="122"/>
      <c r="RDK70" s="122"/>
      <c r="RDL70" s="122"/>
      <c r="RDM70" s="122"/>
      <c r="RDN70" s="122"/>
      <c r="RDO70" s="122"/>
      <c r="RDP70" s="122"/>
      <c r="RDQ70" s="122"/>
      <c r="RDR70" s="122"/>
      <c r="RDS70" s="122"/>
      <c r="RDT70" s="122"/>
      <c r="RDU70" s="122"/>
      <c r="RDV70" s="122"/>
      <c r="RDW70" s="122"/>
      <c r="RDX70" s="122"/>
      <c r="RDY70" s="122"/>
      <c r="RDZ70" s="122"/>
      <c r="REA70" s="122"/>
      <c r="REB70" s="122"/>
      <c r="REC70" s="122"/>
      <c r="RED70" s="122"/>
      <c r="REE70" s="122"/>
      <c r="REF70" s="122"/>
      <c r="REG70" s="122"/>
      <c r="REH70" s="122"/>
      <c r="REI70" s="122"/>
      <c r="REJ70" s="122"/>
      <c r="REK70" s="122"/>
      <c r="REL70" s="122"/>
      <c r="REM70" s="122"/>
      <c r="REN70" s="122"/>
      <c r="REO70" s="122"/>
      <c r="REP70" s="122"/>
      <c r="REQ70" s="122"/>
      <c r="RER70" s="122"/>
      <c r="RES70" s="122"/>
      <c r="RET70" s="122"/>
      <c r="REU70" s="122"/>
      <c r="REV70" s="122"/>
      <c r="REW70" s="122"/>
      <c r="REX70" s="122"/>
      <c r="REY70" s="122"/>
      <c r="REZ70" s="122"/>
      <c r="RFA70" s="122"/>
      <c r="RFB70" s="122"/>
      <c r="RFC70" s="122"/>
      <c r="RFD70" s="122"/>
      <c r="RFE70" s="122"/>
      <c r="RFF70" s="122"/>
      <c r="RFG70" s="122"/>
      <c r="RFH70" s="122"/>
      <c r="RFI70" s="122"/>
      <c r="RFJ70" s="122"/>
      <c r="RFK70" s="122"/>
      <c r="RFL70" s="122"/>
      <c r="RFM70" s="122"/>
      <c r="RFN70" s="122"/>
      <c r="RFO70" s="122"/>
      <c r="RFP70" s="122"/>
      <c r="RFQ70" s="122"/>
      <c r="RFR70" s="122"/>
      <c r="RFS70" s="122"/>
      <c r="RFT70" s="122"/>
      <c r="RFU70" s="122"/>
      <c r="RFV70" s="122"/>
      <c r="RFW70" s="122"/>
      <c r="RFX70" s="122"/>
      <c r="RFY70" s="122"/>
      <c r="RFZ70" s="122"/>
      <c r="RGA70" s="122"/>
      <c r="RGB70" s="122"/>
      <c r="RGC70" s="122"/>
      <c r="RGD70" s="122"/>
      <c r="RGE70" s="122"/>
      <c r="RGF70" s="122"/>
      <c r="RGG70" s="122"/>
      <c r="RGH70" s="122"/>
      <c r="RGI70" s="122"/>
      <c r="RGJ70" s="122"/>
      <c r="RGK70" s="122"/>
      <c r="RGL70" s="122"/>
      <c r="RGM70" s="122"/>
      <c r="RGN70" s="122"/>
      <c r="RGO70" s="122"/>
      <c r="RGP70" s="122"/>
      <c r="RGQ70" s="122"/>
      <c r="RGR70" s="122"/>
      <c r="RGS70" s="122"/>
      <c r="RGT70" s="122"/>
      <c r="RGU70" s="122"/>
      <c r="RGV70" s="122"/>
      <c r="RGW70" s="122"/>
      <c r="RGX70" s="122"/>
      <c r="RGY70" s="122"/>
      <c r="RGZ70" s="122"/>
      <c r="RHA70" s="122"/>
      <c r="RHB70" s="122"/>
      <c r="RHC70" s="122"/>
      <c r="RHD70" s="122"/>
      <c r="RHE70" s="122"/>
      <c r="RHF70" s="122"/>
      <c r="RHG70" s="122"/>
      <c r="RHH70" s="122"/>
      <c r="RHI70" s="122"/>
      <c r="RHJ70" s="122"/>
      <c r="RHK70" s="122"/>
      <c r="RHL70" s="122"/>
      <c r="RHM70" s="122"/>
      <c r="RHN70" s="122"/>
      <c r="RHO70" s="122"/>
      <c r="RHP70" s="122"/>
      <c r="RHQ70" s="122"/>
      <c r="RHR70" s="122"/>
      <c r="RHS70" s="122"/>
      <c r="RHT70" s="122"/>
      <c r="RHU70" s="122"/>
      <c r="RHV70" s="122"/>
      <c r="RHW70" s="122"/>
      <c r="RHX70" s="122"/>
      <c r="RHY70" s="122"/>
      <c r="RHZ70" s="122"/>
      <c r="RIA70" s="122"/>
      <c r="RIB70" s="122"/>
      <c r="RIC70" s="122"/>
      <c r="RID70" s="122"/>
      <c r="RIE70" s="122"/>
      <c r="RIF70" s="122"/>
      <c r="RIG70" s="122"/>
      <c r="RIH70" s="122"/>
      <c r="RII70" s="122"/>
      <c r="RIJ70" s="122"/>
      <c r="RIK70" s="122"/>
      <c r="RIL70" s="122"/>
      <c r="RIM70" s="122"/>
      <c r="RIN70" s="122"/>
      <c r="RIO70" s="122"/>
      <c r="RIP70" s="122"/>
      <c r="RIQ70" s="122"/>
      <c r="RIR70" s="122"/>
      <c r="RIS70" s="122"/>
      <c r="RIT70" s="122"/>
      <c r="RIU70" s="122"/>
      <c r="RIV70" s="122"/>
      <c r="RIW70" s="122"/>
      <c r="RIX70" s="122"/>
      <c r="RIY70" s="122"/>
      <c r="RIZ70" s="122"/>
      <c r="RJA70" s="122"/>
      <c r="RJB70" s="122"/>
      <c r="RJC70" s="122"/>
      <c r="RJD70" s="122"/>
      <c r="RJE70" s="122"/>
      <c r="RJF70" s="122"/>
      <c r="RJG70" s="122"/>
      <c r="RJH70" s="122"/>
      <c r="RJI70" s="122"/>
      <c r="RJJ70" s="122"/>
      <c r="RJK70" s="122"/>
      <c r="RJL70" s="122"/>
      <c r="RJM70" s="122"/>
      <c r="RJN70" s="122"/>
      <c r="RJO70" s="122"/>
      <c r="RJP70" s="122"/>
      <c r="RJQ70" s="122"/>
      <c r="RJR70" s="122"/>
      <c r="RJS70" s="122"/>
      <c r="RJT70" s="122"/>
      <c r="RJU70" s="122"/>
      <c r="RJV70" s="122"/>
      <c r="RJW70" s="122"/>
      <c r="RJX70" s="122"/>
      <c r="RJY70" s="122"/>
      <c r="RJZ70" s="122"/>
      <c r="RKA70" s="122"/>
      <c r="RKB70" s="122"/>
      <c r="RKC70" s="122"/>
      <c r="RKD70" s="122"/>
      <c r="RKE70" s="122"/>
      <c r="RKF70" s="122"/>
      <c r="RKG70" s="122"/>
      <c r="RKH70" s="122"/>
      <c r="RKI70" s="122"/>
      <c r="RKJ70" s="122"/>
      <c r="RKK70" s="122"/>
      <c r="RKL70" s="122"/>
      <c r="RKM70" s="122"/>
      <c r="RKN70" s="122"/>
      <c r="RKO70" s="122"/>
      <c r="RKP70" s="122"/>
      <c r="RKQ70" s="122"/>
      <c r="RKR70" s="122"/>
      <c r="RKS70" s="122"/>
      <c r="RKT70" s="122"/>
      <c r="RKU70" s="122"/>
      <c r="RKV70" s="122"/>
      <c r="RKW70" s="122"/>
      <c r="RKX70" s="122"/>
      <c r="RKY70" s="122"/>
      <c r="RKZ70" s="122"/>
      <c r="RLA70" s="122"/>
      <c r="RLB70" s="122"/>
      <c r="RLC70" s="122"/>
      <c r="RLD70" s="122"/>
      <c r="RLE70" s="122"/>
      <c r="RLF70" s="122"/>
      <c r="RLG70" s="122"/>
      <c r="RLH70" s="122"/>
      <c r="RLI70" s="122"/>
      <c r="RLJ70" s="122"/>
      <c r="RLK70" s="122"/>
      <c r="RLL70" s="122"/>
      <c r="RLM70" s="122"/>
      <c r="RLN70" s="122"/>
      <c r="RLO70" s="122"/>
      <c r="RLP70" s="122"/>
      <c r="RLQ70" s="122"/>
      <c r="RLR70" s="122"/>
      <c r="RLS70" s="122"/>
      <c r="RLT70" s="122"/>
      <c r="RLU70" s="122"/>
      <c r="RLV70" s="122"/>
      <c r="RLW70" s="122"/>
      <c r="RLX70" s="122"/>
      <c r="RLY70" s="122"/>
      <c r="RLZ70" s="122"/>
      <c r="RMA70" s="122"/>
      <c r="RMB70" s="122"/>
      <c r="RMC70" s="122"/>
      <c r="RMD70" s="122"/>
      <c r="RME70" s="122"/>
      <c r="RMF70" s="122"/>
      <c r="RMG70" s="122"/>
      <c r="RMH70" s="122"/>
      <c r="RMI70" s="122"/>
      <c r="RMJ70" s="122"/>
      <c r="RMK70" s="122"/>
      <c r="RML70" s="122"/>
      <c r="RMM70" s="122"/>
      <c r="RMN70" s="122"/>
      <c r="RMO70" s="122"/>
      <c r="RMP70" s="122"/>
      <c r="RMQ70" s="122"/>
      <c r="RMR70" s="122"/>
      <c r="RMS70" s="122"/>
      <c r="RMT70" s="122"/>
      <c r="RMU70" s="122"/>
      <c r="RMV70" s="122"/>
      <c r="RMW70" s="122"/>
      <c r="RMX70" s="122"/>
      <c r="RMY70" s="122"/>
      <c r="RMZ70" s="122"/>
      <c r="RNA70" s="122"/>
      <c r="RNB70" s="122"/>
      <c r="RNC70" s="122"/>
      <c r="RND70" s="122"/>
      <c r="RNE70" s="122"/>
      <c r="RNF70" s="122"/>
      <c r="RNG70" s="122"/>
      <c r="RNH70" s="122"/>
      <c r="RNI70" s="122"/>
      <c r="RNJ70" s="122"/>
      <c r="RNK70" s="122"/>
      <c r="RNL70" s="122"/>
      <c r="RNM70" s="122"/>
      <c r="RNN70" s="122"/>
      <c r="RNO70" s="122"/>
      <c r="RNP70" s="122"/>
      <c r="RNQ70" s="122"/>
      <c r="RNR70" s="122"/>
      <c r="RNS70" s="122"/>
      <c r="RNT70" s="122"/>
      <c r="RNU70" s="122"/>
      <c r="RNV70" s="122"/>
      <c r="RNW70" s="122"/>
      <c r="RNX70" s="122"/>
      <c r="RNY70" s="122"/>
      <c r="RNZ70" s="122"/>
      <c r="ROA70" s="122"/>
      <c r="ROB70" s="122"/>
      <c r="ROC70" s="122"/>
      <c r="ROD70" s="122"/>
      <c r="ROE70" s="122"/>
      <c r="ROF70" s="122"/>
      <c r="ROG70" s="122"/>
      <c r="ROH70" s="122"/>
      <c r="ROI70" s="122"/>
      <c r="ROJ70" s="122"/>
      <c r="ROK70" s="122"/>
      <c r="ROL70" s="122"/>
      <c r="ROM70" s="122"/>
      <c r="RON70" s="122"/>
      <c r="ROO70" s="122"/>
      <c r="ROP70" s="122"/>
      <c r="ROQ70" s="122"/>
      <c r="ROR70" s="122"/>
      <c r="ROS70" s="122"/>
      <c r="ROT70" s="122"/>
      <c r="ROU70" s="122"/>
      <c r="ROV70" s="122"/>
      <c r="ROW70" s="122"/>
      <c r="ROX70" s="122"/>
      <c r="ROY70" s="122"/>
      <c r="ROZ70" s="122"/>
      <c r="RPA70" s="122"/>
      <c r="RPB70" s="122"/>
      <c r="RPC70" s="122"/>
      <c r="RPD70" s="122"/>
      <c r="RPE70" s="122"/>
      <c r="RPF70" s="122"/>
      <c r="RPG70" s="122"/>
      <c r="RPH70" s="122"/>
      <c r="RPI70" s="122"/>
      <c r="RPJ70" s="122"/>
      <c r="RPK70" s="122"/>
      <c r="RPL70" s="122"/>
      <c r="RPM70" s="122"/>
      <c r="RPN70" s="122"/>
      <c r="RPO70" s="122"/>
      <c r="RPP70" s="122"/>
      <c r="RPQ70" s="122"/>
      <c r="RPR70" s="122"/>
      <c r="RPS70" s="122"/>
      <c r="RPT70" s="122"/>
      <c r="RPU70" s="122"/>
      <c r="RPV70" s="122"/>
      <c r="RPW70" s="122"/>
      <c r="RPX70" s="122"/>
      <c r="RPY70" s="122"/>
      <c r="RPZ70" s="122"/>
      <c r="RQA70" s="122"/>
      <c r="RQB70" s="122"/>
      <c r="RQC70" s="122"/>
      <c r="RQD70" s="122"/>
      <c r="RQE70" s="122"/>
      <c r="RQF70" s="122"/>
      <c r="RQG70" s="122"/>
      <c r="RQH70" s="122"/>
      <c r="RQI70" s="122"/>
      <c r="RQJ70" s="122"/>
      <c r="RQK70" s="122"/>
      <c r="RQL70" s="122"/>
      <c r="RQM70" s="122"/>
      <c r="RQN70" s="122"/>
      <c r="RQO70" s="122"/>
      <c r="RQP70" s="122"/>
      <c r="RQQ70" s="122"/>
      <c r="RQR70" s="122"/>
      <c r="RQS70" s="122"/>
      <c r="RQT70" s="122"/>
      <c r="RQU70" s="122"/>
      <c r="RQV70" s="122"/>
      <c r="RQW70" s="122"/>
      <c r="RQX70" s="122"/>
      <c r="RQY70" s="122"/>
      <c r="RQZ70" s="122"/>
      <c r="RRA70" s="122"/>
      <c r="RRB70" s="122"/>
      <c r="RRC70" s="122"/>
      <c r="RRD70" s="122"/>
      <c r="RRE70" s="122"/>
      <c r="RRF70" s="122"/>
      <c r="RRG70" s="122"/>
      <c r="RRH70" s="122"/>
      <c r="RRI70" s="122"/>
      <c r="RRJ70" s="122"/>
      <c r="RRK70" s="122"/>
      <c r="RRL70" s="122"/>
      <c r="RRM70" s="122"/>
      <c r="RRN70" s="122"/>
      <c r="RRO70" s="122"/>
      <c r="RRP70" s="122"/>
      <c r="RRQ70" s="122"/>
      <c r="RRR70" s="122"/>
      <c r="RRS70" s="122"/>
      <c r="RRT70" s="122"/>
      <c r="RRU70" s="122"/>
      <c r="RRV70" s="122"/>
      <c r="RRW70" s="122"/>
      <c r="RRX70" s="122"/>
      <c r="RRY70" s="122"/>
      <c r="RRZ70" s="122"/>
      <c r="RSA70" s="122"/>
      <c r="RSB70" s="122"/>
      <c r="RSC70" s="122"/>
      <c r="RSD70" s="122"/>
      <c r="RSE70" s="122"/>
      <c r="RSF70" s="122"/>
      <c r="RSG70" s="122"/>
      <c r="RSH70" s="122"/>
      <c r="RSI70" s="122"/>
      <c r="RSJ70" s="122"/>
      <c r="RSK70" s="122"/>
      <c r="RSL70" s="122"/>
      <c r="RSM70" s="122"/>
      <c r="RSN70" s="122"/>
      <c r="RSO70" s="122"/>
      <c r="RSP70" s="122"/>
      <c r="RSQ70" s="122"/>
      <c r="RSR70" s="122"/>
      <c r="RSS70" s="122"/>
      <c r="RST70" s="122"/>
      <c r="RSU70" s="122"/>
      <c r="RSV70" s="122"/>
      <c r="RSW70" s="122"/>
      <c r="RSX70" s="122"/>
      <c r="RSY70" s="122"/>
      <c r="RSZ70" s="122"/>
      <c r="RTA70" s="122"/>
      <c r="RTB70" s="122"/>
      <c r="RTC70" s="122"/>
      <c r="RTD70" s="122"/>
      <c r="RTE70" s="122"/>
      <c r="RTF70" s="122"/>
      <c r="RTG70" s="122"/>
      <c r="RTH70" s="122"/>
      <c r="RTI70" s="122"/>
      <c r="RTJ70" s="122"/>
      <c r="RTK70" s="122"/>
      <c r="RTL70" s="122"/>
      <c r="RTM70" s="122"/>
      <c r="RTN70" s="122"/>
      <c r="RTO70" s="122"/>
      <c r="RTP70" s="122"/>
      <c r="RTQ70" s="122"/>
      <c r="RTR70" s="122"/>
      <c r="RTS70" s="122"/>
      <c r="RTT70" s="122"/>
      <c r="RTU70" s="122"/>
      <c r="RTV70" s="122"/>
      <c r="RTW70" s="122"/>
      <c r="RTX70" s="122"/>
      <c r="RTY70" s="122"/>
      <c r="RTZ70" s="122"/>
      <c r="RUA70" s="122"/>
      <c r="RUB70" s="122"/>
      <c r="RUC70" s="122"/>
      <c r="RUD70" s="122"/>
      <c r="RUE70" s="122"/>
      <c r="RUF70" s="122"/>
      <c r="RUG70" s="122"/>
      <c r="RUH70" s="122"/>
      <c r="RUI70" s="122"/>
      <c r="RUJ70" s="122"/>
      <c r="RUK70" s="122"/>
      <c r="RUL70" s="122"/>
      <c r="RUM70" s="122"/>
      <c r="RUN70" s="122"/>
      <c r="RUO70" s="122"/>
      <c r="RUP70" s="122"/>
      <c r="RUQ70" s="122"/>
      <c r="RUR70" s="122"/>
      <c r="RUS70" s="122"/>
      <c r="RUT70" s="122"/>
      <c r="RUU70" s="122"/>
      <c r="RUV70" s="122"/>
      <c r="RUW70" s="122"/>
      <c r="RUX70" s="122"/>
      <c r="RUY70" s="122"/>
      <c r="RUZ70" s="122"/>
      <c r="RVA70" s="122"/>
      <c r="RVB70" s="122"/>
      <c r="RVC70" s="122"/>
      <c r="RVD70" s="122"/>
      <c r="RVE70" s="122"/>
      <c r="RVF70" s="122"/>
      <c r="RVG70" s="122"/>
      <c r="RVH70" s="122"/>
      <c r="RVI70" s="122"/>
      <c r="RVJ70" s="122"/>
      <c r="RVK70" s="122"/>
      <c r="RVL70" s="122"/>
      <c r="RVM70" s="122"/>
      <c r="RVN70" s="122"/>
      <c r="RVO70" s="122"/>
      <c r="RVP70" s="122"/>
      <c r="RVQ70" s="122"/>
      <c r="RVR70" s="122"/>
      <c r="RVS70" s="122"/>
      <c r="RVT70" s="122"/>
      <c r="RVU70" s="122"/>
      <c r="RVV70" s="122"/>
      <c r="RVW70" s="122"/>
      <c r="RVX70" s="122"/>
      <c r="RVY70" s="122"/>
      <c r="RVZ70" s="122"/>
      <c r="RWA70" s="122"/>
      <c r="RWB70" s="122"/>
      <c r="RWC70" s="122"/>
      <c r="RWD70" s="122"/>
      <c r="RWE70" s="122"/>
      <c r="RWF70" s="122"/>
      <c r="RWG70" s="122"/>
      <c r="RWH70" s="122"/>
      <c r="RWI70" s="122"/>
      <c r="RWJ70" s="122"/>
      <c r="RWK70" s="122"/>
      <c r="RWL70" s="122"/>
      <c r="RWM70" s="122"/>
      <c r="RWN70" s="122"/>
      <c r="RWO70" s="122"/>
      <c r="RWP70" s="122"/>
      <c r="RWQ70" s="122"/>
      <c r="RWR70" s="122"/>
      <c r="RWS70" s="122"/>
      <c r="RWT70" s="122"/>
      <c r="RWU70" s="122"/>
      <c r="RWV70" s="122"/>
      <c r="RWW70" s="122"/>
      <c r="RWX70" s="122"/>
      <c r="RWY70" s="122"/>
      <c r="RWZ70" s="122"/>
      <c r="RXA70" s="122"/>
      <c r="RXB70" s="122"/>
      <c r="RXC70" s="122"/>
      <c r="RXD70" s="122"/>
      <c r="RXE70" s="122"/>
      <c r="RXF70" s="122"/>
      <c r="RXG70" s="122"/>
      <c r="RXH70" s="122"/>
      <c r="RXI70" s="122"/>
      <c r="RXJ70" s="122"/>
      <c r="RXK70" s="122"/>
      <c r="RXL70" s="122"/>
      <c r="RXM70" s="122"/>
      <c r="RXN70" s="122"/>
      <c r="RXO70" s="122"/>
      <c r="RXP70" s="122"/>
      <c r="RXQ70" s="122"/>
      <c r="RXR70" s="122"/>
      <c r="RXS70" s="122"/>
      <c r="RXT70" s="122"/>
      <c r="RXU70" s="122"/>
      <c r="RXV70" s="122"/>
      <c r="RXW70" s="122"/>
      <c r="RXX70" s="122"/>
      <c r="RXY70" s="122"/>
      <c r="RXZ70" s="122"/>
      <c r="RYA70" s="122"/>
      <c r="RYB70" s="122"/>
      <c r="RYC70" s="122"/>
      <c r="RYD70" s="122"/>
      <c r="RYE70" s="122"/>
      <c r="RYF70" s="122"/>
      <c r="RYG70" s="122"/>
      <c r="RYH70" s="122"/>
      <c r="RYI70" s="122"/>
      <c r="RYJ70" s="122"/>
      <c r="RYK70" s="122"/>
      <c r="RYL70" s="122"/>
      <c r="RYM70" s="122"/>
      <c r="RYN70" s="122"/>
      <c r="RYO70" s="122"/>
      <c r="RYP70" s="122"/>
      <c r="RYQ70" s="122"/>
      <c r="RYR70" s="122"/>
      <c r="RYS70" s="122"/>
      <c r="RYT70" s="122"/>
      <c r="RYU70" s="122"/>
      <c r="RYV70" s="122"/>
      <c r="RYW70" s="122"/>
      <c r="RYX70" s="122"/>
      <c r="RYY70" s="122"/>
      <c r="RYZ70" s="122"/>
      <c r="RZA70" s="122"/>
      <c r="RZB70" s="122"/>
      <c r="RZC70" s="122"/>
      <c r="RZD70" s="122"/>
      <c r="RZE70" s="122"/>
      <c r="RZF70" s="122"/>
      <c r="RZG70" s="122"/>
      <c r="RZH70" s="122"/>
      <c r="RZI70" s="122"/>
      <c r="RZJ70" s="122"/>
      <c r="RZK70" s="122"/>
      <c r="RZL70" s="122"/>
      <c r="RZM70" s="122"/>
      <c r="RZN70" s="122"/>
      <c r="RZO70" s="122"/>
      <c r="RZP70" s="122"/>
      <c r="RZQ70" s="122"/>
      <c r="RZR70" s="122"/>
      <c r="RZS70" s="122"/>
      <c r="RZT70" s="122"/>
      <c r="RZU70" s="122"/>
      <c r="RZV70" s="122"/>
      <c r="RZW70" s="122"/>
      <c r="RZX70" s="122"/>
      <c r="RZY70" s="122"/>
      <c r="RZZ70" s="122"/>
      <c r="SAA70" s="122"/>
      <c r="SAB70" s="122"/>
      <c r="SAC70" s="122"/>
      <c r="SAD70" s="122"/>
      <c r="SAE70" s="122"/>
      <c r="SAF70" s="122"/>
      <c r="SAG70" s="122"/>
      <c r="SAH70" s="122"/>
      <c r="SAI70" s="122"/>
      <c r="SAJ70" s="122"/>
      <c r="SAK70" s="122"/>
      <c r="SAL70" s="122"/>
      <c r="SAM70" s="122"/>
      <c r="SAN70" s="122"/>
      <c r="SAO70" s="122"/>
      <c r="SAP70" s="122"/>
      <c r="SAQ70" s="122"/>
      <c r="SAR70" s="122"/>
      <c r="SAS70" s="122"/>
      <c r="SAT70" s="122"/>
      <c r="SAU70" s="122"/>
      <c r="SAV70" s="122"/>
      <c r="SAW70" s="122"/>
      <c r="SAX70" s="122"/>
      <c r="SAY70" s="122"/>
      <c r="SAZ70" s="122"/>
      <c r="SBA70" s="122"/>
      <c r="SBB70" s="122"/>
      <c r="SBC70" s="122"/>
      <c r="SBD70" s="122"/>
      <c r="SBE70" s="122"/>
      <c r="SBF70" s="122"/>
      <c r="SBG70" s="122"/>
      <c r="SBH70" s="122"/>
      <c r="SBI70" s="122"/>
      <c r="SBJ70" s="122"/>
      <c r="SBK70" s="122"/>
      <c r="SBL70" s="122"/>
      <c r="SBM70" s="122"/>
      <c r="SBN70" s="122"/>
      <c r="SBO70" s="122"/>
      <c r="SBP70" s="122"/>
      <c r="SBQ70" s="122"/>
      <c r="SBR70" s="122"/>
      <c r="SBS70" s="122"/>
      <c r="SBT70" s="122"/>
      <c r="SBU70" s="122"/>
      <c r="SBV70" s="122"/>
      <c r="SBW70" s="122"/>
      <c r="SBX70" s="122"/>
      <c r="SBY70" s="122"/>
      <c r="SBZ70" s="122"/>
      <c r="SCA70" s="122"/>
      <c r="SCB70" s="122"/>
      <c r="SCC70" s="122"/>
      <c r="SCD70" s="122"/>
      <c r="SCE70" s="122"/>
      <c r="SCF70" s="122"/>
      <c r="SCG70" s="122"/>
      <c r="SCH70" s="122"/>
      <c r="SCI70" s="122"/>
      <c r="SCJ70" s="122"/>
      <c r="SCK70" s="122"/>
      <c r="SCL70" s="122"/>
      <c r="SCM70" s="122"/>
      <c r="SCN70" s="122"/>
      <c r="SCO70" s="122"/>
      <c r="SCP70" s="122"/>
      <c r="SCQ70" s="122"/>
      <c r="SCR70" s="122"/>
      <c r="SCS70" s="122"/>
      <c r="SCT70" s="122"/>
      <c r="SCU70" s="122"/>
      <c r="SCV70" s="122"/>
      <c r="SCW70" s="122"/>
      <c r="SCX70" s="122"/>
      <c r="SCY70" s="122"/>
      <c r="SCZ70" s="122"/>
      <c r="SDA70" s="122"/>
      <c r="SDB70" s="122"/>
      <c r="SDC70" s="122"/>
      <c r="SDD70" s="122"/>
      <c r="SDE70" s="122"/>
      <c r="SDF70" s="122"/>
      <c r="SDG70" s="122"/>
      <c r="SDH70" s="122"/>
      <c r="SDI70" s="122"/>
      <c r="SDJ70" s="122"/>
      <c r="SDK70" s="122"/>
      <c r="SDL70" s="122"/>
      <c r="SDM70" s="122"/>
      <c r="SDN70" s="122"/>
      <c r="SDO70" s="122"/>
      <c r="SDP70" s="122"/>
      <c r="SDQ70" s="122"/>
      <c r="SDR70" s="122"/>
      <c r="SDS70" s="122"/>
      <c r="SDT70" s="122"/>
      <c r="SDU70" s="122"/>
      <c r="SDV70" s="122"/>
      <c r="SDW70" s="122"/>
      <c r="SDX70" s="122"/>
      <c r="SDY70" s="122"/>
      <c r="SDZ70" s="122"/>
      <c r="SEA70" s="122"/>
      <c r="SEB70" s="122"/>
      <c r="SEC70" s="122"/>
      <c r="SED70" s="122"/>
      <c r="SEE70" s="122"/>
      <c r="SEF70" s="122"/>
      <c r="SEG70" s="122"/>
      <c r="SEH70" s="122"/>
      <c r="SEI70" s="122"/>
      <c r="SEJ70" s="122"/>
      <c r="SEK70" s="122"/>
      <c r="SEL70" s="122"/>
      <c r="SEM70" s="122"/>
      <c r="SEN70" s="122"/>
      <c r="SEO70" s="122"/>
      <c r="SEP70" s="122"/>
      <c r="SEQ70" s="122"/>
      <c r="SER70" s="122"/>
      <c r="SES70" s="122"/>
      <c r="SET70" s="122"/>
      <c r="SEU70" s="122"/>
      <c r="SEV70" s="122"/>
      <c r="SEW70" s="122"/>
      <c r="SEX70" s="122"/>
      <c r="SEY70" s="122"/>
      <c r="SEZ70" s="122"/>
      <c r="SFA70" s="122"/>
      <c r="SFB70" s="122"/>
      <c r="SFC70" s="122"/>
      <c r="SFD70" s="122"/>
      <c r="SFE70" s="122"/>
      <c r="SFF70" s="122"/>
      <c r="SFG70" s="122"/>
      <c r="SFH70" s="122"/>
      <c r="SFI70" s="122"/>
      <c r="SFJ70" s="122"/>
      <c r="SFK70" s="122"/>
      <c r="SFL70" s="122"/>
      <c r="SFM70" s="122"/>
      <c r="SFN70" s="122"/>
      <c r="SFO70" s="122"/>
      <c r="SFP70" s="122"/>
      <c r="SFQ70" s="122"/>
      <c r="SFR70" s="122"/>
      <c r="SFS70" s="122"/>
      <c r="SFT70" s="122"/>
      <c r="SFU70" s="122"/>
      <c r="SFV70" s="122"/>
      <c r="SFW70" s="122"/>
      <c r="SFX70" s="122"/>
      <c r="SFY70" s="122"/>
      <c r="SFZ70" s="122"/>
      <c r="SGA70" s="122"/>
      <c r="SGB70" s="122"/>
      <c r="SGC70" s="122"/>
      <c r="SGD70" s="122"/>
      <c r="SGE70" s="122"/>
      <c r="SGF70" s="122"/>
      <c r="SGG70" s="122"/>
      <c r="SGH70" s="122"/>
      <c r="SGI70" s="122"/>
      <c r="SGJ70" s="122"/>
      <c r="SGK70" s="122"/>
      <c r="SGL70" s="122"/>
      <c r="SGM70" s="122"/>
      <c r="SGN70" s="122"/>
      <c r="SGO70" s="122"/>
      <c r="SGP70" s="122"/>
      <c r="SGQ70" s="122"/>
      <c r="SGR70" s="122"/>
      <c r="SGS70" s="122"/>
      <c r="SGT70" s="122"/>
      <c r="SGU70" s="122"/>
      <c r="SGV70" s="122"/>
      <c r="SGW70" s="122"/>
      <c r="SGX70" s="122"/>
      <c r="SGY70" s="122"/>
      <c r="SGZ70" s="122"/>
      <c r="SHA70" s="122"/>
      <c r="SHB70" s="122"/>
      <c r="SHC70" s="122"/>
      <c r="SHD70" s="122"/>
      <c r="SHE70" s="122"/>
      <c r="SHF70" s="122"/>
      <c r="SHG70" s="122"/>
      <c r="SHH70" s="122"/>
      <c r="SHI70" s="122"/>
      <c r="SHJ70" s="122"/>
      <c r="SHK70" s="122"/>
      <c r="SHL70" s="122"/>
      <c r="SHM70" s="122"/>
      <c r="SHN70" s="122"/>
      <c r="SHO70" s="122"/>
      <c r="SHP70" s="122"/>
      <c r="SHQ70" s="122"/>
      <c r="SHR70" s="122"/>
      <c r="SHS70" s="122"/>
      <c r="SHT70" s="122"/>
      <c r="SHU70" s="122"/>
      <c r="SHV70" s="122"/>
      <c r="SHW70" s="122"/>
      <c r="SHX70" s="122"/>
      <c r="SHY70" s="122"/>
      <c r="SHZ70" s="122"/>
      <c r="SIA70" s="122"/>
      <c r="SIB70" s="122"/>
      <c r="SIC70" s="122"/>
      <c r="SID70" s="122"/>
      <c r="SIE70" s="122"/>
      <c r="SIF70" s="122"/>
      <c r="SIG70" s="122"/>
      <c r="SIH70" s="122"/>
      <c r="SII70" s="122"/>
      <c r="SIJ70" s="122"/>
      <c r="SIK70" s="122"/>
      <c r="SIL70" s="122"/>
      <c r="SIM70" s="122"/>
      <c r="SIN70" s="122"/>
      <c r="SIO70" s="122"/>
      <c r="SIP70" s="122"/>
      <c r="SIQ70" s="122"/>
      <c r="SIR70" s="122"/>
      <c r="SIS70" s="122"/>
      <c r="SIT70" s="122"/>
      <c r="SIU70" s="122"/>
      <c r="SIV70" s="122"/>
      <c r="SIW70" s="122"/>
      <c r="SIX70" s="122"/>
      <c r="SIY70" s="122"/>
      <c r="SIZ70" s="122"/>
      <c r="SJA70" s="122"/>
      <c r="SJB70" s="122"/>
      <c r="SJC70" s="122"/>
      <c r="SJD70" s="122"/>
      <c r="SJE70" s="122"/>
      <c r="SJF70" s="122"/>
      <c r="SJG70" s="122"/>
      <c r="SJH70" s="122"/>
      <c r="SJI70" s="122"/>
      <c r="SJJ70" s="122"/>
      <c r="SJK70" s="122"/>
      <c r="SJL70" s="122"/>
      <c r="SJM70" s="122"/>
      <c r="SJN70" s="122"/>
      <c r="SJO70" s="122"/>
      <c r="SJP70" s="122"/>
      <c r="SJQ70" s="122"/>
      <c r="SJR70" s="122"/>
      <c r="SJS70" s="122"/>
      <c r="SJT70" s="122"/>
      <c r="SJU70" s="122"/>
      <c r="SJV70" s="122"/>
      <c r="SJW70" s="122"/>
      <c r="SJX70" s="122"/>
      <c r="SJY70" s="122"/>
      <c r="SJZ70" s="122"/>
      <c r="SKA70" s="122"/>
      <c r="SKB70" s="122"/>
      <c r="SKC70" s="122"/>
      <c r="SKD70" s="122"/>
      <c r="SKE70" s="122"/>
      <c r="SKF70" s="122"/>
      <c r="SKG70" s="122"/>
      <c r="SKH70" s="122"/>
      <c r="SKI70" s="122"/>
      <c r="SKJ70" s="122"/>
      <c r="SKK70" s="122"/>
      <c r="SKL70" s="122"/>
      <c r="SKM70" s="122"/>
      <c r="SKN70" s="122"/>
      <c r="SKO70" s="122"/>
      <c r="SKP70" s="122"/>
      <c r="SKQ70" s="122"/>
      <c r="SKR70" s="122"/>
      <c r="SKS70" s="122"/>
      <c r="SKT70" s="122"/>
      <c r="SKU70" s="122"/>
      <c r="SKV70" s="122"/>
      <c r="SKW70" s="122"/>
      <c r="SKX70" s="122"/>
      <c r="SKY70" s="122"/>
      <c r="SKZ70" s="122"/>
      <c r="SLA70" s="122"/>
      <c r="SLB70" s="122"/>
      <c r="SLC70" s="122"/>
      <c r="SLD70" s="122"/>
      <c r="SLE70" s="122"/>
      <c r="SLF70" s="122"/>
      <c r="SLG70" s="122"/>
      <c r="SLH70" s="122"/>
      <c r="SLI70" s="122"/>
      <c r="SLJ70" s="122"/>
      <c r="SLK70" s="122"/>
      <c r="SLL70" s="122"/>
      <c r="SLM70" s="122"/>
      <c r="SLN70" s="122"/>
      <c r="SLO70" s="122"/>
      <c r="SLP70" s="122"/>
      <c r="SLQ70" s="122"/>
      <c r="SLR70" s="122"/>
      <c r="SLS70" s="122"/>
      <c r="SLT70" s="122"/>
      <c r="SLU70" s="122"/>
      <c r="SLV70" s="122"/>
      <c r="SLW70" s="122"/>
      <c r="SLX70" s="122"/>
      <c r="SLY70" s="122"/>
      <c r="SLZ70" s="122"/>
      <c r="SMA70" s="122"/>
      <c r="SMB70" s="122"/>
      <c r="SMC70" s="122"/>
      <c r="SMD70" s="122"/>
      <c r="SME70" s="122"/>
      <c r="SMF70" s="122"/>
      <c r="SMG70" s="122"/>
      <c r="SMH70" s="122"/>
      <c r="SMI70" s="122"/>
      <c r="SMJ70" s="122"/>
      <c r="SMK70" s="122"/>
      <c r="SML70" s="122"/>
      <c r="SMM70" s="122"/>
      <c r="SMN70" s="122"/>
      <c r="SMO70" s="122"/>
      <c r="SMP70" s="122"/>
      <c r="SMQ70" s="122"/>
      <c r="SMR70" s="122"/>
      <c r="SMS70" s="122"/>
      <c r="SMT70" s="122"/>
      <c r="SMU70" s="122"/>
      <c r="SMV70" s="122"/>
      <c r="SMW70" s="122"/>
      <c r="SMX70" s="122"/>
      <c r="SMY70" s="122"/>
      <c r="SMZ70" s="122"/>
      <c r="SNA70" s="122"/>
      <c r="SNB70" s="122"/>
      <c r="SNC70" s="122"/>
      <c r="SND70" s="122"/>
      <c r="SNE70" s="122"/>
      <c r="SNF70" s="122"/>
      <c r="SNG70" s="122"/>
      <c r="SNH70" s="122"/>
      <c r="SNI70" s="122"/>
      <c r="SNJ70" s="122"/>
      <c r="SNK70" s="122"/>
      <c r="SNL70" s="122"/>
      <c r="SNM70" s="122"/>
      <c r="SNN70" s="122"/>
      <c r="SNO70" s="122"/>
      <c r="SNP70" s="122"/>
      <c r="SNQ70" s="122"/>
      <c r="SNR70" s="122"/>
      <c r="SNS70" s="122"/>
      <c r="SNT70" s="122"/>
      <c r="SNU70" s="122"/>
      <c r="SNV70" s="122"/>
      <c r="SNW70" s="122"/>
      <c r="SNX70" s="122"/>
      <c r="SNY70" s="122"/>
      <c r="SNZ70" s="122"/>
      <c r="SOA70" s="122"/>
      <c r="SOB70" s="122"/>
      <c r="SOC70" s="122"/>
      <c r="SOD70" s="122"/>
      <c r="SOE70" s="122"/>
      <c r="SOF70" s="122"/>
      <c r="SOG70" s="122"/>
      <c r="SOH70" s="122"/>
      <c r="SOI70" s="122"/>
      <c r="SOJ70" s="122"/>
      <c r="SOK70" s="122"/>
      <c r="SOL70" s="122"/>
      <c r="SOM70" s="122"/>
      <c r="SON70" s="122"/>
      <c r="SOO70" s="122"/>
      <c r="SOP70" s="122"/>
      <c r="SOQ70" s="122"/>
      <c r="SOR70" s="122"/>
      <c r="SOS70" s="122"/>
      <c r="SOT70" s="122"/>
      <c r="SOU70" s="122"/>
      <c r="SOV70" s="122"/>
      <c r="SOW70" s="122"/>
      <c r="SOX70" s="122"/>
      <c r="SOY70" s="122"/>
      <c r="SOZ70" s="122"/>
      <c r="SPA70" s="122"/>
      <c r="SPB70" s="122"/>
      <c r="SPC70" s="122"/>
      <c r="SPD70" s="122"/>
      <c r="SPE70" s="122"/>
      <c r="SPF70" s="122"/>
      <c r="SPG70" s="122"/>
      <c r="SPH70" s="122"/>
      <c r="SPI70" s="122"/>
      <c r="SPJ70" s="122"/>
      <c r="SPK70" s="122"/>
      <c r="SPL70" s="122"/>
      <c r="SPM70" s="122"/>
      <c r="SPN70" s="122"/>
      <c r="SPO70" s="122"/>
      <c r="SPP70" s="122"/>
      <c r="SPQ70" s="122"/>
      <c r="SPR70" s="122"/>
      <c r="SPS70" s="122"/>
      <c r="SPT70" s="122"/>
      <c r="SPU70" s="122"/>
      <c r="SPV70" s="122"/>
      <c r="SPW70" s="122"/>
      <c r="SPX70" s="122"/>
      <c r="SPY70" s="122"/>
      <c r="SPZ70" s="122"/>
      <c r="SQA70" s="122"/>
      <c r="SQB70" s="122"/>
      <c r="SQC70" s="122"/>
      <c r="SQD70" s="122"/>
      <c r="SQE70" s="122"/>
      <c r="SQF70" s="122"/>
      <c r="SQG70" s="122"/>
      <c r="SQH70" s="122"/>
      <c r="SQI70" s="122"/>
      <c r="SQJ70" s="122"/>
      <c r="SQK70" s="122"/>
      <c r="SQL70" s="122"/>
      <c r="SQM70" s="122"/>
      <c r="SQN70" s="122"/>
      <c r="SQO70" s="122"/>
      <c r="SQP70" s="122"/>
      <c r="SQQ70" s="122"/>
      <c r="SQR70" s="122"/>
      <c r="SQS70" s="122"/>
      <c r="SQT70" s="122"/>
      <c r="SQU70" s="122"/>
      <c r="SQV70" s="122"/>
      <c r="SQW70" s="122"/>
      <c r="SQX70" s="122"/>
      <c r="SQY70" s="122"/>
      <c r="SQZ70" s="122"/>
      <c r="SRA70" s="122"/>
      <c r="SRB70" s="122"/>
      <c r="SRC70" s="122"/>
      <c r="SRD70" s="122"/>
      <c r="SRE70" s="122"/>
      <c r="SRF70" s="122"/>
      <c r="SRG70" s="122"/>
      <c r="SRH70" s="122"/>
      <c r="SRI70" s="122"/>
      <c r="SRJ70" s="122"/>
      <c r="SRK70" s="122"/>
      <c r="SRL70" s="122"/>
      <c r="SRM70" s="122"/>
      <c r="SRN70" s="122"/>
      <c r="SRO70" s="122"/>
      <c r="SRP70" s="122"/>
      <c r="SRQ70" s="122"/>
      <c r="SRR70" s="122"/>
      <c r="SRS70" s="122"/>
      <c r="SRT70" s="122"/>
      <c r="SRU70" s="122"/>
      <c r="SRV70" s="122"/>
      <c r="SRW70" s="122"/>
      <c r="SRX70" s="122"/>
      <c r="SRY70" s="122"/>
      <c r="SRZ70" s="122"/>
      <c r="SSA70" s="122"/>
      <c r="SSB70" s="122"/>
      <c r="SSC70" s="122"/>
      <c r="SSD70" s="122"/>
      <c r="SSE70" s="122"/>
      <c r="SSF70" s="122"/>
      <c r="SSG70" s="122"/>
      <c r="SSH70" s="122"/>
      <c r="SSI70" s="122"/>
      <c r="SSJ70" s="122"/>
      <c r="SSK70" s="122"/>
      <c r="SSL70" s="122"/>
      <c r="SSM70" s="122"/>
      <c r="SSN70" s="122"/>
      <c r="SSO70" s="122"/>
      <c r="SSP70" s="122"/>
      <c r="SSQ70" s="122"/>
      <c r="SSR70" s="122"/>
      <c r="SSS70" s="122"/>
      <c r="SST70" s="122"/>
      <c r="SSU70" s="122"/>
      <c r="SSV70" s="122"/>
      <c r="SSW70" s="122"/>
      <c r="SSX70" s="122"/>
      <c r="SSY70" s="122"/>
      <c r="SSZ70" s="122"/>
      <c r="STA70" s="122"/>
      <c r="STB70" s="122"/>
      <c r="STC70" s="122"/>
      <c r="STD70" s="122"/>
      <c r="STE70" s="122"/>
      <c r="STF70" s="122"/>
      <c r="STG70" s="122"/>
      <c r="STH70" s="122"/>
      <c r="STI70" s="122"/>
      <c r="STJ70" s="122"/>
      <c r="STK70" s="122"/>
      <c r="STL70" s="122"/>
      <c r="STM70" s="122"/>
      <c r="STN70" s="122"/>
      <c r="STO70" s="122"/>
      <c r="STP70" s="122"/>
      <c r="STQ70" s="122"/>
      <c r="STR70" s="122"/>
      <c r="STS70" s="122"/>
      <c r="STT70" s="122"/>
      <c r="STU70" s="122"/>
      <c r="STV70" s="122"/>
      <c r="STW70" s="122"/>
      <c r="STX70" s="122"/>
      <c r="STY70" s="122"/>
      <c r="STZ70" s="122"/>
      <c r="SUA70" s="122"/>
      <c r="SUB70" s="122"/>
      <c r="SUC70" s="122"/>
      <c r="SUD70" s="122"/>
      <c r="SUE70" s="122"/>
      <c r="SUF70" s="122"/>
      <c r="SUG70" s="122"/>
      <c r="SUH70" s="122"/>
      <c r="SUI70" s="122"/>
      <c r="SUJ70" s="122"/>
      <c r="SUK70" s="122"/>
      <c r="SUL70" s="122"/>
      <c r="SUM70" s="122"/>
      <c r="SUN70" s="122"/>
      <c r="SUO70" s="122"/>
      <c r="SUP70" s="122"/>
      <c r="SUQ70" s="122"/>
      <c r="SUR70" s="122"/>
      <c r="SUS70" s="122"/>
      <c r="SUT70" s="122"/>
      <c r="SUU70" s="122"/>
      <c r="SUV70" s="122"/>
      <c r="SUW70" s="122"/>
      <c r="SUX70" s="122"/>
      <c r="SUY70" s="122"/>
      <c r="SUZ70" s="122"/>
      <c r="SVA70" s="122"/>
      <c r="SVB70" s="122"/>
      <c r="SVC70" s="122"/>
      <c r="SVD70" s="122"/>
      <c r="SVE70" s="122"/>
      <c r="SVF70" s="122"/>
      <c r="SVG70" s="122"/>
      <c r="SVH70" s="122"/>
      <c r="SVI70" s="122"/>
      <c r="SVJ70" s="122"/>
      <c r="SVK70" s="122"/>
      <c r="SVL70" s="122"/>
      <c r="SVM70" s="122"/>
      <c r="SVN70" s="122"/>
      <c r="SVO70" s="122"/>
      <c r="SVP70" s="122"/>
      <c r="SVQ70" s="122"/>
      <c r="SVR70" s="122"/>
      <c r="SVS70" s="122"/>
      <c r="SVT70" s="122"/>
      <c r="SVU70" s="122"/>
      <c r="SVV70" s="122"/>
      <c r="SVW70" s="122"/>
      <c r="SVX70" s="122"/>
      <c r="SVY70" s="122"/>
      <c r="SVZ70" s="122"/>
      <c r="SWA70" s="122"/>
      <c r="SWB70" s="122"/>
      <c r="SWC70" s="122"/>
      <c r="SWD70" s="122"/>
      <c r="SWE70" s="122"/>
      <c r="SWF70" s="122"/>
      <c r="SWG70" s="122"/>
      <c r="SWH70" s="122"/>
      <c r="SWI70" s="122"/>
      <c r="SWJ70" s="122"/>
      <c r="SWK70" s="122"/>
      <c r="SWL70" s="122"/>
      <c r="SWM70" s="122"/>
      <c r="SWN70" s="122"/>
      <c r="SWO70" s="122"/>
      <c r="SWP70" s="122"/>
      <c r="SWQ70" s="122"/>
      <c r="SWR70" s="122"/>
      <c r="SWS70" s="122"/>
      <c r="SWT70" s="122"/>
      <c r="SWU70" s="122"/>
      <c r="SWV70" s="122"/>
      <c r="SWW70" s="122"/>
      <c r="SWX70" s="122"/>
      <c r="SWY70" s="122"/>
      <c r="SWZ70" s="122"/>
      <c r="SXA70" s="122"/>
      <c r="SXB70" s="122"/>
      <c r="SXC70" s="122"/>
      <c r="SXD70" s="122"/>
      <c r="SXE70" s="122"/>
      <c r="SXF70" s="122"/>
      <c r="SXG70" s="122"/>
      <c r="SXH70" s="122"/>
      <c r="SXI70" s="122"/>
      <c r="SXJ70" s="122"/>
      <c r="SXK70" s="122"/>
      <c r="SXL70" s="122"/>
      <c r="SXM70" s="122"/>
      <c r="SXN70" s="122"/>
      <c r="SXO70" s="122"/>
      <c r="SXP70" s="122"/>
      <c r="SXQ70" s="122"/>
      <c r="SXR70" s="122"/>
      <c r="SXS70" s="122"/>
      <c r="SXT70" s="122"/>
      <c r="SXU70" s="122"/>
      <c r="SXV70" s="122"/>
      <c r="SXW70" s="122"/>
      <c r="SXX70" s="122"/>
      <c r="SXY70" s="122"/>
      <c r="SXZ70" s="122"/>
      <c r="SYA70" s="122"/>
      <c r="SYB70" s="122"/>
      <c r="SYC70" s="122"/>
      <c r="SYD70" s="122"/>
      <c r="SYE70" s="122"/>
      <c r="SYF70" s="122"/>
      <c r="SYG70" s="122"/>
      <c r="SYH70" s="122"/>
      <c r="SYI70" s="122"/>
      <c r="SYJ70" s="122"/>
      <c r="SYK70" s="122"/>
      <c r="SYL70" s="122"/>
      <c r="SYM70" s="122"/>
      <c r="SYN70" s="122"/>
      <c r="SYO70" s="122"/>
      <c r="SYP70" s="122"/>
      <c r="SYQ70" s="122"/>
      <c r="SYR70" s="122"/>
      <c r="SYS70" s="122"/>
      <c r="SYT70" s="122"/>
      <c r="SYU70" s="122"/>
      <c r="SYV70" s="122"/>
      <c r="SYW70" s="122"/>
      <c r="SYX70" s="122"/>
      <c r="SYY70" s="122"/>
      <c r="SYZ70" s="122"/>
      <c r="SZA70" s="122"/>
      <c r="SZB70" s="122"/>
      <c r="SZC70" s="122"/>
      <c r="SZD70" s="122"/>
      <c r="SZE70" s="122"/>
      <c r="SZF70" s="122"/>
      <c r="SZG70" s="122"/>
      <c r="SZH70" s="122"/>
      <c r="SZI70" s="122"/>
      <c r="SZJ70" s="122"/>
      <c r="SZK70" s="122"/>
      <c r="SZL70" s="122"/>
      <c r="SZM70" s="122"/>
      <c r="SZN70" s="122"/>
      <c r="SZO70" s="122"/>
      <c r="SZP70" s="122"/>
      <c r="SZQ70" s="122"/>
      <c r="SZR70" s="122"/>
      <c r="SZS70" s="122"/>
      <c r="SZT70" s="122"/>
      <c r="SZU70" s="122"/>
      <c r="SZV70" s="122"/>
      <c r="SZW70" s="122"/>
      <c r="SZX70" s="122"/>
      <c r="SZY70" s="122"/>
      <c r="SZZ70" s="122"/>
      <c r="TAA70" s="122"/>
      <c r="TAB70" s="122"/>
      <c r="TAC70" s="122"/>
      <c r="TAD70" s="122"/>
      <c r="TAE70" s="122"/>
      <c r="TAF70" s="122"/>
      <c r="TAG70" s="122"/>
      <c r="TAH70" s="122"/>
      <c r="TAI70" s="122"/>
      <c r="TAJ70" s="122"/>
      <c r="TAK70" s="122"/>
      <c r="TAL70" s="122"/>
      <c r="TAM70" s="122"/>
      <c r="TAN70" s="122"/>
      <c r="TAO70" s="122"/>
      <c r="TAP70" s="122"/>
      <c r="TAQ70" s="122"/>
      <c r="TAR70" s="122"/>
      <c r="TAS70" s="122"/>
      <c r="TAT70" s="122"/>
      <c r="TAU70" s="122"/>
      <c r="TAV70" s="122"/>
      <c r="TAW70" s="122"/>
      <c r="TAX70" s="122"/>
      <c r="TAY70" s="122"/>
      <c r="TAZ70" s="122"/>
      <c r="TBA70" s="122"/>
      <c r="TBB70" s="122"/>
      <c r="TBC70" s="122"/>
      <c r="TBD70" s="122"/>
      <c r="TBE70" s="122"/>
      <c r="TBF70" s="122"/>
      <c r="TBG70" s="122"/>
      <c r="TBH70" s="122"/>
      <c r="TBI70" s="122"/>
      <c r="TBJ70" s="122"/>
      <c r="TBK70" s="122"/>
      <c r="TBL70" s="122"/>
      <c r="TBM70" s="122"/>
      <c r="TBN70" s="122"/>
      <c r="TBO70" s="122"/>
      <c r="TBP70" s="122"/>
      <c r="TBQ70" s="122"/>
      <c r="TBR70" s="122"/>
      <c r="TBS70" s="122"/>
      <c r="TBT70" s="122"/>
      <c r="TBU70" s="122"/>
      <c r="TBV70" s="122"/>
      <c r="TBW70" s="122"/>
      <c r="TBX70" s="122"/>
      <c r="TBY70" s="122"/>
      <c r="TBZ70" s="122"/>
      <c r="TCA70" s="122"/>
      <c r="TCB70" s="122"/>
      <c r="TCC70" s="122"/>
      <c r="TCD70" s="122"/>
      <c r="TCE70" s="122"/>
      <c r="TCF70" s="122"/>
      <c r="TCG70" s="122"/>
      <c r="TCH70" s="122"/>
      <c r="TCI70" s="122"/>
      <c r="TCJ70" s="122"/>
      <c r="TCK70" s="122"/>
      <c r="TCL70" s="122"/>
      <c r="TCM70" s="122"/>
      <c r="TCN70" s="122"/>
      <c r="TCO70" s="122"/>
      <c r="TCP70" s="122"/>
      <c r="TCQ70" s="122"/>
      <c r="TCR70" s="122"/>
      <c r="TCS70" s="122"/>
      <c r="TCT70" s="122"/>
      <c r="TCU70" s="122"/>
      <c r="TCV70" s="122"/>
      <c r="TCW70" s="122"/>
      <c r="TCX70" s="122"/>
      <c r="TCY70" s="122"/>
      <c r="TCZ70" s="122"/>
      <c r="TDA70" s="122"/>
      <c r="TDB70" s="122"/>
      <c r="TDC70" s="122"/>
      <c r="TDD70" s="122"/>
      <c r="TDE70" s="122"/>
      <c r="TDF70" s="122"/>
      <c r="TDG70" s="122"/>
      <c r="TDH70" s="122"/>
      <c r="TDI70" s="122"/>
      <c r="TDJ70" s="122"/>
      <c r="TDK70" s="122"/>
      <c r="TDL70" s="122"/>
      <c r="TDM70" s="122"/>
      <c r="TDN70" s="122"/>
      <c r="TDO70" s="122"/>
      <c r="TDP70" s="122"/>
      <c r="TDQ70" s="122"/>
      <c r="TDR70" s="122"/>
      <c r="TDS70" s="122"/>
      <c r="TDT70" s="122"/>
      <c r="TDU70" s="122"/>
      <c r="TDV70" s="122"/>
      <c r="TDW70" s="122"/>
      <c r="TDX70" s="122"/>
      <c r="TDY70" s="122"/>
      <c r="TDZ70" s="122"/>
      <c r="TEA70" s="122"/>
      <c r="TEB70" s="122"/>
      <c r="TEC70" s="122"/>
      <c r="TED70" s="122"/>
      <c r="TEE70" s="122"/>
      <c r="TEF70" s="122"/>
      <c r="TEG70" s="122"/>
      <c r="TEH70" s="122"/>
      <c r="TEI70" s="122"/>
      <c r="TEJ70" s="122"/>
      <c r="TEK70" s="122"/>
      <c r="TEL70" s="122"/>
      <c r="TEM70" s="122"/>
      <c r="TEN70" s="122"/>
      <c r="TEO70" s="122"/>
      <c r="TEP70" s="122"/>
      <c r="TEQ70" s="122"/>
      <c r="TER70" s="122"/>
      <c r="TES70" s="122"/>
      <c r="TET70" s="122"/>
      <c r="TEU70" s="122"/>
      <c r="TEV70" s="122"/>
      <c r="TEW70" s="122"/>
      <c r="TEX70" s="122"/>
      <c r="TEY70" s="122"/>
      <c r="TEZ70" s="122"/>
      <c r="TFA70" s="122"/>
      <c r="TFB70" s="122"/>
      <c r="TFC70" s="122"/>
      <c r="TFD70" s="122"/>
      <c r="TFE70" s="122"/>
      <c r="TFF70" s="122"/>
      <c r="TFG70" s="122"/>
      <c r="TFH70" s="122"/>
      <c r="TFI70" s="122"/>
      <c r="TFJ70" s="122"/>
      <c r="TFK70" s="122"/>
      <c r="TFL70" s="122"/>
      <c r="TFM70" s="122"/>
      <c r="TFN70" s="122"/>
      <c r="TFO70" s="122"/>
      <c r="TFP70" s="122"/>
      <c r="TFQ70" s="122"/>
      <c r="TFR70" s="122"/>
      <c r="TFS70" s="122"/>
      <c r="TFT70" s="122"/>
      <c r="TFU70" s="122"/>
      <c r="TFV70" s="122"/>
      <c r="TFW70" s="122"/>
      <c r="TFX70" s="122"/>
      <c r="TFY70" s="122"/>
      <c r="TFZ70" s="122"/>
      <c r="TGA70" s="122"/>
      <c r="TGB70" s="122"/>
      <c r="TGC70" s="122"/>
      <c r="TGD70" s="122"/>
      <c r="TGE70" s="122"/>
      <c r="TGF70" s="122"/>
      <c r="TGG70" s="122"/>
      <c r="TGH70" s="122"/>
      <c r="TGI70" s="122"/>
      <c r="TGJ70" s="122"/>
      <c r="TGK70" s="122"/>
      <c r="TGL70" s="122"/>
      <c r="TGM70" s="122"/>
      <c r="TGN70" s="122"/>
      <c r="TGO70" s="122"/>
      <c r="TGP70" s="122"/>
      <c r="TGQ70" s="122"/>
      <c r="TGR70" s="122"/>
      <c r="TGS70" s="122"/>
      <c r="TGT70" s="122"/>
      <c r="TGU70" s="122"/>
      <c r="TGV70" s="122"/>
      <c r="TGW70" s="122"/>
      <c r="TGX70" s="122"/>
      <c r="TGY70" s="122"/>
      <c r="TGZ70" s="122"/>
      <c r="THA70" s="122"/>
      <c r="THB70" s="122"/>
      <c r="THC70" s="122"/>
      <c r="THD70" s="122"/>
      <c r="THE70" s="122"/>
      <c r="THF70" s="122"/>
      <c r="THG70" s="122"/>
      <c r="THH70" s="122"/>
      <c r="THI70" s="122"/>
      <c r="THJ70" s="122"/>
      <c r="THK70" s="122"/>
      <c r="THL70" s="122"/>
      <c r="THM70" s="122"/>
      <c r="THN70" s="122"/>
      <c r="THO70" s="122"/>
      <c r="THP70" s="122"/>
      <c r="THQ70" s="122"/>
      <c r="THR70" s="122"/>
      <c r="THS70" s="122"/>
      <c r="THT70" s="122"/>
      <c r="THU70" s="122"/>
      <c r="THV70" s="122"/>
      <c r="THW70" s="122"/>
      <c r="THX70" s="122"/>
      <c r="THY70" s="122"/>
      <c r="THZ70" s="122"/>
      <c r="TIA70" s="122"/>
      <c r="TIB70" s="122"/>
      <c r="TIC70" s="122"/>
      <c r="TID70" s="122"/>
      <c r="TIE70" s="122"/>
      <c r="TIF70" s="122"/>
      <c r="TIG70" s="122"/>
      <c r="TIH70" s="122"/>
      <c r="TII70" s="122"/>
      <c r="TIJ70" s="122"/>
      <c r="TIK70" s="122"/>
      <c r="TIL70" s="122"/>
      <c r="TIM70" s="122"/>
      <c r="TIN70" s="122"/>
      <c r="TIO70" s="122"/>
      <c r="TIP70" s="122"/>
      <c r="TIQ70" s="122"/>
      <c r="TIR70" s="122"/>
      <c r="TIS70" s="122"/>
      <c r="TIT70" s="122"/>
      <c r="TIU70" s="122"/>
      <c r="TIV70" s="122"/>
      <c r="TIW70" s="122"/>
      <c r="TIX70" s="122"/>
      <c r="TIY70" s="122"/>
      <c r="TIZ70" s="122"/>
      <c r="TJA70" s="122"/>
      <c r="TJB70" s="122"/>
      <c r="TJC70" s="122"/>
      <c r="TJD70" s="122"/>
      <c r="TJE70" s="122"/>
      <c r="TJF70" s="122"/>
      <c r="TJG70" s="122"/>
      <c r="TJH70" s="122"/>
      <c r="TJI70" s="122"/>
      <c r="TJJ70" s="122"/>
      <c r="TJK70" s="122"/>
      <c r="TJL70" s="122"/>
      <c r="TJM70" s="122"/>
      <c r="TJN70" s="122"/>
      <c r="TJO70" s="122"/>
      <c r="TJP70" s="122"/>
      <c r="TJQ70" s="122"/>
      <c r="TJR70" s="122"/>
      <c r="TJS70" s="122"/>
      <c r="TJT70" s="122"/>
      <c r="TJU70" s="122"/>
      <c r="TJV70" s="122"/>
      <c r="TJW70" s="122"/>
      <c r="TJX70" s="122"/>
      <c r="TJY70" s="122"/>
      <c r="TJZ70" s="122"/>
      <c r="TKA70" s="122"/>
      <c r="TKB70" s="122"/>
      <c r="TKC70" s="122"/>
      <c r="TKD70" s="122"/>
      <c r="TKE70" s="122"/>
      <c r="TKF70" s="122"/>
      <c r="TKG70" s="122"/>
      <c r="TKH70" s="122"/>
      <c r="TKI70" s="122"/>
      <c r="TKJ70" s="122"/>
      <c r="TKK70" s="122"/>
      <c r="TKL70" s="122"/>
      <c r="TKM70" s="122"/>
      <c r="TKN70" s="122"/>
      <c r="TKO70" s="122"/>
      <c r="TKP70" s="122"/>
      <c r="TKQ70" s="122"/>
      <c r="TKR70" s="122"/>
      <c r="TKS70" s="122"/>
      <c r="TKT70" s="122"/>
      <c r="TKU70" s="122"/>
      <c r="TKV70" s="122"/>
      <c r="TKW70" s="122"/>
      <c r="TKX70" s="122"/>
      <c r="TKY70" s="122"/>
      <c r="TKZ70" s="122"/>
      <c r="TLA70" s="122"/>
      <c r="TLB70" s="122"/>
      <c r="TLC70" s="122"/>
      <c r="TLD70" s="122"/>
      <c r="TLE70" s="122"/>
      <c r="TLF70" s="122"/>
      <c r="TLG70" s="122"/>
      <c r="TLH70" s="122"/>
      <c r="TLI70" s="122"/>
      <c r="TLJ70" s="122"/>
      <c r="TLK70" s="122"/>
      <c r="TLL70" s="122"/>
      <c r="TLM70" s="122"/>
      <c r="TLN70" s="122"/>
      <c r="TLO70" s="122"/>
      <c r="TLP70" s="122"/>
      <c r="TLQ70" s="122"/>
      <c r="TLR70" s="122"/>
      <c r="TLS70" s="122"/>
      <c r="TLT70" s="122"/>
      <c r="TLU70" s="122"/>
      <c r="TLV70" s="122"/>
      <c r="TLW70" s="122"/>
      <c r="TLX70" s="122"/>
      <c r="TLY70" s="122"/>
      <c r="TLZ70" s="122"/>
      <c r="TMA70" s="122"/>
      <c r="TMB70" s="122"/>
      <c r="TMC70" s="122"/>
      <c r="TMD70" s="122"/>
      <c r="TME70" s="122"/>
      <c r="TMF70" s="122"/>
      <c r="TMG70" s="122"/>
      <c r="TMH70" s="122"/>
      <c r="TMI70" s="122"/>
      <c r="TMJ70" s="122"/>
      <c r="TMK70" s="122"/>
      <c r="TML70" s="122"/>
      <c r="TMM70" s="122"/>
      <c r="TMN70" s="122"/>
      <c r="TMO70" s="122"/>
      <c r="TMP70" s="122"/>
      <c r="TMQ70" s="122"/>
      <c r="TMR70" s="122"/>
      <c r="TMS70" s="122"/>
      <c r="TMT70" s="122"/>
      <c r="TMU70" s="122"/>
      <c r="TMV70" s="122"/>
      <c r="TMW70" s="122"/>
      <c r="TMX70" s="122"/>
      <c r="TMY70" s="122"/>
      <c r="TMZ70" s="122"/>
      <c r="TNA70" s="122"/>
      <c r="TNB70" s="122"/>
      <c r="TNC70" s="122"/>
      <c r="TND70" s="122"/>
      <c r="TNE70" s="122"/>
      <c r="TNF70" s="122"/>
      <c r="TNG70" s="122"/>
      <c r="TNH70" s="122"/>
      <c r="TNI70" s="122"/>
      <c r="TNJ70" s="122"/>
      <c r="TNK70" s="122"/>
      <c r="TNL70" s="122"/>
      <c r="TNM70" s="122"/>
      <c r="TNN70" s="122"/>
      <c r="TNO70" s="122"/>
      <c r="TNP70" s="122"/>
      <c r="TNQ70" s="122"/>
      <c r="TNR70" s="122"/>
      <c r="TNS70" s="122"/>
      <c r="TNT70" s="122"/>
      <c r="TNU70" s="122"/>
      <c r="TNV70" s="122"/>
      <c r="TNW70" s="122"/>
      <c r="TNX70" s="122"/>
      <c r="TNY70" s="122"/>
      <c r="TNZ70" s="122"/>
      <c r="TOA70" s="122"/>
      <c r="TOB70" s="122"/>
      <c r="TOC70" s="122"/>
      <c r="TOD70" s="122"/>
      <c r="TOE70" s="122"/>
      <c r="TOF70" s="122"/>
      <c r="TOG70" s="122"/>
      <c r="TOH70" s="122"/>
      <c r="TOI70" s="122"/>
      <c r="TOJ70" s="122"/>
      <c r="TOK70" s="122"/>
      <c r="TOL70" s="122"/>
      <c r="TOM70" s="122"/>
      <c r="TON70" s="122"/>
      <c r="TOO70" s="122"/>
      <c r="TOP70" s="122"/>
      <c r="TOQ70" s="122"/>
      <c r="TOR70" s="122"/>
      <c r="TOS70" s="122"/>
      <c r="TOT70" s="122"/>
      <c r="TOU70" s="122"/>
      <c r="TOV70" s="122"/>
      <c r="TOW70" s="122"/>
      <c r="TOX70" s="122"/>
      <c r="TOY70" s="122"/>
      <c r="TOZ70" s="122"/>
      <c r="TPA70" s="122"/>
      <c r="TPB70" s="122"/>
      <c r="TPC70" s="122"/>
      <c r="TPD70" s="122"/>
      <c r="TPE70" s="122"/>
      <c r="TPF70" s="122"/>
      <c r="TPG70" s="122"/>
      <c r="TPH70" s="122"/>
      <c r="TPI70" s="122"/>
      <c r="TPJ70" s="122"/>
      <c r="TPK70" s="122"/>
      <c r="TPL70" s="122"/>
      <c r="TPM70" s="122"/>
      <c r="TPN70" s="122"/>
      <c r="TPO70" s="122"/>
      <c r="TPP70" s="122"/>
      <c r="TPQ70" s="122"/>
      <c r="TPR70" s="122"/>
      <c r="TPS70" s="122"/>
      <c r="TPT70" s="122"/>
      <c r="TPU70" s="122"/>
      <c r="TPV70" s="122"/>
      <c r="TPW70" s="122"/>
      <c r="TPX70" s="122"/>
      <c r="TPY70" s="122"/>
      <c r="TPZ70" s="122"/>
      <c r="TQA70" s="122"/>
      <c r="TQB70" s="122"/>
      <c r="TQC70" s="122"/>
      <c r="TQD70" s="122"/>
      <c r="TQE70" s="122"/>
      <c r="TQF70" s="122"/>
      <c r="TQG70" s="122"/>
      <c r="TQH70" s="122"/>
      <c r="TQI70" s="122"/>
      <c r="TQJ70" s="122"/>
      <c r="TQK70" s="122"/>
      <c r="TQL70" s="122"/>
      <c r="TQM70" s="122"/>
      <c r="TQN70" s="122"/>
      <c r="TQO70" s="122"/>
      <c r="TQP70" s="122"/>
      <c r="TQQ70" s="122"/>
      <c r="TQR70" s="122"/>
      <c r="TQS70" s="122"/>
      <c r="TQT70" s="122"/>
      <c r="TQU70" s="122"/>
      <c r="TQV70" s="122"/>
      <c r="TQW70" s="122"/>
      <c r="TQX70" s="122"/>
      <c r="TQY70" s="122"/>
      <c r="TQZ70" s="122"/>
      <c r="TRA70" s="122"/>
      <c r="TRB70" s="122"/>
      <c r="TRC70" s="122"/>
      <c r="TRD70" s="122"/>
      <c r="TRE70" s="122"/>
      <c r="TRF70" s="122"/>
      <c r="TRG70" s="122"/>
      <c r="TRH70" s="122"/>
      <c r="TRI70" s="122"/>
      <c r="TRJ70" s="122"/>
      <c r="TRK70" s="122"/>
      <c r="TRL70" s="122"/>
      <c r="TRM70" s="122"/>
      <c r="TRN70" s="122"/>
      <c r="TRO70" s="122"/>
      <c r="TRP70" s="122"/>
      <c r="TRQ70" s="122"/>
      <c r="TRR70" s="122"/>
      <c r="TRS70" s="122"/>
      <c r="TRT70" s="122"/>
      <c r="TRU70" s="122"/>
      <c r="TRV70" s="122"/>
      <c r="TRW70" s="122"/>
      <c r="TRX70" s="122"/>
      <c r="TRY70" s="122"/>
      <c r="TRZ70" s="122"/>
      <c r="TSA70" s="122"/>
      <c r="TSB70" s="122"/>
      <c r="TSC70" s="122"/>
      <c r="TSD70" s="122"/>
      <c r="TSE70" s="122"/>
      <c r="TSF70" s="122"/>
      <c r="TSG70" s="122"/>
      <c r="TSH70" s="122"/>
      <c r="TSI70" s="122"/>
      <c r="TSJ70" s="122"/>
      <c r="TSK70" s="122"/>
      <c r="TSL70" s="122"/>
      <c r="TSM70" s="122"/>
      <c r="TSN70" s="122"/>
      <c r="TSO70" s="122"/>
      <c r="TSP70" s="122"/>
      <c r="TSQ70" s="122"/>
      <c r="TSR70" s="122"/>
      <c r="TSS70" s="122"/>
      <c r="TST70" s="122"/>
      <c r="TSU70" s="122"/>
      <c r="TSV70" s="122"/>
      <c r="TSW70" s="122"/>
      <c r="TSX70" s="122"/>
      <c r="TSY70" s="122"/>
      <c r="TSZ70" s="122"/>
      <c r="TTA70" s="122"/>
      <c r="TTB70" s="122"/>
      <c r="TTC70" s="122"/>
      <c r="TTD70" s="122"/>
      <c r="TTE70" s="122"/>
      <c r="TTF70" s="122"/>
      <c r="TTG70" s="122"/>
      <c r="TTH70" s="122"/>
      <c r="TTI70" s="122"/>
      <c r="TTJ70" s="122"/>
      <c r="TTK70" s="122"/>
      <c r="TTL70" s="122"/>
      <c r="TTM70" s="122"/>
      <c r="TTN70" s="122"/>
      <c r="TTO70" s="122"/>
      <c r="TTP70" s="122"/>
      <c r="TTQ70" s="122"/>
      <c r="TTR70" s="122"/>
      <c r="TTS70" s="122"/>
      <c r="TTT70" s="122"/>
      <c r="TTU70" s="122"/>
      <c r="TTV70" s="122"/>
      <c r="TTW70" s="122"/>
      <c r="TTX70" s="122"/>
      <c r="TTY70" s="122"/>
      <c r="TTZ70" s="122"/>
      <c r="TUA70" s="122"/>
      <c r="TUB70" s="122"/>
      <c r="TUC70" s="122"/>
      <c r="TUD70" s="122"/>
      <c r="TUE70" s="122"/>
      <c r="TUF70" s="122"/>
      <c r="TUG70" s="122"/>
      <c r="TUH70" s="122"/>
      <c r="TUI70" s="122"/>
      <c r="TUJ70" s="122"/>
      <c r="TUK70" s="122"/>
      <c r="TUL70" s="122"/>
      <c r="TUM70" s="122"/>
      <c r="TUN70" s="122"/>
      <c r="TUO70" s="122"/>
      <c r="TUP70" s="122"/>
      <c r="TUQ70" s="122"/>
      <c r="TUR70" s="122"/>
      <c r="TUS70" s="122"/>
      <c r="TUT70" s="122"/>
      <c r="TUU70" s="122"/>
      <c r="TUV70" s="122"/>
      <c r="TUW70" s="122"/>
      <c r="TUX70" s="122"/>
      <c r="TUY70" s="122"/>
      <c r="TUZ70" s="122"/>
      <c r="TVA70" s="122"/>
      <c r="TVB70" s="122"/>
      <c r="TVC70" s="122"/>
      <c r="TVD70" s="122"/>
      <c r="TVE70" s="122"/>
      <c r="TVF70" s="122"/>
      <c r="TVG70" s="122"/>
      <c r="TVH70" s="122"/>
      <c r="TVI70" s="122"/>
      <c r="TVJ70" s="122"/>
      <c r="TVK70" s="122"/>
      <c r="TVL70" s="122"/>
      <c r="TVM70" s="122"/>
      <c r="TVN70" s="122"/>
      <c r="TVO70" s="122"/>
      <c r="TVP70" s="122"/>
      <c r="TVQ70" s="122"/>
      <c r="TVR70" s="122"/>
      <c r="TVS70" s="122"/>
      <c r="TVT70" s="122"/>
      <c r="TVU70" s="122"/>
      <c r="TVV70" s="122"/>
      <c r="TVW70" s="122"/>
      <c r="TVX70" s="122"/>
      <c r="TVY70" s="122"/>
      <c r="TVZ70" s="122"/>
      <c r="TWA70" s="122"/>
      <c r="TWB70" s="122"/>
      <c r="TWC70" s="122"/>
      <c r="TWD70" s="122"/>
      <c r="TWE70" s="122"/>
      <c r="TWF70" s="122"/>
      <c r="TWG70" s="122"/>
      <c r="TWH70" s="122"/>
      <c r="TWI70" s="122"/>
      <c r="TWJ70" s="122"/>
      <c r="TWK70" s="122"/>
      <c r="TWL70" s="122"/>
      <c r="TWM70" s="122"/>
      <c r="TWN70" s="122"/>
      <c r="TWO70" s="122"/>
      <c r="TWP70" s="122"/>
      <c r="TWQ70" s="122"/>
      <c r="TWR70" s="122"/>
      <c r="TWS70" s="122"/>
      <c r="TWT70" s="122"/>
      <c r="TWU70" s="122"/>
      <c r="TWV70" s="122"/>
      <c r="TWW70" s="122"/>
      <c r="TWX70" s="122"/>
      <c r="TWY70" s="122"/>
      <c r="TWZ70" s="122"/>
      <c r="TXA70" s="122"/>
      <c r="TXB70" s="122"/>
      <c r="TXC70" s="122"/>
      <c r="TXD70" s="122"/>
      <c r="TXE70" s="122"/>
      <c r="TXF70" s="122"/>
      <c r="TXG70" s="122"/>
      <c r="TXH70" s="122"/>
      <c r="TXI70" s="122"/>
      <c r="TXJ70" s="122"/>
      <c r="TXK70" s="122"/>
      <c r="TXL70" s="122"/>
      <c r="TXM70" s="122"/>
      <c r="TXN70" s="122"/>
      <c r="TXO70" s="122"/>
      <c r="TXP70" s="122"/>
      <c r="TXQ70" s="122"/>
      <c r="TXR70" s="122"/>
      <c r="TXS70" s="122"/>
      <c r="TXT70" s="122"/>
      <c r="TXU70" s="122"/>
      <c r="TXV70" s="122"/>
      <c r="TXW70" s="122"/>
      <c r="TXX70" s="122"/>
      <c r="TXY70" s="122"/>
      <c r="TXZ70" s="122"/>
      <c r="TYA70" s="122"/>
      <c r="TYB70" s="122"/>
      <c r="TYC70" s="122"/>
      <c r="TYD70" s="122"/>
      <c r="TYE70" s="122"/>
      <c r="TYF70" s="122"/>
      <c r="TYG70" s="122"/>
      <c r="TYH70" s="122"/>
      <c r="TYI70" s="122"/>
      <c r="TYJ70" s="122"/>
      <c r="TYK70" s="122"/>
      <c r="TYL70" s="122"/>
      <c r="TYM70" s="122"/>
      <c r="TYN70" s="122"/>
      <c r="TYO70" s="122"/>
      <c r="TYP70" s="122"/>
      <c r="TYQ70" s="122"/>
      <c r="TYR70" s="122"/>
      <c r="TYS70" s="122"/>
      <c r="TYT70" s="122"/>
      <c r="TYU70" s="122"/>
      <c r="TYV70" s="122"/>
      <c r="TYW70" s="122"/>
      <c r="TYX70" s="122"/>
      <c r="TYY70" s="122"/>
      <c r="TYZ70" s="122"/>
      <c r="TZA70" s="122"/>
      <c r="TZB70" s="122"/>
      <c r="TZC70" s="122"/>
      <c r="TZD70" s="122"/>
      <c r="TZE70" s="122"/>
      <c r="TZF70" s="122"/>
      <c r="TZG70" s="122"/>
      <c r="TZH70" s="122"/>
      <c r="TZI70" s="122"/>
      <c r="TZJ70" s="122"/>
      <c r="TZK70" s="122"/>
      <c r="TZL70" s="122"/>
      <c r="TZM70" s="122"/>
      <c r="TZN70" s="122"/>
      <c r="TZO70" s="122"/>
      <c r="TZP70" s="122"/>
      <c r="TZQ70" s="122"/>
      <c r="TZR70" s="122"/>
      <c r="TZS70" s="122"/>
      <c r="TZT70" s="122"/>
      <c r="TZU70" s="122"/>
      <c r="TZV70" s="122"/>
      <c r="TZW70" s="122"/>
      <c r="TZX70" s="122"/>
      <c r="TZY70" s="122"/>
      <c r="TZZ70" s="122"/>
      <c r="UAA70" s="122"/>
      <c r="UAB70" s="122"/>
      <c r="UAC70" s="122"/>
      <c r="UAD70" s="122"/>
      <c r="UAE70" s="122"/>
      <c r="UAF70" s="122"/>
      <c r="UAG70" s="122"/>
      <c r="UAH70" s="122"/>
      <c r="UAI70" s="122"/>
      <c r="UAJ70" s="122"/>
      <c r="UAK70" s="122"/>
      <c r="UAL70" s="122"/>
      <c r="UAM70" s="122"/>
      <c r="UAN70" s="122"/>
      <c r="UAO70" s="122"/>
      <c r="UAP70" s="122"/>
      <c r="UAQ70" s="122"/>
      <c r="UAR70" s="122"/>
      <c r="UAS70" s="122"/>
      <c r="UAT70" s="122"/>
      <c r="UAU70" s="122"/>
      <c r="UAV70" s="122"/>
      <c r="UAW70" s="122"/>
      <c r="UAX70" s="122"/>
      <c r="UAY70" s="122"/>
      <c r="UAZ70" s="122"/>
      <c r="UBA70" s="122"/>
      <c r="UBB70" s="122"/>
      <c r="UBC70" s="122"/>
      <c r="UBD70" s="122"/>
      <c r="UBE70" s="122"/>
      <c r="UBF70" s="122"/>
      <c r="UBG70" s="122"/>
      <c r="UBH70" s="122"/>
      <c r="UBI70" s="122"/>
      <c r="UBJ70" s="122"/>
      <c r="UBK70" s="122"/>
      <c r="UBL70" s="122"/>
      <c r="UBM70" s="122"/>
      <c r="UBN70" s="122"/>
      <c r="UBO70" s="122"/>
      <c r="UBP70" s="122"/>
      <c r="UBQ70" s="122"/>
      <c r="UBR70" s="122"/>
      <c r="UBS70" s="122"/>
      <c r="UBT70" s="122"/>
      <c r="UBU70" s="122"/>
      <c r="UBV70" s="122"/>
      <c r="UBW70" s="122"/>
      <c r="UBX70" s="122"/>
      <c r="UBY70" s="122"/>
      <c r="UBZ70" s="122"/>
      <c r="UCA70" s="122"/>
      <c r="UCB70" s="122"/>
      <c r="UCC70" s="122"/>
      <c r="UCD70" s="122"/>
      <c r="UCE70" s="122"/>
      <c r="UCF70" s="122"/>
      <c r="UCG70" s="122"/>
      <c r="UCH70" s="122"/>
      <c r="UCI70" s="122"/>
      <c r="UCJ70" s="122"/>
      <c r="UCK70" s="122"/>
      <c r="UCL70" s="122"/>
      <c r="UCM70" s="122"/>
      <c r="UCN70" s="122"/>
      <c r="UCO70" s="122"/>
      <c r="UCP70" s="122"/>
      <c r="UCQ70" s="122"/>
      <c r="UCR70" s="122"/>
      <c r="UCS70" s="122"/>
      <c r="UCT70" s="122"/>
      <c r="UCU70" s="122"/>
      <c r="UCV70" s="122"/>
      <c r="UCW70" s="122"/>
      <c r="UCX70" s="122"/>
      <c r="UCY70" s="122"/>
      <c r="UCZ70" s="122"/>
      <c r="UDA70" s="122"/>
      <c r="UDB70" s="122"/>
      <c r="UDC70" s="122"/>
      <c r="UDD70" s="122"/>
      <c r="UDE70" s="122"/>
      <c r="UDF70" s="122"/>
      <c r="UDG70" s="122"/>
      <c r="UDH70" s="122"/>
      <c r="UDI70" s="122"/>
      <c r="UDJ70" s="122"/>
      <c r="UDK70" s="122"/>
      <c r="UDL70" s="122"/>
      <c r="UDM70" s="122"/>
      <c r="UDN70" s="122"/>
      <c r="UDO70" s="122"/>
      <c r="UDP70" s="122"/>
      <c r="UDQ70" s="122"/>
      <c r="UDR70" s="122"/>
      <c r="UDS70" s="122"/>
      <c r="UDT70" s="122"/>
      <c r="UDU70" s="122"/>
      <c r="UDV70" s="122"/>
      <c r="UDW70" s="122"/>
      <c r="UDX70" s="122"/>
      <c r="UDY70" s="122"/>
      <c r="UDZ70" s="122"/>
      <c r="UEA70" s="122"/>
      <c r="UEB70" s="122"/>
      <c r="UEC70" s="122"/>
      <c r="UED70" s="122"/>
      <c r="UEE70" s="122"/>
      <c r="UEF70" s="122"/>
      <c r="UEG70" s="122"/>
      <c r="UEH70" s="122"/>
      <c r="UEI70" s="122"/>
      <c r="UEJ70" s="122"/>
      <c r="UEK70" s="122"/>
      <c r="UEL70" s="122"/>
      <c r="UEM70" s="122"/>
      <c r="UEN70" s="122"/>
      <c r="UEO70" s="122"/>
      <c r="UEP70" s="122"/>
      <c r="UEQ70" s="122"/>
      <c r="UER70" s="122"/>
      <c r="UES70" s="122"/>
      <c r="UET70" s="122"/>
      <c r="UEU70" s="122"/>
      <c r="UEV70" s="122"/>
      <c r="UEW70" s="122"/>
      <c r="UEX70" s="122"/>
      <c r="UEY70" s="122"/>
      <c r="UEZ70" s="122"/>
      <c r="UFA70" s="122"/>
      <c r="UFB70" s="122"/>
      <c r="UFC70" s="122"/>
      <c r="UFD70" s="122"/>
      <c r="UFE70" s="122"/>
      <c r="UFF70" s="122"/>
      <c r="UFG70" s="122"/>
      <c r="UFH70" s="122"/>
      <c r="UFI70" s="122"/>
      <c r="UFJ70" s="122"/>
      <c r="UFK70" s="122"/>
      <c r="UFL70" s="122"/>
      <c r="UFM70" s="122"/>
      <c r="UFN70" s="122"/>
      <c r="UFO70" s="122"/>
      <c r="UFP70" s="122"/>
      <c r="UFQ70" s="122"/>
      <c r="UFR70" s="122"/>
      <c r="UFS70" s="122"/>
      <c r="UFT70" s="122"/>
      <c r="UFU70" s="122"/>
      <c r="UFV70" s="122"/>
      <c r="UFW70" s="122"/>
      <c r="UFX70" s="122"/>
      <c r="UFY70" s="122"/>
      <c r="UFZ70" s="122"/>
      <c r="UGA70" s="122"/>
      <c r="UGB70" s="122"/>
      <c r="UGC70" s="122"/>
      <c r="UGD70" s="122"/>
      <c r="UGE70" s="122"/>
      <c r="UGF70" s="122"/>
      <c r="UGG70" s="122"/>
      <c r="UGH70" s="122"/>
      <c r="UGI70" s="122"/>
      <c r="UGJ70" s="122"/>
      <c r="UGK70" s="122"/>
      <c r="UGL70" s="122"/>
      <c r="UGM70" s="122"/>
      <c r="UGN70" s="122"/>
      <c r="UGO70" s="122"/>
      <c r="UGP70" s="122"/>
      <c r="UGQ70" s="122"/>
      <c r="UGR70" s="122"/>
      <c r="UGS70" s="122"/>
      <c r="UGT70" s="122"/>
      <c r="UGU70" s="122"/>
      <c r="UGV70" s="122"/>
      <c r="UGW70" s="122"/>
      <c r="UGX70" s="122"/>
      <c r="UGY70" s="122"/>
      <c r="UGZ70" s="122"/>
      <c r="UHA70" s="122"/>
      <c r="UHB70" s="122"/>
      <c r="UHC70" s="122"/>
      <c r="UHD70" s="122"/>
      <c r="UHE70" s="122"/>
      <c r="UHF70" s="122"/>
      <c r="UHG70" s="122"/>
      <c r="UHH70" s="122"/>
      <c r="UHI70" s="122"/>
      <c r="UHJ70" s="122"/>
      <c r="UHK70" s="122"/>
      <c r="UHL70" s="122"/>
      <c r="UHM70" s="122"/>
      <c r="UHN70" s="122"/>
      <c r="UHO70" s="122"/>
      <c r="UHP70" s="122"/>
      <c r="UHQ70" s="122"/>
      <c r="UHR70" s="122"/>
      <c r="UHS70" s="122"/>
      <c r="UHT70" s="122"/>
      <c r="UHU70" s="122"/>
      <c r="UHV70" s="122"/>
      <c r="UHW70" s="122"/>
      <c r="UHX70" s="122"/>
      <c r="UHY70" s="122"/>
      <c r="UHZ70" s="122"/>
      <c r="UIA70" s="122"/>
      <c r="UIB70" s="122"/>
      <c r="UIC70" s="122"/>
      <c r="UID70" s="122"/>
      <c r="UIE70" s="122"/>
      <c r="UIF70" s="122"/>
      <c r="UIG70" s="122"/>
      <c r="UIH70" s="122"/>
      <c r="UII70" s="122"/>
      <c r="UIJ70" s="122"/>
      <c r="UIK70" s="122"/>
      <c r="UIL70" s="122"/>
      <c r="UIM70" s="122"/>
      <c r="UIN70" s="122"/>
      <c r="UIO70" s="122"/>
      <c r="UIP70" s="122"/>
      <c r="UIQ70" s="122"/>
      <c r="UIR70" s="122"/>
      <c r="UIS70" s="122"/>
      <c r="UIT70" s="122"/>
      <c r="UIU70" s="122"/>
      <c r="UIV70" s="122"/>
      <c r="UIW70" s="122"/>
      <c r="UIX70" s="122"/>
      <c r="UIY70" s="122"/>
      <c r="UIZ70" s="122"/>
      <c r="UJA70" s="122"/>
      <c r="UJB70" s="122"/>
      <c r="UJC70" s="122"/>
      <c r="UJD70" s="122"/>
      <c r="UJE70" s="122"/>
      <c r="UJF70" s="122"/>
      <c r="UJG70" s="122"/>
      <c r="UJH70" s="122"/>
      <c r="UJI70" s="122"/>
      <c r="UJJ70" s="122"/>
      <c r="UJK70" s="122"/>
      <c r="UJL70" s="122"/>
      <c r="UJM70" s="122"/>
      <c r="UJN70" s="122"/>
      <c r="UJO70" s="122"/>
      <c r="UJP70" s="122"/>
      <c r="UJQ70" s="122"/>
      <c r="UJR70" s="122"/>
      <c r="UJS70" s="122"/>
      <c r="UJT70" s="122"/>
      <c r="UJU70" s="122"/>
      <c r="UJV70" s="122"/>
      <c r="UJW70" s="122"/>
      <c r="UJX70" s="122"/>
      <c r="UJY70" s="122"/>
      <c r="UJZ70" s="122"/>
      <c r="UKA70" s="122"/>
      <c r="UKB70" s="122"/>
      <c r="UKC70" s="122"/>
      <c r="UKD70" s="122"/>
      <c r="UKE70" s="122"/>
      <c r="UKF70" s="122"/>
      <c r="UKG70" s="122"/>
      <c r="UKH70" s="122"/>
      <c r="UKI70" s="122"/>
      <c r="UKJ70" s="122"/>
      <c r="UKK70" s="122"/>
      <c r="UKL70" s="122"/>
      <c r="UKM70" s="122"/>
      <c r="UKN70" s="122"/>
      <c r="UKO70" s="122"/>
      <c r="UKP70" s="122"/>
      <c r="UKQ70" s="122"/>
      <c r="UKR70" s="122"/>
      <c r="UKS70" s="122"/>
      <c r="UKT70" s="122"/>
      <c r="UKU70" s="122"/>
      <c r="UKV70" s="122"/>
      <c r="UKW70" s="122"/>
      <c r="UKX70" s="122"/>
      <c r="UKY70" s="122"/>
      <c r="UKZ70" s="122"/>
      <c r="ULA70" s="122"/>
      <c r="ULB70" s="122"/>
      <c r="ULC70" s="122"/>
      <c r="ULD70" s="122"/>
      <c r="ULE70" s="122"/>
      <c r="ULF70" s="122"/>
      <c r="ULG70" s="122"/>
      <c r="ULH70" s="122"/>
      <c r="ULI70" s="122"/>
      <c r="ULJ70" s="122"/>
      <c r="ULK70" s="122"/>
      <c r="ULL70" s="122"/>
      <c r="ULM70" s="122"/>
      <c r="ULN70" s="122"/>
      <c r="ULO70" s="122"/>
      <c r="ULP70" s="122"/>
      <c r="ULQ70" s="122"/>
      <c r="ULR70" s="122"/>
      <c r="ULS70" s="122"/>
      <c r="ULT70" s="122"/>
      <c r="ULU70" s="122"/>
      <c r="ULV70" s="122"/>
      <c r="ULW70" s="122"/>
      <c r="ULX70" s="122"/>
      <c r="ULY70" s="122"/>
      <c r="ULZ70" s="122"/>
      <c r="UMA70" s="122"/>
      <c r="UMB70" s="122"/>
      <c r="UMC70" s="122"/>
      <c r="UMD70" s="122"/>
      <c r="UME70" s="122"/>
      <c r="UMF70" s="122"/>
      <c r="UMG70" s="122"/>
      <c r="UMH70" s="122"/>
      <c r="UMI70" s="122"/>
      <c r="UMJ70" s="122"/>
      <c r="UMK70" s="122"/>
      <c r="UML70" s="122"/>
      <c r="UMM70" s="122"/>
      <c r="UMN70" s="122"/>
      <c r="UMO70" s="122"/>
      <c r="UMP70" s="122"/>
      <c r="UMQ70" s="122"/>
      <c r="UMR70" s="122"/>
      <c r="UMS70" s="122"/>
      <c r="UMT70" s="122"/>
      <c r="UMU70" s="122"/>
      <c r="UMV70" s="122"/>
      <c r="UMW70" s="122"/>
      <c r="UMX70" s="122"/>
      <c r="UMY70" s="122"/>
      <c r="UMZ70" s="122"/>
      <c r="UNA70" s="122"/>
      <c r="UNB70" s="122"/>
      <c r="UNC70" s="122"/>
      <c r="UND70" s="122"/>
      <c r="UNE70" s="122"/>
      <c r="UNF70" s="122"/>
      <c r="UNG70" s="122"/>
      <c r="UNH70" s="122"/>
      <c r="UNI70" s="122"/>
      <c r="UNJ70" s="122"/>
      <c r="UNK70" s="122"/>
      <c r="UNL70" s="122"/>
      <c r="UNM70" s="122"/>
      <c r="UNN70" s="122"/>
      <c r="UNO70" s="122"/>
      <c r="UNP70" s="122"/>
      <c r="UNQ70" s="122"/>
      <c r="UNR70" s="122"/>
      <c r="UNS70" s="122"/>
      <c r="UNT70" s="122"/>
      <c r="UNU70" s="122"/>
      <c r="UNV70" s="122"/>
      <c r="UNW70" s="122"/>
      <c r="UNX70" s="122"/>
      <c r="UNY70" s="122"/>
      <c r="UNZ70" s="122"/>
      <c r="UOA70" s="122"/>
      <c r="UOB70" s="122"/>
      <c r="UOC70" s="122"/>
      <c r="UOD70" s="122"/>
      <c r="UOE70" s="122"/>
      <c r="UOF70" s="122"/>
      <c r="UOG70" s="122"/>
      <c r="UOH70" s="122"/>
      <c r="UOI70" s="122"/>
      <c r="UOJ70" s="122"/>
      <c r="UOK70" s="122"/>
      <c r="UOL70" s="122"/>
      <c r="UOM70" s="122"/>
      <c r="UON70" s="122"/>
      <c r="UOO70" s="122"/>
      <c r="UOP70" s="122"/>
      <c r="UOQ70" s="122"/>
      <c r="UOR70" s="122"/>
      <c r="UOS70" s="122"/>
      <c r="UOT70" s="122"/>
      <c r="UOU70" s="122"/>
      <c r="UOV70" s="122"/>
      <c r="UOW70" s="122"/>
      <c r="UOX70" s="122"/>
      <c r="UOY70" s="122"/>
      <c r="UOZ70" s="122"/>
      <c r="UPA70" s="122"/>
      <c r="UPB70" s="122"/>
      <c r="UPC70" s="122"/>
      <c r="UPD70" s="122"/>
      <c r="UPE70" s="122"/>
      <c r="UPF70" s="122"/>
      <c r="UPG70" s="122"/>
      <c r="UPH70" s="122"/>
      <c r="UPI70" s="122"/>
      <c r="UPJ70" s="122"/>
      <c r="UPK70" s="122"/>
      <c r="UPL70" s="122"/>
      <c r="UPM70" s="122"/>
      <c r="UPN70" s="122"/>
      <c r="UPO70" s="122"/>
      <c r="UPP70" s="122"/>
      <c r="UPQ70" s="122"/>
      <c r="UPR70" s="122"/>
      <c r="UPS70" s="122"/>
      <c r="UPT70" s="122"/>
      <c r="UPU70" s="122"/>
      <c r="UPV70" s="122"/>
      <c r="UPW70" s="122"/>
      <c r="UPX70" s="122"/>
      <c r="UPY70" s="122"/>
      <c r="UPZ70" s="122"/>
      <c r="UQA70" s="122"/>
      <c r="UQB70" s="122"/>
      <c r="UQC70" s="122"/>
      <c r="UQD70" s="122"/>
      <c r="UQE70" s="122"/>
      <c r="UQF70" s="122"/>
      <c r="UQG70" s="122"/>
      <c r="UQH70" s="122"/>
      <c r="UQI70" s="122"/>
      <c r="UQJ70" s="122"/>
      <c r="UQK70" s="122"/>
      <c r="UQL70" s="122"/>
      <c r="UQM70" s="122"/>
      <c r="UQN70" s="122"/>
      <c r="UQO70" s="122"/>
      <c r="UQP70" s="122"/>
      <c r="UQQ70" s="122"/>
      <c r="UQR70" s="122"/>
      <c r="UQS70" s="122"/>
      <c r="UQT70" s="122"/>
      <c r="UQU70" s="122"/>
      <c r="UQV70" s="122"/>
      <c r="UQW70" s="122"/>
      <c r="UQX70" s="122"/>
      <c r="UQY70" s="122"/>
      <c r="UQZ70" s="122"/>
      <c r="URA70" s="122"/>
      <c r="URB70" s="122"/>
      <c r="URC70" s="122"/>
      <c r="URD70" s="122"/>
      <c r="URE70" s="122"/>
      <c r="URF70" s="122"/>
      <c r="URG70" s="122"/>
      <c r="URH70" s="122"/>
      <c r="URI70" s="122"/>
      <c r="URJ70" s="122"/>
      <c r="URK70" s="122"/>
      <c r="URL70" s="122"/>
      <c r="URM70" s="122"/>
      <c r="URN70" s="122"/>
      <c r="URO70" s="122"/>
      <c r="URP70" s="122"/>
      <c r="URQ70" s="122"/>
      <c r="URR70" s="122"/>
      <c r="URS70" s="122"/>
      <c r="URT70" s="122"/>
      <c r="URU70" s="122"/>
      <c r="URV70" s="122"/>
      <c r="URW70" s="122"/>
      <c r="URX70" s="122"/>
      <c r="URY70" s="122"/>
      <c r="URZ70" s="122"/>
      <c r="USA70" s="122"/>
      <c r="USB70" s="122"/>
      <c r="USC70" s="122"/>
      <c r="USD70" s="122"/>
      <c r="USE70" s="122"/>
      <c r="USF70" s="122"/>
      <c r="USG70" s="122"/>
      <c r="USH70" s="122"/>
      <c r="USI70" s="122"/>
      <c r="USJ70" s="122"/>
      <c r="USK70" s="122"/>
      <c r="USL70" s="122"/>
      <c r="USM70" s="122"/>
      <c r="USN70" s="122"/>
      <c r="USO70" s="122"/>
      <c r="USP70" s="122"/>
      <c r="USQ70" s="122"/>
      <c r="USR70" s="122"/>
      <c r="USS70" s="122"/>
      <c r="UST70" s="122"/>
      <c r="USU70" s="122"/>
      <c r="USV70" s="122"/>
      <c r="USW70" s="122"/>
      <c r="USX70" s="122"/>
      <c r="USY70" s="122"/>
      <c r="USZ70" s="122"/>
      <c r="UTA70" s="122"/>
      <c r="UTB70" s="122"/>
      <c r="UTC70" s="122"/>
      <c r="UTD70" s="122"/>
      <c r="UTE70" s="122"/>
      <c r="UTF70" s="122"/>
      <c r="UTG70" s="122"/>
      <c r="UTH70" s="122"/>
      <c r="UTI70" s="122"/>
      <c r="UTJ70" s="122"/>
      <c r="UTK70" s="122"/>
      <c r="UTL70" s="122"/>
      <c r="UTM70" s="122"/>
      <c r="UTN70" s="122"/>
      <c r="UTO70" s="122"/>
      <c r="UTP70" s="122"/>
      <c r="UTQ70" s="122"/>
      <c r="UTR70" s="122"/>
      <c r="UTS70" s="122"/>
      <c r="UTT70" s="122"/>
      <c r="UTU70" s="122"/>
      <c r="UTV70" s="122"/>
      <c r="UTW70" s="122"/>
      <c r="UTX70" s="122"/>
      <c r="UTY70" s="122"/>
      <c r="UTZ70" s="122"/>
      <c r="UUA70" s="122"/>
      <c r="UUB70" s="122"/>
      <c r="UUC70" s="122"/>
      <c r="UUD70" s="122"/>
      <c r="UUE70" s="122"/>
      <c r="UUF70" s="122"/>
      <c r="UUG70" s="122"/>
      <c r="UUH70" s="122"/>
      <c r="UUI70" s="122"/>
      <c r="UUJ70" s="122"/>
      <c r="UUK70" s="122"/>
      <c r="UUL70" s="122"/>
      <c r="UUM70" s="122"/>
      <c r="UUN70" s="122"/>
      <c r="UUO70" s="122"/>
      <c r="UUP70" s="122"/>
      <c r="UUQ70" s="122"/>
      <c r="UUR70" s="122"/>
      <c r="UUS70" s="122"/>
      <c r="UUT70" s="122"/>
      <c r="UUU70" s="122"/>
      <c r="UUV70" s="122"/>
      <c r="UUW70" s="122"/>
      <c r="UUX70" s="122"/>
      <c r="UUY70" s="122"/>
      <c r="UUZ70" s="122"/>
      <c r="UVA70" s="122"/>
      <c r="UVB70" s="122"/>
      <c r="UVC70" s="122"/>
      <c r="UVD70" s="122"/>
      <c r="UVE70" s="122"/>
      <c r="UVF70" s="122"/>
      <c r="UVG70" s="122"/>
      <c r="UVH70" s="122"/>
      <c r="UVI70" s="122"/>
      <c r="UVJ70" s="122"/>
      <c r="UVK70" s="122"/>
      <c r="UVL70" s="122"/>
      <c r="UVM70" s="122"/>
      <c r="UVN70" s="122"/>
      <c r="UVO70" s="122"/>
      <c r="UVP70" s="122"/>
      <c r="UVQ70" s="122"/>
      <c r="UVR70" s="122"/>
      <c r="UVS70" s="122"/>
      <c r="UVT70" s="122"/>
      <c r="UVU70" s="122"/>
      <c r="UVV70" s="122"/>
      <c r="UVW70" s="122"/>
      <c r="UVX70" s="122"/>
      <c r="UVY70" s="122"/>
      <c r="UVZ70" s="122"/>
      <c r="UWA70" s="122"/>
      <c r="UWB70" s="122"/>
      <c r="UWC70" s="122"/>
      <c r="UWD70" s="122"/>
      <c r="UWE70" s="122"/>
      <c r="UWF70" s="122"/>
      <c r="UWG70" s="122"/>
      <c r="UWH70" s="122"/>
      <c r="UWI70" s="122"/>
      <c r="UWJ70" s="122"/>
      <c r="UWK70" s="122"/>
      <c r="UWL70" s="122"/>
      <c r="UWM70" s="122"/>
      <c r="UWN70" s="122"/>
      <c r="UWO70" s="122"/>
      <c r="UWP70" s="122"/>
      <c r="UWQ70" s="122"/>
      <c r="UWR70" s="122"/>
      <c r="UWS70" s="122"/>
      <c r="UWT70" s="122"/>
      <c r="UWU70" s="122"/>
      <c r="UWV70" s="122"/>
      <c r="UWW70" s="122"/>
      <c r="UWX70" s="122"/>
      <c r="UWY70" s="122"/>
      <c r="UWZ70" s="122"/>
      <c r="UXA70" s="122"/>
      <c r="UXB70" s="122"/>
      <c r="UXC70" s="122"/>
      <c r="UXD70" s="122"/>
      <c r="UXE70" s="122"/>
      <c r="UXF70" s="122"/>
      <c r="UXG70" s="122"/>
      <c r="UXH70" s="122"/>
      <c r="UXI70" s="122"/>
      <c r="UXJ70" s="122"/>
      <c r="UXK70" s="122"/>
      <c r="UXL70" s="122"/>
      <c r="UXM70" s="122"/>
      <c r="UXN70" s="122"/>
      <c r="UXO70" s="122"/>
      <c r="UXP70" s="122"/>
      <c r="UXQ70" s="122"/>
      <c r="UXR70" s="122"/>
      <c r="UXS70" s="122"/>
      <c r="UXT70" s="122"/>
      <c r="UXU70" s="122"/>
      <c r="UXV70" s="122"/>
      <c r="UXW70" s="122"/>
      <c r="UXX70" s="122"/>
      <c r="UXY70" s="122"/>
      <c r="UXZ70" s="122"/>
      <c r="UYA70" s="122"/>
      <c r="UYB70" s="122"/>
      <c r="UYC70" s="122"/>
      <c r="UYD70" s="122"/>
      <c r="UYE70" s="122"/>
      <c r="UYF70" s="122"/>
      <c r="UYG70" s="122"/>
      <c r="UYH70" s="122"/>
      <c r="UYI70" s="122"/>
      <c r="UYJ70" s="122"/>
      <c r="UYK70" s="122"/>
      <c r="UYL70" s="122"/>
      <c r="UYM70" s="122"/>
      <c r="UYN70" s="122"/>
      <c r="UYO70" s="122"/>
      <c r="UYP70" s="122"/>
      <c r="UYQ70" s="122"/>
      <c r="UYR70" s="122"/>
      <c r="UYS70" s="122"/>
      <c r="UYT70" s="122"/>
      <c r="UYU70" s="122"/>
      <c r="UYV70" s="122"/>
      <c r="UYW70" s="122"/>
      <c r="UYX70" s="122"/>
      <c r="UYY70" s="122"/>
      <c r="UYZ70" s="122"/>
      <c r="UZA70" s="122"/>
      <c r="UZB70" s="122"/>
      <c r="UZC70" s="122"/>
      <c r="UZD70" s="122"/>
      <c r="UZE70" s="122"/>
      <c r="UZF70" s="122"/>
      <c r="UZG70" s="122"/>
      <c r="UZH70" s="122"/>
      <c r="UZI70" s="122"/>
      <c r="UZJ70" s="122"/>
      <c r="UZK70" s="122"/>
      <c r="UZL70" s="122"/>
      <c r="UZM70" s="122"/>
      <c r="UZN70" s="122"/>
      <c r="UZO70" s="122"/>
      <c r="UZP70" s="122"/>
      <c r="UZQ70" s="122"/>
      <c r="UZR70" s="122"/>
      <c r="UZS70" s="122"/>
      <c r="UZT70" s="122"/>
      <c r="UZU70" s="122"/>
      <c r="UZV70" s="122"/>
      <c r="UZW70" s="122"/>
      <c r="UZX70" s="122"/>
      <c r="UZY70" s="122"/>
      <c r="UZZ70" s="122"/>
      <c r="VAA70" s="122"/>
      <c r="VAB70" s="122"/>
      <c r="VAC70" s="122"/>
      <c r="VAD70" s="122"/>
      <c r="VAE70" s="122"/>
      <c r="VAF70" s="122"/>
      <c r="VAG70" s="122"/>
      <c r="VAH70" s="122"/>
      <c r="VAI70" s="122"/>
      <c r="VAJ70" s="122"/>
      <c r="VAK70" s="122"/>
      <c r="VAL70" s="122"/>
      <c r="VAM70" s="122"/>
      <c r="VAN70" s="122"/>
      <c r="VAO70" s="122"/>
      <c r="VAP70" s="122"/>
      <c r="VAQ70" s="122"/>
      <c r="VAR70" s="122"/>
      <c r="VAS70" s="122"/>
      <c r="VAT70" s="122"/>
      <c r="VAU70" s="122"/>
      <c r="VAV70" s="122"/>
      <c r="VAW70" s="122"/>
      <c r="VAX70" s="122"/>
      <c r="VAY70" s="122"/>
      <c r="VAZ70" s="122"/>
      <c r="VBA70" s="122"/>
      <c r="VBB70" s="122"/>
      <c r="VBC70" s="122"/>
      <c r="VBD70" s="122"/>
      <c r="VBE70" s="122"/>
      <c r="VBF70" s="122"/>
      <c r="VBG70" s="122"/>
      <c r="VBH70" s="122"/>
      <c r="VBI70" s="122"/>
      <c r="VBJ70" s="122"/>
      <c r="VBK70" s="122"/>
      <c r="VBL70" s="122"/>
      <c r="VBM70" s="122"/>
      <c r="VBN70" s="122"/>
      <c r="VBO70" s="122"/>
      <c r="VBP70" s="122"/>
      <c r="VBQ70" s="122"/>
      <c r="VBR70" s="122"/>
      <c r="VBS70" s="122"/>
      <c r="VBT70" s="122"/>
      <c r="VBU70" s="122"/>
      <c r="VBV70" s="122"/>
      <c r="VBW70" s="122"/>
      <c r="VBX70" s="122"/>
      <c r="VBY70" s="122"/>
      <c r="VBZ70" s="122"/>
      <c r="VCA70" s="122"/>
      <c r="VCB70" s="122"/>
      <c r="VCC70" s="122"/>
      <c r="VCD70" s="122"/>
      <c r="VCE70" s="122"/>
      <c r="VCF70" s="122"/>
      <c r="VCG70" s="122"/>
      <c r="VCH70" s="122"/>
      <c r="VCI70" s="122"/>
      <c r="VCJ70" s="122"/>
      <c r="VCK70" s="122"/>
      <c r="VCL70" s="122"/>
      <c r="VCM70" s="122"/>
      <c r="VCN70" s="122"/>
      <c r="VCO70" s="122"/>
      <c r="VCP70" s="122"/>
      <c r="VCQ70" s="122"/>
      <c r="VCR70" s="122"/>
      <c r="VCS70" s="122"/>
      <c r="VCT70" s="122"/>
      <c r="VCU70" s="122"/>
      <c r="VCV70" s="122"/>
      <c r="VCW70" s="122"/>
      <c r="VCX70" s="122"/>
      <c r="VCY70" s="122"/>
      <c r="VCZ70" s="122"/>
      <c r="VDA70" s="122"/>
      <c r="VDB70" s="122"/>
      <c r="VDC70" s="122"/>
      <c r="VDD70" s="122"/>
      <c r="VDE70" s="122"/>
      <c r="VDF70" s="122"/>
      <c r="VDG70" s="122"/>
      <c r="VDH70" s="122"/>
      <c r="VDI70" s="122"/>
      <c r="VDJ70" s="122"/>
      <c r="VDK70" s="122"/>
      <c r="VDL70" s="122"/>
      <c r="VDM70" s="122"/>
      <c r="VDN70" s="122"/>
      <c r="VDO70" s="122"/>
      <c r="VDP70" s="122"/>
      <c r="VDQ70" s="122"/>
      <c r="VDR70" s="122"/>
      <c r="VDS70" s="122"/>
      <c r="VDT70" s="122"/>
      <c r="VDU70" s="122"/>
      <c r="VDV70" s="122"/>
      <c r="VDW70" s="122"/>
      <c r="VDX70" s="122"/>
      <c r="VDY70" s="122"/>
      <c r="VDZ70" s="122"/>
      <c r="VEA70" s="122"/>
      <c r="VEB70" s="122"/>
      <c r="VEC70" s="122"/>
      <c r="VED70" s="122"/>
      <c r="VEE70" s="122"/>
      <c r="VEF70" s="122"/>
      <c r="VEG70" s="122"/>
      <c r="VEH70" s="122"/>
      <c r="VEI70" s="122"/>
      <c r="VEJ70" s="122"/>
      <c r="VEK70" s="122"/>
      <c r="VEL70" s="122"/>
      <c r="VEM70" s="122"/>
      <c r="VEN70" s="122"/>
      <c r="VEO70" s="122"/>
      <c r="VEP70" s="122"/>
      <c r="VEQ70" s="122"/>
      <c r="VER70" s="122"/>
      <c r="VES70" s="122"/>
      <c r="VET70" s="122"/>
      <c r="VEU70" s="122"/>
      <c r="VEV70" s="122"/>
      <c r="VEW70" s="122"/>
      <c r="VEX70" s="122"/>
      <c r="VEY70" s="122"/>
      <c r="VEZ70" s="122"/>
      <c r="VFA70" s="122"/>
      <c r="VFB70" s="122"/>
      <c r="VFC70" s="122"/>
      <c r="VFD70" s="122"/>
      <c r="VFE70" s="122"/>
      <c r="VFF70" s="122"/>
      <c r="VFG70" s="122"/>
      <c r="VFH70" s="122"/>
      <c r="VFI70" s="122"/>
      <c r="VFJ70" s="122"/>
      <c r="VFK70" s="122"/>
      <c r="VFL70" s="122"/>
      <c r="VFM70" s="122"/>
      <c r="VFN70" s="122"/>
      <c r="VFO70" s="122"/>
      <c r="VFP70" s="122"/>
      <c r="VFQ70" s="122"/>
      <c r="VFR70" s="122"/>
      <c r="VFS70" s="122"/>
      <c r="VFT70" s="122"/>
      <c r="VFU70" s="122"/>
      <c r="VFV70" s="122"/>
      <c r="VFW70" s="122"/>
      <c r="VFX70" s="122"/>
      <c r="VFY70" s="122"/>
      <c r="VFZ70" s="122"/>
      <c r="VGA70" s="122"/>
      <c r="VGB70" s="122"/>
      <c r="VGC70" s="122"/>
      <c r="VGD70" s="122"/>
      <c r="VGE70" s="122"/>
      <c r="VGF70" s="122"/>
      <c r="VGG70" s="122"/>
      <c r="VGH70" s="122"/>
      <c r="VGI70" s="122"/>
      <c r="VGJ70" s="122"/>
      <c r="VGK70" s="122"/>
      <c r="VGL70" s="122"/>
      <c r="VGM70" s="122"/>
      <c r="VGN70" s="122"/>
      <c r="VGO70" s="122"/>
      <c r="VGP70" s="122"/>
      <c r="VGQ70" s="122"/>
      <c r="VGR70" s="122"/>
      <c r="VGS70" s="122"/>
      <c r="VGT70" s="122"/>
      <c r="VGU70" s="122"/>
      <c r="VGV70" s="122"/>
      <c r="VGW70" s="122"/>
      <c r="VGX70" s="122"/>
      <c r="VGY70" s="122"/>
      <c r="VGZ70" s="122"/>
      <c r="VHA70" s="122"/>
      <c r="VHB70" s="122"/>
      <c r="VHC70" s="122"/>
      <c r="VHD70" s="122"/>
      <c r="VHE70" s="122"/>
      <c r="VHF70" s="122"/>
      <c r="VHG70" s="122"/>
      <c r="VHH70" s="122"/>
      <c r="VHI70" s="122"/>
      <c r="VHJ70" s="122"/>
      <c r="VHK70" s="122"/>
      <c r="VHL70" s="122"/>
      <c r="VHM70" s="122"/>
      <c r="VHN70" s="122"/>
      <c r="VHO70" s="122"/>
      <c r="VHP70" s="122"/>
      <c r="VHQ70" s="122"/>
      <c r="VHR70" s="122"/>
      <c r="VHS70" s="122"/>
      <c r="VHT70" s="122"/>
      <c r="VHU70" s="122"/>
      <c r="VHV70" s="122"/>
      <c r="VHW70" s="122"/>
      <c r="VHX70" s="122"/>
      <c r="VHY70" s="122"/>
      <c r="VHZ70" s="122"/>
      <c r="VIA70" s="122"/>
      <c r="VIB70" s="122"/>
      <c r="VIC70" s="122"/>
      <c r="VID70" s="122"/>
      <c r="VIE70" s="122"/>
      <c r="VIF70" s="122"/>
      <c r="VIG70" s="122"/>
      <c r="VIH70" s="122"/>
      <c r="VII70" s="122"/>
      <c r="VIJ70" s="122"/>
      <c r="VIK70" s="122"/>
      <c r="VIL70" s="122"/>
      <c r="VIM70" s="122"/>
      <c r="VIN70" s="122"/>
      <c r="VIO70" s="122"/>
      <c r="VIP70" s="122"/>
      <c r="VIQ70" s="122"/>
      <c r="VIR70" s="122"/>
      <c r="VIS70" s="122"/>
      <c r="VIT70" s="122"/>
      <c r="VIU70" s="122"/>
      <c r="VIV70" s="122"/>
      <c r="VIW70" s="122"/>
      <c r="VIX70" s="122"/>
      <c r="VIY70" s="122"/>
      <c r="VIZ70" s="122"/>
      <c r="VJA70" s="122"/>
      <c r="VJB70" s="122"/>
      <c r="VJC70" s="122"/>
      <c r="VJD70" s="122"/>
      <c r="VJE70" s="122"/>
      <c r="VJF70" s="122"/>
      <c r="VJG70" s="122"/>
      <c r="VJH70" s="122"/>
      <c r="VJI70" s="122"/>
      <c r="VJJ70" s="122"/>
      <c r="VJK70" s="122"/>
      <c r="VJL70" s="122"/>
      <c r="VJM70" s="122"/>
      <c r="VJN70" s="122"/>
      <c r="VJO70" s="122"/>
      <c r="VJP70" s="122"/>
      <c r="VJQ70" s="122"/>
      <c r="VJR70" s="122"/>
      <c r="VJS70" s="122"/>
      <c r="VJT70" s="122"/>
      <c r="VJU70" s="122"/>
      <c r="VJV70" s="122"/>
      <c r="VJW70" s="122"/>
      <c r="VJX70" s="122"/>
      <c r="VJY70" s="122"/>
      <c r="VJZ70" s="122"/>
      <c r="VKA70" s="122"/>
      <c r="VKB70" s="122"/>
      <c r="VKC70" s="122"/>
      <c r="VKD70" s="122"/>
      <c r="VKE70" s="122"/>
      <c r="VKF70" s="122"/>
      <c r="VKG70" s="122"/>
      <c r="VKH70" s="122"/>
      <c r="VKI70" s="122"/>
      <c r="VKJ70" s="122"/>
      <c r="VKK70" s="122"/>
      <c r="VKL70" s="122"/>
      <c r="VKM70" s="122"/>
      <c r="VKN70" s="122"/>
      <c r="VKO70" s="122"/>
      <c r="VKP70" s="122"/>
      <c r="VKQ70" s="122"/>
      <c r="VKR70" s="122"/>
      <c r="VKS70" s="122"/>
      <c r="VKT70" s="122"/>
      <c r="VKU70" s="122"/>
      <c r="VKV70" s="122"/>
      <c r="VKW70" s="122"/>
      <c r="VKX70" s="122"/>
      <c r="VKY70" s="122"/>
      <c r="VKZ70" s="122"/>
      <c r="VLA70" s="122"/>
      <c r="VLB70" s="122"/>
      <c r="VLC70" s="122"/>
      <c r="VLD70" s="122"/>
      <c r="VLE70" s="122"/>
      <c r="VLF70" s="122"/>
      <c r="VLG70" s="122"/>
      <c r="VLH70" s="122"/>
      <c r="VLI70" s="122"/>
      <c r="VLJ70" s="122"/>
      <c r="VLK70" s="122"/>
      <c r="VLL70" s="122"/>
      <c r="VLM70" s="122"/>
      <c r="VLN70" s="122"/>
      <c r="VLO70" s="122"/>
      <c r="VLP70" s="122"/>
      <c r="VLQ70" s="122"/>
      <c r="VLR70" s="122"/>
      <c r="VLS70" s="122"/>
      <c r="VLT70" s="122"/>
      <c r="VLU70" s="122"/>
      <c r="VLV70" s="122"/>
      <c r="VLW70" s="122"/>
      <c r="VLX70" s="122"/>
      <c r="VLY70" s="122"/>
      <c r="VLZ70" s="122"/>
      <c r="VMA70" s="122"/>
      <c r="VMB70" s="122"/>
      <c r="VMC70" s="122"/>
      <c r="VMD70" s="122"/>
      <c r="VME70" s="122"/>
      <c r="VMF70" s="122"/>
      <c r="VMG70" s="122"/>
      <c r="VMH70" s="122"/>
      <c r="VMI70" s="122"/>
      <c r="VMJ70" s="122"/>
      <c r="VMK70" s="122"/>
      <c r="VML70" s="122"/>
      <c r="VMM70" s="122"/>
      <c r="VMN70" s="122"/>
      <c r="VMO70" s="122"/>
      <c r="VMP70" s="122"/>
      <c r="VMQ70" s="122"/>
      <c r="VMR70" s="122"/>
      <c r="VMS70" s="122"/>
      <c r="VMT70" s="122"/>
      <c r="VMU70" s="122"/>
      <c r="VMV70" s="122"/>
      <c r="VMW70" s="122"/>
      <c r="VMX70" s="122"/>
      <c r="VMY70" s="122"/>
      <c r="VMZ70" s="122"/>
      <c r="VNA70" s="122"/>
      <c r="VNB70" s="122"/>
      <c r="VNC70" s="122"/>
      <c r="VND70" s="122"/>
      <c r="VNE70" s="122"/>
      <c r="VNF70" s="122"/>
      <c r="VNG70" s="122"/>
      <c r="VNH70" s="122"/>
      <c r="VNI70" s="122"/>
      <c r="VNJ70" s="122"/>
      <c r="VNK70" s="122"/>
      <c r="VNL70" s="122"/>
      <c r="VNM70" s="122"/>
      <c r="VNN70" s="122"/>
      <c r="VNO70" s="122"/>
      <c r="VNP70" s="122"/>
      <c r="VNQ70" s="122"/>
      <c r="VNR70" s="122"/>
      <c r="VNS70" s="122"/>
      <c r="VNT70" s="122"/>
      <c r="VNU70" s="122"/>
      <c r="VNV70" s="122"/>
      <c r="VNW70" s="122"/>
      <c r="VNX70" s="122"/>
      <c r="VNY70" s="122"/>
      <c r="VNZ70" s="122"/>
      <c r="VOA70" s="122"/>
      <c r="VOB70" s="122"/>
      <c r="VOC70" s="122"/>
      <c r="VOD70" s="122"/>
      <c r="VOE70" s="122"/>
      <c r="VOF70" s="122"/>
      <c r="VOG70" s="122"/>
      <c r="VOH70" s="122"/>
      <c r="VOI70" s="122"/>
      <c r="VOJ70" s="122"/>
      <c r="VOK70" s="122"/>
      <c r="VOL70" s="122"/>
      <c r="VOM70" s="122"/>
      <c r="VON70" s="122"/>
      <c r="VOO70" s="122"/>
      <c r="VOP70" s="122"/>
      <c r="VOQ70" s="122"/>
      <c r="VOR70" s="122"/>
      <c r="VOS70" s="122"/>
      <c r="VOT70" s="122"/>
      <c r="VOU70" s="122"/>
      <c r="VOV70" s="122"/>
      <c r="VOW70" s="122"/>
      <c r="VOX70" s="122"/>
      <c r="VOY70" s="122"/>
      <c r="VOZ70" s="122"/>
      <c r="VPA70" s="122"/>
      <c r="VPB70" s="122"/>
      <c r="VPC70" s="122"/>
      <c r="VPD70" s="122"/>
      <c r="VPE70" s="122"/>
      <c r="VPF70" s="122"/>
      <c r="VPG70" s="122"/>
      <c r="VPH70" s="122"/>
      <c r="VPI70" s="122"/>
      <c r="VPJ70" s="122"/>
      <c r="VPK70" s="122"/>
      <c r="VPL70" s="122"/>
      <c r="VPM70" s="122"/>
      <c r="VPN70" s="122"/>
      <c r="VPO70" s="122"/>
      <c r="VPP70" s="122"/>
      <c r="VPQ70" s="122"/>
      <c r="VPR70" s="122"/>
      <c r="VPS70" s="122"/>
      <c r="VPT70" s="122"/>
      <c r="VPU70" s="122"/>
      <c r="VPV70" s="122"/>
      <c r="VPW70" s="122"/>
      <c r="VPX70" s="122"/>
      <c r="VPY70" s="122"/>
      <c r="VPZ70" s="122"/>
      <c r="VQA70" s="122"/>
      <c r="VQB70" s="122"/>
      <c r="VQC70" s="122"/>
      <c r="VQD70" s="122"/>
      <c r="VQE70" s="122"/>
      <c r="VQF70" s="122"/>
      <c r="VQG70" s="122"/>
      <c r="VQH70" s="122"/>
      <c r="VQI70" s="122"/>
      <c r="VQJ70" s="122"/>
      <c r="VQK70" s="122"/>
      <c r="VQL70" s="122"/>
      <c r="VQM70" s="122"/>
      <c r="VQN70" s="122"/>
      <c r="VQO70" s="122"/>
      <c r="VQP70" s="122"/>
      <c r="VQQ70" s="122"/>
      <c r="VQR70" s="122"/>
      <c r="VQS70" s="122"/>
      <c r="VQT70" s="122"/>
      <c r="VQU70" s="122"/>
      <c r="VQV70" s="122"/>
      <c r="VQW70" s="122"/>
      <c r="VQX70" s="122"/>
      <c r="VQY70" s="122"/>
      <c r="VQZ70" s="122"/>
      <c r="VRA70" s="122"/>
      <c r="VRB70" s="122"/>
      <c r="VRC70" s="122"/>
      <c r="VRD70" s="122"/>
      <c r="VRE70" s="122"/>
      <c r="VRF70" s="122"/>
      <c r="VRG70" s="122"/>
      <c r="VRH70" s="122"/>
      <c r="VRI70" s="122"/>
      <c r="VRJ70" s="122"/>
      <c r="VRK70" s="122"/>
      <c r="VRL70" s="122"/>
      <c r="VRM70" s="122"/>
      <c r="VRN70" s="122"/>
      <c r="VRO70" s="122"/>
      <c r="VRP70" s="122"/>
      <c r="VRQ70" s="122"/>
      <c r="VRR70" s="122"/>
      <c r="VRS70" s="122"/>
      <c r="VRT70" s="122"/>
      <c r="VRU70" s="122"/>
      <c r="VRV70" s="122"/>
      <c r="VRW70" s="122"/>
      <c r="VRX70" s="122"/>
      <c r="VRY70" s="122"/>
      <c r="VRZ70" s="122"/>
      <c r="VSA70" s="122"/>
      <c r="VSB70" s="122"/>
      <c r="VSC70" s="122"/>
      <c r="VSD70" s="122"/>
      <c r="VSE70" s="122"/>
      <c r="VSF70" s="122"/>
      <c r="VSG70" s="122"/>
      <c r="VSH70" s="122"/>
      <c r="VSI70" s="122"/>
      <c r="VSJ70" s="122"/>
      <c r="VSK70" s="122"/>
      <c r="VSL70" s="122"/>
      <c r="VSM70" s="122"/>
      <c r="VSN70" s="122"/>
      <c r="VSO70" s="122"/>
      <c r="VSP70" s="122"/>
      <c r="VSQ70" s="122"/>
      <c r="VSR70" s="122"/>
      <c r="VSS70" s="122"/>
      <c r="VST70" s="122"/>
      <c r="VSU70" s="122"/>
      <c r="VSV70" s="122"/>
      <c r="VSW70" s="122"/>
      <c r="VSX70" s="122"/>
      <c r="VSY70" s="122"/>
      <c r="VSZ70" s="122"/>
      <c r="VTA70" s="122"/>
      <c r="VTB70" s="122"/>
      <c r="VTC70" s="122"/>
      <c r="VTD70" s="122"/>
      <c r="VTE70" s="122"/>
      <c r="VTF70" s="122"/>
      <c r="VTG70" s="122"/>
      <c r="VTH70" s="122"/>
      <c r="VTI70" s="122"/>
      <c r="VTJ70" s="122"/>
      <c r="VTK70" s="122"/>
      <c r="VTL70" s="122"/>
      <c r="VTM70" s="122"/>
      <c r="VTN70" s="122"/>
      <c r="VTO70" s="122"/>
      <c r="VTP70" s="122"/>
      <c r="VTQ70" s="122"/>
      <c r="VTR70" s="122"/>
      <c r="VTS70" s="122"/>
      <c r="VTT70" s="122"/>
      <c r="VTU70" s="122"/>
      <c r="VTV70" s="122"/>
      <c r="VTW70" s="122"/>
      <c r="VTX70" s="122"/>
      <c r="VTY70" s="122"/>
      <c r="VTZ70" s="122"/>
      <c r="VUA70" s="122"/>
      <c r="VUB70" s="122"/>
      <c r="VUC70" s="122"/>
      <c r="VUD70" s="122"/>
      <c r="VUE70" s="122"/>
      <c r="VUF70" s="122"/>
      <c r="VUG70" s="122"/>
      <c r="VUH70" s="122"/>
      <c r="VUI70" s="122"/>
      <c r="VUJ70" s="122"/>
      <c r="VUK70" s="122"/>
      <c r="VUL70" s="122"/>
      <c r="VUM70" s="122"/>
      <c r="VUN70" s="122"/>
      <c r="VUO70" s="122"/>
      <c r="VUP70" s="122"/>
      <c r="VUQ70" s="122"/>
      <c r="VUR70" s="122"/>
      <c r="VUS70" s="122"/>
      <c r="VUT70" s="122"/>
      <c r="VUU70" s="122"/>
      <c r="VUV70" s="122"/>
      <c r="VUW70" s="122"/>
      <c r="VUX70" s="122"/>
      <c r="VUY70" s="122"/>
      <c r="VUZ70" s="122"/>
      <c r="VVA70" s="122"/>
      <c r="VVB70" s="122"/>
      <c r="VVC70" s="122"/>
      <c r="VVD70" s="122"/>
      <c r="VVE70" s="122"/>
      <c r="VVF70" s="122"/>
      <c r="VVG70" s="122"/>
      <c r="VVH70" s="122"/>
      <c r="VVI70" s="122"/>
      <c r="VVJ70" s="122"/>
      <c r="VVK70" s="122"/>
      <c r="VVL70" s="122"/>
      <c r="VVM70" s="122"/>
      <c r="VVN70" s="122"/>
      <c r="VVO70" s="122"/>
      <c r="VVP70" s="122"/>
      <c r="VVQ70" s="122"/>
      <c r="VVR70" s="122"/>
      <c r="VVS70" s="122"/>
      <c r="VVT70" s="122"/>
      <c r="VVU70" s="122"/>
      <c r="VVV70" s="122"/>
      <c r="VVW70" s="122"/>
      <c r="VVX70" s="122"/>
      <c r="VVY70" s="122"/>
      <c r="VVZ70" s="122"/>
      <c r="VWA70" s="122"/>
      <c r="VWB70" s="122"/>
      <c r="VWC70" s="122"/>
      <c r="VWD70" s="122"/>
      <c r="VWE70" s="122"/>
      <c r="VWF70" s="122"/>
      <c r="VWG70" s="122"/>
      <c r="VWH70" s="122"/>
      <c r="VWI70" s="122"/>
      <c r="VWJ70" s="122"/>
      <c r="VWK70" s="122"/>
      <c r="VWL70" s="122"/>
      <c r="VWM70" s="122"/>
      <c r="VWN70" s="122"/>
      <c r="VWO70" s="122"/>
      <c r="VWP70" s="122"/>
      <c r="VWQ70" s="122"/>
      <c r="VWR70" s="122"/>
      <c r="VWS70" s="122"/>
      <c r="VWT70" s="122"/>
      <c r="VWU70" s="122"/>
      <c r="VWV70" s="122"/>
      <c r="VWW70" s="122"/>
      <c r="VWX70" s="122"/>
      <c r="VWY70" s="122"/>
      <c r="VWZ70" s="122"/>
      <c r="VXA70" s="122"/>
      <c r="VXB70" s="122"/>
      <c r="VXC70" s="122"/>
      <c r="VXD70" s="122"/>
      <c r="VXE70" s="122"/>
      <c r="VXF70" s="122"/>
      <c r="VXG70" s="122"/>
      <c r="VXH70" s="122"/>
      <c r="VXI70" s="122"/>
      <c r="VXJ70" s="122"/>
      <c r="VXK70" s="122"/>
      <c r="VXL70" s="122"/>
      <c r="VXM70" s="122"/>
      <c r="VXN70" s="122"/>
      <c r="VXO70" s="122"/>
      <c r="VXP70" s="122"/>
      <c r="VXQ70" s="122"/>
      <c r="VXR70" s="122"/>
      <c r="VXS70" s="122"/>
      <c r="VXT70" s="122"/>
      <c r="VXU70" s="122"/>
      <c r="VXV70" s="122"/>
      <c r="VXW70" s="122"/>
      <c r="VXX70" s="122"/>
      <c r="VXY70" s="122"/>
      <c r="VXZ70" s="122"/>
      <c r="VYA70" s="122"/>
      <c r="VYB70" s="122"/>
      <c r="VYC70" s="122"/>
      <c r="VYD70" s="122"/>
      <c r="VYE70" s="122"/>
      <c r="VYF70" s="122"/>
      <c r="VYG70" s="122"/>
      <c r="VYH70" s="122"/>
      <c r="VYI70" s="122"/>
      <c r="VYJ70" s="122"/>
      <c r="VYK70" s="122"/>
      <c r="VYL70" s="122"/>
      <c r="VYM70" s="122"/>
      <c r="VYN70" s="122"/>
      <c r="VYO70" s="122"/>
      <c r="VYP70" s="122"/>
      <c r="VYQ70" s="122"/>
      <c r="VYR70" s="122"/>
      <c r="VYS70" s="122"/>
      <c r="VYT70" s="122"/>
      <c r="VYU70" s="122"/>
      <c r="VYV70" s="122"/>
      <c r="VYW70" s="122"/>
      <c r="VYX70" s="122"/>
      <c r="VYY70" s="122"/>
      <c r="VYZ70" s="122"/>
      <c r="VZA70" s="122"/>
      <c r="VZB70" s="122"/>
      <c r="VZC70" s="122"/>
      <c r="VZD70" s="122"/>
      <c r="VZE70" s="122"/>
      <c r="VZF70" s="122"/>
      <c r="VZG70" s="122"/>
      <c r="VZH70" s="122"/>
      <c r="VZI70" s="122"/>
      <c r="VZJ70" s="122"/>
      <c r="VZK70" s="122"/>
      <c r="VZL70" s="122"/>
      <c r="VZM70" s="122"/>
      <c r="VZN70" s="122"/>
      <c r="VZO70" s="122"/>
      <c r="VZP70" s="122"/>
      <c r="VZQ70" s="122"/>
      <c r="VZR70" s="122"/>
      <c r="VZS70" s="122"/>
      <c r="VZT70" s="122"/>
      <c r="VZU70" s="122"/>
      <c r="VZV70" s="122"/>
      <c r="VZW70" s="122"/>
      <c r="VZX70" s="122"/>
      <c r="VZY70" s="122"/>
      <c r="VZZ70" s="122"/>
      <c r="WAA70" s="122"/>
      <c r="WAB70" s="122"/>
      <c r="WAC70" s="122"/>
      <c r="WAD70" s="122"/>
      <c r="WAE70" s="122"/>
      <c r="WAF70" s="122"/>
      <c r="WAG70" s="122"/>
      <c r="WAH70" s="122"/>
      <c r="WAI70" s="122"/>
      <c r="WAJ70" s="122"/>
      <c r="WAK70" s="122"/>
      <c r="WAL70" s="122"/>
      <c r="WAM70" s="122"/>
      <c r="WAN70" s="122"/>
      <c r="WAO70" s="122"/>
      <c r="WAP70" s="122"/>
      <c r="WAQ70" s="122"/>
      <c r="WAR70" s="122"/>
      <c r="WAS70" s="122"/>
      <c r="WAT70" s="122"/>
      <c r="WAU70" s="122"/>
      <c r="WAV70" s="122"/>
      <c r="WAW70" s="122"/>
      <c r="WAX70" s="122"/>
      <c r="WAY70" s="122"/>
      <c r="WAZ70" s="122"/>
      <c r="WBA70" s="122"/>
      <c r="WBB70" s="122"/>
      <c r="WBC70" s="122"/>
      <c r="WBD70" s="122"/>
      <c r="WBE70" s="122"/>
      <c r="WBF70" s="122"/>
      <c r="WBG70" s="122"/>
      <c r="WBH70" s="122"/>
      <c r="WBI70" s="122"/>
      <c r="WBJ70" s="122"/>
      <c r="WBK70" s="122"/>
      <c r="WBL70" s="122"/>
      <c r="WBM70" s="122"/>
      <c r="WBN70" s="122"/>
      <c r="WBO70" s="122"/>
      <c r="WBP70" s="122"/>
      <c r="WBQ70" s="122"/>
      <c r="WBR70" s="122"/>
      <c r="WBS70" s="122"/>
      <c r="WBT70" s="122"/>
      <c r="WBU70" s="122"/>
      <c r="WBV70" s="122"/>
      <c r="WBW70" s="122"/>
      <c r="WBX70" s="122"/>
      <c r="WBY70" s="122"/>
      <c r="WBZ70" s="122"/>
      <c r="WCA70" s="122"/>
      <c r="WCB70" s="122"/>
      <c r="WCC70" s="122"/>
      <c r="WCD70" s="122"/>
      <c r="WCE70" s="122"/>
      <c r="WCF70" s="122"/>
      <c r="WCG70" s="122"/>
      <c r="WCH70" s="122"/>
      <c r="WCI70" s="122"/>
      <c r="WCJ70" s="122"/>
      <c r="WCK70" s="122"/>
      <c r="WCL70" s="122"/>
      <c r="WCM70" s="122"/>
      <c r="WCN70" s="122"/>
      <c r="WCO70" s="122"/>
      <c r="WCP70" s="122"/>
      <c r="WCQ70" s="122"/>
      <c r="WCR70" s="122"/>
      <c r="WCS70" s="122"/>
      <c r="WCT70" s="122"/>
      <c r="WCU70" s="122"/>
      <c r="WCV70" s="122"/>
      <c r="WCW70" s="122"/>
      <c r="WCX70" s="122"/>
      <c r="WCY70" s="122"/>
      <c r="WCZ70" s="122"/>
      <c r="WDA70" s="122"/>
      <c r="WDB70" s="122"/>
      <c r="WDC70" s="122"/>
      <c r="WDD70" s="122"/>
      <c r="WDE70" s="122"/>
      <c r="WDF70" s="122"/>
      <c r="WDG70" s="122"/>
      <c r="WDH70" s="122"/>
      <c r="WDI70" s="122"/>
      <c r="WDJ70" s="122"/>
      <c r="WDK70" s="122"/>
      <c r="WDL70" s="122"/>
      <c r="WDM70" s="122"/>
      <c r="WDN70" s="122"/>
      <c r="WDO70" s="122"/>
      <c r="WDP70" s="122"/>
      <c r="WDQ70" s="122"/>
      <c r="WDR70" s="122"/>
      <c r="WDS70" s="122"/>
      <c r="WDT70" s="122"/>
      <c r="WDU70" s="122"/>
      <c r="WDV70" s="122"/>
      <c r="WDW70" s="122"/>
      <c r="WDX70" s="122"/>
      <c r="WDY70" s="122"/>
      <c r="WDZ70" s="122"/>
      <c r="WEA70" s="122"/>
      <c r="WEB70" s="122"/>
      <c r="WEC70" s="122"/>
      <c r="WED70" s="122"/>
      <c r="WEE70" s="122"/>
      <c r="WEF70" s="122"/>
      <c r="WEG70" s="122"/>
      <c r="WEH70" s="122"/>
      <c r="WEI70" s="122"/>
      <c r="WEJ70" s="122"/>
      <c r="WEK70" s="122"/>
      <c r="WEL70" s="122"/>
      <c r="WEM70" s="122"/>
      <c r="WEN70" s="122"/>
      <c r="WEO70" s="122"/>
      <c r="WEP70" s="122"/>
      <c r="WEQ70" s="122"/>
      <c r="WER70" s="122"/>
      <c r="WES70" s="122"/>
      <c r="WET70" s="122"/>
      <c r="WEU70" s="122"/>
      <c r="WEV70" s="122"/>
      <c r="WEW70" s="122"/>
      <c r="WEX70" s="122"/>
      <c r="WEY70" s="122"/>
      <c r="WEZ70" s="122"/>
      <c r="WFA70" s="122"/>
      <c r="WFB70" s="122"/>
      <c r="WFC70" s="122"/>
      <c r="WFD70" s="122"/>
      <c r="WFE70" s="122"/>
      <c r="WFF70" s="122"/>
      <c r="WFG70" s="122"/>
      <c r="WFH70" s="122"/>
      <c r="WFI70" s="122"/>
      <c r="WFJ70" s="122"/>
      <c r="WFK70" s="122"/>
      <c r="WFL70" s="122"/>
      <c r="WFM70" s="122"/>
      <c r="WFN70" s="122"/>
      <c r="WFO70" s="122"/>
      <c r="WFP70" s="122"/>
      <c r="WFQ70" s="122"/>
      <c r="WFR70" s="122"/>
      <c r="WFS70" s="122"/>
      <c r="WFT70" s="122"/>
      <c r="WFU70" s="122"/>
      <c r="WFV70" s="122"/>
      <c r="WFW70" s="122"/>
      <c r="WFX70" s="122"/>
      <c r="WFY70" s="122"/>
      <c r="WFZ70" s="122"/>
      <c r="WGA70" s="122"/>
      <c r="WGB70" s="122"/>
      <c r="WGC70" s="122"/>
      <c r="WGD70" s="122"/>
      <c r="WGE70" s="122"/>
      <c r="WGF70" s="122"/>
      <c r="WGG70" s="122"/>
      <c r="WGH70" s="122"/>
      <c r="WGI70" s="122"/>
      <c r="WGJ70" s="122"/>
      <c r="WGK70" s="122"/>
      <c r="WGL70" s="122"/>
      <c r="WGM70" s="122"/>
      <c r="WGN70" s="122"/>
      <c r="WGO70" s="122"/>
      <c r="WGP70" s="122"/>
      <c r="WGQ70" s="122"/>
      <c r="WGR70" s="122"/>
      <c r="WGS70" s="122"/>
      <c r="WGT70" s="122"/>
      <c r="WGU70" s="122"/>
      <c r="WGV70" s="122"/>
      <c r="WGW70" s="122"/>
      <c r="WGX70" s="122"/>
      <c r="WGY70" s="122"/>
      <c r="WGZ70" s="122"/>
      <c r="WHA70" s="122"/>
      <c r="WHB70" s="122"/>
      <c r="WHC70" s="122"/>
      <c r="WHD70" s="122"/>
      <c r="WHE70" s="122"/>
      <c r="WHF70" s="122"/>
      <c r="WHG70" s="122"/>
      <c r="WHH70" s="122"/>
      <c r="WHI70" s="122"/>
      <c r="WHJ70" s="122"/>
      <c r="WHK70" s="122"/>
      <c r="WHL70" s="122"/>
      <c r="WHM70" s="122"/>
      <c r="WHN70" s="122"/>
      <c r="WHO70" s="122"/>
      <c r="WHP70" s="122"/>
      <c r="WHQ70" s="122"/>
      <c r="WHR70" s="122"/>
      <c r="WHS70" s="122"/>
      <c r="WHT70" s="122"/>
      <c r="WHU70" s="122"/>
      <c r="WHV70" s="122"/>
      <c r="WHW70" s="122"/>
      <c r="WHX70" s="122"/>
      <c r="WHY70" s="122"/>
      <c r="WHZ70" s="122"/>
      <c r="WIA70" s="122"/>
      <c r="WIB70" s="122"/>
      <c r="WIC70" s="122"/>
      <c r="WID70" s="122"/>
      <c r="WIE70" s="122"/>
      <c r="WIF70" s="122"/>
      <c r="WIG70" s="122"/>
      <c r="WIH70" s="122"/>
      <c r="WII70" s="122"/>
      <c r="WIJ70" s="122"/>
      <c r="WIK70" s="122"/>
      <c r="WIL70" s="122"/>
      <c r="WIM70" s="122"/>
      <c r="WIN70" s="122"/>
      <c r="WIO70" s="122"/>
      <c r="WIP70" s="122"/>
      <c r="WIQ70" s="122"/>
      <c r="WIR70" s="122"/>
      <c r="WIS70" s="122"/>
      <c r="WIT70" s="122"/>
      <c r="WIU70" s="122"/>
      <c r="WIV70" s="122"/>
      <c r="WIW70" s="122"/>
      <c r="WIX70" s="122"/>
      <c r="WIY70" s="122"/>
      <c r="WIZ70" s="122"/>
      <c r="WJA70" s="122"/>
      <c r="WJB70" s="122"/>
      <c r="WJC70" s="122"/>
      <c r="WJD70" s="122"/>
      <c r="WJE70" s="122"/>
      <c r="WJF70" s="122"/>
      <c r="WJG70" s="122"/>
      <c r="WJH70" s="122"/>
      <c r="WJI70" s="122"/>
      <c r="WJJ70" s="122"/>
      <c r="WJK70" s="122"/>
      <c r="WJL70" s="122"/>
      <c r="WJM70" s="122"/>
      <c r="WJN70" s="122"/>
      <c r="WJO70" s="122"/>
      <c r="WJP70" s="122"/>
      <c r="WJQ70" s="122"/>
      <c r="WJR70" s="122"/>
      <c r="WJS70" s="122"/>
      <c r="WJT70" s="122"/>
      <c r="WJU70" s="122"/>
      <c r="WJV70" s="122"/>
      <c r="WJW70" s="122"/>
      <c r="WJX70" s="122"/>
      <c r="WJY70" s="122"/>
      <c r="WJZ70" s="122"/>
      <c r="WKA70" s="122"/>
      <c r="WKB70" s="122"/>
      <c r="WKC70" s="122"/>
      <c r="WKD70" s="122"/>
      <c r="WKE70" s="122"/>
      <c r="WKF70" s="122"/>
      <c r="WKG70" s="122"/>
      <c r="WKH70" s="122"/>
      <c r="WKI70" s="122"/>
      <c r="WKJ70" s="122"/>
      <c r="WKK70" s="122"/>
      <c r="WKL70" s="122"/>
      <c r="WKM70" s="122"/>
      <c r="WKN70" s="122"/>
      <c r="WKO70" s="122"/>
      <c r="WKP70" s="122"/>
      <c r="WKQ70" s="122"/>
      <c r="WKR70" s="122"/>
      <c r="WKS70" s="122"/>
      <c r="WKT70" s="122"/>
      <c r="WKU70" s="122"/>
      <c r="WKV70" s="122"/>
      <c r="WKW70" s="122"/>
      <c r="WKX70" s="122"/>
      <c r="WKY70" s="122"/>
      <c r="WKZ70" s="122"/>
      <c r="WLA70" s="122"/>
      <c r="WLB70" s="122"/>
      <c r="WLC70" s="122"/>
      <c r="WLD70" s="122"/>
      <c r="WLE70" s="122"/>
      <c r="WLF70" s="122"/>
      <c r="WLG70" s="122"/>
      <c r="WLH70" s="122"/>
      <c r="WLI70" s="122"/>
      <c r="WLJ70" s="122"/>
      <c r="WLK70" s="122"/>
      <c r="WLL70" s="122"/>
      <c r="WLM70" s="122"/>
      <c r="WLN70" s="122"/>
      <c r="WLO70" s="122"/>
      <c r="WLP70" s="122"/>
      <c r="WLQ70" s="122"/>
      <c r="WLR70" s="122"/>
      <c r="WLS70" s="122"/>
      <c r="WLT70" s="122"/>
      <c r="WLU70" s="122"/>
      <c r="WLV70" s="122"/>
      <c r="WLW70" s="122"/>
      <c r="WLX70" s="122"/>
      <c r="WLY70" s="122"/>
      <c r="WLZ70" s="122"/>
      <c r="WMA70" s="122"/>
      <c r="WMB70" s="122"/>
      <c r="WMC70" s="122"/>
      <c r="WMD70" s="122"/>
      <c r="WME70" s="122"/>
      <c r="WMF70" s="122"/>
      <c r="WMG70" s="122"/>
      <c r="WMH70" s="122"/>
      <c r="WMI70" s="122"/>
      <c r="WMJ70" s="122"/>
      <c r="WMK70" s="122"/>
      <c r="WML70" s="122"/>
      <c r="WMM70" s="122"/>
      <c r="WMN70" s="122"/>
      <c r="WMO70" s="122"/>
      <c r="WMP70" s="122"/>
      <c r="WMQ70" s="122"/>
      <c r="WMR70" s="122"/>
      <c r="WMS70" s="122"/>
      <c r="WMT70" s="122"/>
      <c r="WMU70" s="122"/>
      <c r="WMV70" s="122"/>
      <c r="WMW70" s="122"/>
      <c r="WMX70" s="122"/>
      <c r="WMY70" s="122"/>
      <c r="WMZ70" s="122"/>
      <c r="WNA70" s="122"/>
      <c r="WNB70" s="122"/>
      <c r="WNC70" s="122"/>
      <c r="WND70" s="122"/>
      <c r="WNE70" s="122"/>
      <c r="WNF70" s="122"/>
      <c r="WNG70" s="122"/>
      <c r="WNH70" s="122"/>
      <c r="WNI70" s="122"/>
      <c r="WNJ70" s="122"/>
      <c r="WNK70" s="122"/>
      <c r="WNL70" s="122"/>
      <c r="WNM70" s="122"/>
      <c r="WNN70" s="122"/>
      <c r="WNO70" s="122"/>
      <c r="WNP70" s="122"/>
      <c r="WNQ70" s="122"/>
      <c r="WNR70" s="122"/>
      <c r="WNS70" s="122"/>
      <c r="WNT70" s="122"/>
      <c r="WNU70" s="122"/>
      <c r="WNV70" s="122"/>
      <c r="WNW70" s="122"/>
      <c r="WNX70" s="122"/>
      <c r="WNY70" s="122"/>
      <c r="WNZ70" s="122"/>
      <c r="WOA70" s="122"/>
      <c r="WOB70" s="122"/>
      <c r="WOC70" s="122"/>
      <c r="WOD70" s="122"/>
      <c r="WOE70" s="122"/>
      <c r="WOF70" s="122"/>
      <c r="WOG70" s="122"/>
      <c r="WOH70" s="122"/>
      <c r="WOI70" s="122"/>
      <c r="WOJ70" s="122"/>
      <c r="WOK70" s="122"/>
      <c r="WOL70" s="122"/>
      <c r="WOM70" s="122"/>
      <c r="WON70" s="122"/>
      <c r="WOO70" s="122"/>
      <c r="WOP70" s="122"/>
      <c r="WOQ70" s="122"/>
      <c r="WOR70" s="122"/>
      <c r="WOS70" s="122"/>
      <c r="WOT70" s="122"/>
      <c r="WOU70" s="122"/>
      <c r="WOV70" s="122"/>
      <c r="WOW70" s="122"/>
      <c r="WOX70" s="122"/>
      <c r="WOY70" s="122"/>
      <c r="WOZ70" s="122"/>
      <c r="WPA70" s="122"/>
      <c r="WPB70" s="122"/>
      <c r="WPC70" s="122"/>
      <c r="WPD70" s="122"/>
      <c r="WPE70" s="122"/>
      <c r="WPF70" s="122"/>
      <c r="WPG70" s="122"/>
      <c r="WPH70" s="122"/>
      <c r="WPI70" s="122"/>
      <c r="WPJ70" s="122"/>
      <c r="WPK70" s="122"/>
      <c r="WPL70" s="122"/>
      <c r="WPM70" s="122"/>
      <c r="WPN70" s="122"/>
      <c r="WPO70" s="122"/>
      <c r="WPP70" s="122"/>
      <c r="WPQ70" s="122"/>
      <c r="WPR70" s="122"/>
      <c r="WPS70" s="122"/>
      <c r="WPT70" s="122"/>
      <c r="WPU70" s="122"/>
      <c r="WPV70" s="122"/>
      <c r="WPW70" s="122"/>
      <c r="WPX70" s="122"/>
      <c r="WPY70" s="122"/>
      <c r="WPZ70" s="122"/>
      <c r="WQA70" s="122"/>
      <c r="WQB70" s="122"/>
      <c r="WQC70" s="122"/>
      <c r="WQD70" s="122"/>
      <c r="WQE70" s="122"/>
      <c r="WQF70" s="122"/>
      <c r="WQG70" s="122"/>
      <c r="WQH70" s="122"/>
      <c r="WQI70" s="122"/>
      <c r="WQJ70" s="122"/>
      <c r="WQK70" s="122"/>
      <c r="WQL70" s="122"/>
      <c r="WQM70" s="122"/>
      <c r="WQN70" s="122"/>
      <c r="WQO70" s="122"/>
      <c r="WQP70" s="122"/>
      <c r="WQQ70" s="122"/>
      <c r="WQR70" s="122"/>
      <c r="WQS70" s="122"/>
      <c r="WQT70" s="122"/>
      <c r="WQU70" s="122"/>
      <c r="WQV70" s="122"/>
      <c r="WQW70" s="122"/>
      <c r="WQX70" s="122"/>
      <c r="WQY70" s="122"/>
      <c r="WQZ70" s="122"/>
      <c r="WRA70" s="122"/>
      <c r="WRB70" s="122"/>
      <c r="WRC70" s="122"/>
      <c r="WRD70" s="122"/>
      <c r="WRE70" s="122"/>
      <c r="WRF70" s="122"/>
      <c r="WRG70" s="122"/>
      <c r="WRH70" s="122"/>
      <c r="WRI70" s="122"/>
      <c r="WRJ70" s="122"/>
      <c r="WRK70" s="122"/>
      <c r="WRL70" s="122"/>
      <c r="WRM70" s="122"/>
      <c r="WRN70" s="122"/>
      <c r="WRO70" s="122"/>
      <c r="WRP70" s="122"/>
      <c r="WRQ70" s="122"/>
      <c r="WRR70" s="122"/>
      <c r="WRS70" s="122"/>
      <c r="WRT70" s="122"/>
      <c r="WRU70" s="122"/>
      <c r="WRV70" s="122"/>
      <c r="WRW70" s="122"/>
      <c r="WRX70" s="122"/>
      <c r="WRY70" s="122"/>
      <c r="WRZ70" s="122"/>
      <c r="WSA70" s="122"/>
      <c r="WSB70" s="122"/>
      <c r="WSC70" s="122"/>
      <c r="WSD70" s="122"/>
      <c r="WSE70" s="122"/>
      <c r="WSF70" s="122"/>
      <c r="WSG70" s="122"/>
      <c r="WSH70" s="122"/>
      <c r="WSI70" s="122"/>
      <c r="WSJ70" s="122"/>
      <c r="WSK70" s="122"/>
      <c r="WSL70" s="122"/>
      <c r="WSM70" s="122"/>
      <c r="WSN70" s="122"/>
      <c r="WSO70" s="122"/>
      <c r="WSP70" s="122"/>
      <c r="WSQ70" s="122"/>
      <c r="WSR70" s="122"/>
      <c r="WSS70" s="122"/>
      <c r="WST70" s="122"/>
      <c r="WSU70" s="122"/>
      <c r="WSV70" s="122"/>
      <c r="WSW70" s="122"/>
      <c r="WSX70" s="122"/>
      <c r="WSY70" s="122"/>
      <c r="WSZ70" s="122"/>
      <c r="WTA70" s="122"/>
      <c r="WTB70" s="122"/>
      <c r="WTC70" s="122"/>
      <c r="WTD70" s="122"/>
      <c r="WTE70" s="122"/>
      <c r="WTF70" s="122"/>
      <c r="WTG70" s="122"/>
      <c r="WTH70" s="122"/>
      <c r="WTI70" s="122"/>
      <c r="WTJ70" s="122"/>
      <c r="WTK70" s="122"/>
      <c r="WTL70" s="122"/>
      <c r="WTM70" s="122"/>
      <c r="WTN70" s="122"/>
      <c r="WTO70" s="122"/>
      <c r="WTP70" s="122"/>
      <c r="WTQ70" s="122"/>
      <c r="WTR70" s="122"/>
      <c r="WTS70" s="122"/>
      <c r="WTT70" s="122"/>
      <c r="WTU70" s="122"/>
      <c r="WTV70" s="122"/>
      <c r="WTW70" s="122"/>
      <c r="WTX70" s="122"/>
      <c r="WTY70" s="122"/>
      <c r="WTZ70" s="122"/>
      <c r="WUA70" s="122"/>
      <c r="WUB70" s="122"/>
      <c r="WUC70" s="122"/>
      <c r="WUD70" s="122"/>
      <c r="WUE70" s="122"/>
      <c r="WUF70" s="122"/>
      <c r="WUG70" s="122"/>
      <c r="WUH70" s="122"/>
      <c r="WUI70" s="122"/>
      <c r="WUJ70" s="122"/>
      <c r="WUK70" s="122"/>
      <c r="WUL70" s="122"/>
      <c r="WUM70" s="122"/>
      <c r="WUN70" s="122"/>
      <c r="WUO70" s="122"/>
      <c r="WUP70" s="122"/>
      <c r="WUQ70" s="122"/>
      <c r="WUR70" s="122"/>
      <c r="WUS70" s="122"/>
      <c r="WUT70" s="122"/>
      <c r="WUU70" s="122"/>
      <c r="WUV70" s="122"/>
      <c r="WUW70" s="122"/>
      <c r="WUX70" s="122"/>
      <c r="WUY70" s="122"/>
      <c r="WUZ70" s="122"/>
      <c r="WVA70" s="122"/>
      <c r="WVB70" s="122"/>
      <c r="WVC70" s="122"/>
      <c r="WVD70" s="122"/>
      <c r="WVE70" s="122"/>
      <c r="WVF70" s="122"/>
      <c r="WVG70" s="122"/>
      <c r="WVH70" s="122"/>
      <c r="WVI70" s="122"/>
      <c r="WVJ70" s="122"/>
      <c r="WVK70" s="122"/>
      <c r="WVL70" s="122"/>
      <c r="WVM70" s="122"/>
      <c r="WVN70" s="122"/>
      <c r="WVO70" s="122"/>
      <c r="WVP70" s="122"/>
      <c r="WVQ70" s="122"/>
      <c r="WVR70" s="122"/>
      <c r="WVS70" s="122"/>
      <c r="WVT70" s="122"/>
      <c r="WVU70" s="122"/>
      <c r="WVV70" s="122"/>
      <c r="WVW70" s="122"/>
      <c r="WVX70" s="122"/>
      <c r="WVY70" s="122"/>
      <c r="WVZ70" s="122"/>
      <c r="WWA70" s="122"/>
      <c r="WWB70" s="122"/>
      <c r="WWC70" s="122"/>
      <c r="WWD70" s="122"/>
      <c r="WWE70" s="122"/>
      <c r="WWF70" s="122"/>
      <c r="WWG70" s="122"/>
      <c r="WWH70" s="122"/>
      <c r="WWI70" s="122"/>
      <c r="WWJ70" s="122"/>
      <c r="WWK70" s="122"/>
      <c r="WWL70" s="122"/>
      <c r="WWM70" s="122"/>
      <c r="WWN70" s="122"/>
      <c r="WWO70" s="122"/>
      <c r="WWP70" s="122"/>
      <c r="WWQ70" s="122"/>
      <c r="WWR70" s="122"/>
      <c r="WWS70" s="122"/>
      <c r="WWT70" s="122"/>
      <c r="WWU70" s="122"/>
      <c r="WWV70" s="122"/>
      <c r="WWW70" s="122"/>
      <c r="WWX70" s="122"/>
      <c r="WWY70" s="122"/>
      <c r="WWZ70" s="122"/>
      <c r="WXA70" s="122"/>
      <c r="WXB70" s="122"/>
      <c r="WXC70" s="122"/>
      <c r="WXD70" s="122"/>
      <c r="WXE70" s="122"/>
      <c r="WXF70" s="122"/>
      <c r="WXG70" s="122"/>
      <c r="WXH70" s="122"/>
      <c r="WXI70" s="122"/>
      <c r="WXJ70" s="122"/>
      <c r="WXK70" s="122"/>
      <c r="WXL70" s="122"/>
      <c r="WXM70" s="122"/>
      <c r="WXN70" s="122"/>
      <c r="WXO70" s="122"/>
      <c r="WXP70" s="122"/>
      <c r="WXQ70" s="122"/>
      <c r="WXR70" s="122"/>
      <c r="WXS70" s="122"/>
      <c r="WXT70" s="122"/>
      <c r="WXU70" s="122"/>
      <c r="WXV70" s="122"/>
      <c r="WXW70" s="122"/>
      <c r="WXX70" s="122"/>
      <c r="WXY70" s="122"/>
      <c r="WXZ70" s="122"/>
      <c r="WYA70" s="122"/>
      <c r="WYB70" s="122"/>
      <c r="WYC70" s="122"/>
      <c r="WYD70" s="122"/>
      <c r="WYE70" s="122"/>
      <c r="WYF70" s="122"/>
      <c r="WYG70" s="122"/>
      <c r="WYH70" s="122"/>
      <c r="WYI70" s="122"/>
      <c r="WYJ70" s="122"/>
      <c r="WYK70" s="122"/>
      <c r="WYL70" s="122"/>
      <c r="WYM70" s="122"/>
      <c r="WYN70" s="122"/>
      <c r="WYO70" s="122"/>
      <c r="WYP70" s="122"/>
      <c r="WYQ70" s="122"/>
      <c r="WYR70" s="122"/>
      <c r="WYS70" s="122"/>
      <c r="WYT70" s="122"/>
      <c r="WYU70" s="122"/>
      <c r="WYV70" s="122"/>
      <c r="WYW70" s="122"/>
      <c r="WYX70" s="122"/>
      <c r="WYY70" s="122"/>
      <c r="WYZ70" s="122"/>
      <c r="WZA70" s="122"/>
      <c r="WZB70" s="122"/>
      <c r="WZC70" s="122"/>
      <c r="WZD70" s="122"/>
      <c r="WZE70" s="122"/>
      <c r="WZF70" s="122"/>
      <c r="WZG70" s="122"/>
      <c r="WZH70" s="122"/>
      <c r="WZI70" s="122"/>
      <c r="WZJ70" s="122"/>
      <c r="WZK70" s="122"/>
      <c r="WZL70" s="122"/>
      <c r="WZM70" s="122"/>
      <c r="WZN70" s="122"/>
      <c r="WZO70" s="122"/>
      <c r="WZP70" s="122"/>
      <c r="WZQ70" s="122"/>
      <c r="WZR70" s="122"/>
      <c r="WZS70" s="122"/>
      <c r="WZT70" s="122"/>
      <c r="WZU70" s="122"/>
      <c r="WZV70" s="122"/>
      <c r="WZW70" s="122"/>
      <c r="WZX70" s="122"/>
      <c r="WZY70" s="122"/>
      <c r="WZZ70" s="122"/>
      <c r="XAA70" s="122"/>
      <c r="XAB70" s="122"/>
      <c r="XAC70" s="122"/>
      <c r="XAD70" s="122"/>
      <c r="XAE70" s="122"/>
      <c r="XAF70" s="122"/>
      <c r="XAG70" s="122"/>
      <c r="XAH70" s="122"/>
      <c r="XAI70" s="122"/>
      <c r="XAJ70" s="122"/>
      <c r="XAK70" s="122"/>
      <c r="XAL70" s="122"/>
      <c r="XAM70" s="122"/>
      <c r="XAN70" s="122"/>
      <c r="XAO70" s="122"/>
      <c r="XAP70" s="122"/>
      <c r="XAQ70" s="122"/>
      <c r="XAR70" s="122"/>
      <c r="XAS70" s="122"/>
      <c r="XAT70" s="122"/>
      <c r="XAU70" s="122"/>
      <c r="XAV70" s="122"/>
      <c r="XAW70" s="122"/>
      <c r="XAX70" s="122"/>
      <c r="XAY70" s="122"/>
      <c r="XAZ70" s="122"/>
      <c r="XBA70" s="122"/>
      <c r="XBB70" s="122"/>
      <c r="XBC70" s="122"/>
      <c r="XBD70" s="122"/>
      <c r="XBE70" s="122"/>
      <c r="XBF70" s="122"/>
      <c r="XBG70" s="122"/>
      <c r="XBH70" s="122"/>
      <c r="XBI70" s="122"/>
      <c r="XBJ70" s="122"/>
      <c r="XBK70" s="122"/>
      <c r="XBL70" s="122"/>
      <c r="XBM70" s="122"/>
      <c r="XBN70" s="122"/>
      <c r="XBO70" s="122"/>
      <c r="XBP70" s="122"/>
      <c r="XBQ70" s="122"/>
      <c r="XBR70" s="122"/>
      <c r="XBS70" s="122"/>
      <c r="XBT70" s="122"/>
      <c r="XBU70" s="122"/>
      <c r="XBV70" s="122"/>
      <c r="XBW70" s="122"/>
      <c r="XBX70" s="122"/>
      <c r="XBY70" s="122"/>
      <c r="XBZ70" s="122"/>
      <c r="XCA70" s="122"/>
      <c r="XCB70" s="122"/>
      <c r="XCC70" s="122"/>
      <c r="XCD70" s="122"/>
      <c r="XCE70" s="122"/>
      <c r="XCF70" s="122"/>
      <c r="XCG70" s="122"/>
      <c r="XCH70" s="122"/>
      <c r="XCI70" s="122"/>
      <c r="XCJ70" s="122"/>
      <c r="XCK70" s="122"/>
      <c r="XCL70" s="122"/>
      <c r="XCM70" s="122"/>
      <c r="XCN70" s="122"/>
      <c r="XCO70" s="122"/>
      <c r="XCP70" s="122"/>
      <c r="XCQ70" s="122"/>
      <c r="XCR70" s="122"/>
      <c r="XCS70" s="122"/>
      <c r="XCT70" s="122"/>
      <c r="XCU70" s="122"/>
      <c r="XCV70" s="122"/>
      <c r="XCW70" s="122"/>
      <c r="XCX70" s="122"/>
      <c r="XCY70" s="122"/>
      <c r="XCZ70" s="122"/>
      <c r="XDA70" s="122"/>
      <c r="XDB70" s="122"/>
      <c r="XDC70" s="122"/>
      <c r="XDD70" s="122"/>
      <c r="XDE70" s="122"/>
      <c r="XDF70" s="122"/>
      <c r="XDG70" s="122"/>
      <c r="XDH70" s="122"/>
      <c r="XDI70" s="122"/>
      <c r="XDJ70" s="122"/>
      <c r="XDK70" s="122"/>
      <c r="XDL70" s="122"/>
      <c r="XDM70" s="122"/>
      <c r="XDN70" s="122"/>
      <c r="XDO70" s="122"/>
      <c r="XDP70" s="122"/>
      <c r="XDQ70" s="122"/>
      <c r="XDR70" s="122"/>
      <c r="XDS70" s="122"/>
      <c r="XDT70" s="122"/>
      <c r="XDU70" s="122"/>
      <c r="XDV70" s="122"/>
      <c r="XDW70" s="122"/>
      <c r="XDX70" s="122"/>
      <c r="XDY70" s="122"/>
      <c r="XDZ70" s="122"/>
      <c r="XEA70" s="122"/>
      <c r="XEB70" s="122"/>
      <c r="XEC70" s="122"/>
      <c r="XED70" s="122"/>
      <c r="XEE70" s="122"/>
      <c r="XEF70" s="122"/>
      <c r="XEG70" s="122"/>
      <c r="XEH70" s="122"/>
      <c r="XEI70" s="122"/>
      <c r="XEJ70" s="122"/>
      <c r="XEK70" s="122"/>
      <c r="XEL70" s="122"/>
      <c r="XEM70" s="122"/>
      <c r="XEN70" s="122"/>
      <c r="XEO70" s="122"/>
      <c r="XEP70" s="122"/>
      <c r="XEQ70" s="122"/>
      <c r="XER70" s="122"/>
      <c r="XES70" s="122"/>
      <c r="XET70" s="122"/>
      <c r="XEU70" s="122"/>
      <c r="XEV70" s="122"/>
      <c r="XEW70" s="122"/>
      <c r="XEX70" s="122"/>
      <c r="XEY70" s="122"/>
      <c r="XEZ70" s="122"/>
      <c r="XFA70" s="122"/>
      <c r="XFB70" s="122"/>
      <c r="XFC70" s="122"/>
      <c r="XFD70" s="122"/>
    </row>
    <row r="71" spans="3:16384" x14ac:dyDescent="0.3">
      <c r="C71" s="3" t="s">
        <v>354</v>
      </c>
      <c r="D71" s="3" t="s">
        <v>355</v>
      </c>
    </row>
    <row r="72" spans="3:16384" x14ac:dyDescent="0.3">
      <c r="D72" s="3" t="s">
        <v>356</v>
      </c>
    </row>
    <row r="73" spans="3:16384" x14ac:dyDescent="0.3">
      <c r="C73" s="3" t="s">
        <v>65</v>
      </c>
      <c r="D73" s="3" t="s">
        <v>357</v>
      </c>
    </row>
    <row r="75" spans="3:16384" hidden="1" outlineLevel="1" x14ac:dyDescent="0.3"/>
    <row r="76" spans="3:16384" hidden="1" outlineLevel="1" x14ac:dyDescent="0.3"/>
    <row r="77" spans="3:16384" hidden="1" outlineLevel="1" x14ac:dyDescent="0.3"/>
    <row r="78" spans="3:16384" hidden="1" outlineLevel="1" x14ac:dyDescent="0.3"/>
    <row r="79" spans="3:16384" hidden="1" outlineLevel="1" x14ac:dyDescent="0.3"/>
    <row r="80" spans="3:16384" hidden="1" outlineLevel="1" x14ac:dyDescent="0.3"/>
    <row r="81" hidden="1" outlineLevel="1" x14ac:dyDescent="0.3"/>
    <row r="82" hidden="1" outlineLevel="1" x14ac:dyDescent="0.3"/>
    <row r="83" hidden="1" outlineLevel="1" x14ac:dyDescent="0.3"/>
    <row r="84" hidden="1" outlineLevel="1" x14ac:dyDescent="0.3"/>
    <row r="85" hidden="1" outlineLevel="1" x14ac:dyDescent="0.3"/>
    <row r="86" hidden="1" outlineLevel="1" x14ac:dyDescent="0.3"/>
    <row r="87" hidden="1" outlineLevel="1" x14ac:dyDescent="0.3"/>
    <row r="88" hidden="1" outlineLevel="1" x14ac:dyDescent="0.3"/>
    <row r="89" hidden="1" outlineLevel="1" x14ac:dyDescent="0.3"/>
    <row r="90" hidden="1" outlineLevel="1" x14ac:dyDescent="0.3"/>
    <row r="91" hidden="1" outlineLevel="1" x14ac:dyDescent="0.3"/>
    <row r="92" hidden="1" outlineLevel="1" x14ac:dyDescent="0.3"/>
    <row r="93" hidden="1" outlineLevel="1" x14ac:dyDescent="0.3"/>
    <row r="94" hidden="1" outlineLevel="1" x14ac:dyDescent="0.3"/>
    <row r="95" hidden="1" outlineLevel="1" x14ac:dyDescent="0.3"/>
    <row r="96" hidden="1" outlineLevel="1" x14ac:dyDescent="0.3"/>
    <row r="97" hidden="1" outlineLevel="1" x14ac:dyDescent="0.3"/>
    <row r="98" hidden="1" outlineLevel="1" x14ac:dyDescent="0.3"/>
    <row r="99" hidden="1" outlineLevel="1" x14ac:dyDescent="0.3"/>
    <row r="100" hidden="1" outlineLevel="1" x14ac:dyDescent="0.3"/>
    <row r="101" hidden="1" outlineLevel="1" x14ac:dyDescent="0.3"/>
    <row r="102" hidden="1" outlineLevel="1" x14ac:dyDescent="0.3"/>
    <row r="103" hidden="1" outlineLevel="1" x14ac:dyDescent="0.3"/>
    <row r="104" hidden="1" outlineLevel="1" x14ac:dyDescent="0.3"/>
    <row r="105" hidden="1" outlineLevel="1" x14ac:dyDescent="0.3"/>
    <row r="106" hidden="1" outlineLevel="1" x14ac:dyDescent="0.3"/>
    <row r="107" hidden="1" outlineLevel="1" x14ac:dyDescent="0.3"/>
    <row r="108" hidden="1" outlineLevel="1" x14ac:dyDescent="0.3"/>
    <row r="109" hidden="1" outlineLevel="1" x14ac:dyDescent="0.3"/>
    <row r="110" hidden="1" outlineLevel="1" x14ac:dyDescent="0.3"/>
    <row r="111" hidden="1" outlineLevel="1" x14ac:dyDescent="0.3"/>
    <row r="112" hidden="1" outlineLevel="1" x14ac:dyDescent="0.3"/>
    <row r="113" hidden="1" outlineLevel="1" x14ac:dyDescent="0.3"/>
    <row r="114" hidden="1" outlineLevel="1" x14ac:dyDescent="0.3"/>
    <row r="115" hidden="1" outlineLevel="1" x14ac:dyDescent="0.3"/>
    <row r="116" hidden="1" outlineLevel="1" x14ac:dyDescent="0.3"/>
    <row r="117" hidden="1" outlineLevel="1" x14ac:dyDescent="0.3"/>
    <row r="118" hidden="1" outlineLevel="1" x14ac:dyDescent="0.3"/>
    <row r="119" hidden="1" outlineLevel="1" x14ac:dyDescent="0.3"/>
    <row r="120" hidden="1" outlineLevel="1" x14ac:dyDescent="0.3"/>
    <row r="121" hidden="1" outlineLevel="1" x14ac:dyDescent="0.3"/>
    <row r="122" hidden="1" outlineLevel="1" x14ac:dyDescent="0.3"/>
    <row r="123" hidden="1" outlineLevel="1" x14ac:dyDescent="0.3"/>
    <row r="124" hidden="1" outlineLevel="1" x14ac:dyDescent="0.3"/>
    <row r="125" hidden="1" outlineLevel="1" x14ac:dyDescent="0.3"/>
    <row r="126" hidden="1" outlineLevel="1" x14ac:dyDescent="0.3"/>
    <row r="127" hidden="1" outlineLevel="1" x14ac:dyDescent="0.3"/>
    <row r="128" hidden="1" outlineLevel="1" x14ac:dyDescent="0.3"/>
    <row r="129" hidden="1" outlineLevel="1" x14ac:dyDescent="0.3"/>
    <row r="130" hidden="1" outlineLevel="1" x14ac:dyDescent="0.3"/>
    <row r="131" hidden="1" outlineLevel="1" x14ac:dyDescent="0.3"/>
    <row r="132" hidden="1" outlineLevel="1" x14ac:dyDescent="0.3"/>
    <row r="133" hidden="1" outlineLevel="1" x14ac:dyDescent="0.3"/>
    <row r="134" hidden="1" outlineLevel="1" x14ac:dyDescent="0.3"/>
    <row r="135" hidden="1" outlineLevel="1" x14ac:dyDescent="0.3"/>
    <row r="136" hidden="1" outlineLevel="1" x14ac:dyDescent="0.3"/>
    <row r="137" hidden="1" outlineLevel="1" x14ac:dyDescent="0.3"/>
    <row r="138" hidden="1" outlineLevel="1" x14ac:dyDescent="0.3"/>
    <row r="139" hidden="1" outlineLevel="1" x14ac:dyDescent="0.3"/>
    <row r="140" hidden="1" outlineLevel="1" x14ac:dyDescent="0.3"/>
    <row r="141" hidden="1" outlineLevel="1" x14ac:dyDescent="0.3"/>
    <row r="142" hidden="1" outlineLevel="1" x14ac:dyDescent="0.3"/>
    <row r="143" hidden="1" outlineLevel="1" x14ac:dyDescent="0.3"/>
    <row r="144" hidden="1" outlineLevel="1" x14ac:dyDescent="0.3"/>
    <row r="145" hidden="1" outlineLevel="1" x14ac:dyDescent="0.3"/>
    <row r="146" hidden="1" outlineLevel="1" x14ac:dyDescent="0.3"/>
    <row r="147" hidden="1" outlineLevel="1" x14ac:dyDescent="0.3"/>
    <row r="148" hidden="1" outlineLevel="1" x14ac:dyDescent="0.3"/>
    <row r="149" hidden="1" outlineLevel="1" x14ac:dyDescent="0.3"/>
    <row r="150" hidden="1" outlineLevel="1" x14ac:dyDescent="0.3"/>
    <row r="151" hidden="1" outlineLevel="1" x14ac:dyDescent="0.3"/>
    <row r="152" hidden="1" outlineLevel="1" x14ac:dyDescent="0.3"/>
    <row r="153" hidden="1" outlineLevel="1" x14ac:dyDescent="0.3"/>
    <row r="154" hidden="1" outlineLevel="1" x14ac:dyDescent="0.3"/>
    <row r="155" hidden="1" outlineLevel="1" x14ac:dyDescent="0.3"/>
    <row r="156" hidden="1" outlineLevel="1" x14ac:dyDescent="0.3"/>
    <row r="157" hidden="1" outlineLevel="1" x14ac:dyDescent="0.3"/>
    <row r="158" hidden="1" outlineLevel="1" x14ac:dyDescent="0.3"/>
    <row r="159" hidden="1" outlineLevel="1" x14ac:dyDescent="0.3"/>
    <row r="160" hidden="1" outlineLevel="1" x14ac:dyDescent="0.3"/>
    <row r="161" spans="3:11" hidden="1" outlineLevel="1" x14ac:dyDescent="0.3"/>
    <row r="162" spans="3:11" hidden="1" outlineLevel="1" x14ac:dyDescent="0.3"/>
    <row r="163" spans="3:11" hidden="1" outlineLevel="1" x14ac:dyDescent="0.3"/>
    <row r="164" spans="3:11" hidden="1" outlineLevel="1" x14ac:dyDescent="0.3"/>
    <row r="165" spans="3:11" hidden="1" outlineLevel="1" x14ac:dyDescent="0.3"/>
    <row r="166" spans="3:11" hidden="1" outlineLevel="1" x14ac:dyDescent="0.3"/>
    <row r="167" spans="3:11" hidden="1" outlineLevel="1" x14ac:dyDescent="0.3"/>
    <row r="168" spans="3:11" hidden="1" outlineLevel="1" x14ac:dyDescent="0.3"/>
    <row r="169" spans="3:11" hidden="1" outlineLevel="1" x14ac:dyDescent="0.3"/>
    <row r="170" spans="3:11" collapsed="1" x14ac:dyDescent="0.3"/>
    <row r="171" spans="3:11" x14ac:dyDescent="0.3">
      <c r="C171" s="1" t="s">
        <v>378</v>
      </c>
    </row>
    <row r="172" spans="3:11" x14ac:dyDescent="0.3">
      <c r="F172" s="54" t="s">
        <v>147</v>
      </c>
      <c r="G172" s="54" t="s">
        <v>146</v>
      </c>
      <c r="H172" s="54" t="s">
        <v>62</v>
      </c>
      <c r="I172" s="54" t="s">
        <v>105</v>
      </c>
      <c r="J172" s="54" t="s">
        <v>103</v>
      </c>
      <c r="K172" s="54" t="s">
        <v>104</v>
      </c>
    </row>
    <row r="173" spans="3:11" x14ac:dyDescent="0.3">
      <c r="F173" s="56">
        <v>44013</v>
      </c>
      <c r="G173" s="56">
        <f>F174+1</f>
        <v>44105</v>
      </c>
      <c r="H173" s="56">
        <v>44197</v>
      </c>
      <c r="I173" s="56">
        <f>H174+1</f>
        <v>44287</v>
      </c>
      <c r="J173" s="56">
        <f>I174+1</f>
        <v>44378</v>
      </c>
      <c r="K173" s="56">
        <f>J174+1</f>
        <v>44470</v>
      </c>
    </row>
    <row r="174" spans="3:11" x14ac:dyDescent="0.3">
      <c r="D174" s="3" t="s">
        <v>118</v>
      </c>
      <c r="F174" s="56">
        <f t="shared" ref="F174:K174" si="0">EOMONTH(F173,2)</f>
        <v>44104</v>
      </c>
      <c r="G174" s="56">
        <f t="shared" si="0"/>
        <v>44196</v>
      </c>
      <c r="H174" s="56">
        <f t="shared" si="0"/>
        <v>44286</v>
      </c>
      <c r="I174" s="56">
        <f t="shared" si="0"/>
        <v>44377</v>
      </c>
      <c r="J174" s="56">
        <f t="shared" si="0"/>
        <v>44469</v>
      </c>
      <c r="K174" s="56">
        <f t="shared" si="0"/>
        <v>44561</v>
      </c>
    </row>
    <row r="175" spans="3:11" x14ac:dyDescent="0.3">
      <c r="D175" s="56" t="s">
        <v>119</v>
      </c>
      <c r="E175" s="56"/>
      <c r="H175" s="56"/>
      <c r="I175" s="56"/>
    </row>
    <row r="177" spans="3:11" x14ac:dyDescent="0.3">
      <c r="C177" s="121" t="s">
        <v>69</v>
      </c>
      <c r="D177" s="144">
        <v>1</v>
      </c>
      <c r="F177" s="43">
        <f>'예산대비 실적'!V5*'예산대비 실적'!Z5</f>
        <v>975.28927911275423</v>
      </c>
      <c r="G177" s="43">
        <f>'예산대비 실적'!W5*'예산대비 실적'!AA5</f>
        <v>946.21902017291075</v>
      </c>
      <c r="H177" s="43">
        <f>'예산대비 실적'!H5</f>
        <v>684</v>
      </c>
      <c r="I177" s="43">
        <f>'예산대비 실적'!I5</f>
        <v>957</v>
      </c>
      <c r="J177" s="43">
        <f>'예산대비 실적'!J5</f>
        <v>975.28927911275423</v>
      </c>
      <c r="K177" s="43">
        <f>'예산대비 실적'!K5</f>
        <v>946.21902017291075</v>
      </c>
    </row>
    <row r="178" spans="3:11" x14ac:dyDescent="0.3">
      <c r="D178" s="144">
        <v>0</v>
      </c>
      <c r="F178" s="43">
        <f>F177</f>
        <v>975.28927911275423</v>
      </c>
      <c r="G178" s="43">
        <f>G177</f>
        <v>946.21902017291075</v>
      </c>
      <c r="H178" s="43">
        <f>SUM([1]CF_M!$AU$43:$AW$43)</f>
        <v>939.03691435924702</v>
      </c>
      <c r="I178" s="43">
        <f>SUM([1]CF_M!$AX$43:$AZ$43)</f>
        <v>1039.7302364632183</v>
      </c>
      <c r="J178" s="43">
        <f>SUM([1]CF_M!$BA$43:$BC$43)</f>
        <v>991.76778715338878</v>
      </c>
      <c r="K178" s="43">
        <f>SUM([1]CF_M!$BD$43:$BF$43)</f>
        <v>959.33036810426506</v>
      </c>
    </row>
    <row r="179" spans="3:11" x14ac:dyDescent="0.3">
      <c r="D179" s="144"/>
      <c r="F179" s="43"/>
      <c r="G179" s="43"/>
      <c r="H179" s="43"/>
      <c r="I179" s="43"/>
      <c r="J179" s="43"/>
      <c r="K179" s="43"/>
    </row>
    <row r="180" spans="3:11" x14ac:dyDescent="0.3">
      <c r="C180" s="121" t="s">
        <v>109</v>
      </c>
      <c r="D180" s="144">
        <v>1</v>
      </c>
      <c r="F180" s="43">
        <v>21.16</v>
      </c>
      <c r="G180" s="43">
        <f>AVERAGE('예산대비 실적'!G8:J8)</f>
        <v>20.167499999999997</v>
      </c>
      <c r="H180" s="43">
        <f>'예산대비 실적'!H8</f>
        <v>16.399999999999999</v>
      </c>
      <c r="I180" s="43">
        <f>'예산대비 실적'!I8</f>
        <v>17.27</v>
      </c>
      <c r="J180" s="43">
        <f>'예산대비 실적'!J8</f>
        <v>21.16</v>
      </c>
      <c r="K180" s="43">
        <f>'예산대비 실적'!K8</f>
        <v>20.167499999999997</v>
      </c>
    </row>
    <row r="181" spans="3:11" x14ac:dyDescent="0.3">
      <c r="D181" s="144">
        <v>0</v>
      </c>
      <c r="F181" s="43">
        <f>F180</f>
        <v>21.16</v>
      </c>
      <c r="G181" s="43">
        <f>G180</f>
        <v>20.167499999999997</v>
      </c>
      <c r="H181" s="43">
        <f>AVERAGE([1]CF_M!$AU$53:$AW$53)</f>
        <v>52.484171444578429</v>
      </c>
      <c r="I181" s="43">
        <f>AVERAGE([1]CF_M!$AX$53:$AZ$53)</f>
        <v>81.005518373165657</v>
      </c>
      <c r="J181" s="43">
        <f>AVERAGE([1]CF_M!$BA$53:$BC$53)</f>
        <v>65.43265607290725</v>
      </c>
      <c r="K181" s="43">
        <f>AVERAGE([1]CF_M!$BD$53:$BF$53)</f>
        <v>45.344316053234593</v>
      </c>
    </row>
    <row r="182" spans="3:11" x14ac:dyDescent="0.3">
      <c r="D182" s="144"/>
      <c r="F182" s="43"/>
      <c r="G182" s="43"/>
      <c r="H182" s="43"/>
      <c r="I182" s="43"/>
      <c r="J182" s="43"/>
      <c r="K182" s="43"/>
    </row>
    <row r="183" spans="3:11" x14ac:dyDescent="0.3">
      <c r="C183" s="3" t="s">
        <v>113</v>
      </c>
      <c r="D183" s="144">
        <v>1</v>
      </c>
      <c r="F183" s="43">
        <v>2</v>
      </c>
      <c r="G183" s="43">
        <v>2.2999999999999998</v>
      </c>
      <c r="H183" s="43">
        <v>2.64</v>
      </c>
      <c r="I183" s="43">
        <v>2.4</v>
      </c>
      <c r="J183" s="43">
        <v>2.36</v>
      </c>
      <c r="K183" s="43">
        <v>2.4900000000000002</v>
      </c>
    </row>
    <row r="184" spans="3:11" x14ac:dyDescent="0.3">
      <c r="D184" s="144">
        <v>0</v>
      </c>
      <c r="F184" s="43">
        <v>2</v>
      </c>
      <c r="G184" s="43">
        <v>2.2999999999999998</v>
      </c>
      <c r="H184" s="43">
        <v>2.64</v>
      </c>
      <c r="I184" s="43">
        <v>2.4</v>
      </c>
      <c r="J184" s="43">
        <v>2.36</v>
      </c>
      <c r="K184" s="43">
        <v>2.4900000000000002</v>
      </c>
    </row>
    <row r="185" spans="3:11" x14ac:dyDescent="0.3">
      <c r="F185" s="43"/>
      <c r="G185" s="43"/>
      <c r="H185" s="43"/>
      <c r="I185" s="43"/>
      <c r="J185" s="43"/>
      <c r="K185" s="43"/>
    </row>
    <row r="186" spans="3:11" x14ac:dyDescent="0.3">
      <c r="C186" s="3" t="s">
        <v>136</v>
      </c>
      <c r="D186" s="144">
        <v>1</v>
      </c>
      <c r="F186" s="43">
        <f>(7563114/1067)*F177/1000</f>
        <v>6913.0496728280968</v>
      </c>
      <c r="G186" s="43">
        <f>(7510079/1073)*G177/1000</f>
        <v>6622.7209625360229</v>
      </c>
      <c r="H186" s="43">
        <f>'예산대비 실적'!H26</f>
        <v>4835.1648351648355</v>
      </c>
      <c r="I186" s="43">
        <f>'예산대비 실적'!I26</f>
        <v>6951.2195121951227</v>
      </c>
      <c r="J186" s="43">
        <f>'예산대비 실적'!J26</f>
        <v>6913.0496728280968</v>
      </c>
      <c r="K186" s="43">
        <f>'예산대비 실적'!K26</f>
        <v>6622.7209625360229</v>
      </c>
    </row>
    <row r="187" spans="3:11" x14ac:dyDescent="0.3">
      <c r="D187" s="144">
        <v>0</v>
      </c>
      <c r="F187" s="43">
        <f>F186</f>
        <v>6913.0496728280968</v>
      </c>
      <c r="G187" s="43">
        <f>G186</f>
        <v>6622.7209625360229</v>
      </c>
      <c r="H187" s="43">
        <f>SUM([1]CF_M!$AT$47:$AV$47)</f>
        <v>5747.6750347717007</v>
      </c>
      <c r="I187" s="43">
        <f>SUM([1]CF_M!$AX$47:$AZ$47)</f>
        <v>7278.9523072452566</v>
      </c>
      <c r="J187" s="43">
        <f>SUM([1]CF_M!$BA$47:$BC$47)</f>
        <v>6944.8043365917492</v>
      </c>
      <c r="K187" s="43">
        <f>SUM([1]CF_M!$BD$47:$BF$47)</f>
        <v>6716.8492108266719</v>
      </c>
    </row>
    <row r="188" spans="3:11" x14ac:dyDescent="0.3">
      <c r="F188" s="43"/>
      <c r="G188" s="43"/>
      <c r="H188" s="43"/>
      <c r="I188" s="43"/>
      <c r="J188" s="43"/>
      <c r="K188" s="43"/>
    </row>
    <row r="189" spans="3:11" x14ac:dyDescent="0.3">
      <c r="C189" s="3" t="s">
        <v>137</v>
      </c>
      <c r="D189" s="144">
        <v>1</v>
      </c>
      <c r="F189" s="43">
        <f>'예산대비 실적'!J27</f>
        <v>-0.55000000000000004</v>
      </c>
      <c r="G189" s="43">
        <f>'예산대비 실적'!K27</f>
        <v>-0.53750000000000009</v>
      </c>
      <c r="H189" s="43">
        <f>'예산대비 실적'!L27</f>
        <v>-0.546875</v>
      </c>
      <c r="I189" s="43">
        <f>'예산대비 실적'!M27</f>
        <v>-0.58359375000000002</v>
      </c>
      <c r="J189" s="43">
        <f>'예산대비 실적'!N27</f>
        <v>-0.55449218750000007</v>
      </c>
      <c r="K189" s="43">
        <f>'예산대비 실적'!O27</f>
        <v>-0.55561523437500004</v>
      </c>
    </row>
    <row r="190" spans="3:11" x14ac:dyDescent="0.3">
      <c r="D190" s="144">
        <v>0</v>
      </c>
      <c r="F190" s="43">
        <f t="shared" ref="F190:K190" si="1">F189</f>
        <v>-0.55000000000000004</v>
      </c>
      <c r="G190" s="43">
        <f t="shared" si="1"/>
        <v>-0.53750000000000009</v>
      </c>
      <c r="H190" s="43">
        <f t="shared" si="1"/>
        <v>-0.546875</v>
      </c>
      <c r="I190" s="43">
        <f t="shared" si="1"/>
        <v>-0.58359375000000002</v>
      </c>
      <c r="J190" s="43">
        <f t="shared" si="1"/>
        <v>-0.55449218750000007</v>
      </c>
      <c r="K190" s="43">
        <f t="shared" si="1"/>
        <v>-0.55561523437500004</v>
      </c>
    </row>
    <row r="191" spans="3:11" x14ac:dyDescent="0.3">
      <c r="D191" s="144"/>
    </row>
    <row r="192" spans="3:11" x14ac:dyDescent="0.3">
      <c r="D192" s="144"/>
    </row>
    <row r="193" spans="4:4" x14ac:dyDescent="0.3">
      <c r="D193" s="1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showGridLines="0" zoomScaleNormal="100" workbookViewId="0"/>
  </sheetViews>
  <sheetFormatPr defaultRowHeight="16.5" x14ac:dyDescent="0.3"/>
  <cols>
    <col min="1" max="1" width="2.375" customWidth="1"/>
    <col min="2" max="2" width="57.125" customWidth="1"/>
    <col min="3" max="4" width="3.25" customWidth="1"/>
    <col min="5" max="5" width="11.875" customWidth="1"/>
    <col min="6" max="17" width="8.625" customWidth="1"/>
  </cols>
  <sheetData>
    <row r="1" spans="2:22" ht="12.75" customHeight="1" x14ac:dyDescent="0.3"/>
    <row r="2" spans="2:22" x14ac:dyDescent="0.3">
      <c r="B2" s="196" t="s">
        <v>377</v>
      </c>
    </row>
    <row r="3" spans="2:22" ht="5.25" customHeight="1" x14ac:dyDescent="0.3"/>
    <row r="4" spans="2:22" ht="4.5" customHeight="1" x14ac:dyDescent="0.3"/>
    <row r="5" spans="2:22" ht="17.25" thickBot="1" x14ac:dyDescent="0.35">
      <c r="B5" s="121" t="s">
        <v>358</v>
      </c>
      <c r="C5" s="3"/>
      <c r="D5" s="3"/>
      <c r="E5" s="198" t="s">
        <v>341</v>
      </c>
      <c r="F5" s="204" t="s">
        <v>1</v>
      </c>
      <c r="G5" s="204" t="s">
        <v>2</v>
      </c>
      <c r="H5" s="204" t="s">
        <v>3</v>
      </c>
      <c r="I5" s="204" t="s">
        <v>4</v>
      </c>
      <c r="J5" s="204" t="s">
        <v>5</v>
      </c>
      <c r="K5" s="204" t="s">
        <v>6</v>
      </c>
      <c r="L5" s="209" t="s">
        <v>7</v>
      </c>
      <c r="M5" s="209" t="s">
        <v>8</v>
      </c>
      <c r="N5" s="209" t="s">
        <v>62</v>
      </c>
      <c r="O5" s="209" t="s">
        <v>105</v>
      </c>
      <c r="P5" s="209" t="s">
        <v>103</v>
      </c>
      <c r="Q5" s="209" t="s">
        <v>104</v>
      </c>
      <c r="R5" s="121"/>
      <c r="S5" s="121"/>
      <c r="T5" s="121"/>
      <c r="U5" s="121"/>
      <c r="V5" s="121"/>
    </row>
    <row r="6" spans="2:22" x14ac:dyDescent="0.3">
      <c r="B6" s="197" t="s">
        <v>32</v>
      </c>
      <c r="C6" s="197"/>
      <c r="D6" s="197"/>
      <c r="E6" s="199">
        <f ca="1">+Calculation!F348/1000</f>
        <v>-72.081591735039254</v>
      </c>
      <c r="F6" s="215">
        <f>+Calculation!G348/1000</f>
        <v>7.2629999999999999</v>
      </c>
      <c r="G6" s="215">
        <f>+Calculation!H348/1000</f>
        <v>13.869</v>
      </c>
      <c r="H6" s="215">
        <f>+Calculation!I348/1000</f>
        <v>20.324000000000002</v>
      </c>
      <c r="I6" s="215">
        <f>+Calculation!J348/1000</f>
        <v>11.753</v>
      </c>
      <c r="J6" s="215">
        <f>+Calculation!K348/1000</f>
        <v>1.1120000000000001</v>
      </c>
      <c r="K6" s="215">
        <f>+Calculation!L348/1000</f>
        <v>0.39600000000000002</v>
      </c>
      <c r="L6" s="216">
        <f ca="1">+Calculation!M348/1000</f>
        <v>-21.133098622506537</v>
      </c>
      <c r="M6" s="216">
        <f ca="1">+Calculation!N348/1000</f>
        <v>-21.133098622506537</v>
      </c>
      <c r="N6" s="216">
        <f ca="1">+Calculation!O348/1000</f>
        <v>-21.133098622506541</v>
      </c>
      <c r="O6" s="216">
        <f ca="1">+Calculation!P348/1000</f>
        <v>-21.133098622506544</v>
      </c>
      <c r="P6" s="216">
        <f ca="1">+Calculation!Q348/1000</f>
        <v>-21.133098622506544</v>
      </c>
      <c r="Q6" s="216">
        <f ca="1">+Calculation!R348/1000</f>
        <v>-21.133098622506544</v>
      </c>
      <c r="R6" s="121"/>
      <c r="S6" s="121"/>
      <c r="T6" s="121"/>
      <c r="U6" s="121"/>
      <c r="V6" s="121"/>
    </row>
    <row r="7" spans="2:22" x14ac:dyDescent="0.3">
      <c r="B7" s="3" t="s">
        <v>345</v>
      </c>
      <c r="C7" s="3"/>
      <c r="D7" s="3"/>
      <c r="E7" s="200">
        <f ca="1">+Calculation!F349/1000</f>
        <v>237.44764897343703</v>
      </c>
      <c r="F7" s="217">
        <f>+Calculation!G349/1000</f>
        <v>15.865</v>
      </c>
      <c r="G7" s="217">
        <f>+Calculation!H349/1000</f>
        <v>15.865</v>
      </c>
      <c r="H7" s="217">
        <f>+Calculation!I349/1000</f>
        <v>10.765000000000001</v>
      </c>
      <c r="I7" s="217">
        <f>+Calculation!J349/1000</f>
        <v>10.765000000000001</v>
      </c>
      <c r="J7" s="217">
        <f>+Calculation!K349/1000</f>
        <v>12.122999999999999</v>
      </c>
      <c r="K7" s="217">
        <f>+Calculation!L349/1000</f>
        <v>9.3629999999999995</v>
      </c>
      <c r="L7" s="218">
        <f ca="1">+Calculation!M349/1000</f>
        <v>27.333338717521695</v>
      </c>
      <c r="M7" s="218">
        <f ca="1">+Calculation!N349/1000</f>
        <v>27.044862659243545</v>
      </c>
      <c r="N7" s="218">
        <f ca="1">+Calculation!O349/1000</f>
        <v>27.119912444620319</v>
      </c>
      <c r="O7" s="218">
        <f ca="1">+Calculation!P349/1000</f>
        <v>27.067845050683818</v>
      </c>
      <c r="P7" s="218">
        <f ca="1">+Calculation!Q349/1000</f>
        <v>27.067845050683822</v>
      </c>
      <c r="Q7" s="218">
        <f ca="1">+Calculation!R349/1000</f>
        <v>27.067845050683822</v>
      </c>
      <c r="R7" s="121"/>
      <c r="S7" s="121"/>
      <c r="T7" s="121"/>
      <c r="U7" s="121"/>
      <c r="V7" s="121"/>
    </row>
    <row r="8" spans="2:22" x14ac:dyDescent="0.3">
      <c r="B8" s="193" t="s">
        <v>346</v>
      </c>
      <c r="C8" s="194"/>
      <c r="D8" s="194"/>
      <c r="E8" s="201">
        <f ca="1">+Calculation!F350/1000</f>
        <v>165.36605723839776</v>
      </c>
      <c r="F8" s="219">
        <f>+Calculation!G350/1000</f>
        <v>23.128</v>
      </c>
      <c r="G8" s="219">
        <f>+Calculation!H350/1000</f>
        <v>29.734000000000002</v>
      </c>
      <c r="H8" s="219">
        <f>+Calculation!I350/1000</f>
        <v>31.088999999999999</v>
      </c>
      <c r="I8" s="219">
        <f>+Calculation!J350/1000</f>
        <v>22.518000000000001</v>
      </c>
      <c r="J8" s="219">
        <f>+Calculation!K350/1000</f>
        <v>13.234999999999999</v>
      </c>
      <c r="K8" s="219">
        <f>+Calculation!L350/1000</f>
        <v>9.7590000000000003</v>
      </c>
      <c r="L8" s="220">
        <f ca="1">+Calculation!M350/1000</f>
        <v>6.2002400950151566</v>
      </c>
      <c r="M8" s="220">
        <f ca="1">+Calculation!N350/1000</f>
        <v>5.9117640367370079</v>
      </c>
      <c r="N8" s="220">
        <f ca="1">+Calculation!O350/1000</f>
        <v>5.9868138221137741</v>
      </c>
      <c r="O8" s="220">
        <f ca="1">+Calculation!P350/1000</f>
        <v>5.9347464281772737</v>
      </c>
      <c r="P8" s="220">
        <f ca="1">+Calculation!Q350/1000</f>
        <v>5.9347464281772773</v>
      </c>
      <c r="Q8" s="220">
        <f ca="1">+Calculation!R350/1000</f>
        <v>5.9347464281772773</v>
      </c>
      <c r="R8" s="121"/>
      <c r="S8" s="121"/>
      <c r="T8" s="121"/>
      <c r="U8" s="121"/>
      <c r="V8" s="121"/>
    </row>
    <row r="9" spans="2:22" x14ac:dyDescent="0.3">
      <c r="B9" s="144"/>
      <c r="C9" s="3"/>
      <c r="D9" s="3"/>
      <c r="E9" s="202"/>
      <c r="F9" s="205"/>
      <c r="G9" s="205"/>
      <c r="H9" s="205"/>
      <c r="I9" s="205"/>
      <c r="J9" s="205"/>
      <c r="K9" s="205"/>
      <c r="L9" s="210"/>
      <c r="M9" s="210"/>
      <c r="N9" s="210"/>
      <c r="O9" s="210"/>
      <c r="P9" s="210"/>
      <c r="Q9" s="210"/>
      <c r="R9" s="121"/>
      <c r="S9" s="121"/>
      <c r="T9" s="121"/>
      <c r="U9" s="121"/>
      <c r="V9" s="121"/>
    </row>
    <row r="10" spans="2:22" x14ac:dyDescent="0.3">
      <c r="B10" s="121" t="s">
        <v>243</v>
      </c>
      <c r="C10" s="3"/>
      <c r="D10" s="3"/>
      <c r="E10" s="200">
        <f ca="1">+Calculation!F352</f>
        <v>94.953099414670291</v>
      </c>
      <c r="F10" s="206">
        <f>+Calculation!G352</f>
        <v>16.100000000000001</v>
      </c>
      <c r="G10" s="206">
        <f>+Calculation!H352</f>
        <v>16.100000000000001</v>
      </c>
      <c r="H10" s="206">
        <f>+Calculation!I352</f>
        <v>16.100000000000001</v>
      </c>
      <c r="I10" s="206">
        <f>+Calculation!J352</f>
        <v>16.100000000000001</v>
      </c>
      <c r="J10" s="206">
        <f ca="1">+Calculation!K352</f>
        <v>14.929601944530823</v>
      </c>
      <c r="K10" s="206">
        <f ca="1">+Calculation!L352</f>
        <v>15.623497470139471</v>
      </c>
      <c r="L10" s="211">
        <f ca="1">+Calculation!M352</f>
        <v>0</v>
      </c>
      <c r="M10" s="211">
        <f ca="1">+Calculation!N352</f>
        <v>0</v>
      </c>
      <c r="N10" s="211">
        <f ca="1">+Calculation!O352</f>
        <v>0</v>
      </c>
      <c r="O10" s="211">
        <f ca="1">+Calculation!P352</f>
        <v>0</v>
      </c>
      <c r="P10" s="211">
        <f ca="1">+Calculation!Q352</f>
        <v>0</v>
      </c>
      <c r="Q10" s="211">
        <f ca="1">+Calculation!R352</f>
        <v>0</v>
      </c>
      <c r="R10" s="121"/>
      <c r="S10" s="121"/>
      <c r="T10" s="121"/>
      <c r="U10" s="121"/>
      <c r="V10" s="121"/>
    </row>
    <row r="11" spans="2:22" x14ac:dyDescent="0.3">
      <c r="B11" s="121" t="s">
        <v>349</v>
      </c>
      <c r="C11" s="3"/>
      <c r="D11" s="3"/>
      <c r="E11" s="200">
        <f ca="1">+Calculation!F353</f>
        <v>66.396900585329703</v>
      </c>
      <c r="F11" s="206">
        <f>+Calculation!G353</f>
        <v>6.8999999999999986</v>
      </c>
      <c r="G11" s="206">
        <f>+Calculation!H353</f>
        <v>3.8999999999999986</v>
      </c>
      <c r="H11" s="206">
        <f>+Calculation!I353</f>
        <v>18.899999999999999</v>
      </c>
      <c r="I11" s="206">
        <f>+Calculation!J353</f>
        <v>18.899999999999999</v>
      </c>
      <c r="J11" s="206">
        <f ca="1">+Calculation!K353</f>
        <v>8.1703980554691782</v>
      </c>
      <c r="K11" s="206">
        <f ca="1">+Calculation!L353</f>
        <v>9.6265025298605291</v>
      </c>
      <c r="L11" s="211">
        <f ca="1">+Calculation!M353</f>
        <v>0</v>
      </c>
      <c r="M11" s="211">
        <f ca="1">+Calculation!N353</f>
        <v>0</v>
      </c>
      <c r="N11" s="211">
        <f ca="1">+Calculation!O353</f>
        <v>0</v>
      </c>
      <c r="O11" s="211">
        <f ca="1">+Calculation!P353</f>
        <v>0</v>
      </c>
      <c r="P11" s="211">
        <f ca="1">+Calculation!Q353</f>
        <v>0</v>
      </c>
      <c r="Q11" s="211">
        <f ca="1">+Calculation!R353</f>
        <v>0</v>
      </c>
      <c r="R11" s="121"/>
      <c r="S11" s="121"/>
      <c r="T11" s="121"/>
      <c r="U11" s="121"/>
      <c r="V11" s="121"/>
    </row>
    <row r="12" spans="2:22" x14ac:dyDescent="0.3">
      <c r="B12" s="3" t="s">
        <v>350</v>
      </c>
      <c r="C12" s="3"/>
      <c r="D12" s="3"/>
      <c r="E12" s="200">
        <f ca="1">+Calculation!F354</f>
        <v>258.64999999999998</v>
      </c>
      <c r="F12" s="206">
        <f>+Calculation!G354</f>
        <v>12</v>
      </c>
      <c r="G12" s="206">
        <f>+Calculation!H354</f>
        <v>15</v>
      </c>
      <c r="H12" s="206">
        <f>+Calculation!I354</f>
        <v>0</v>
      </c>
      <c r="I12" s="206">
        <f>+Calculation!J354</f>
        <v>0</v>
      </c>
      <c r="J12" s="206">
        <f ca="1">+Calculation!K354</f>
        <v>11.899999999999999</v>
      </c>
      <c r="K12" s="206">
        <f ca="1">+Calculation!L354</f>
        <v>9.75</v>
      </c>
      <c r="L12" s="211">
        <f ca="1">+Calculation!M354</f>
        <v>35</v>
      </c>
      <c r="M12" s="211">
        <f ca="1">+Calculation!N354</f>
        <v>35</v>
      </c>
      <c r="N12" s="211">
        <f ca="1">+Calculation!O354</f>
        <v>35</v>
      </c>
      <c r="O12" s="211">
        <f ca="1">+Calculation!P354</f>
        <v>35</v>
      </c>
      <c r="P12" s="211">
        <f ca="1">+Calculation!Q354</f>
        <v>35</v>
      </c>
      <c r="Q12" s="211">
        <f ca="1">+Calculation!R354</f>
        <v>35</v>
      </c>
      <c r="R12" s="121"/>
      <c r="S12" s="121"/>
      <c r="T12" s="121"/>
      <c r="U12" s="121"/>
      <c r="V12" s="121"/>
    </row>
    <row r="13" spans="2:22" x14ac:dyDescent="0.3">
      <c r="B13" s="3" t="s">
        <v>381</v>
      </c>
      <c r="C13" s="3"/>
      <c r="D13" s="3"/>
      <c r="E13" s="200"/>
      <c r="F13" s="206">
        <f>+Calculation!G108</f>
        <v>0</v>
      </c>
      <c r="G13" s="206">
        <f>+Calculation!H108</f>
        <v>-0.34830196000000002</v>
      </c>
      <c r="H13" s="206">
        <f>+Calculation!I108</f>
        <v>-8.8041539999999988E-2</v>
      </c>
      <c r="I13" s="206">
        <f>+Calculation!J108</f>
        <v>0</v>
      </c>
      <c r="J13" s="206">
        <f ca="1">+Calculation!K108</f>
        <v>-0.49286300303818603</v>
      </c>
      <c r="K13" s="206">
        <f ca="1">+Calculation!L108</f>
        <v>-0.47088404689358987</v>
      </c>
      <c r="L13" s="211">
        <f ca="1">+Calculation!M108</f>
        <v>-0.46315068493150691</v>
      </c>
      <c r="M13" s="211">
        <f ca="1">+Calculation!N108</f>
        <v>-0.46315068493150691</v>
      </c>
      <c r="N13" s="211">
        <f ca="1">+Calculation!O108</f>
        <v>-0.45308219178082193</v>
      </c>
      <c r="O13" s="211">
        <f ca="1">+Calculation!P108</f>
        <v>-0.45811643835616439</v>
      </c>
      <c r="P13" s="211">
        <f ca="1">+Calculation!Q108</f>
        <v>-0.46315068493150691</v>
      </c>
      <c r="Q13" s="211">
        <f ca="1">+Calculation!R108</f>
        <v>-0.46315068493150691</v>
      </c>
      <c r="R13" s="121"/>
      <c r="S13" s="121"/>
      <c r="T13" s="121"/>
      <c r="U13" s="121"/>
      <c r="V13" s="121"/>
    </row>
    <row r="14" spans="2:22" x14ac:dyDescent="0.3">
      <c r="B14" s="3" t="s">
        <v>347</v>
      </c>
      <c r="C14" s="3"/>
      <c r="D14" s="3"/>
      <c r="E14" s="200">
        <f ca="1">+Calculation!F355</f>
        <v>9099.2310215557627</v>
      </c>
      <c r="F14" s="206">
        <f>+Calculation!G355</f>
        <v>769.36203007999995</v>
      </c>
      <c r="G14" s="206">
        <f>+Calculation!H355</f>
        <v>767.42406015999995</v>
      </c>
      <c r="H14" s="206">
        <f>+Calculation!I355</f>
        <v>761.48609023999995</v>
      </c>
      <c r="I14" s="206">
        <f>+Calculation!J355</f>
        <v>761.48609023999995</v>
      </c>
      <c r="J14" s="206">
        <f>+Calculation!K355</f>
        <v>761.48609023999995</v>
      </c>
      <c r="K14" s="206">
        <f ca="1">+Calculation!L355</f>
        <v>759.68609024</v>
      </c>
      <c r="L14" s="211">
        <f ca="1">+Calculation!M355</f>
        <v>757.77126502624435</v>
      </c>
      <c r="M14" s="211">
        <f ca="1">+Calculation!N355</f>
        <v>755.86126622124664</v>
      </c>
      <c r="N14" s="211">
        <f ca="1">+Calculation!O355</f>
        <v>753.99749871549557</v>
      </c>
      <c r="O14" s="211">
        <f ca="1">+Calculation!P355</f>
        <v>752.11766933513638</v>
      </c>
      <c r="P14" s="211">
        <f ca="1">+Calculation!Q355</f>
        <v>750.22192068914092</v>
      </c>
      <c r="Q14" s="211">
        <f ca="1">+Calculation!R355</f>
        <v>748.33095036849977</v>
      </c>
      <c r="R14" s="121"/>
      <c r="S14" s="121"/>
      <c r="T14" s="121"/>
      <c r="U14" s="121"/>
      <c r="V14" s="121"/>
    </row>
    <row r="15" spans="2:22" x14ac:dyDescent="0.3">
      <c r="B15" s="3" t="s">
        <v>379</v>
      </c>
      <c r="C15" s="3"/>
      <c r="D15" s="3"/>
      <c r="E15" s="200"/>
      <c r="F15" s="206">
        <f>+Calculation!G109</f>
        <v>-13.154429199999999</v>
      </c>
      <c r="G15" s="206">
        <f>+Calculation!H109</f>
        <v>-12.94305215</v>
      </c>
      <c r="H15" s="206">
        <f>+Calculation!I109</f>
        <v>-12.701533679999999</v>
      </c>
      <c r="I15" s="206">
        <f>+Calculation!J109</f>
        <v>-11.88068956</v>
      </c>
      <c r="J15" s="206">
        <f>+Calculation!K109</f>
        <v>-9.9945314927500011</v>
      </c>
      <c r="K15" s="206">
        <f>+Calculation!L109</f>
        <v>-9.9827189927500015</v>
      </c>
      <c r="L15" s="211">
        <f ca="1">+Calculation!M109</f>
        <v>-11.997057738025207</v>
      </c>
      <c r="M15" s="211">
        <f ca="1">+Calculation!N109</f>
        <v>-11.924615713360989</v>
      </c>
      <c r="N15" s="211">
        <f ca="1">+Calculation!O109</f>
        <v>-11.634956693412029</v>
      </c>
      <c r="O15" s="211">
        <f ca="1">+Calculation!P109</f>
        <v>-11.666309079721316</v>
      </c>
      <c r="P15" s="211">
        <f ca="1">+Calculation!Q109</f>
        <v>-11.678025338544408</v>
      </c>
      <c r="Q15" s="211">
        <f ca="1">+Calculation!R109</f>
        <v>-11.60310074550288</v>
      </c>
      <c r="R15" s="121"/>
      <c r="S15" s="121"/>
      <c r="T15" s="121"/>
      <c r="U15" s="121"/>
      <c r="V15" s="121"/>
    </row>
    <row r="16" spans="2:22" x14ac:dyDescent="0.3">
      <c r="B16" s="3" t="s">
        <v>380</v>
      </c>
      <c r="C16" s="3"/>
      <c r="D16" s="3"/>
      <c r="E16" s="200"/>
      <c r="F16" s="206">
        <f>+Calculation!G110</f>
        <v>-1.9379699200000005</v>
      </c>
      <c r="G16" s="206">
        <f>+Calculation!H110</f>
        <v>-1.9379699200000005</v>
      </c>
      <c r="H16" s="206">
        <f>+Calculation!I110</f>
        <v>-5.9379699200000005</v>
      </c>
      <c r="I16" s="206">
        <f>+Calculation!J110</f>
        <v>0</v>
      </c>
      <c r="J16" s="206">
        <f>+Calculation!K110</f>
        <v>0</v>
      </c>
      <c r="K16" s="206">
        <f>+Calculation!L110</f>
        <v>-1.8</v>
      </c>
      <c r="L16" s="211">
        <f ca="1">+Calculation!M110</f>
        <v>-1.9148252137556165</v>
      </c>
      <c r="M16" s="211">
        <f ca="1">+Calculation!N110</f>
        <v>-1.9099988049976571</v>
      </c>
      <c r="N16" s="211">
        <f ca="1">+Calculation!O110</f>
        <v>-1.8637675057510192</v>
      </c>
      <c r="O16" s="211">
        <f ca="1">+Calculation!P110</f>
        <v>-1.8798293803591808</v>
      </c>
      <c r="P16" s="211">
        <f ca="1">+Calculation!Q110</f>
        <v>-1.8957486459954123</v>
      </c>
      <c r="Q16" s="211">
        <f ca="1">+Calculation!R110</f>
        <v>-1.8909703206411224</v>
      </c>
      <c r="R16" s="121"/>
      <c r="S16" s="121"/>
      <c r="T16" s="121"/>
      <c r="U16" s="121"/>
      <c r="V16" s="121"/>
    </row>
    <row r="17" spans="2:22" x14ac:dyDescent="0.3">
      <c r="B17" s="3" t="s">
        <v>348</v>
      </c>
      <c r="C17" s="3"/>
      <c r="D17" s="3"/>
      <c r="E17" s="200">
        <f ca="1">+Calculation!F356</f>
        <v>9192.5149643173663</v>
      </c>
      <c r="F17" s="206">
        <f>+Calculation!G356</f>
        <v>758.23403007999991</v>
      </c>
      <c r="G17" s="206">
        <f>+Calculation!H356</f>
        <v>752.69006015999992</v>
      </c>
      <c r="H17" s="206">
        <f>+Calculation!I356</f>
        <v>730.3970902399999</v>
      </c>
      <c r="I17" s="206">
        <f>+Calculation!J356</f>
        <v>738.96809023999992</v>
      </c>
      <c r="J17" s="206">
        <f ca="1">+Calculation!K356</f>
        <v>760.15109023999992</v>
      </c>
      <c r="K17" s="206">
        <f ca="1">+Calculation!L356</f>
        <v>759.67709023999998</v>
      </c>
      <c r="L17" s="211">
        <f ca="1">+Calculation!M356</f>
        <v>786.5710249312292</v>
      </c>
      <c r="M17" s="211">
        <f ca="1">+Calculation!N356</f>
        <v>784.94950218450958</v>
      </c>
      <c r="N17" s="211">
        <f ca="1">+Calculation!O356</f>
        <v>783.01068489338184</v>
      </c>
      <c r="O17" s="211">
        <f ca="1">+Calculation!P356</f>
        <v>781.18292290695911</v>
      </c>
      <c r="P17" s="211">
        <f ca="1">+Calculation!Q356</f>
        <v>779.28717426096364</v>
      </c>
      <c r="Q17" s="211">
        <f ca="1">+Calculation!R356</f>
        <v>777.39620394032249</v>
      </c>
      <c r="R17" s="121"/>
      <c r="S17" s="121"/>
      <c r="T17" s="121"/>
      <c r="U17" s="121"/>
      <c r="V17" s="121"/>
    </row>
    <row r="18" spans="2:22" x14ac:dyDescent="0.3">
      <c r="B18" s="3" t="s">
        <v>352</v>
      </c>
      <c r="C18" s="3"/>
      <c r="D18" s="3"/>
      <c r="E18" s="200">
        <f>+Calculation!F357</f>
        <v>780.16810079062452</v>
      </c>
      <c r="F18" s="206">
        <f>+Calculation!G357</f>
        <v>167.77306460520032</v>
      </c>
      <c r="G18" s="206">
        <f>+Calculation!H357</f>
        <v>158.9</v>
      </c>
      <c r="H18" s="206">
        <f>+Calculation!I357</f>
        <v>131.89999999999998</v>
      </c>
      <c r="I18" s="206">
        <f>+Calculation!J357</f>
        <v>104.1</v>
      </c>
      <c r="J18" s="206">
        <f>+Calculation!K357</f>
        <v>86.199999999999989</v>
      </c>
      <c r="K18" s="206">
        <f>+Calculation!L357</f>
        <v>76.599999999999994</v>
      </c>
      <c r="L18" s="211">
        <f>+Calculation!M357</f>
        <v>46.599999999999994</v>
      </c>
      <c r="M18" s="211">
        <f>+Calculation!N357</f>
        <v>14.093084778800206</v>
      </c>
      <c r="N18" s="211">
        <f>+Calculation!O357</f>
        <v>4.280900439733343</v>
      </c>
      <c r="O18" s="211">
        <f>+Calculation!P357</f>
        <v>0.45592909075685029</v>
      </c>
      <c r="P18" s="211">
        <f>+Calculation!Q357</f>
        <v>-3.7244210502571051</v>
      </c>
      <c r="Q18" s="211">
        <f>+Calculation!R357</f>
        <v>-7.0104570736091922</v>
      </c>
      <c r="R18" s="121"/>
      <c r="S18" s="121"/>
      <c r="T18" s="121"/>
      <c r="U18" s="121"/>
      <c r="V18" s="121"/>
    </row>
    <row r="19" spans="2:22" x14ac:dyDescent="0.3">
      <c r="B19" s="3" t="s">
        <v>351</v>
      </c>
      <c r="C19" s="3"/>
      <c r="D19" s="3"/>
      <c r="E19" s="200">
        <f ca="1">+Calculation!F358</f>
        <v>1689.3717860227723</v>
      </c>
      <c r="F19" s="206">
        <f>+Calculation!G358</f>
        <v>4.5194026339344679</v>
      </c>
      <c r="G19" s="206">
        <f>+Calculation!H358</f>
        <v>4.736878918565135</v>
      </c>
      <c r="H19" s="206">
        <f>+Calculation!I358</f>
        <v>5.5375063702805161</v>
      </c>
      <c r="I19" s="206">
        <f>+Calculation!J358</f>
        <v>7.0986367938520649</v>
      </c>
      <c r="J19" s="206">
        <f ca="1">+Calculation!K358</f>
        <v>8.8184581234338744</v>
      </c>
      <c r="K19" s="206">
        <f ca="1">+Calculation!L358</f>
        <v>9.9174554861618809</v>
      </c>
      <c r="L19" s="211">
        <f ca="1">+Calculation!M358</f>
        <v>16.879206543588612</v>
      </c>
      <c r="M19" s="211">
        <f ca="1">+Calculation!N358</f>
        <v>55.697493806699086</v>
      </c>
      <c r="N19" s="211">
        <f ca="1">+Calculation!O358</f>
        <v>182.90794096163458</v>
      </c>
      <c r="O19" s="211">
        <f ca="1">+Calculation!P358</f>
        <v>1713.3868813024887</v>
      </c>
      <c r="P19" s="211">
        <f ca="1">+Calculation!Q358</f>
        <v>-209.23713075007126</v>
      </c>
      <c r="Q19" s="211">
        <f ca="1">+Calculation!R358</f>
        <v>-110.8909441677953</v>
      </c>
      <c r="R19" s="121"/>
      <c r="S19" s="121"/>
      <c r="T19" s="121"/>
      <c r="U19" s="121"/>
      <c r="V19" s="121"/>
    </row>
    <row r="20" spans="2:22" x14ac:dyDescent="0.3">
      <c r="B20" s="3"/>
      <c r="C20" s="3"/>
      <c r="D20" s="3"/>
      <c r="E20" s="202"/>
      <c r="F20" s="207"/>
      <c r="G20" s="207"/>
      <c r="H20" s="207"/>
      <c r="I20" s="207"/>
      <c r="J20" s="207"/>
      <c r="K20" s="207"/>
      <c r="L20" s="212"/>
      <c r="M20" s="212"/>
      <c r="N20" s="212"/>
      <c r="O20" s="212"/>
      <c r="P20" s="212"/>
      <c r="Q20" s="212"/>
      <c r="R20" s="121"/>
      <c r="S20" s="121"/>
      <c r="T20" s="121"/>
      <c r="U20" s="121"/>
      <c r="V20" s="121"/>
    </row>
    <row r="21" spans="2:22" x14ac:dyDescent="0.3">
      <c r="B21" s="221" t="s">
        <v>305</v>
      </c>
      <c r="C21" s="221"/>
      <c r="D21" s="221"/>
      <c r="E21" s="222">
        <f>+Calculation!F360</f>
        <v>82.95205680495414</v>
      </c>
      <c r="F21" s="223">
        <f>+Calculation!G360</f>
        <v>0</v>
      </c>
      <c r="G21" s="223">
        <f>+Calculation!H360</f>
        <v>0</v>
      </c>
      <c r="H21" s="223">
        <f>+Calculation!I360</f>
        <v>0</v>
      </c>
      <c r="I21" s="223">
        <f>+Calculation!J360</f>
        <v>0</v>
      </c>
      <c r="J21" s="223">
        <f>+Calculation!K360</f>
        <v>0</v>
      </c>
      <c r="K21" s="223">
        <f>+Calculation!L360</f>
        <v>0</v>
      </c>
      <c r="L21" s="224">
        <f>+Calculation!M360</f>
        <v>0</v>
      </c>
      <c r="M21" s="224">
        <f>+Calculation!N360</f>
        <v>14.484294570343883</v>
      </c>
      <c r="N21" s="224">
        <f>+Calculation!O360</f>
        <v>15.97460502177832</v>
      </c>
      <c r="O21" s="224">
        <f>+Calculation!P360</f>
        <v>19.732928800231868</v>
      </c>
      <c r="P21" s="224">
        <f>+Calculation!Q360</f>
        <v>17.222630664014069</v>
      </c>
      <c r="Q21" s="224">
        <f>+Calculation!R360</f>
        <v>15.537597748585995</v>
      </c>
      <c r="R21" s="121"/>
      <c r="S21" s="121"/>
      <c r="T21" s="121"/>
      <c r="U21" s="121"/>
      <c r="V21" s="121"/>
    </row>
    <row r="22" spans="2:22" x14ac:dyDescent="0.3">
      <c r="B22" s="1" t="s">
        <v>383</v>
      </c>
      <c r="C22" s="1"/>
      <c r="D22" s="1"/>
      <c r="E22" s="225">
        <f ca="1">+Calculation!F361</f>
        <v>17.704845050683822</v>
      </c>
      <c r="F22" s="226"/>
      <c r="G22" s="226"/>
      <c r="H22" s="226"/>
      <c r="I22" s="226"/>
      <c r="J22" s="226"/>
      <c r="K22" s="226"/>
      <c r="L22" s="227">
        <f ca="1">+Calculation!M361</f>
        <v>17.970338717521695</v>
      </c>
      <c r="M22" s="227">
        <f ca="1">+Calculation!N361</f>
        <v>-0.28847605827814959</v>
      </c>
      <c r="N22" s="227">
        <f ca="1">+Calculation!O361</f>
        <v>7.5049785376769762E-2</v>
      </c>
      <c r="O22" s="227">
        <f ca="1">+Calculation!P361</f>
        <v>-5.2067393936496842E-2</v>
      </c>
      <c r="P22" s="227">
        <f ca="1">+Calculation!Q361</f>
        <v>3.5527136788005009E-15</v>
      </c>
      <c r="Q22" s="227">
        <f>+Calculation!R361</f>
        <v>0</v>
      </c>
      <c r="R22" s="121"/>
      <c r="S22" s="121"/>
      <c r="T22" s="121"/>
      <c r="U22" s="121"/>
      <c r="V22" s="121"/>
    </row>
    <row r="23" spans="2:22" x14ac:dyDescent="0.3">
      <c r="B23" s="1" t="s">
        <v>382</v>
      </c>
      <c r="C23" s="1"/>
      <c r="D23" s="1"/>
      <c r="E23" s="225">
        <f ca="1">+Calculation!F362</f>
        <v>65.24721175427031</v>
      </c>
      <c r="F23" s="226"/>
      <c r="G23" s="226"/>
      <c r="H23" s="226"/>
      <c r="I23" s="226"/>
      <c r="J23" s="226"/>
      <c r="K23" s="226"/>
      <c r="L23" s="227">
        <f ca="1">+L21-L22</f>
        <v>-17.970338717521695</v>
      </c>
      <c r="M23" s="227">
        <f t="shared" ref="M23:Q23" ca="1" si="0">+M21-M22</f>
        <v>14.772770628622032</v>
      </c>
      <c r="N23" s="227">
        <f t="shared" ca="1" si="0"/>
        <v>15.89955523640155</v>
      </c>
      <c r="O23" s="227">
        <f t="shared" ca="1" si="0"/>
        <v>19.784996194168365</v>
      </c>
      <c r="P23" s="227">
        <f t="shared" ca="1" si="0"/>
        <v>17.222630664014066</v>
      </c>
      <c r="Q23" s="227">
        <f t="shared" si="0"/>
        <v>15.537597748585995</v>
      </c>
      <c r="R23" s="121"/>
      <c r="S23" s="121"/>
      <c r="T23" s="121"/>
      <c r="U23" s="121"/>
      <c r="V23" s="121"/>
    </row>
    <row r="24" spans="2:22" x14ac:dyDescent="0.3">
      <c r="B24" s="3"/>
      <c r="C24" s="3"/>
      <c r="D24" s="3"/>
      <c r="E24" s="200"/>
      <c r="F24" s="207"/>
      <c r="G24" s="207"/>
      <c r="H24" s="207"/>
      <c r="I24" s="207"/>
      <c r="J24" s="207"/>
      <c r="K24" s="207"/>
      <c r="L24" s="211"/>
      <c r="M24" s="211"/>
      <c r="N24" s="211"/>
      <c r="O24" s="211"/>
      <c r="P24" s="211"/>
      <c r="Q24" s="211"/>
      <c r="R24" s="121"/>
      <c r="S24" s="121"/>
      <c r="T24" s="121"/>
      <c r="U24" s="121"/>
      <c r="V24" s="121"/>
    </row>
    <row r="25" spans="2:22" x14ac:dyDescent="0.3">
      <c r="B25" s="3" t="s">
        <v>371</v>
      </c>
      <c r="C25" s="3"/>
      <c r="D25" s="3"/>
      <c r="E25" s="202"/>
      <c r="F25" s="208">
        <f>+Calculation!G364</f>
        <v>0</v>
      </c>
      <c r="G25" s="208">
        <f>+Calculation!H364</f>
        <v>0</v>
      </c>
      <c r="H25" s="208">
        <f>+Calculation!I364</f>
        <v>0</v>
      </c>
      <c r="I25" s="208">
        <f>+Calculation!J364</f>
        <v>1.1472285256171009</v>
      </c>
      <c r="J25" s="208">
        <f>+Calculation!K364</f>
        <v>0.93508984108931048</v>
      </c>
      <c r="K25" s="208">
        <f>+Calculation!L364</f>
        <v>0.41302210001728445</v>
      </c>
      <c r="L25" s="213">
        <f ca="1">+Calculation!M364</f>
        <v>-0.19985180986995113</v>
      </c>
      <c r="M25" s="213">
        <f ca="1">+Calculation!N364</f>
        <v>-0.1013473286545776</v>
      </c>
      <c r="N25" s="213">
        <f ca="1">+Calculation!O364</f>
        <v>-1.591747480111325E-2</v>
      </c>
      <c r="O25" s="213">
        <f ca="1">+Calculation!P364</f>
        <v>-6.7974604781891615E-2</v>
      </c>
      <c r="P25" s="213">
        <f ca="1">+Calculation!Q364</f>
        <v>-0.12874267236559661</v>
      </c>
      <c r="Q25" s="213">
        <f ca="1">+Calculation!R364</f>
        <v>-0.15409741883141939</v>
      </c>
      <c r="R25" s="121"/>
      <c r="S25" s="121"/>
      <c r="T25" s="121"/>
      <c r="U25" s="121"/>
      <c r="V25" s="121"/>
    </row>
    <row r="26" spans="2:22" x14ac:dyDescent="0.3"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</row>
    <row r="27" spans="2:22" x14ac:dyDescent="0.3"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</row>
    <row r="28" spans="2:22" x14ac:dyDescent="0.3">
      <c r="K28" s="214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XFD364"/>
  <sheetViews>
    <sheetView showGridLines="0" zoomScale="85" zoomScaleNormal="85"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5" customHeight="1" outlineLevelRow="1" x14ac:dyDescent="0.3"/>
  <cols>
    <col min="1" max="2" width="2.125" style="3" customWidth="1"/>
    <col min="3" max="3" width="35.25" style="3" customWidth="1"/>
    <col min="4" max="4" width="26.25" style="3" bestFit="1" customWidth="1"/>
    <col min="5" max="5" width="10.25" style="3" bestFit="1" customWidth="1"/>
    <col min="6" max="6" width="9.75" style="3" bestFit="1" customWidth="1"/>
    <col min="7" max="7" width="10.625" style="3" bestFit="1" customWidth="1"/>
    <col min="8" max="10" width="11.125" style="3" bestFit="1" customWidth="1"/>
    <col min="11" max="11" width="10.25" style="3" bestFit="1" customWidth="1"/>
    <col min="12" max="12" width="10.375" style="3" bestFit="1" customWidth="1"/>
    <col min="13" max="14" width="10.625" style="3" bestFit="1" customWidth="1"/>
    <col min="15" max="15" width="12.75" style="3" bestFit="1" customWidth="1"/>
    <col min="16" max="16" width="12.125" style="3" bestFit="1" customWidth="1"/>
    <col min="17" max="17" width="11" style="3" bestFit="1" customWidth="1"/>
    <col min="18" max="18" width="12.75" style="3" bestFit="1" customWidth="1"/>
    <col min="19" max="19" width="12.125" style="3" bestFit="1" customWidth="1"/>
    <col min="20" max="22" width="10.625" style="3" bestFit="1" customWidth="1"/>
    <col min="23" max="24" width="9.125" style="3" bestFit="1" customWidth="1"/>
    <col min="25" max="25" width="9" style="3"/>
    <col min="26" max="26" width="9" style="3" customWidth="1"/>
    <col min="27" max="16384" width="9" style="3"/>
  </cols>
  <sheetData>
    <row r="2" spans="3:22" ht="15" customHeight="1" x14ac:dyDescent="0.3">
      <c r="C2" s="1"/>
      <c r="D2" s="2"/>
      <c r="E2" s="2"/>
      <c r="F2" s="2"/>
      <c r="G2" s="2"/>
      <c r="H2" s="2"/>
      <c r="I2" s="2"/>
      <c r="J2" s="2"/>
      <c r="K2" s="2"/>
    </row>
    <row r="3" spans="3:22" ht="15" customHeight="1" x14ac:dyDescent="0.3">
      <c r="C3" s="55" t="s">
        <v>66</v>
      </c>
      <c r="D3" s="55"/>
      <c r="E3" s="55"/>
      <c r="F3" s="55"/>
      <c r="G3" s="54" t="s">
        <v>1</v>
      </c>
      <c r="H3" s="54" t="s">
        <v>2</v>
      </c>
      <c r="I3" s="54" t="s">
        <v>3</v>
      </c>
      <c r="J3" s="54" t="s">
        <v>4</v>
      </c>
      <c r="K3" s="54" t="s">
        <v>5</v>
      </c>
      <c r="L3" s="54" t="s">
        <v>6</v>
      </c>
      <c r="M3" s="54" t="s">
        <v>7</v>
      </c>
      <c r="N3" s="54" t="s">
        <v>8</v>
      </c>
      <c r="O3" s="54" t="s">
        <v>62</v>
      </c>
      <c r="P3" s="54" t="s">
        <v>105</v>
      </c>
      <c r="Q3" s="54" t="s">
        <v>103</v>
      </c>
      <c r="R3" s="54" t="s">
        <v>104</v>
      </c>
      <c r="S3" s="54" t="s">
        <v>313</v>
      </c>
      <c r="T3" s="54" t="s">
        <v>314</v>
      </c>
      <c r="U3" s="54" t="s">
        <v>315</v>
      </c>
      <c r="V3" s="54" t="s">
        <v>316</v>
      </c>
    </row>
    <row r="4" spans="3:22" s="52" customFormat="1" ht="15" customHeight="1" x14ac:dyDescent="0.3">
      <c r="C4" s="53" t="s">
        <v>68</v>
      </c>
      <c r="D4" s="53"/>
      <c r="E4" s="53"/>
      <c r="F4" s="53"/>
      <c r="G4" s="56">
        <v>43466</v>
      </c>
      <c r="H4" s="56">
        <f t="shared" ref="H4:R4" si="0">G5+1</f>
        <v>43556</v>
      </c>
      <c r="I4" s="56">
        <f t="shared" si="0"/>
        <v>43647</v>
      </c>
      <c r="J4" s="56">
        <f t="shared" si="0"/>
        <v>43739</v>
      </c>
      <c r="K4" s="56">
        <f t="shared" si="0"/>
        <v>43831</v>
      </c>
      <c r="L4" s="56">
        <f t="shared" si="0"/>
        <v>43922</v>
      </c>
      <c r="M4" s="56">
        <f t="shared" si="0"/>
        <v>44013</v>
      </c>
      <c r="N4" s="56">
        <f t="shared" si="0"/>
        <v>44105</v>
      </c>
      <c r="O4" s="56">
        <f t="shared" si="0"/>
        <v>44197</v>
      </c>
      <c r="P4" s="56">
        <f t="shared" si="0"/>
        <v>44287</v>
      </c>
      <c r="Q4" s="56">
        <f t="shared" si="0"/>
        <v>44378</v>
      </c>
      <c r="R4" s="56">
        <f t="shared" si="0"/>
        <v>44470</v>
      </c>
      <c r="S4" s="56">
        <f t="shared" ref="S4" si="1">R5+1</f>
        <v>44562</v>
      </c>
      <c r="T4" s="56">
        <f t="shared" ref="T4" si="2">S5+1</f>
        <v>44652</v>
      </c>
      <c r="U4" s="56">
        <f t="shared" ref="U4" si="3">T5+1</f>
        <v>44743</v>
      </c>
      <c r="V4" s="56">
        <f t="shared" ref="V4" si="4">U5+1</f>
        <v>44835</v>
      </c>
    </row>
    <row r="5" spans="3:22" s="52" customFormat="1" ht="15" customHeight="1" x14ac:dyDescent="0.3">
      <c r="C5" s="53" t="s">
        <v>67</v>
      </c>
      <c r="D5" s="53"/>
      <c r="E5" s="53"/>
      <c r="F5" s="53"/>
      <c r="G5" s="56">
        <f t="shared" ref="G5:R5" si="5">EOMONTH(G4,2)</f>
        <v>43555</v>
      </c>
      <c r="H5" s="56">
        <f t="shared" si="5"/>
        <v>43646</v>
      </c>
      <c r="I5" s="56">
        <f t="shared" si="5"/>
        <v>43738</v>
      </c>
      <c r="J5" s="56">
        <f t="shared" si="5"/>
        <v>43830</v>
      </c>
      <c r="K5" s="56">
        <f t="shared" si="5"/>
        <v>43921</v>
      </c>
      <c r="L5" s="56">
        <f t="shared" si="5"/>
        <v>44012</v>
      </c>
      <c r="M5" s="56">
        <f t="shared" si="5"/>
        <v>44104</v>
      </c>
      <c r="N5" s="56">
        <f t="shared" si="5"/>
        <v>44196</v>
      </c>
      <c r="O5" s="56">
        <f t="shared" si="5"/>
        <v>44286</v>
      </c>
      <c r="P5" s="56">
        <f t="shared" si="5"/>
        <v>44377</v>
      </c>
      <c r="Q5" s="56">
        <f t="shared" si="5"/>
        <v>44469</v>
      </c>
      <c r="R5" s="56">
        <f t="shared" si="5"/>
        <v>44561</v>
      </c>
      <c r="S5" s="56">
        <f t="shared" ref="S5:V5" si="6">EOMONTH(S4,2)</f>
        <v>44651</v>
      </c>
      <c r="T5" s="56">
        <f t="shared" si="6"/>
        <v>44742</v>
      </c>
      <c r="U5" s="56">
        <f t="shared" si="6"/>
        <v>44834</v>
      </c>
      <c r="V5" s="56">
        <f t="shared" si="6"/>
        <v>44926</v>
      </c>
    </row>
    <row r="6" spans="3:22" s="52" customFormat="1" ht="15" customHeight="1" x14ac:dyDescent="0.3">
      <c r="C6" s="53"/>
      <c r="D6" s="144" t="s">
        <v>126</v>
      </c>
      <c r="E6" s="53"/>
      <c r="F6" s="53"/>
      <c r="G6" s="54"/>
      <c r="H6" s="54"/>
      <c r="I6" s="54"/>
      <c r="J6" s="54"/>
      <c r="K6" s="54"/>
      <c r="L6" s="54"/>
      <c r="M6" s="54"/>
      <c r="N6" s="54"/>
    </row>
    <row r="7" spans="3:22" s="52" customFormat="1" ht="15" customHeight="1" x14ac:dyDescent="0.3">
      <c r="C7" s="53"/>
      <c r="D7" s="56" t="s">
        <v>212</v>
      </c>
      <c r="E7" s="53"/>
      <c r="F7" s="53"/>
      <c r="G7" s="54">
        <v>1</v>
      </c>
      <c r="H7" s="54">
        <v>1</v>
      </c>
      <c r="I7" s="54">
        <v>1</v>
      </c>
      <c r="J7" s="54">
        <v>1</v>
      </c>
      <c r="K7" s="54">
        <v>0</v>
      </c>
      <c r="L7" s="54">
        <v>0</v>
      </c>
      <c r="M7" s="54">
        <v>0</v>
      </c>
      <c r="N7" s="54">
        <v>0</v>
      </c>
      <c r="O7" s="54">
        <f>IF(D11=O3,1,0)</f>
        <v>0</v>
      </c>
      <c r="P7" s="54">
        <f>IF(O7=1,1,IF(D11=P3,1,0))</f>
        <v>0</v>
      </c>
      <c r="Q7" s="54">
        <f>IF(P7=1,1,IF(D11=Q3,1,0))</f>
        <v>0</v>
      </c>
      <c r="R7" s="54">
        <f>IF(Q7=1,1,IF(D11=R3,1,0))</f>
        <v>0</v>
      </c>
    </row>
    <row r="8" spans="3:22" s="52" customFormat="1" ht="15" customHeight="1" x14ac:dyDescent="0.3">
      <c r="C8" s="53"/>
      <c r="E8" s="53"/>
      <c r="F8" s="54" t="s">
        <v>114</v>
      </c>
      <c r="G8" s="54"/>
      <c r="H8" s="54"/>
      <c r="I8" s="54"/>
      <c r="J8" s="54"/>
      <c r="K8" s="54"/>
      <c r="L8" s="54"/>
      <c r="M8" s="54"/>
      <c r="N8" s="54"/>
    </row>
    <row r="9" spans="3:22" s="52" customFormat="1" ht="15" customHeight="1" x14ac:dyDescent="0.3">
      <c r="C9" s="156" t="s">
        <v>326</v>
      </c>
      <c r="E9" s="53"/>
      <c r="F9" s="54"/>
      <c r="G9" s="54"/>
      <c r="H9" s="54"/>
      <c r="I9" s="54"/>
      <c r="J9" s="54"/>
      <c r="K9" s="54"/>
      <c r="L9" s="54"/>
      <c r="M9" s="54"/>
      <c r="N9" s="54"/>
    </row>
    <row r="10" spans="3:22" s="52" customFormat="1" ht="15" customHeight="1" thickBot="1" x14ac:dyDescent="0.35">
      <c r="C10" s="166" t="s">
        <v>358</v>
      </c>
      <c r="E10" s="53"/>
      <c r="F10" s="54"/>
      <c r="G10" s="54"/>
      <c r="H10" s="54"/>
      <c r="I10" s="54"/>
      <c r="J10" s="54"/>
      <c r="K10" s="54"/>
      <c r="L10" s="54"/>
      <c r="M10" s="54"/>
      <c r="N10" s="54"/>
    </row>
    <row r="11" spans="3:22" ht="15" customHeight="1" thickBot="1" x14ac:dyDescent="0.35">
      <c r="C11" s="75" t="s">
        <v>127</v>
      </c>
      <c r="D11" s="203" t="s">
        <v>361</v>
      </c>
      <c r="E11" s="75"/>
      <c r="F11" s="120">
        <f>SUM(G11:R11)</f>
        <v>10570.01659857133</v>
      </c>
      <c r="G11" s="76">
        <v>640</v>
      </c>
      <c r="H11" s="76">
        <v>898</v>
      </c>
      <c r="I11" s="76">
        <v>989</v>
      </c>
      <c r="J11" s="76">
        <v>918</v>
      </c>
      <c r="K11" s="76">
        <v>684</v>
      </c>
      <c r="L11" s="76">
        <v>957</v>
      </c>
      <c r="M11" s="76">
        <f>'Assumptions &amp; Input'!F177</f>
        <v>975.28927911275423</v>
      </c>
      <c r="N11" s="76">
        <f>'Assumptions &amp; Input'!G177</f>
        <v>946.21902017291075</v>
      </c>
      <c r="O11" s="124">
        <f>INDEX('Assumptions &amp; Input'!$H$177:$K$178,O7+1,MATCH(O3,'Assumptions &amp; Input'!$H$172:$K$172,0))</f>
        <v>684</v>
      </c>
      <c r="P11" s="124">
        <f>INDEX('Assumptions &amp; Input'!$H$177:$K$178,P7+1,MATCH(P3,'Assumptions &amp; Input'!$H$172:$K$172,0))</f>
        <v>957</v>
      </c>
      <c r="Q11" s="124">
        <f>INDEX('Assumptions &amp; Input'!$H$177:$K$178,Q7+1,MATCH(Q3,'Assumptions &amp; Input'!$H$172:$K$172,0))</f>
        <v>975.28927911275423</v>
      </c>
      <c r="R11" s="124">
        <f>INDEX('Assumptions &amp; Input'!$H$177:$K$178,R7+1,MATCH(R3,'Assumptions &amp; Input'!$H$172:$K$172,0))</f>
        <v>946.21902017291075</v>
      </c>
    </row>
    <row r="12" spans="3:22" ht="15" customHeight="1" x14ac:dyDescent="0.3">
      <c r="C12" s="79" t="s">
        <v>128</v>
      </c>
      <c r="D12" s="54" t="str">
        <f>D11</f>
        <v>2021년 이후</v>
      </c>
      <c r="E12" s="79"/>
      <c r="F12" s="120">
        <f t="shared" ref="F12:F28" si="7">SUM(G12:R12)</f>
        <v>295.07052147534739</v>
      </c>
      <c r="G12" s="76">
        <v>38.450000000000003</v>
      </c>
      <c r="H12" s="76">
        <v>50.72</v>
      </c>
      <c r="I12" s="76">
        <v>50.98</v>
      </c>
      <c r="J12" s="76">
        <v>22.56</v>
      </c>
      <c r="K12" s="76">
        <v>13.84</v>
      </c>
      <c r="L12" s="76">
        <v>15.64</v>
      </c>
      <c r="M12" s="76">
        <f>+M14*AVERAGE('예산대비 실적'!F25:I25)</f>
        <v>18.860234105300599</v>
      </c>
      <c r="N12" s="76">
        <f>+N14*AVERAGE('예산대비 실적'!G25:J25)</f>
        <v>17.71664225445668</v>
      </c>
      <c r="O12" s="124">
        <f>+O14*AVERAGE('예산대비 실적'!H25:K25)</f>
        <v>14.429168590436657</v>
      </c>
      <c r="P12" s="124">
        <f>+P14*AVERAGE('예산대비 실적'!I25:L25)</f>
        <v>15.349724204027519</v>
      </c>
      <c r="Q12" s="124">
        <f>+Q14*AVERAGE('예산대비 실적'!J25:M25)</f>
        <v>18.718274765288243</v>
      </c>
      <c r="R12" s="124">
        <f>+R14*AVERAGE('예산대비 실적'!K25:N25)</f>
        <v>17.806477555837699</v>
      </c>
    </row>
    <row r="13" spans="3:22" ht="15" customHeight="1" x14ac:dyDescent="0.3">
      <c r="C13" s="79" t="s">
        <v>9</v>
      </c>
      <c r="D13" s="54" t="str">
        <f>D12</f>
        <v>2021년 이후</v>
      </c>
      <c r="E13" s="79"/>
      <c r="F13" s="120">
        <f t="shared" si="7"/>
        <v>27.479999999999997</v>
      </c>
      <c r="G13" s="76">
        <v>2.86</v>
      </c>
      <c r="H13" s="76">
        <v>2.4700000000000002</v>
      </c>
      <c r="I13" s="76">
        <v>2.2599999999999998</v>
      </c>
      <c r="J13" s="76">
        <v>2.2400000000000002</v>
      </c>
      <c r="K13" s="76">
        <v>1.82</v>
      </c>
      <c r="L13" s="76">
        <v>1.64</v>
      </c>
      <c r="M13" s="76">
        <f>'Assumptions &amp; Input'!F183</f>
        <v>2</v>
      </c>
      <c r="N13" s="76">
        <f>'Assumptions &amp; Input'!G183</f>
        <v>2.2999999999999998</v>
      </c>
      <c r="O13" s="124">
        <f>INDEX('Assumptions &amp; Input'!$H$183:$K$184,O7+1,MATCH(O3,'Assumptions &amp; Input'!$H$172:$K$172,0))</f>
        <v>2.64</v>
      </c>
      <c r="P13" s="124">
        <f>INDEX('Assumptions &amp; Input'!$H$183:$K$184,P7+1,MATCH(P3,'Assumptions &amp; Input'!$H$172:$K$172,0))</f>
        <v>2.4</v>
      </c>
      <c r="Q13" s="124">
        <f>INDEX('Assumptions &amp; Input'!$H$183:$K$184,Q7+1,MATCH(Q3,'Assumptions &amp; Input'!$H$172:$K$172,0))</f>
        <v>2.36</v>
      </c>
      <c r="R13" s="124">
        <f>INDEX('Assumptions &amp; Input'!$H$183:$K$184,IF(Calculation!$D13=0,2,1),MATCH(R3,'Assumptions &amp; Input'!$H$172:$K$172,0))</f>
        <v>2.4900000000000002</v>
      </c>
    </row>
    <row r="14" spans="3:22" ht="15" customHeight="1" x14ac:dyDescent="0.3">
      <c r="C14" s="79" t="s">
        <v>130</v>
      </c>
      <c r="D14" s="54" t="str">
        <f>D13</f>
        <v>2021년 이후</v>
      </c>
      <c r="E14" s="79"/>
      <c r="F14" s="120">
        <f t="shared" si="7"/>
        <v>325.32500000000005</v>
      </c>
      <c r="G14" s="76">
        <v>41.51</v>
      </c>
      <c r="H14" s="76">
        <v>53.9</v>
      </c>
      <c r="I14" s="76">
        <v>54.08</v>
      </c>
      <c r="J14" s="76">
        <v>25.84</v>
      </c>
      <c r="K14" s="76">
        <v>16.399999999999999</v>
      </c>
      <c r="L14" s="76">
        <v>17.27</v>
      </c>
      <c r="M14" s="76">
        <v>21.16</v>
      </c>
      <c r="N14" s="76">
        <f>AVERAGE(J14:M14)</f>
        <v>20.167499999999997</v>
      </c>
      <c r="O14" s="124">
        <f>INDEX('Assumptions &amp; Input'!$H$180:$K$181,O7+1,MATCH(O3,'Assumptions &amp; Input'!$H$172:$K$172,0))</f>
        <v>16.399999999999999</v>
      </c>
      <c r="P14" s="124">
        <f>INDEX('Assumptions &amp; Input'!$H$180:$K$181,P7+1,MATCH(P3,'Assumptions &amp; Input'!$H$172:$K$172,0))</f>
        <v>17.27</v>
      </c>
      <c r="Q14" s="124">
        <f>INDEX('Assumptions &amp; Input'!$H$180:$K$181,Q7+1,MATCH(Q3,'Assumptions &amp; Input'!$H$172:$K$172,0))</f>
        <v>21.16</v>
      </c>
      <c r="R14" s="124">
        <f>INDEX('Assumptions &amp; Input'!$H$180:$K$181,R7+1,MATCH(R3,'Assumptions &amp; Input'!$H$172:$K$172,0))</f>
        <v>20.167499999999997</v>
      </c>
    </row>
    <row r="15" spans="3:22" ht="15" customHeight="1" x14ac:dyDescent="0.3">
      <c r="C15" s="75" t="s">
        <v>10</v>
      </c>
      <c r="D15" s="54" t="str">
        <f>D14</f>
        <v>2021년 이후</v>
      </c>
      <c r="E15" s="75"/>
      <c r="F15" s="120">
        <f t="shared" si="7"/>
        <v>264.4218058260235</v>
      </c>
      <c r="G15" s="76">
        <v>23.5</v>
      </c>
      <c r="H15" s="76">
        <v>45.4</v>
      </c>
      <c r="I15" s="76">
        <v>51.1</v>
      </c>
      <c r="J15" s="76">
        <v>25.1</v>
      </c>
      <c r="K15" s="76">
        <v>9.5</v>
      </c>
      <c r="L15" s="76">
        <v>15</v>
      </c>
      <c r="M15" s="76">
        <f t="shared" ref="M15:R15" si="8">+M11*M12/1000</f>
        <v>18.394184124456402</v>
      </c>
      <c r="N15" s="76">
        <f t="shared" si="8"/>
        <v>16.76382387476599</v>
      </c>
      <c r="O15" s="76">
        <f t="shared" si="8"/>
        <v>9.8695513158586721</v>
      </c>
      <c r="P15" s="76">
        <f>+P11*P12/1000</f>
        <v>14.689686063254335</v>
      </c>
      <c r="Q15" s="76">
        <f t="shared" si="8"/>
        <v>18.255732702072429</v>
      </c>
      <c r="R15" s="76">
        <f t="shared" si="8"/>
        <v>16.848827745615672</v>
      </c>
    </row>
    <row r="16" spans="3:22" ht="15" customHeight="1" x14ac:dyDescent="0.3">
      <c r="C16" s="77" t="s">
        <v>131</v>
      </c>
      <c r="D16" s="54" t="str">
        <f>D15</f>
        <v>2021년 이후</v>
      </c>
      <c r="E16" s="77"/>
      <c r="F16" s="120">
        <f t="shared" si="7"/>
        <v>-172.81149197818149</v>
      </c>
      <c r="G16" s="76">
        <v>-13.6</v>
      </c>
      <c r="H16" s="76">
        <v>-16.100000000000001</v>
      </c>
      <c r="I16" s="76">
        <v>-16.7</v>
      </c>
      <c r="J16" s="76">
        <v>-14.9</v>
      </c>
      <c r="K16" s="76">
        <v>-8.8000000000000007</v>
      </c>
      <c r="L16" s="76">
        <v>-11.4</v>
      </c>
      <c r="M16" s="76">
        <f>-(7563114/1067)*M11*M13/1000000</f>
        <v>-13.826099345656194</v>
      </c>
      <c r="N16" s="76">
        <f>-(7510079/1073)*N11*N13/1000000</f>
        <v>-15.232258213832852</v>
      </c>
      <c r="O16" s="76">
        <f>-INDEX('Assumptions &amp; Input'!$H$186:$K$187,O7+1,MATCH(O3,'Assumptions &amp; Input'!$H$172:$K$172,0))*O13/1000</f>
        <v>-12.764835164835166</v>
      </c>
      <c r="P16" s="76">
        <f>-INDEX('Assumptions &amp; Input'!$H$186:$K$187,P7+1,MATCH(P3,'Assumptions &amp; Input'!$H$172:$K$172,0))*P13/1000</f>
        <v>-16.682926829268293</v>
      </c>
      <c r="Q16" s="76">
        <f>-INDEX('Assumptions &amp; Input'!$H$186:$K$187,Q7+1,MATCH(Q3,'Assumptions &amp; Input'!$H$172:$K$172,0))*Q13/1000</f>
        <v>-16.314797227874308</v>
      </c>
      <c r="R16" s="76">
        <f>-INDEX('Assumptions &amp; Input'!$H$186:$K$187,R7+1,MATCH(R3,'Assumptions &amp; Input'!$H$172:$K$172,0))*R13/1000</f>
        <v>-16.490575196714698</v>
      </c>
    </row>
    <row r="17" spans="3:20" ht="15" customHeight="1" x14ac:dyDescent="0.3">
      <c r="C17" s="77" t="s">
        <v>11</v>
      </c>
      <c r="D17" s="77"/>
      <c r="E17" s="77"/>
      <c r="F17" s="120">
        <f t="shared" si="7"/>
        <v>91.610313847841994</v>
      </c>
      <c r="G17" s="78">
        <f>SUM(G15:G16)</f>
        <v>9.9</v>
      </c>
      <c r="H17" s="78">
        <f t="shared" ref="H17:R17" si="9">+H15+H16</f>
        <v>29.299999999999997</v>
      </c>
      <c r="I17" s="78">
        <f t="shared" si="9"/>
        <v>34.400000000000006</v>
      </c>
      <c r="J17" s="78">
        <f t="shared" si="9"/>
        <v>10.200000000000001</v>
      </c>
      <c r="K17" s="78">
        <f t="shared" si="9"/>
        <v>0.69999999999999929</v>
      </c>
      <c r="L17" s="78">
        <f t="shared" si="9"/>
        <v>3.5999999999999996</v>
      </c>
      <c r="M17" s="78">
        <f t="shared" si="9"/>
        <v>4.5680847788002072</v>
      </c>
      <c r="N17" s="78">
        <f t="shared" si="9"/>
        <v>1.5315656609331381</v>
      </c>
      <c r="O17" s="78">
        <f t="shared" si="9"/>
        <v>-2.8952838489764936</v>
      </c>
      <c r="P17" s="78">
        <f>+P15+P16</f>
        <v>-1.9932407660139582</v>
      </c>
      <c r="Q17" s="78">
        <f t="shared" si="9"/>
        <v>1.9409354741981204</v>
      </c>
      <c r="R17" s="78">
        <f t="shared" si="9"/>
        <v>0.35825254890097469</v>
      </c>
    </row>
    <row r="18" spans="3:20" ht="15" customHeight="1" x14ac:dyDescent="0.3">
      <c r="C18" s="77" t="s">
        <v>12</v>
      </c>
      <c r="D18" s="54"/>
      <c r="E18" s="77"/>
      <c r="F18" s="120">
        <f t="shared" si="7"/>
        <v>-6.4280761718750004</v>
      </c>
      <c r="G18" s="78">
        <v>-0.4</v>
      </c>
      <c r="H18" s="78">
        <v>-0.5</v>
      </c>
      <c r="I18" s="78">
        <v>-0.6</v>
      </c>
      <c r="J18" s="78">
        <v>-0.5</v>
      </c>
      <c r="K18" s="78">
        <v>-0.4</v>
      </c>
      <c r="L18" s="78">
        <v>-0.7</v>
      </c>
      <c r="M18" s="78">
        <f>'Assumptions &amp; Input'!F189</f>
        <v>-0.55000000000000004</v>
      </c>
      <c r="N18" s="78">
        <f>'Assumptions &amp; Input'!G189</f>
        <v>-0.53750000000000009</v>
      </c>
      <c r="O18" s="78">
        <f>'Assumptions &amp; Input'!H189</f>
        <v>-0.546875</v>
      </c>
      <c r="P18" s="78">
        <f>'Assumptions &amp; Input'!I189</f>
        <v>-0.58359375000000002</v>
      </c>
      <c r="Q18" s="78">
        <f>'Assumptions &amp; Input'!J189</f>
        <v>-0.55449218750000007</v>
      </c>
      <c r="R18" s="78">
        <f>'Assumptions &amp; Input'!K189</f>
        <v>-0.55561523437500004</v>
      </c>
    </row>
    <row r="19" spans="3:20" ht="15" customHeight="1" x14ac:dyDescent="0.3">
      <c r="C19" s="77" t="s">
        <v>13</v>
      </c>
      <c r="D19" s="77"/>
      <c r="E19" s="77"/>
      <c r="F19" s="120">
        <f t="shared" si="7"/>
        <v>85.182237675966988</v>
      </c>
      <c r="G19" s="78">
        <f t="shared" ref="G19:R19" si="10">+G17+G18</f>
        <v>9.5</v>
      </c>
      <c r="H19" s="78">
        <f t="shared" si="10"/>
        <v>28.799999999999997</v>
      </c>
      <c r="I19" s="78">
        <f t="shared" si="10"/>
        <v>33.800000000000004</v>
      </c>
      <c r="J19" s="78">
        <f t="shared" si="10"/>
        <v>9.7000000000000011</v>
      </c>
      <c r="K19" s="78">
        <f t="shared" si="10"/>
        <v>0.29999999999999927</v>
      </c>
      <c r="L19" s="78">
        <f t="shared" si="10"/>
        <v>2.8999999999999995</v>
      </c>
      <c r="M19" s="78">
        <f t="shared" si="10"/>
        <v>4.0180847788002074</v>
      </c>
      <c r="N19" s="78">
        <f t="shared" si="10"/>
        <v>0.99406566093313797</v>
      </c>
      <c r="O19" s="78">
        <f t="shared" si="10"/>
        <v>-3.4421588489764936</v>
      </c>
      <c r="P19" s="78">
        <f>+P17+P18</f>
        <v>-2.5768345160139581</v>
      </c>
      <c r="Q19" s="78">
        <f t="shared" si="10"/>
        <v>1.3864432866981202</v>
      </c>
      <c r="R19" s="78">
        <f t="shared" si="10"/>
        <v>-0.19736268547402536</v>
      </c>
    </row>
    <row r="20" spans="3:20" ht="15" customHeight="1" x14ac:dyDescent="0.3">
      <c r="C20" s="77" t="s">
        <v>14</v>
      </c>
      <c r="D20" s="77"/>
      <c r="E20" s="77"/>
      <c r="F20" s="120">
        <f t="shared" si="7"/>
        <v>34.999999999999993</v>
      </c>
      <c r="G20" s="78">
        <v>3</v>
      </c>
      <c r="H20" s="78">
        <v>3</v>
      </c>
      <c r="I20" s="78">
        <v>2.9</v>
      </c>
      <c r="J20" s="78">
        <v>2.9</v>
      </c>
      <c r="K20" s="78">
        <v>2.9</v>
      </c>
      <c r="L20" s="78">
        <v>2.9</v>
      </c>
      <c r="M20" s="78">
        <f>+AVERAGE(I20:L20)</f>
        <v>2.9</v>
      </c>
      <c r="N20" s="78">
        <f>+AVERAGE(J20:M20)</f>
        <v>2.9</v>
      </c>
      <c r="O20" s="78">
        <f t="shared" ref="O20:R23" si="11">+AVERAGE(K20:N20)</f>
        <v>2.9</v>
      </c>
      <c r="P20" s="78">
        <f>+AVERAGE(L20:O20)</f>
        <v>2.9</v>
      </c>
      <c r="Q20" s="78">
        <f t="shared" si="11"/>
        <v>2.9</v>
      </c>
      <c r="R20" s="78">
        <f t="shared" si="11"/>
        <v>2.9</v>
      </c>
    </row>
    <row r="21" spans="3:20" ht="15" customHeight="1" x14ac:dyDescent="0.3">
      <c r="C21" s="77" t="s">
        <v>15</v>
      </c>
      <c r="D21" s="77"/>
      <c r="E21" s="77"/>
      <c r="F21" s="120">
        <f t="shared" si="7"/>
        <v>27.048095703125</v>
      </c>
      <c r="G21" s="78">
        <v>1.3</v>
      </c>
      <c r="H21" s="78">
        <v>3.7</v>
      </c>
      <c r="I21" s="78">
        <v>5.4</v>
      </c>
      <c r="J21" s="78">
        <v>3.7</v>
      </c>
      <c r="K21" s="78">
        <v>1.2</v>
      </c>
      <c r="L21" s="78">
        <v>0.3</v>
      </c>
      <c r="M21" s="78">
        <f t="shared" ref="M21:N23" si="12">+AVERAGE(I21:L21)</f>
        <v>2.6500000000000004</v>
      </c>
      <c r="N21" s="78">
        <f t="shared" si="12"/>
        <v>1.9625000000000001</v>
      </c>
      <c r="O21" s="78">
        <f t="shared" si="11"/>
        <v>1.5281250000000002</v>
      </c>
      <c r="P21" s="78">
        <f t="shared" si="11"/>
        <v>1.6101562500000002</v>
      </c>
      <c r="Q21" s="78">
        <f t="shared" si="11"/>
        <v>1.9376953125000003</v>
      </c>
      <c r="R21" s="78">
        <f t="shared" si="11"/>
        <v>1.7596191406250004</v>
      </c>
    </row>
    <row r="22" spans="3:20" ht="15" customHeight="1" x14ac:dyDescent="0.3">
      <c r="C22" s="77" t="s">
        <v>16</v>
      </c>
      <c r="D22" s="77"/>
      <c r="E22" s="77"/>
      <c r="F22" s="120">
        <f t="shared" si="7"/>
        <v>0.47990722656250007</v>
      </c>
      <c r="G22" s="78">
        <v>0.2</v>
      </c>
      <c r="H22" s="78">
        <v>0</v>
      </c>
      <c r="I22" s="78">
        <v>0</v>
      </c>
      <c r="J22" s="78">
        <v>0</v>
      </c>
      <c r="K22" s="78">
        <v>0.1</v>
      </c>
      <c r="L22" s="78">
        <v>0</v>
      </c>
      <c r="M22" s="78">
        <f t="shared" si="12"/>
        <v>2.5000000000000001E-2</v>
      </c>
      <c r="N22" s="78">
        <f t="shared" si="12"/>
        <v>3.125E-2</v>
      </c>
      <c r="O22" s="78">
        <f t="shared" si="11"/>
        <v>3.90625E-2</v>
      </c>
      <c r="P22" s="78">
        <f t="shared" si="11"/>
        <v>2.3828124999999999E-2</v>
      </c>
      <c r="Q22" s="78">
        <f t="shared" si="11"/>
        <v>2.978515625E-2</v>
      </c>
      <c r="R22" s="78">
        <f t="shared" si="11"/>
        <v>3.0981445312500001E-2</v>
      </c>
    </row>
    <row r="23" spans="3:20" ht="15" customHeight="1" x14ac:dyDescent="0.3">
      <c r="C23" s="77" t="s">
        <v>17</v>
      </c>
      <c r="D23" s="77"/>
      <c r="E23" s="77"/>
      <c r="F23" s="120">
        <f t="shared" si="7"/>
        <v>-12.920092773437499</v>
      </c>
      <c r="G23" s="78">
        <v>-1.1000000000000001</v>
      </c>
      <c r="H23" s="78">
        <v>-1.1000000000000001</v>
      </c>
      <c r="I23" s="78">
        <v>-1.1000000000000001</v>
      </c>
      <c r="J23" s="78">
        <v>-1.1000000000000001</v>
      </c>
      <c r="K23" s="78">
        <v>-1</v>
      </c>
      <c r="L23" s="78">
        <v>-1.1000000000000001</v>
      </c>
      <c r="M23" s="78">
        <f t="shared" si="12"/>
        <v>-1.0750000000000002</v>
      </c>
      <c r="N23" s="78">
        <f t="shared" si="12"/>
        <v>-1.0687500000000001</v>
      </c>
      <c r="O23" s="78">
        <f t="shared" si="11"/>
        <v>-1.0609375000000001</v>
      </c>
      <c r="P23" s="78">
        <f t="shared" si="11"/>
        <v>-1.076171875</v>
      </c>
      <c r="Q23" s="78">
        <f t="shared" si="11"/>
        <v>-1.0702148437500001</v>
      </c>
      <c r="R23" s="78">
        <f t="shared" si="11"/>
        <v>-1.0690185546875002</v>
      </c>
    </row>
    <row r="24" spans="3:20" ht="15" customHeight="1" x14ac:dyDescent="0.3">
      <c r="C24" s="77" t="s">
        <v>18</v>
      </c>
      <c r="D24" s="77"/>
      <c r="E24" s="77"/>
      <c r="F24" s="120">
        <f t="shared" si="7"/>
        <v>134.790147832217</v>
      </c>
      <c r="G24" s="78">
        <f t="shared" ref="G24:M24" si="13">SUM(G19:G23)</f>
        <v>12.9</v>
      </c>
      <c r="H24" s="78">
        <f t="shared" si="13"/>
        <v>34.4</v>
      </c>
      <c r="I24" s="78">
        <f t="shared" si="13"/>
        <v>41</v>
      </c>
      <c r="J24" s="78">
        <f t="shared" si="13"/>
        <v>15.200000000000001</v>
      </c>
      <c r="K24" s="78">
        <f t="shared" si="13"/>
        <v>3.4999999999999991</v>
      </c>
      <c r="L24" s="78">
        <f t="shared" si="13"/>
        <v>4.9999999999999982</v>
      </c>
      <c r="M24" s="78">
        <f t="shared" si="13"/>
        <v>8.5180847788002083</v>
      </c>
      <c r="N24" s="78">
        <f>SUM(N19:N23)</f>
        <v>4.8190656609331377</v>
      </c>
      <c r="O24" s="78">
        <f>SUM(O19:O23)</f>
        <v>-3.5908848976493601E-2</v>
      </c>
      <c r="P24" s="78">
        <f>SUM(P19:P23)</f>
        <v>0.8809779839860421</v>
      </c>
      <c r="Q24" s="78">
        <f>SUM(Q19:Q23)</f>
        <v>5.1837089116981208</v>
      </c>
      <c r="R24" s="78">
        <f>SUM(R19:R23)</f>
        <v>3.4242193457759749</v>
      </c>
    </row>
    <row r="25" spans="3:20" ht="15" customHeight="1" x14ac:dyDescent="0.3">
      <c r="C25" s="77" t="s">
        <v>19</v>
      </c>
      <c r="D25" s="77"/>
      <c r="E25" s="77"/>
      <c r="F25" s="120">
        <f t="shared" si="7"/>
        <v>-52.647875976562496</v>
      </c>
      <c r="G25" s="78">
        <v>-3.9</v>
      </c>
      <c r="H25" s="78">
        <v>-3.8</v>
      </c>
      <c r="I25" s="78">
        <v>-4.5</v>
      </c>
      <c r="J25" s="78">
        <v>-5.0999999999999996</v>
      </c>
      <c r="K25" s="78">
        <v>-4.0999999999999996</v>
      </c>
      <c r="L25" s="78">
        <v>-4.4000000000000004</v>
      </c>
      <c r="M25" s="78">
        <f t="shared" ref="M25:R25" si="14">+AVERAGE(I25:L25)</f>
        <v>-4.5250000000000004</v>
      </c>
      <c r="N25" s="78">
        <f t="shared" si="14"/>
        <v>-4.53125</v>
      </c>
      <c r="O25" s="78">
        <f t="shared" si="14"/>
        <v>-4.3890624999999996</v>
      </c>
      <c r="P25" s="78">
        <f t="shared" si="14"/>
        <v>-4.4613281249999996</v>
      </c>
      <c r="Q25" s="78">
        <f t="shared" si="14"/>
        <v>-4.4766601562500004</v>
      </c>
      <c r="R25" s="78">
        <f t="shared" si="14"/>
        <v>-4.4645751953125004</v>
      </c>
    </row>
    <row r="26" spans="3:20" ht="15" customHeight="1" x14ac:dyDescent="0.3">
      <c r="C26" s="77" t="s">
        <v>20</v>
      </c>
      <c r="D26" s="77"/>
      <c r="E26" s="77"/>
      <c r="F26" s="120">
        <f t="shared" si="7"/>
        <v>82.142271855654485</v>
      </c>
      <c r="G26" s="78">
        <f t="shared" ref="G26:M26" si="15">+G24+G25</f>
        <v>9</v>
      </c>
      <c r="H26" s="78">
        <f t="shared" si="15"/>
        <v>30.599999999999998</v>
      </c>
      <c r="I26" s="78">
        <f t="shared" si="15"/>
        <v>36.5</v>
      </c>
      <c r="J26" s="78">
        <f t="shared" si="15"/>
        <v>10.100000000000001</v>
      </c>
      <c r="K26" s="78">
        <f t="shared" si="15"/>
        <v>-0.60000000000000053</v>
      </c>
      <c r="L26" s="78">
        <f t="shared" si="15"/>
        <v>0.59999999999999787</v>
      </c>
      <c r="M26" s="78">
        <f t="shared" si="15"/>
        <v>3.993084778800208</v>
      </c>
      <c r="N26" s="78">
        <f>+N24+N25</f>
        <v>0.28781566093313771</v>
      </c>
      <c r="O26" s="78">
        <f>+O24+O25</f>
        <v>-4.4249713489764932</v>
      </c>
      <c r="P26" s="78">
        <f>+P24+P25</f>
        <v>-3.5803501410139575</v>
      </c>
      <c r="Q26" s="78">
        <f>+Q24+Q25</f>
        <v>0.7070487554481204</v>
      </c>
      <c r="R26" s="78">
        <f>+R24+R25</f>
        <v>-1.0403558495365255</v>
      </c>
    </row>
    <row r="27" spans="3:20" ht="15" customHeight="1" x14ac:dyDescent="0.3">
      <c r="C27" s="77" t="s">
        <v>21</v>
      </c>
      <c r="D27" s="77"/>
      <c r="E27" s="77"/>
      <c r="F27" s="120">
        <f t="shared" si="7"/>
        <v>-26.1</v>
      </c>
      <c r="G27" s="78">
        <v>0</v>
      </c>
      <c r="H27" s="78">
        <v>-1.1000000000000001</v>
      </c>
      <c r="I27" s="78">
        <v>-1.4</v>
      </c>
      <c r="J27" s="78">
        <v>-14.3</v>
      </c>
      <c r="K27" s="78">
        <v>-8</v>
      </c>
      <c r="L27" s="78">
        <v>-1.3</v>
      </c>
      <c r="M27" s="78">
        <v>0</v>
      </c>
      <c r="N27" s="78">
        <v>0</v>
      </c>
      <c r="O27" s="3">
        <v>0</v>
      </c>
      <c r="P27" s="3">
        <v>0</v>
      </c>
      <c r="Q27" s="3">
        <v>0</v>
      </c>
      <c r="R27" s="3">
        <v>0</v>
      </c>
    </row>
    <row r="28" spans="3:20" s="168" customFormat="1" ht="15" customHeight="1" x14ac:dyDescent="0.3">
      <c r="C28" s="52" t="s">
        <v>22</v>
      </c>
      <c r="D28" s="52"/>
      <c r="E28" s="52"/>
      <c r="F28" s="184">
        <f t="shared" si="7"/>
        <v>56.042271855654469</v>
      </c>
      <c r="G28" s="78">
        <f t="shared" ref="G28:L28" si="16">+G26+G27</f>
        <v>9</v>
      </c>
      <c r="H28" s="78">
        <f t="shared" si="16"/>
        <v>29.499999999999996</v>
      </c>
      <c r="I28" s="78">
        <f t="shared" si="16"/>
        <v>35.1</v>
      </c>
      <c r="J28" s="78">
        <f t="shared" si="16"/>
        <v>-4.1999999999999993</v>
      </c>
      <c r="K28" s="78">
        <f t="shared" si="16"/>
        <v>-8.6000000000000014</v>
      </c>
      <c r="L28" s="78">
        <f t="shared" si="16"/>
        <v>-0.70000000000000218</v>
      </c>
      <c r="M28" s="78">
        <f t="shared" ref="M28:R28" si="17">+M26+M27</f>
        <v>3.993084778800208</v>
      </c>
      <c r="N28" s="78">
        <f t="shared" si="17"/>
        <v>0.28781566093313771</v>
      </c>
      <c r="O28" s="78">
        <f t="shared" si="17"/>
        <v>-4.4249713489764932</v>
      </c>
      <c r="P28" s="78">
        <f t="shared" si="17"/>
        <v>-3.5803501410139575</v>
      </c>
      <c r="Q28" s="78">
        <f t="shared" si="17"/>
        <v>0.7070487554481204</v>
      </c>
      <c r="R28" s="78">
        <f t="shared" si="17"/>
        <v>-1.0403558495365255</v>
      </c>
    </row>
    <row r="29" spans="3:20" ht="15" customHeight="1" x14ac:dyDescent="0.3">
      <c r="I29" s="2"/>
      <c r="J29" s="2"/>
      <c r="K29" s="2"/>
      <c r="L29" s="2"/>
      <c r="M29" s="42"/>
      <c r="N29" s="42"/>
      <c r="R29" s="42"/>
      <c r="S29" s="42"/>
      <c r="T29" s="42"/>
    </row>
    <row r="30" spans="3:20" ht="15" customHeight="1" x14ac:dyDescent="0.3">
      <c r="C30" s="1" t="s">
        <v>188</v>
      </c>
      <c r="I30" s="2"/>
      <c r="J30" s="2"/>
      <c r="K30" s="2"/>
      <c r="L30" s="2"/>
      <c r="M30" s="42"/>
      <c r="N30" s="42"/>
      <c r="R30" s="42"/>
      <c r="S30" s="42"/>
      <c r="T30" s="42"/>
    </row>
    <row r="31" spans="3:20" ht="15" customHeight="1" x14ac:dyDescent="0.3">
      <c r="C31" s="3" t="s">
        <v>23</v>
      </c>
      <c r="F31" s="120">
        <f t="shared" ref="F31:F36" si="18">SUM(G31:R31)</f>
        <v>4.9404597961293879</v>
      </c>
      <c r="G31" s="43">
        <f t="shared" ref="G31:R31" si="19">(G15+G20)*0.0165</f>
        <v>0.43725000000000003</v>
      </c>
      <c r="H31" s="43">
        <f t="shared" si="19"/>
        <v>0.79859999999999998</v>
      </c>
      <c r="I31" s="43">
        <f t="shared" si="19"/>
        <v>0.89100000000000001</v>
      </c>
      <c r="J31" s="43">
        <f t="shared" si="19"/>
        <v>0.46200000000000002</v>
      </c>
      <c r="K31" s="43">
        <f t="shared" si="19"/>
        <v>0.2046</v>
      </c>
      <c r="L31" s="43">
        <f t="shared" si="19"/>
        <v>0.29535</v>
      </c>
      <c r="M31" s="43">
        <f t="shared" si="19"/>
        <v>0.3513540380535306</v>
      </c>
      <c r="N31" s="43">
        <f t="shared" si="19"/>
        <v>0.3244530939336388</v>
      </c>
      <c r="O31" s="43">
        <f t="shared" si="19"/>
        <v>0.2106975967116681</v>
      </c>
      <c r="P31" s="43">
        <f t="shared" si="19"/>
        <v>0.29022982004369652</v>
      </c>
      <c r="Q31" s="43">
        <f t="shared" si="19"/>
        <v>0.34906958958419504</v>
      </c>
      <c r="R31" s="43">
        <f t="shared" si="19"/>
        <v>0.32585565780265857</v>
      </c>
      <c r="S31" s="42"/>
      <c r="T31" s="42"/>
    </row>
    <row r="32" spans="3:20" ht="15" customHeight="1" x14ac:dyDescent="0.3">
      <c r="C32" s="3" t="s">
        <v>24</v>
      </c>
      <c r="F32" s="120">
        <f t="shared" si="18"/>
        <v>1.4821379388388163</v>
      </c>
      <c r="G32" s="43">
        <f>G31*0.3</f>
        <v>0.13117500000000001</v>
      </c>
      <c r="H32" s="43">
        <f t="shared" ref="H32:N32" si="20">H31*0.3</f>
        <v>0.23957999999999999</v>
      </c>
      <c r="I32" s="43">
        <f t="shared" si="20"/>
        <v>0.26729999999999998</v>
      </c>
      <c r="J32" s="43">
        <f t="shared" si="20"/>
        <v>0.1386</v>
      </c>
      <c r="K32" s="43">
        <f t="shared" si="20"/>
        <v>6.1379999999999997E-2</v>
      </c>
      <c r="L32" s="43">
        <f t="shared" si="20"/>
        <v>8.8605000000000003E-2</v>
      </c>
      <c r="M32" s="43">
        <f t="shared" si="20"/>
        <v>0.10540621141605917</v>
      </c>
      <c r="N32" s="43">
        <f t="shared" si="20"/>
        <v>9.7335928180091638E-2</v>
      </c>
      <c r="O32" s="43">
        <f>O31*0.3</f>
        <v>6.320927901350043E-2</v>
      </c>
      <c r="P32" s="43">
        <f>P31*0.3</f>
        <v>8.7068946013108953E-2</v>
      </c>
      <c r="Q32" s="43">
        <f>Q31*0.3</f>
        <v>0.10472087687525851</v>
      </c>
      <c r="R32" s="43">
        <f>R31*0.3</f>
        <v>9.7756697340797574E-2</v>
      </c>
      <c r="S32" s="42"/>
      <c r="T32" s="42"/>
    </row>
    <row r="33" spans="3:20" ht="15" customHeight="1" x14ac:dyDescent="0.3">
      <c r="C33" s="3" t="s">
        <v>25</v>
      </c>
      <c r="F33" s="120">
        <f t="shared" si="18"/>
        <v>0.34583218572905716</v>
      </c>
      <c r="G33" s="43">
        <f>(G31-G32)*0.1</f>
        <v>3.0607499999999999E-2</v>
      </c>
      <c r="H33" s="43">
        <f t="shared" ref="H33:N33" si="21">(H31-H32)*0.1</f>
        <v>5.5902E-2</v>
      </c>
      <c r="I33" s="43">
        <f t="shared" si="21"/>
        <v>6.2370000000000009E-2</v>
      </c>
      <c r="J33" s="43">
        <f t="shared" si="21"/>
        <v>3.2340000000000001E-2</v>
      </c>
      <c r="K33" s="43">
        <f t="shared" si="21"/>
        <v>1.4322000000000001E-2</v>
      </c>
      <c r="L33" s="43">
        <f t="shared" si="21"/>
        <v>2.0674500000000002E-2</v>
      </c>
      <c r="M33" s="43">
        <f t="shared" si="21"/>
        <v>2.4594782663747147E-2</v>
      </c>
      <c r="N33" s="43">
        <f t="shared" si="21"/>
        <v>2.2711716575354719E-2</v>
      </c>
      <c r="O33" s="43">
        <f>(O31-O32)*0.1</f>
        <v>1.4748831769816768E-2</v>
      </c>
      <c r="P33" s="43">
        <f>(P31-P32)*0.1</f>
        <v>2.031608740305876E-2</v>
      </c>
      <c r="Q33" s="43">
        <f>(Q31-Q32)*0.1</f>
        <v>2.4434871270893655E-2</v>
      </c>
      <c r="R33" s="43">
        <f>(R31-R32)*0.1</f>
        <v>2.2809896046186103E-2</v>
      </c>
      <c r="S33" s="42"/>
      <c r="T33" s="42"/>
    </row>
    <row r="34" spans="3:20" ht="15" customHeight="1" x14ac:dyDescent="0.3">
      <c r="C34" s="3" t="s">
        <v>26</v>
      </c>
      <c r="F34" s="120">
        <f t="shared" si="18"/>
        <v>1.4821379388388163</v>
      </c>
      <c r="G34" s="43">
        <f>G32</f>
        <v>0.13117500000000001</v>
      </c>
      <c r="H34" s="43">
        <f t="shared" ref="H34:N34" si="22">H32</f>
        <v>0.23957999999999999</v>
      </c>
      <c r="I34" s="43">
        <f t="shared" si="22"/>
        <v>0.26729999999999998</v>
      </c>
      <c r="J34" s="43">
        <f t="shared" si="22"/>
        <v>0.1386</v>
      </c>
      <c r="K34" s="43">
        <f t="shared" si="22"/>
        <v>6.1379999999999997E-2</v>
      </c>
      <c r="L34" s="43">
        <f t="shared" si="22"/>
        <v>8.8605000000000003E-2</v>
      </c>
      <c r="M34" s="43">
        <f t="shared" si="22"/>
        <v>0.10540621141605917</v>
      </c>
      <c r="N34" s="43">
        <f t="shared" si="22"/>
        <v>9.7335928180091638E-2</v>
      </c>
      <c r="O34" s="43">
        <f>O32</f>
        <v>6.320927901350043E-2</v>
      </c>
      <c r="P34" s="43">
        <f>P32</f>
        <v>8.7068946013108953E-2</v>
      </c>
      <c r="Q34" s="43">
        <f>Q32</f>
        <v>0.10472087687525851</v>
      </c>
      <c r="R34" s="43">
        <f>R32</f>
        <v>9.7756697340797574E-2</v>
      </c>
      <c r="S34" s="42"/>
      <c r="T34" s="42"/>
    </row>
    <row r="35" spans="3:20" ht="15" customHeight="1" x14ac:dyDescent="0.3">
      <c r="C35" s="3" t="s">
        <v>210</v>
      </c>
      <c r="F35" s="120">
        <f t="shared" si="18"/>
        <v>1.8279701245678734</v>
      </c>
      <c r="G35" s="43">
        <f>G33+G34</f>
        <v>0.16178250000000002</v>
      </c>
      <c r="H35" s="43">
        <f t="shared" ref="H35:N35" si="23">H33+H34</f>
        <v>0.29548199999999997</v>
      </c>
      <c r="I35" s="43">
        <f t="shared" si="23"/>
        <v>0.32967000000000002</v>
      </c>
      <c r="J35" s="43">
        <f t="shared" si="23"/>
        <v>0.17094000000000001</v>
      </c>
      <c r="K35" s="43">
        <f t="shared" si="23"/>
        <v>7.5701999999999992E-2</v>
      </c>
      <c r="L35" s="43">
        <f t="shared" si="23"/>
        <v>0.1092795</v>
      </c>
      <c r="M35" s="43">
        <f t="shared" si="23"/>
        <v>0.13000099407980631</v>
      </c>
      <c r="N35" s="43">
        <f t="shared" si="23"/>
        <v>0.12004764475544635</v>
      </c>
      <c r="O35" s="43">
        <f>O33+O34</f>
        <v>7.79581107833172E-2</v>
      </c>
      <c r="P35" s="43">
        <f>P33+P34</f>
        <v>0.10738503341616772</v>
      </c>
      <c r="Q35" s="43">
        <f>Q33+Q34</f>
        <v>0.12915574814615216</v>
      </c>
      <c r="R35" s="43">
        <f>R33+R34</f>
        <v>0.12056659338698368</v>
      </c>
      <c r="S35" s="42"/>
      <c r="T35" s="42"/>
    </row>
    <row r="36" spans="3:20" ht="15" customHeight="1" x14ac:dyDescent="0.3">
      <c r="C36" s="3" t="s">
        <v>211</v>
      </c>
      <c r="F36" s="120">
        <f t="shared" si="18"/>
        <v>-1.3929046388352526</v>
      </c>
      <c r="G36" s="43"/>
      <c r="H36" s="43"/>
      <c r="I36" s="43"/>
      <c r="J36" s="43"/>
      <c r="K36" s="78">
        <f>-SUM(G35:J35)</f>
        <v>-0.95787449999999996</v>
      </c>
      <c r="L36" s="43"/>
      <c r="M36" s="43"/>
      <c r="N36" s="43"/>
      <c r="O36" s="78">
        <f>-SUM(K35:N35)</f>
        <v>-0.43503013883525266</v>
      </c>
      <c r="R36" s="42"/>
      <c r="S36" s="78">
        <f>-SUM(O35:R35)</f>
        <v>-0.43506548573262077</v>
      </c>
      <c r="T36" s="42"/>
    </row>
    <row r="37" spans="3:20" ht="15" customHeight="1" x14ac:dyDescent="0.3">
      <c r="G37" s="43"/>
      <c r="H37" s="43"/>
      <c r="I37" s="43"/>
      <c r="J37" s="43"/>
      <c r="K37" s="43"/>
      <c r="L37" s="43"/>
      <c r="M37" s="43"/>
      <c r="N37" s="43"/>
      <c r="R37" s="42"/>
      <c r="S37" s="42"/>
      <c r="T37" s="42"/>
    </row>
    <row r="38" spans="3:20" ht="15" customHeight="1" x14ac:dyDescent="0.3">
      <c r="C38" s="1" t="s">
        <v>292</v>
      </c>
      <c r="H38" s="43"/>
      <c r="I38" s="43"/>
      <c r="J38" s="43"/>
      <c r="K38" s="43"/>
      <c r="L38" s="43"/>
      <c r="M38" s="43"/>
      <c r="N38" s="43"/>
      <c r="R38" s="42"/>
      <c r="S38" s="42"/>
      <c r="T38" s="42"/>
    </row>
    <row r="39" spans="3:20" ht="15" customHeight="1" x14ac:dyDescent="0.3">
      <c r="C39" s="3" t="s">
        <v>171</v>
      </c>
      <c r="F39" s="120">
        <f t="shared" ref="F39:F46" si="24">SUM(G39:R39)</f>
        <v>7.1718888327422485</v>
      </c>
      <c r="G39" s="78">
        <f>G56</f>
        <v>3.2799999999999994</v>
      </c>
      <c r="H39" s="78">
        <f t="shared" ref="H39:R39" si="25">H56</f>
        <v>-5.613999999999999</v>
      </c>
      <c r="I39" s="78">
        <f t="shared" si="25"/>
        <v>-3.2590000000000003</v>
      </c>
      <c r="J39" s="78">
        <f t="shared" si="25"/>
        <v>11.946</v>
      </c>
      <c r="K39" s="78">
        <f t="shared" si="25"/>
        <v>2</v>
      </c>
      <c r="L39" s="78">
        <f t="shared" si="25"/>
        <v>-0.57899999999999974</v>
      </c>
      <c r="M39" s="78">
        <f t="shared" si="25"/>
        <v>-0.6209750387106423</v>
      </c>
      <c r="N39" s="78">
        <f t="shared" si="25"/>
        <v>-0.24540142432243162</v>
      </c>
      <c r="O39" s="78">
        <f t="shared" si="25"/>
        <v>2.452464299992192</v>
      </c>
      <c r="P39" s="78">
        <f t="shared" si="25"/>
        <v>-1.1809394616404774</v>
      </c>
      <c r="Q39" s="78">
        <f t="shared" si="25"/>
        <v>-1.3614715121256147</v>
      </c>
      <c r="R39" s="78">
        <f t="shared" si="25"/>
        <v>0.3542119695492234</v>
      </c>
      <c r="S39" s="42"/>
      <c r="T39" s="42"/>
    </row>
    <row r="40" spans="3:20" ht="15" customHeight="1" x14ac:dyDescent="0.3">
      <c r="C40" s="3" t="s">
        <v>173</v>
      </c>
      <c r="F40" s="120">
        <f t="shared" si="24"/>
        <v>-2.0899541015624994</v>
      </c>
      <c r="G40" s="78">
        <f>-G60</f>
        <v>-0.92399999999999993</v>
      </c>
      <c r="H40" s="78">
        <f t="shared" ref="H40:R40" si="26">-H60</f>
        <v>-0.30299999999999994</v>
      </c>
      <c r="I40" s="78">
        <f t="shared" si="26"/>
        <v>-0.49399999999999977</v>
      </c>
      <c r="J40" s="78">
        <f t="shared" si="26"/>
        <v>0.16699999999999982</v>
      </c>
      <c r="K40" s="78">
        <f t="shared" si="26"/>
        <v>-0.60699999999999998</v>
      </c>
      <c r="L40" s="78">
        <f t="shared" si="26"/>
        <v>-0.25099999999999989</v>
      </c>
      <c r="M40" s="78">
        <f t="shared" si="26"/>
        <v>0.44999999999999996</v>
      </c>
      <c r="N40" s="78">
        <f t="shared" si="26"/>
        <v>-6.0250000000000137E-2</v>
      </c>
      <c r="O40" s="78">
        <f t="shared" si="26"/>
        <v>-0.11706249999999985</v>
      </c>
      <c r="P40" s="78">
        <f t="shared" si="26"/>
        <v>5.4218749999999094E-3</v>
      </c>
      <c r="Q40" s="78">
        <f t="shared" si="26"/>
        <v>6.9527343750000137E-2</v>
      </c>
      <c r="R40" s="78">
        <f t="shared" si="26"/>
        <v>-2.5590820312500151E-2</v>
      </c>
      <c r="S40" s="42"/>
      <c r="T40" s="42"/>
    </row>
    <row r="41" spans="3:20" ht="15" customHeight="1" x14ac:dyDescent="0.3">
      <c r="C41" s="3" t="s">
        <v>180</v>
      </c>
      <c r="F41" s="120">
        <f t="shared" si="24"/>
        <v>-0.23799999999999999</v>
      </c>
      <c r="G41" s="78">
        <f>G65</f>
        <v>0.31300000000000006</v>
      </c>
      <c r="H41" s="78">
        <f t="shared" ref="H41:R41" si="27">H65</f>
        <v>0.127</v>
      </c>
      <c r="I41" s="78">
        <f t="shared" si="27"/>
        <v>4.1999999999999996E-2</v>
      </c>
      <c r="J41" s="78">
        <f t="shared" si="27"/>
        <v>-1.161</v>
      </c>
      <c r="K41" s="78">
        <f t="shared" si="27"/>
        <v>0.43900000000000006</v>
      </c>
      <c r="L41" s="78">
        <f t="shared" si="27"/>
        <v>2.0000000000000018E-3</v>
      </c>
      <c r="M41" s="78">
        <f t="shared" si="27"/>
        <v>0</v>
      </c>
      <c r="N41" s="78">
        <f t="shared" si="27"/>
        <v>0</v>
      </c>
      <c r="O41" s="78">
        <f t="shared" si="27"/>
        <v>0</v>
      </c>
      <c r="P41" s="78">
        <f t="shared" si="27"/>
        <v>0</v>
      </c>
      <c r="Q41" s="78">
        <f t="shared" si="27"/>
        <v>0</v>
      </c>
      <c r="R41" s="78">
        <f t="shared" si="27"/>
        <v>0</v>
      </c>
      <c r="S41" s="42"/>
      <c r="T41" s="42"/>
    </row>
    <row r="42" spans="3:20" ht="15" customHeight="1" x14ac:dyDescent="0.3">
      <c r="C42" s="3" t="s">
        <v>174</v>
      </c>
      <c r="F42" s="120">
        <f t="shared" si="24"/>
        <v>4.239848090637327E-2</v>
      </c>
      <c r="G42" s="78">
        <f>G71</f>
        <v>7.6999999999999957E-2</v>
      </c>
      <c r="H42" s="78">
        <f t="shared" ref="H42:R42" si="28">H71</f>
        <v>0.35700000000000004</v>
      </c>
      <c r="I42" s="78">
        <f t="shared" si="28"/>
        <v>-0.17299999999999999</v>
      </c>
      <c r="J42" s="78">
        <f t="shared" si="28"/>
        <v>0.14500000000000002</v>
      </c>
      <c r="K42" s="78">
        <f t="shared" si="28"/>
        <v>0.17599999999999999</v>
      </c>
      <c r="L42" s="78">
        <f t="shared" si="28"/>
        <v>-0.183</v>
      </c>
      <c r="M42" s="78">
        <f t="shared" si="28"/>
        <v>-0.24381203575933952</v>
      </c>
      <c r="N42" s="78">
        <f t="shared" si="28"/>
        <v>-4.7958189339844082E-2</v>
      </c>
      <c r="O42" s="78">
        <f t="shared" si="28"/>
        <v>8.9649429690643045E-2</v>
      </c>
      <c r="P42" s="78">
        <f t="shared" si="28"/>
        <v>-0.17989588186151628</v>
      </c>
      <c r="Q42" s="78">
        <f t="shared" si="28"/>
        <v>3.346632067499955E-2</v>
      </c>
      <c r="R42" s="78">
        <f t="shared" si="28"/>
        <v>-8.0511624985695196E-3</v>
      </c>
      <c r="S42" s="42"/>
      <c r="T42" s="42"/>
    </row>
    <row r="43" spans="3:20" ht="15" customHeight="1" x14ac:dyDescent="0.3">
      <c r="C43" s="3" t="s">
        <v>181</v>
      </c>
      <c r="F43" s="120">
        <f t="shared" si="24"/>
        <v>-8.1345104980468754</v>
      </c>
      <c r="G43" s="78">
        <f>G75</f>
        <v>-5.4580000000000002</v>
      </c>
      <c r="H43" s="78">
        <f t="shared" ref="H43:R43" si="29">H75</f>
        <v>-4.5289999999999999</v>
      </c>
      <c r="I43" s="78">
        <f t="shared" si="29"/>
        <v>-1.261000000000001</v>
      </c>
      <c r="J43" s="78">
        <f t="shared" si="29"/>
        <v>1.0760000000000005</v>
      </c>
      <c r="K43" s="78">
        <f t="shared" si="29"/>
        <v>3.2130000000000001</v>
      </c>
      <c r="L43" s="78">
        <f t="shared" si="29"/>
        <v>-0.27700000000000014</v>
      </c>
      <c r="M43" s="78">
        <f t="shared" si="29"/>
        <v>-1.6677499999999998</v>
      </c>
      <c r="N43" s="78">
        <f t="shared" si="29"/>
        <v>0.5860625000000006</v>
      </c>
      <c r="O43" s="78">
        <f t="shared" si="29"/>
        <v>0.46357812499999973</v>
      </c>
      <c r="P43" s="78">
        <f t="shared" si="29"/>
        <v>-0.22377734374999925</v>
      </c>
      <c r="Q43" s="78">
        <f t="shared" si="29"/>
        <v>-0.21047167968750102</v>
      </c>
      <c r="R43" s="78">
        <f t="shared" si="29"/>
        <v>0.15384790039062501</v>
      </c>
      <c r="S43" s="42"/>
      <c r="T43" s="42"/>
    </row>
    <row r="44" spans="3:20" ht="15" customHeight="1" x14ac:dyDescent="0.3">
      <c r="C44" s="3" t="s">
        <v>185</v>
      </c>
      <c r="F44" s="120">
        <f t="shared" si="24"/>
        <v>7.2792416992187485</v>
      </c>
      <c r="G44" s="78">
        <f>G80</f>
        <v>3.5129999999999999</v>
      </c>
      <c r="H44" s="78">
        <f t="shared" ref="H44:R44" si="30">H80</f>
        <v>4.6309999999999993</v>
      </c>
      <c r="I44" s="78">
        <f t="shared" si="30"/>
        <v>-1.499999999999968E-2</v>
      </c>
      <c r="J44" s="78">
        <f t="shared" si="30"/>
        <v>-3.6989999999999998</v>
      </c>
      <c r="K44" s="78">
        <f t="shared" si="30"/>
        <v>3.7809999999999997</v>
      </c>
      <c r="L44" s="78">
        <f t="shared" si="30"/>
        <v>-0.31500000000000039</v>
      </c>
      <c r="M44" s="78">
        <f t="shared" si="30"/>
        <v>-0.72949999999999982</v>
      </c>
      <c r="N44" s="78">
        <f t="shared" si="30"/>
        <v>-0.24062499999999964</v>
      </c>
      <c r="O44" s="78">
        <f t="shared" si="30"/>
        <v>0.62396874999999952</v>
      </c>
      <c r="P44" s="78">
        <f t="shared" si="30"/>
        <v>-0.16528906249999942</v>
      </c>
      <c r="Q44" s="78">
        <f t="shared" si="30"/>
        <v>-0.12786132812500028</v>
      </c>
      <c r="R44" s="78">
        <f t="shared" si="30"/>
        <v>2.2548339843750043E-2</v>
      </c>
      <c r="S44" s="42"/>
      <c r="T44" s="42"/>
    </row>
    <row r="45" spans="3:20" ht="15" customHeight="1" x14ac:dyDescent="0.3">
      <c r="C45" s="3" t="s">
        <v>175</v>
      </c>
      <c r="F45" s="120">
        <f t="shared" si="24"/>
        <v>3.13893798828125</v>
      </c>
      <c r="G45" s="78">
        <f>G91</f>
        <v>0</v>
      </c>
      <c r="H45" s="78">
        <f t="shared" ref="H45:R45" si="31">H91</f>
        <v>0</v>
      </c>
      <c r="I45" s="78">
        <f t="shared" si="31"/>
        <v>0</v>
      </c>
      <c r="J45" s="78">
        <f t="shared" si="31"/>
        <v>-2.0000000000000018E-3</v>
      </c>
      <c r="K45" s="78">
        <f t="shared" si="31"/>
        <v>0</v>
      </c>
      <c r="L45" s="78">
        <f t="shared" si="31"/>
        <v>8.0960000000000001</v>
      </c>
      <c r="M45" s="78">
        <f t="shared" si="31"/>
        <v>-6.0714999999999995</v>
      </c>
      <c r="N45" s="78">
        <f t="shared" si="31"/>
        <v>0.50562499999999977</v>
      </c>
      <c r="O45" s="78">
        <f t="shared" si="31"/>
        <v>0.63253124999999999</v>
      </c>
      <c r="P45" s="78">
        <f t="shared" si="31"/>
        <v>0.79066406250000032</v>
      </c>
      <c r="Q45" s="78">
        <f t="shared" si="31"/>
        <v>-1.0356699218750003</v>
      </c>
      <c r="R45" s="78">
        <f t="shared" si="31"/>
        <v>0.22328759765625028</v>
      </c>
      <c r="S45" s="42"/>
      <c r="T45" s="42"/>
    </row>
    <row r="46" spans="3:20" ht="15" customHeight="1" x14ac:dyDescent="0.3">
      <c r="C46" s="3" t="s">
        <v>307</v>
      </c>
      <c r="F46" s="120">
        <f t="shared" si="24"/>
        <v>-8.2829999999999995</v>
      </c>
      <c r="G46" s="78"/>
      <c r="H46" s="78"/>
      <c r="I46" s="78"/>
      <c r="J46" s="78"/>
      <c r="K46" s="78"/>
      <c r="L46" s="78"/>
      <c r="M46" s="78">
        <f>-M94</f>
        <v>-8.2829999999999995</v>
      </c>
      <c r="N46" s="78"/>
      <c r="O46" s="78"/>
      <c r="P46" s="78"/>
      <c r="Q46" s="78"/>
      <c r="R46" s="78"/>
      <c r="S46" s="42"/>
      <c r="T46" s="42"/>
    </row>
    <row r="47" spans="3:20" ht="15" customHeight="1" x14ac:dyDescent="0.3">
      <c r="C47" s="3" t="s">
        <v>341</v>
      </c>
      <c r="F47" s="120">
        <f t="shared" ref="F47:F49" si="32">SUM(G47:R47)</f>
        <v>-1.1129975984607507</v>
      </c>
      <c r="G47" s="78">
        <f>SUM(G39:G45)</f>
        <v>0.80099999999999927</v>
      </c>
      <c r="H47" s="78">
        <f>SUM(H39:H45)</f>
        <v>-5.3310000000000004</v>
      </c>
      <c r="I47" s="78">
        <f t="shared" ref="I47:R47" si="33">SUM(I39:I45)</f>
        <v>-5.160000000000001</v>
      </c>
      <c r="J47" s="78">
        <f t="shared" si="33"/>
        <v>8.4719999999999995</v>
      </c>
      <c r="K47" s="78">
        <f t="shared" si="33"/>
        <v>9.0019999999999989</v>
      </c>
      <c r="L47" s="78">
        <f t="shared" si="33"/>
        <v>6.4930000000000003</v>
      </c>
      <c r="M47" s="78">
        <f>SUM(M39:M46)</f>
        <v>-17.166537074469979</v>
      </c>
      <c r="N47" s="78">
        <f t="shared" si="33"/>
        <v>0.49745288633772489</v>
      </c>
      <c r="O47" s="78">
        <f t="shared" si="33"/>
        <v>4.1451293546828349</v>
      </c>
      <c r="P47" s="78">
        <f t="shared" si="33"/>
        <v>-0.95381581225199197</v>
      </c>
      <c r="Q47" s="78">
        <f t="shared" si="33"/>
        <v>-2.6324807773881167</v>
      </c>
      <c r="R47" s="78">
        <f t="shared" si="33"/>
        <v>0.72025382462877907</v>
      </c>
      <c r="S47" s="42"/>
      <c r="T47" s="42"/>
    </row>
    <row r="48" spans="3:20" ht="15" customHeight="1" x14ac:dyDescent="0.3">
      <c r="F48" s="120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42"/>
      <c r="T48" s="42"/>
    </row>
    <row r="49" spans="3:20" ht="15" customHeight="1" x14ac:dyDescent="0.3">
      <c r="C49" s="1" t="s">
        <v>293</v>
      </c>
      <c r="F49" s="120">
        <f t="shared" si="32"/>
        <v>-13.250170114568213</v>
      </c>
      <c r="G49" s="78">
        <v>-5.7856008799999996</v>
      </c>
      <c r="H49" s="78">
        <v>-5.3336759699999901</v>
      </c>
      <c r="I49" s="78">
        <v>5.1969999999999974</v>
      </c>
      <c r="J49" s="78">
        <v>-0.96476530000000515</v>
      </c>
      <c r="K49" s="78">
        <v>-11.497731004211811</v>
      </c>
      <c r="L49" s="78">
        <v>5.1346030396435927</v>
      </c>
      <c r="M49" s="78"/>
      <c r="N49" s="78"/>
      <c r="O49" s="78"/>
      <c r="P49" s="78"/>
      <c r="Q49" s="78"/>
      <c r="R49" s="78"/>
      <c r="S49" s="42"/>
      <c r="T49" s="42"/>
    </row>
    <row r="50" spans="3:20" ht="15" customHeight="1" outlineLevel="1" x14ac:dyDescent="0.3">
      <c r="C50" s="3" t="s">
        <v>172</v>
      </c>
      <c r="H50" s="43"/>
      <c r="I50" s="43"/>
      <c r="J50" s="43"/>
      <c r="K50" s="43"/>
      <c r="L50" s="43"/>
      <c r="M50" s="43"/>
      <c r="N50" s="43"/>
      <c r="R50" s="42"/>
      <c r="S50" s="42"/>
      <c r="T50" s="42"/>
    </row>
    <row r="51" spans="3:20" ht="15" customHeight="1" outlineLevel="1" x14ac:dyDescent="0.3">
      <c r="C51" s="3" t="s">
        <v>27</v>
      </c>
      <c r="G51" s="43">
        <f>G312/1000</f>
        <v>14.192</v>
      </c>
      <c r="H51" s="43">
        <f t="shared" ref="H51:R51" si="34">G54</f>
        <v>10.912000000000001</v>
      </c>
      <c r="I51" s="43">
        <f t="shared" si="34"/>
        <v>16.526</v>
      </c>
      <c r="J51" s="43">
        <f t="shared" si="34"/>
        <v>19.785</v>
      </c>
      <c r="K51" s="43">
        <f t="shared" si="34"/>
        <v>7.8390000000000004</v>
      </c>
      <c r="L51" s="43">
        <f t="shared" si="34"/>
        <v>5.8390000000000004</v>
      </c>
      <c r="M51" s="43">
        <f t="shared" si="34"/>
        <v>6.4180000000000001</v>
      </c>
      <c r="N51" s="43">
        <f t="shared" si="34"/>
        <v>7.0389750387106425</v>
      </c>
      <c r="O51" s="43">
        <f t="shared" si="34"/>
        <v>7.2843764630330741</v>
      </c>
      <c r="P51" s="43">
        <f t="shared" si="34"/>
        <v>4.8319121630408821</v>
      </c>
      <c r="Q51" s="43">
        <f t="shared" si="34"/>
        <v>6.0128516246813595</v>
      </c>
      <c r="R51" s="43">
        <f t="shared" si="34"/>
        <v>7.3743231368069742</v>
      </c>
      <c r="S51" s="42"/>
      <c r="T51" s="42"/>
    </row>
    <row r="52" spans="3:20" ht="15" customHeight="1" outlineLevel="1" x14ac:dyDescent="0.3">
      <c r="C52" s="3" t="s">
        <v>28</v>
      </c>
      <c r="G52" s="43">
        <f t="shared" ref="G52:R52" si="35">G15+G20+G21+G22</f>
        <v>28</v>
      </c>
      <c r="H52" s="43">
        <f t="shared" si="35"/>
        <v>52.1</v>
      </c>
      <c r="I52" s="43">
        <f t="shared" si="35"/>
        <v>59.4</v>
      </c>
      <c r="J52" s="43">
        <f t="shared" si="35"/>
        <v>31.7</v>
      </c>
      <c r="K52" s="43">
        <f t="shared" si="35"/>
        <v>13.7</v>
      </c>
      <c r="L52" s="43">
        <f t="shared" si="35"/>
        <v>18.2</v>
      </c>
      <c r="M52" s="43">
        <f t="shared" si="35"/>
        <v>23.969184124456397</v>
      </c>
      <c r="N52" s="43">
        <f t="shared" si="35"/>
        <v>21.657573874765987</v>
      </c>
      <c r="O52" s="43">
        <f t="shared" si="35"/>
        <v>14.336738815858673</v>
      </c>
      <c r="P52" s="43">
        <f t="shared" si="35"/>
        <v>19.223670438254334</v>
      </c>
      <c r="Q52" s="43">
        <f t="shared" si="35"/>
        <v>23.123213170822428</v>
      </c>
      <c r="R52" s="43">
        <f t="shared" si="35"/>
        <v>21.539428331553168</v>
      </c>
      <c r="S52" s="42"/>
      <c r="T52" s="42"/>
    </row>
    <row r="53" spans="3:20" ht="15" customHeight="1" outlineLevel="1" x14ac:dyDescent="0.3">
      <c r="C53" s="3" t="s">
        <v>29</v>
      </c>
      <c r="G53" s="43">
        <f>G51+G52-G54</f>
        <v>31.28</v>
      </c>
      <c r="H53" s="43">
        <f>H51+H52-H54</f>
        <v>46.486000000000004</v>
      </c>
      <c r="I53" s="43">
        <f t="shared" ref="I53:R53" si="36">I51+I52-I54</f>
        <v>56.141000000000005</v>
      </c>
      <c r="J53" s="43">
        <f t="shared" si="36"/>
        <v>43.646000000000001</v>
      </c>
      <c r="K53" s="43">
        <f t="shared" si="36"/>
        <v>15.700000000000001</v>
      </c>
      <c r="L53" s="43">
        <f t="shared" si="36"/>
        <v>17.621000000000002</v>
      </c>
      <c r="M53" s="43">
        <f t="shared" si="36"/>
        <v>23.348209085745754</v>
      </c>
      <c r="N53" s="43">
        <f t="shared" si="36"/>
        <v>21.412172450443556</v>
      </c>
      <c r="O53" s="43">
        <f t="shared" si="36"/>
        <v>16.789203115850864</v>
      </c>
      <c r="P53" s="43">
        <f t="shared" si="36"/>
        <v>18.042730976613857</v>
      </c>
      <c r="Q53" s="43">
        <f t="shared" si="36"/>
        <v>21.761741658696813</v>
      </c>
      <c r="R53" s="43">
        <f t="shared" si="36"/>
        <v>21.893640301102394</v>
      </c>
      <c r="S53" s="42"/>
      <c r="T53" s="42"/>
    </row>
    <row r="54" spans="3:20" ht="15" customHeight="1" outlineLevel="1" x14ac:dyDescent="0.3">
      <c r="C54" s="3" t="s">
        <v>30</v>
      </c>
      <c r="G54" s="43">
        <f t="shared" ref="G54:L54" si="37">H312/1000</f>
        <v>10.912000000000001</v>
      </c>
      <c r="H54" s="43">
        <f t="shared" si="37"/>
        <v>16.526</v>
      </c>
      <c r="I54" s="43">
        <f t="shared" si="37"/>
        <v>19.785</v>
      </c>
      <c r="J54" s="43">
        <f t="shared" si="37"/>
        <v>7.8390000000000004</v>
      </c>
      <c r="K54" s="43">
        <f t="shared" si="37"/>
        <v>5.8390000000000004</v>
      </c>
      <c r="L54" s="43">
        <f t="shared" si="37"/>
        <v>6.4180000000000001</v>
      </c>
      <c r="M54" s="43">
        <f t="shared" ref="M54:R54" si="38">(M15+M20+M21+M22)/M55</f>
        <v>7.0389750387106425</v>
      </c>
      <c r="N54" s="43">
        <f t="shared" si="38"/>
        <v>7.2843764630330741</v>
      </c>
      <c r="O54" s="43">
        <f t="shared" si="38"/>
        <v>4.8319121630408821</v>
      </c>
      <c r="P54" s="43">
        <f t="shared" si="38"/>
        <v>6.0128516246813595</v>
      </c>
      <c r="Q54" s="43">
        <f t="shared" si="38"/>
        <v>7.3743231368069742</v>
      </c>
      <c r="R54" s="43">
        <f t="shared" si="38"/>
        <v>7.0201111672577508</v>
      </c>
      <c r="S54" s="42"/>
      <c r="T54" s="42"/>
    </row>
    <row r="55" spans="3:20" ht="15" customHeight="1" outlineLevel="1" x14ac:dyDescent="0.3">
      <c r="C55" s="3" t="s">
        <v>169</v>
      </c>
      <c r="D55" s="43"/>
      <c r="E55" s="43"/>
      <c r="F55" s="43"/>
      <c r="G55" s="43">
        <f t="shared" ref="G55:L55" si="39">(G15+G19+G20+G21+G22)/((G312+H312)/1000/2)</f>
        <v>2.9875717017208414</v>
      </c>
      <c r="H55" s="43">
        <f t="shared" si="39"/>
        <v>5.896931263211604</v>
      </c>
      <c r="I55" s="43">
        <f t="shared" si="39"/>
        <v>5.1334306408526356</v>
      </c>
      <c r="J55" s="43">
        <f t="shared" si="39"/>
        <v>2.9973935708079935</v>
      </c>
      <c r="K55" s="43">
        <f t="shared" si="39"/>
        <v>2.0470829068577272</v>
      </c>
      <c r="L55" s="43">
        <f t="shared" si="39"/>
        <v>3.4429305702863666</v>
      </c>
      <c r="M55" s="43">
        <f t="shared" ref="M55:R55" si="40">AVERAGE(I55:L55)</f>
        <v>3.4052094222011804</v>
      </c>
      <c r="N55" s="43">
        <f t="shared" si="40"/>
        <v>2.9731541175383169</v>
      </c>
      <c r="O55" s="43">
        <f t="shared" si="40"/>
        <v>2.967094254220898</v>
      </c>
      <c r="P55" s="43">
        <f t="shared" si="40"/>
        <v>3.1970970910616905</v>
      </c>
      <c r="Q55" s="43">
        <f t="shared" si="40"/>
        <v>3.1356387212555217</v>
      </c>
      <c r="R55" s="43">
        <f t="shared" si="40"/>
        <v>3.0682460460191066</v>
      </c>
    </row>
    <row r="56" spans="3:20" ht="15" customHeight="1" outlineLevel="1" x14ac:dyDescent="0.3">
      <c r="D56" s="43"/>
      <c r="E56" s="43"/>
      <c r="F56" s="43"/>
      <c r="G56" s="78">
        <f t="shared" ref="G56:R56" si="41">G51-G54</f>
        <v>3.2799999999999994</v>
      </c>
      <c r="H56" s="78">
        <f t="shared" si="41"/>
        <v>-5.613999999999999</v>
      </c>
      <c r="I56" s="78">
        <f t="shared" si="41"/>
        <v>-3.2590000000000003</v>
      </c>
      <c r="J56" s="78">
        <f t="shared" si="41"/>
        <v>11.946</v>
      </c>
      <c r="K56" s="78">
        <f t="shared" si="41"/>
        <v>2</v>
      </c>
      <c r="L56" s="78">
        <f t="shared" si="41"/>
        <v>-0.57899999999999974</v>
      </c>
      <c r="M56" s="78">
        <f t="shared" si="41"/>
        <v>-0.6209750387106423</v>
      </c>
      <c r="N56" s="78">
        <f t="shared" si="41"/>
        <v>-0.24540142432243162</v>
      </c>
      <c r="O56" s="78">
        <f t="shared" si="41"/>
        <v>2.452464299992192</v>
      </c>
      <c r="P56" s="78">
        <f t="shared" si="41"/>
        <v>-1.1809394616404774</v>
      </c>
      <c r="Q56" s="78">
        <f t="shared" si="41"/>
        <v>-1.3614715121256147</v>
      </c>
      <c r="R56" s="78">
        <f t="shared" si="41"/>
        <v>0.3542119695492234</v>
      </c>
    </row>
    <row r="57" spans="3:20" ht="15" customHeight="1" outlineLevel="1" x14ac:dyDescent="0.3">
      <c r="C57" s="3" t="s">
        <v>173</v>
      </c>
      <c r="D57" s="43"/>
      <c r="E57" s="43"/>
      <c r="F57" s="43"/>
      <c r="G57" s="43"/>
      <c r="H57" s="43"/>
      <c r="I57" s="43"/>
      <c r="J57" s="43"/>
      <c r="K57" s="43"/>
      <c r="L57" s="43"/>
      <c r="P57" s="42"/>
      <c r="Q57" s="42"/>
      <c r="R57" s="42"/>
    </row>
    <row r="58" spans="3:20" ht="15" customHeight="1" outlineLevel="1" x14ac:dyDescent="0.3">
      <c r="C58" s="3" t="s">
        <v>178</v>
      </c>
      <c r="D58" s="43"/>
      <c r="E58" s="43"/>
      <c r="F58" s="43"/>
      <c r="G58" s="43">
        <f>G313/1000</f>
        <v>4.0019999999999998</v>
      </c>
      <c r="H58" s="43">
        <f>H313/1000</f>
        <v>3.0779999999999998</v>
      </c>
      <c r="I58" s="43">
        <f>I313/1000</f>
        <v>2.7749999999999999</v>
      </c>
      <c r="J58" s="43">
        <f>J313/1000</f>
        <v>2.2810000000000001</v>
      </c>
      <c r="K58" s="43">
        <f>K313/1000</f>
        <v>2.448</v>
      </c>
      <c r="L58" s="43">
        <f t="shared" ref="L58:R58" si="42">L313/1000</f>
        <v>1.841</v>
      </c>
      <c r="M58" s="43">
        <f t="shared" si="42"/>
        <v>1.59</v>
      </c>
      <c r="N58" s="43">
        <f t="shared" si="42"/>
        <v>2.04</v>
      </c>
      <c r="O58" s="43">
        <f t="shared" si="42"/>
        <v>1.9797499999999999</v>
      </c>
      <c r="P58" s="43">
        <f t="shared" si="42"/>
        <v>1.8626875000000001</v>
      </c>
      <c r="Q58" s="43">
        <f t="shared" si="42"/>
        <v>1.868109375</v>
      </c>
      <c r="R58" s="43">
        <f t="shared" si="42"/>
        <v>1.9376367187500001</v>
      </c>
    </row>
    <row r="59" spans="3:20" ht="15" customHeight="1" outlineLevel="1" x14ac:dyDescent="0.3">
      <c r="C59" s="3" t="s">
        <v>176</v>
      </c>
      <c r="D59" s="43"/>
      <c r="E59" s="43"/>
      <c r="G59" s="43">
        <f>H313/1000</f>
        <v>3.0779999999999998</v>
      </c>
      <c r="H59" s="43">
        <f>I313/1000</f>
        <v>2.7749999999999999</v>
      </c>
      <c r="I59" s="43">
        <f>J313/1000</f>
        <v>2.2810000000000001</v>
      </c>
      <c r="J59" s="43">
        <f>K313/1000</f>
        <v>2.448</v>
      </c>
      <c r="K59" s="43">
        <f>L313/1000</f>
        <v>1.841</v>
      </c>
      <c r="L59" s="43">
        <f t="shared" ref="L59:R59" si="43">M313/1000</f>
        <v>1.59</v>
      </c>
      <c r="M59" s="43">
        <f t="shared" si="43"/>
        <v>2.04</v>
      </c>
      <c r="N59" s="43">
        <f t="shared" si="43"/>
        <v>1.9797499999999999</v>
      </c>
      <c r="O59" s="43">
        <f t="shared" si="43"/>
        <v>1.8626875000000001</v>
      </c>
      <c r="P59" s="43">
        <f t="shared" si="43"/>
        <v>1.868109375</v>
      </c>
      <c r="Q59" s="43">
        <f t="shared" si="43"/>
        <v>1.9376367187500001</v>
      </c>
      <c r="R59" s="43">
        <f t="shared" si="43"/>
        <v>1.9120458984374999</v>
      </c>
    </row>
    <row r="60" spans="3:20" ht="15" customHeight="1" outlineLevel="1" x14ac:dyDescent="0.3">
      <c r="D60" s="43"/>
      <c r="E60" s="43"/>
      <c r="F60" s="43"/>
      <c r="G60" s="78">
        <f>G58-G59</f>
        <v>0.92399999999999993</v>
      </c>
      <c r="H60" s="78">
        <f t="shared" ref="H60:R60" si="44">H58-H59</f>
        <v>0.30299999999999994</v>
      </c>
      <c r="I60" s="78">
        <f t="shared" si="44"/>
        <v>0.49399999999999977</v>
      </c>
      <c r="J60" s="78">
        <f t="shared" si="44"/>
        <v>-0.16699999999999982</v>
      </c>
      <c r="K60" s="78">
        <f t="shared" si="44"/>
        <v>0.60699999999999998</v>
      </c>
      <c r="L60" s="78">
        <f t="shared" si="44"/>
        <v>0.25099999999999989</v>
      </c>
      <c r="M60" s="78">
        <f t="shared" si="44"/>
        <v>-0.44999999999999996</v>
      </c>
      <c r="N60" s="78">
        <f t="shared" si="44"/>
        <v>6.0250000000000137E-2</v>
      </c>
      <c r="O60" s="78">
        <f t="shared" si="44"/>
        <v>0.11706249999999985</v>
      </c>
      <c r="P60" s="78">
        <f t="shared" si="44"/>
        <v>-5.4218749999999094E-3</v>
      </c>
      <c r="Q60" s="78">
        <f t="shared" si="44"/>
        <v>-6.9527343750000137E-2</v>
      </c>
      <c r="R60" s="78">
        <f t="shared" si="44"/>
        <v>2.5590820312500151E-2</v>
      </c>
    </row>
    <row r="61" spans="3:20" ht="15" customHeight="1" outlineLevel="1" x14ac:dyDescent="0.3">
      <c r="D61" s="43"/>
      <c r="E61" s="43"/>
      <c r="F61" s="43"/>
      <c r="G61" s="43"/>
      <c r="H61" s="43"/>
      <c r="I61" s="43"/>
      <c r="J61" s="43"/>
      <c r="K61" s="43"/>
      <c r="L61" s="43"/>
      <c r="P61" s="42"/>
      <c r="Q61" s="42"/>
      <c r="R61" s="42"/>
    </row>
    <row r="62" spans="3:20" ht="15" customHeight="1" outlineLevel="1" x14ac:dyDescent="0.3">
      <c r="C62" s="3" t="s">
        <v>180</v>
      </c>
      <c r="D62" s="43"/>
      <c r="E62" s="43"/>
      <c r="F62" s="43"/>
      <c r="G62" s="43"/>
      <c r="H62" s="43"/>
      <c r="I62" s="43"/>
      <c r="J62" s="43"/>
      <c r="K62" s="43"/>
      <c r="L62" s="43"/>
      <c r="P62" s="42"/>
      <c r="Q62" s="42"/>
      <c r="R62" s="42"/>
    </row>
    <row r="63" spans="3:20" ht="15" customHeight="1" outlineLevel="1" x14ac:dyDescent="0.3">
      <c r="C63" s="3" t="s">
        <v>178</v>
      </c>
      <c r="D63" s="43"/>
      <c r="E63" s="43"/>
      <c r="F63" s="43"/>
      <c r="G63" s="43">
        <f>G314/1000</f>
        <v>0.54800000000000004</v>
      </c>
      <c r="H63" s="43">
        <f t="shared" ref="H63:R63" si="45">H314/1000</f>
        <v>0.23499999999999999</v>
      </c>
      <c r="I63" s="43">
        <f t="shared" si="45"/>
        <v>0.108</v>
      </c>
      <c r="J63" s="43">
        <f t="shared" si="45"/>
        <v>6.6000000000000003E-2</v>
      </c>
      <c r="K63" s="43">
        <f t="shared" si="45"/>
        <v>1.2270000000000001</v>
      </c>
      <c r="L63" s="43">
        <f t="shared" si="45"/>
        <v>0.78800000000000003</v>
      </c>
      <c r="M63" s="43">
        <f t="shared" si="45"/>
        <v>0.78600000000000003</v>
      </c>
      <c r="N63" s="43">
        <f t="shared" si="45"/>
        <v>0.78600000000000003</v>
      </c>
      <c r="O63" s="43">
        <f t="shared" si="45"/>
        <v>0.78600000000000003</v>
      </c>
      <c r="P63" s="43">
        <f t="shared" si="45"/>
        <v>0.78600000000000003</v>
      </c>
      <c r="Q63" s="43">
        <f t="shared" si="45"/>
        <v>0.78600000000000003</v>
      </c>
      <c r="R63" s="43">
        <f t="shared" si="45"/>
        <v>0.78600000000000003</v>
      </c>
    </row>
    <row r="64" spans="3:20" ht="15" customHeight="1" outlineLevel="1" x14ac:dyDescent="0.3">
      <c r="C64" s="3" t="s">
        <v>176</v>
      </c>
      <c r="D64" s="43"/>
      <c r="E64" s="43"/>
      <c r="F64" s="43"/>
      <c r="G64" s="43">
        <f>H314/1000</f>
        <v>0.23499999999999999</v>
      </c>
      <c r="H64" s="43">
        <f t="shared" ref="H64:R64" si="46">I314/1000</f>
        <v>0.108</v>
      </c>
      <c r="I64" s="43">
        <f t="shared" si="46"/>
        <v>6.6000000000000003E-2</v>
      </c>
      <c r="J64" s="43">
        <f t="shared" si="46"/>
        <v>1.2270000000000001</v>
      </c>
      <c r="K64" s="43">
        <f t="shared" si="46"/>
        <v>0.78800000000000003</v>
      </c>
      <c r="L64" s="43">
        <f t="shared" si="46"/>
        <v>0.78600000000000003</v>
      </c>
      <c r="M64" s="43">
        <f t="shared" si="46"/>
        <v>0.78600000000000003</v>
      </c>
      <c r="N64" s="43">
        <f t="shared" si="46"/>
        <v>0.78600000000000003</v>
      </c>
      <c r="O64" s="43">
        <f t="shared" si="46"/>
        <v>0.78600000000000003</v>
      </c>
      <c r="P64" s="43">
        <f t="shared" si="46"/>
        <v>0.78600000000000003</v>
      </c>
      <c r="Q64" s="43">
        <f t="shared" si="46"/>
        <v>0.78600000000000003</v>
      </c>
      <c r="R64" s="43">
        <f t="shared" si="46"/>
        <v>0.78600000000000003</v>
      </c>
    </row>
    <row r="65" spans="3:19" ht="15" customHeight="1" outlineLevel="1" x14ac:dyDescent="0.3">
      <c r="D65" s="43"/>
      <c r="E65" s="43"/>
      <c r="F65" s="43"/>
      <c r="G65" s="78">
        <f t="shared" ref="G65:R65" si="47">G63-G64</f>
        <v>0.31300000000000006</v>
      </c>
      <c r="H65" s="78">
        <f t="shared" si="47"/>
        <v>0.127</v>
      </c>
      <c r="I65" s="78">
        <f t="shared" si="47"/>
        <v>4.1999999999999996E-2</v>
      </c>
      <c r="J65" s="78">
        <f t="shared" si="47"/>
        <v>-1.161</v>
      </c>
      <c r="K65" s="78">
        <f t="shared" si="47"/>
        <v>0.43900000000000006</v>
      </c>
      <c r="L65" s="78">
        <f t="shared" si="47"/>
        <v>2.0000000000000018E-3</v>
      </c>
      <c r="M65" s="78">
        <f t="shared" si="47"/>
        <v>0</v>
      </c>
      <c r="N65" s="78">
        <f t="shared" si="47"/>
        <v>0</v>
      </c>
      <c r="O65" s="78">
        <f t="shared" si="47"/>
        <v>0</v>
      </c>
      <c r="P65" s="78">
        <f t="shared" si="47"/>
        <v>0</v>
      </c>
      <c r="Q65" s="78">
        <f t="shared" si="47"/>
        <v>0</v>
      </c>
      <c r="R65" s="78">
        <f t="shared" si="47"/>
        <v>0</v>
      </c>
    </row>
    <row r="66" spans="3:19" ht="15" customHeight="1" outlineLevel="1" x14ac:dyDescent="0.3">
      <c r="D66" s="43"/>
      <c r="E66" s="43"/>
      <c r="F66" s="43"/>
      <c r="G66" s="43"/>
      <c r="H66" s="43"/>
      <c r="I66" s="43"/>
      <c r="J66" s="43"/>
      <c r="K66" s="43"/>
      <c r="L66" s="43"/>
      <c r="P66" s="42"/>
      <c r="Q66" s="42"/>
      <c r="R66" s="42"/>
    </row>
    <row r="67" spans="3:19" ht="15" customHeight="1" outlineLevel="1" x14ac:dyDescent="0.3">
      <c r="C67" s="3" t="s">
        <v>174</v>
      </c>
      <c r="D67" s="43"/>
      <c r="E67" s="43"/>
      <c r="F67" s="43"/>
      <c r="G67" s="43"/>
      <c r="H67" s="43"/>
      <c r="I67" s="43"/>
      <c r="J67" s="43"/>
      <c r="K67" s="43"/>
      <c r="L67" s="43"/>
      <c r="P67" s="42"/>
      <c r="Q67" s="42"/>
      <c r="R67" s="42"/>
    </row>
    <row r="68" spans="3:19" ht="15" customHeight="1" outlineLevel="1" x14ac:dyDescent="0.3">
      <c r="C68" s="3" t="s">
        <v>179</v>
      </c>
      <c r="G68" s="43">
        <f>G315/1000</f>
        <v>0.76200000000000001</v>
      </c>
      <c r="H68" s="43">
        <f t="shared" ref="H68:R68" si="48">H315/1000</f>
        <v>0.68500000000000005</v>
      </c>
      <c r="I68" s="43">
        <f t="shared" si="48"/>
        <v>0.32800000000000001</v>
      </c>
      <c r="J68" s="43">
        <f t="shared" si="48"/>
        <v>0.501</v>
      </c>
      <c r="K68" s="43">
        <f t="shared" si="48"/>
        <v>0.35599999999999998</v>
      </c>
      <c r="L68" s="43">
        <f t="shared" si="48"/>
        <v>0.18</v>
      </c>
      <c r="M68" s="43">
        <f t="shared" si="48"/>
        <v>0.36299999999999999</v>
      </c>
      <c r="N68" s="43">
        <f t="shared" si="48"/>
        <v>0.60681203575933951</v>
      </c>
      <c r="O68" s="43">
        <f t="shared" si="48"/>
        <v>0.65477022509918359</v>
      </c>
      <c r="P68" s="43">
        <f t="shared" si="48"/>
        <v>0.56512079540854054</v>
      </c>
      <c r="Q68" s="43">
        <f t="shared" si="48"/>
        <v>0.74501667727005683</v>
      </c>
      <c r="R68" s="43">
        <f t="shared" si="48"/>
        <v>0.71155035659505728</v>
      </c>
      <c r="S68" s="43"/>
    </row>
    <row r="69" spans="3:19" ht="15" customHeight="1" outlineLevel="1" x14ac:dyDescent="0.3">
      <c r="C69" s="3" t="s">
        <v>177</v>
      </c>
      <c r="D69" s="43"/>
      <c r="E69" s="43"/>
      <c r="F69" s="43"/>
      <c r="G69" s="43">
        <f t="shared" ref="G69:L69" si="49">H315/1000</f>
        <v>0.68500000000000005</v>
      </c>
      <c r="H69" s="43">
        <f t="shared" si="49"/>
        <v>0.32800000000000001</v>
      </c>
      <c r="I69" s="43">
        <f t="shared" si="49"/>
        <v>0.501</v>
      </c>
      <c r="J69" s="43">
        <f t="shared" si="49"/>
        <v>0.35599999999999998</v>
      </c>
      <c r="K69" s="43">
        <f t="shared" si="49"/>
        <v>0.18</v>
      </c>
      <c r="L69" s="43">
        <f t="shared" si="49"/>
        <v>0.36299999999999999</v>
      </c>
      <c r="M69" s="43">
        <f t="shared" ref="M69:R69" si="50">(-M16-M23)*M70/1000</f>
        <v>0.60681203575933951</v>
      </c>
      <c r="N69" s="43">
        <f t="shared" si="50"/>
        <v>0.65477022509918359</v>
      </c>
      <c r="O69" s="43">
        <f t="shared" si="50"/>
        <v>0.56512079540854054</v>
      </c>
      <c r="P69" s="43">
        <f t="shared" si="50"/>
        <v>0.74501667727005683</v>
      </c>
      <c r="Q69" s="43">
        <f t="shared" si="50"/>
        <v>0.71155035659505728</v>
      </c>
      <c r="R69" s="43">
        <f t="shared" si="50"/>
        <v>0.7196015190936268</v>
      </c>
      <c r="S69" s="43"/>
    </row>
    <row r="70" spans="3:19" ht="15" customHeight="1" outlineLevel="1" x14ac:dyDescent="0.3">
      <c r="C70" s="3" t="s">
        <v>169</v>
      </c>
      <c r="D70" s="43"/>
      <c r="E70" s="43"/>
      <c r="F70" s="43"/>
      <c r="G70" s="43">
        <f t="shared" ref="G70:L70" si="51">(-G16-G23)/(((G315+H315)/1000)/2)</f>
        <v>20.317899101589493</v>
      </c>
      <c r="H70" s="43">
        <f t="shared" si="51"/>
        <v>33.958538993089839</v>
      </c>
      <c r="I70" s="43">
        <f t="shared" si="51"/>
        <v>42.94330518697226</v>
      </c>
      <c r="J70" s="43">
        <f t="shared" si="51"/>
        <v>37.339556592765462</v>
      </c>
      <c r="K70" s="43">
        <f t="shared" si="51"/>
        <v>36.567164179104481</v>
      </c>
      <c r="L70" s="43">
        <f t="shared" si="51"/>
        <v>46.040515653775316</v>
      </c>
      <c r="M70" s="43">
        <f t="shared" ref="M70:R70" si="52">AVERAGE(I70:L70)</f>
        <v>40.722635403154378</v>
      </c>
      <c r="N70" s="43">
        <f t="shared" si="52"/>
        <v>40.167467957199911</v>
      </c>
      <c r="O70" s="43">
        <f t="shared" si="52"/>
        <v>40.874445798308521</v>
      </c>
      <c r="P70" s="43">
        <f t="shared" si="52"/>
        <v>41.951266203109533</v>
      </c>
      <c r="Q70" s="43">
        <f t="shared" si="52"/>
        <v>40.928953840443086</v>
      </c>
      <c r="R70" s="43">
        <f t="shared" si="52"/>
        <v>40.980533449765261</v>
      </c>
    </row>
    <row r="71" spans="3:19" ht="15" customHeight="1" outlineLevel="1" x14ac:dyDescent="0.3">
      <c r="D71" s="43"/>
      <c r="E71" s="43"/>
      <c r="F71" s="43"/>
      <c r="G71" s="78">
        <f t="shared" ref="G71:R71" si="53">G68-G69</f>
        <v>7.6999999999999957E-2</v>
      </c>
      <c r="H71" s="78">
        <f t="shared" si="53"/>
        <v>0.35700000000000004</v>
      </c>
      <c r="I71" s="78">
        <f t="shared" si="53"/>
        <v>-0.17299999999999999</v>
      </c>
      <c r="J71" s="78">
        <f t="shared" si="53"/>
        <v>0.14500000000000002</v>
      </c>
      <c r="K71" s="78">
        <f t="shared" si="53"/>
        <v>0.17599999999999999</v>
      </c>
      <c r="L71" s="78">
        <f t="shared" si="53"/>
        <v>-0.183</v>
      </c>
      <c r="M71" s="78">
        <f t="shared" si="53"/>
        <v>-0.24381203575933952</v>
      </c>
      <c r="N71" s="78">
        <f t="shared" si="53"/>
        <v>-4.7958189339844082E-2</v>
      </c>
      <c r="O71" s="78">
        <f t="shared" si="53"/>
        <v>8.9649429690643045E-2</v>
      </c>
      <c r="P71" s="78">
        <f t="shared" si="53"/>
        <v>-0.17989588186151628</v>
      </c>
      <c r="Q71" s="78">
        <f t="shared" si="53"/>
        <v>3.346632067499955E-2</v>
      </c>
      <c r="R71" s="78">
        <f t="shared" si="53"/>
        <v>-8.0511624985695196E-3</v>
      </c>
    </row>
    <row r="72" spans="3:19" ht="15" customHeight="1" outlineLevel="1" x14ac:dyDescent="0.3">
      <c r="C72" s="3" t="s">
        <v>181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3:19" ht="15" customHeight="1" outlineLevel="1" x14ac:dyDescent="0.3">
      <c r="C73" s="3" t="s">
        <v>179</v>
      </c>
      <c r="D73" s="43"/>
      <c r="E73" s="43"/>
      <c r="F73" s="43"/>
      <c r="G73" s="43">
        <f>G316/1000</f>
        <v>0.93</v>
      </c>
      <c r="H73" s="43">
        <f t="shared" ref="H73:R73" si="54">H316/1000</f>
        <v>6.3879999999999999</v>
      </c>
      <c r="I73" s="43">
        <f t="shared" si="54"/>
        <v>10.917</v>
      </c>
      <c r="J73" s="43">
        <f t="shared" si="54"/>
        <v>12.178000000000001</v>
      </c>
      <c r="K73" s="43">
        <f t="shared" si="54"/>
        <v>11.102</v>
      </c>
      <c r="L73" s="43">
        <f t="shared" si="54"/>
        <v>7.8890000000000002</v>
      </c>
      <c r="M73" s="43">
        <f t="shared" si="54"/>
        <v>8.1660000000000004</v>
      </c>
      <c r="N73" s="43">
        <f t="shared" si="54"/>
        <v>9.8337500000000002</v>
      </c>
      <c r="O73" s="43">
        <f t="shared" si="54"/>
        <v>9.2476874999999996</v>
      </c>
      <c r="P73" s="43">
        <f t="shared" si="54"/>
        <v>8.7841093749999999</v>
      </c>
      <c r="Q73" s="43">
        <f t="shared" si="54"/>
        <v>9.0078867187499991</v>
      </c>
      <c r="R73" s="43">
        <f t="shared" si="54"/>
        <v>9.2183583984375002</v>
      </c>
    </row>
    <row r="74" spans="3:19" ht="15" customHeight="1" outlineLevel="1" x14ac:dyDescent="0.3">
      <c r="C74" s="3" t="s">
        <v>177</v>
      </c>
      <c r="D74" s="43"/>
      <c r="E74" s="43"/>
      <c r="F74" s="43"/>
      <c r="G74" s="43">
        <f>H316/1000</f>
        <v>6.3879999999999999</v>
      </c>
      <c r="H74" s="43">
        <f t="shared" ref="H74:R74" si="55">I316/1000</f>
        <v>10.917</v>
      </c>
      <c r="I74" s="43">
        <f t="shared" si="55"/>
        <v>12.178000000000001</v>
      </c>
      <c r="J74" s="43">
        <f t="shared" si="55"/>
        <v>11.102</v>
      </c>
      <c r="K74" s="43">
        <f t="shared" si="55"/>
        <v>7.8890000000000002</v>
      </c>
      <c r="L74" s="43">
        <f t="shared" si="55"/>
        <v>8.1660000000000004</v>
      </c>
      <c r="M74" s="43">
        <f t="shared" si="55"/>
        <v>9.8337500000000002</v>
      </c>
      <c r="N74" s="43">
        <f t="shared" si="55"/>
        <v>9.2476874999999996</v>
      </c>
      <c r="O74" s="43">
        <f t="shared" si="55"/>
        <v>8.7841093749999999</v>
      </c>
      <c r="P74" s="43">
        <f t="shared" si="55"/>
        <v>9.0078867187499991</v>
      </c>
      <c r="Q74" s="43">
        <f t="shared" si="55"/>
        <v>9.2183583984375002</v>
      </c>
      <c r="R74" s="43">
        <f t="shared" si="55"/>
        <v>9.0645104980468751</v>
      </c>
    </row>
    <row r="75" spans="3:19" ht="15" customHeight="1" outlineLevel="1" x14ac:dyDescent="0.3">
      <c r="D75" s="43"/>
      <c r="E75" s="43"/>
      <c r="F75" s="43"/>
      <c r="G75" s="78">
        <f>G73-G74</f>
        <v>-5.4580000000000002</v>
      </c>
      <c r="H75" s="78">
        <f t="shared" ref="H75:R75" si="56">H73-H74</f>
        <v>-4.5289999999999999</v>
      </c>
      <c r="I75" s="78">
        <f t="shared" si="56"/>
        <v>-1.261000000000001</v>
      </c>
      <c r="J75" s="78">
        <f t="shared" si="56"/>
        <v>1.0760000000000005</v>
      </c>
      <c r="K75" s="78">
        <f t="shared" si="56"/>
        <v>3.2130000000000001</v>
      </c>
      <c r="L75" s="78">
        <f t="shared" si="56"/>
        <v>-0.27700000000000014</v>
      </c>
      <c r="M75" s="78">
        <f t="shared" si="56"/>
        <v>-1.6677499999999998</v>
      </c>
      <c r="N75" s="78">
        <f t="shared" si="56"/>
        <v>0.5860625000000006</v>
      </c>
      <c r="O75" s="78">
        <f t="shared" si="56"/>
        <v>0.46357812499999973</v>
      </c>
      <c r="P75" s="78">
        <f t="shared" si="56"/>
        <v>-0.22377734374999925</v>
      </c>
      <c r="Q75" s="78">
        <f t="shared" si="56"/>
        <v>-0.21047167968750102</v>
      </c>
      <c r="R75" s="78">
        <f t="shared" si="56"/>
        <v>0.15384790039062501</v>
      </c>
    </row>
    <row r="76" spans="3:19" ht="15" customHeight="1" outlineLevel="1" x14ac:dyDescent="0.3">
      <c r="D76" s="43"/>
      <c r="E76" s="43"/>
      <c r="F76" s="43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3:19" ht="15" customHeight="1" outlineLevel="1" x14ac:dyDescent="0.3">
      <c r="C77" s="3" t="s">
        <v>186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3:19" ht="15" customHeight="1" outlineLevel="1" x14ac:dyDescent="0.3">
      <c r="C78" s="3" t="s">
        <v>179</v>
      </c>
      <c r="D78" s="43"/>
      <c r="E78" s="43"/>
      <c r="F78" s="43"/>
      <c r="G78" s="43">
        <f>G322/1000</f>
        <v>12.465999999999999</v>
      </c>
      <c r="H78" s="43">
        <f t="shared" ref="H78:R78" si="57">H322/1000</f>
        <v>8.9529999999999994</v>
      </c>
      <c r="I78" s="43">
        <f t="shared" si="57"/>
        <v>4.3220000000000001</v>
      </c>
      <c r="J78" s="43">
        <f t="shared" si="57"/>
        <v>4.3369999999999997</v>
      </c>
      <c r="K78" s="43">
        <f t="shared" si="57"/>
        <v>8.0359999999999996</v>
      </c>
      <c r="L78" s="43">
        <f t="shared" si="57"/>
        <v>4.2549999999999999</v>
      </c>
      <c r="M78" s="43">
        <f t="shared" si="57"/>
        <v>4.57</v>
      </c>
      <c r="N78" s="43">
        <f t="shared" si="57"/>
        <v>5.2995000000000001</v>
      </c>
      <c r="O78" s="43">
        <f t="shared" si="57"/>
        <v>5.5401249999999997</v>
      </c>
      <c r="P78" s="43">
        <f t="shared" si="57"/>
        <v>4.9161562500000002</v>
      </c>
      <c r="Q78" s="43">
        <f t="shared" si="57"/>
        <v>5.0814453124999996</v>
      </c>
      <c r="R78" s="43">
        <f t="shared" si="57"/>
        <v>5.2093066406249999</v>
      </c>
    </row>
    <row r="79" spans="3:19" ht="15" customHeight="1" outlineLevel="1" x14ac:dyDescent="0.3">
      <c r="C79" s="3" t="s">
        <v>177</v>
      </c>
      <c r="D79" s="43"/>
      <c r="E79" s="43"/>
      <c r="F79" s="43"/>
      <c r="G79" s="43">
        <f>H322/1000</f>
        <v>8.9529999999999994</v>
      </c>
      <c r="H79" s="43">
        <f t="shared" ref="H79:R79" si="58">I322/1000</f>
        <v>4.3220000000000001</v>
      </c>
      <c r="I79" s="43">
        <f t="shared" si="58"/>
        <v>4.3369999999999997</v>
      </c>
      <c r="J79" s="43">
        <f t="shared" si="58"/>
        <v>8.0359999999999996</v>
      </c>
      <c r="K79" s="43">
        <f t="shared" si="58"/>
        <v>4.2549999999999999</v>
      </c>
      <c r="L79" s="43">
        <f t="shared" si="58"/>
        <v>4.57</v>
      </c>
      <c r="M79" s="43">
        <f t="shared" si="58"/>
        <v>5.2995000000000001</v>
      </c>
      <c r="N79" s="43">
        <f t="shared" si="58"/>
        <v>5.5401249999999997</v>
      </c>
      <c r="O79" s="43">
        <f t="shared" si="58"/>
        <v>4.9161562500000002</v>
      </c>
      <c r="P79" s="43">
        <f t="shared" si="58"/>
        <v>5.0814453124999996</v>
      </c>
      <c r="Q79" s="43">
        <f t="shared" si="58"/>
        <v>5.2093066406249999</v>
      </c>
      <c r="R79" s="43">
        <f t="shared" si="58"/>
        <v>5.1867583007812499</v>
      </c>
    </row>
    <row r="80" spans="3:19" ht="15" customHeight="1" outlineLevel="1" x14ac:dyDescent="0.3">
      <c r="D80" s="43"/>
      <c r="E80" s="43"/>
      <c r="F80" s="43"/>
      <c r="G80" s="78">
        <f>G78-G79</f>
        <v>3.5129999999999999</v>
      </c>
      <c r="H80" s="78">
        <f t="shared" ref="H80:R80" si="59">H78-H79</f>
        <v>4.6309999999999993</v>
      </c>
      <c r="I80" s="78">
        <f t="shared" si="59"/>
        <v>-1.499999999999968E-2</v>
      </c>
      <c r="J80" s="78">
        <f t="shared" si="59"/>
        <v>-3.6989999999999998</v>
      </c>
      <c r="K80" s="78">
        <f t="shared" si="59"/>
        <v>3.7809999999999997</v>
      </c>
      <c r="L80" s="78">
        <f t="shared" si="59"/>
        <v>-0.31500000000000039</v>
      </c>
      <c r="M80" s="78">
        <f t="shared" si="59"/>
        <v>-0.72949999999999982</v>
      </c>
      <c r="N80" s="78">
        <f t="shared" si="59"/>
        <v>-0.24062499999999964</v>
      </c>
      <c r="O80" s="78">
        <f t="shared" si="59"/>
        <v>0.62396874999999952</v>
      </c>
      <c r="P80" s="78">
        <f t="shared" si="59"/>
        <v>-0.16528906249999942</v>
      </c>
      <c r="Q80" s="78">
        <f t="shared" si="59"/>
        <v>-0.12786132812500028</v>
      </c>
      <c r="R80" s="78">
        <f t="shared" si="59"/>
        <v>2.2548339843750043E-2</v>
      </c>
    </row>
    <row r="81" spans="3:18" ht="15" customHeight="1" outlineLevel="1" x14ac:dyDescent="0.3"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3:18" ht="15" customHeight="1" outlineLevel="1" x14ac:dyDescent="0.3">
      <c r="C82" s="3" t="s">
        <v>175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3:18" ht="15" customHeight="1" outlineLevel="1" x14ac:dyDescent="0.3">
      <c r="C83" s="3" t="s">
        <v>183</v>
      </c>
      <c r="D83" s="43"/>
      <c r="E83" s="43"/>
      <c r="F83" s="43"/>
      <c r="G83" s="43">
        <f>G328/1000</f>
        <v>12.945</v>
      </c>
      <c r="H83" s="43">
        <f t="shared" ref="H83:R83" si="60">H328/1000</f>
        <v>12.808</v>
      </c>
      <c r="I83" s="43">
        <f t="shared" si="60"/>
        <v>10.5</v>
      </c>
      <c r="J83" s="43">
        <f t="shared" si="60"/>
        <v>16.04</v>
      </c>
      <c r="K83" s="43">
        <f t="shared" si="60"/>
        <v>8.4710000000000001</v>
      </c>
      <c r="L83" s="43">
        <f t="shared" si="60"/>
        <v>7.6020000000000003</v>
      </c>
      <c r="M83" s="43">
        <f t="shared" si="60"/>
        <v>8.734</v>
      </c>
      <c r="N83" s="43">
        <f t="shared" si="60"/>
        <v>20.104214984012209</v>
      </c>
      <c r="O83" s="43">
        <f t="shared" si="60"/>
        <v>22.024747119949488</v>
      </c>
      <c r="P83" s="43">
        <f t="shared" si="60"/>
        <v>18.837972127509314</v>
      </c>
      <c r="Q83" s="43">
        <f t="shared" si="60"/>
        <v>24.832515478831557</v>
      </c>
      <c r="R83" s="43">
        <f t="shared" si="60"/>
        <v>23.73544636917056</v>
      </c>
    </row>
    <row r="84" spans="3:18" ht="15" customHeight="1" outlineLevel="1" x14ac:dyDescent="0.3">
      <c r="C84" s="3" t="s">
        <v>184</v>
      </c>
      <c r="D84" s="43"/>
      <c r="E84" s="43"/>
      <c r="F84" s="43"/>
      <c r="G84" s="43">
        <f t="shared" ref="G84:L84" si="61">H328/1000</f>
        <v>12.808</v>
      </c>
      <c r="H84" s="43">
        <f t="shared" si="61"/>
        <v>10.5</v>
      </c>
      <c r="I84" s="43">
        <f t="shared" si="61"/>
        <v>16.04</v>
      </c>
      <c r="J84" s="43">
        <f t="shared" si="61"/>
        <v>8.4710000000000001</v>
      </c>
      <c r="K84" s="43">
        <f t="shared" si="61"/>
        <v>7.6020000000000003</v>
      </c>
      <c r="L84" s="43">
        <f t="shared" si="61"/>
        <v>8.734</v>
      </c>
      <c r="M84" s="43">
        <f t="shared" ref="M84:R84" si="62">(-M16-M23)*M85</f>
        <v>20.104214984012209</v>
      </c>
      <c r="N84" s="43">
        <f t="shared" si="62"/>
        <v>22.024747119949488</v>
      </c>
      <c r="O84" s="43">
        <f t="shared" si="62"/>
        <v>18.837972127509314</v>
      </c>
      <c r="P84" s="43">
        <f t="shared" si="62"/>
        <v>24.832515478831557</v>
      </c>
      <c r="Q84" s="43">
        <f t="shared" si="62"/>
        <v>23.73544636917056</v>
      </c>
      <c r="R84" s="43">
        <f t="shared" si="62"/>
        <v>24.044501145560393</v>
      </c>
    </row>
    <row r="85" spans="3:18" ht="15" customHeight="1" outlineLevel="1" x14ac:dyDescent="0.3">
      <c r="C85" s="3" t="s">
        <v>182</v>
      </c>
      <c r="D85" s="43"/>
      <c r="E85" s="43"/>
      <c r="F85" s="43"/>
      <c r="G85" s="43">
        <f>(-G16-G23)/((G328+H328)/1000/2)</f>
        <v>1.1416145691764066</v>
      </c>
      <c r="H85" s="43">
        <f>(-H16-H23)/((H328+I328)/1000/2)</f>
        <v>1.4758881070876955</v>
      </c>
      <c r="I85" s="43">
        <f>(-I16-I23)/((I328+J328)/1000/2)</f>
        <v>1.3413715146948004</v>
      </c>
      <c r="J85" s="43">
        <f>(-J16-J23)/((J328+K328)/1000/2)</f>
        <v>1.3055362898290563</v>
      </c>
      <c r="K85" s="43">
        <f>(-K16-K23)/((K328+L328)/1000/2)</f>
        <v>1.2194363217818702</v>
      </c>
      <c r="L85" s="43">
        <f>(-L16-L23)/(((L328+M328)/1000)/2)</f>
        <v>1.530362389813908</v>
      </c>
      <c r="M85" s="43">
        <f t="shared" ref="M85:R85" si="63">AVERAGE(I85:L85)</f>
        <v>1.349176629029909</v>
      </c>
      <c r="N85" s="43">
        <f t="shared" si="63"/>
        <v>1.351127907613686</v>
      </c>
      <c r="O85" s="43">
        <f t="shared" si="63"/>
        <v>1.3625258120598431</v>
      </c>
      <c r="P85" s="43">
        <f t="shared" si="63"/>
        <v>1.3982981846293365</v>
      </c>
      <c r="Q85" s="43">
        <f t="shared" si="63"/>
        <v>1.3652821333331935</v>
      </c>
      <c r="R85" s="43">
        <f t="shared" si="63"/>
        <v>1.3693085094090147</v>
      </c>
    </row>
    <row r="86" spans="3:18" ht="15" customHeight="1" outlineLevel="1" x14ac:dyDescent="0.3">
      <c r="D86" s="43"/>
      <c r="E86" s="43"/>
      <c r="F86" s="43"/>
      <c r="G86" s="78">
        <f>-(G83-G84)</f>
        <v>-0.13700000000000045</v>
      </c>
      <c r="H86" s="78">
        <f t="shared" ref="H86:R86" si="64">-(H83-H84)</f>
        <v>-2.3079999999999998</v>
      </c>
      <c r="I86" s="78">
        <f t="shared" si="64"/>
        <v>5.5399999999999991</v>
      </c>
      <c r="J86" s="78">
        <f t="shared" si="64"/>
        <v>-7.5689999999999991</v>
      </c>
      <c r="K86" s="78">
        <f t="shared" si="64"/>
        <v>-0.86899999999999977</v>
      </c>
      <c r="L86" s="78">
        <f t="shared" si="64"/>
        <v>1.1319999999999997</v>
      </c>
      <c r="M86" s="78">
        <f t="shared" si="64"/>
        <v>11.370214984012209</v>
      </c>
      <c r="N86" s="78">
        <f t="shared" si="64"/>
        <v>1.9205321359372789</v>
      </c>
      <c r="O86" s="78">
        <f t="shared" si="64"/>
        <v>-3.1867749924401743</v>
      </c>
      <c r="P86" s="78">
        <f t="shared" si="64"/>
        <v>5.9945433513222426</v>
      </c>
      <c r="Q86" s="78">
        <f t="shared" si="64"/>
        <v>-1.0970691096609961</v>
      </c>
      <c r="R86" s="78">
        <f t="shared" si="64"/>
        <v>0.30905477638983214</v>
      </c>
    </row>
    <row r="87" spans="3:18" ht="15" customHeight="1" outlineLevel="1" x14ac:dyDescent="0.3">
      <c r="D87" s="43"/>
      <c r="E87" s="43"/>
      <c r="F87" s="43"/>
      <c r="G87" s="43"/>
      <c r="H87" s="43"/>
      <c r="I87" s="43"/>
      <c r="J87" s="43"/>
      <c r="K87" s="43"/>
      <c r="L87" s="43"/>
      <c r="P87" s="42"/>
      <c r="Q87" s="42"/>
      <c r="R87" s="42"/>
    </row>
    <row r="88" spans="3:18" ht="15" customHeight="1" outlineLevel="1" x14ac:dyDescent="0.3">
      <c r="C88" s="3" t="s">
        <v>187</v>
      </c>
      <c r="D88" s="43"/>
      <c r="E88" s="43"/>
      <c r="F88" s="43"/>
      <c r="G88" s="43"/>
      <c r="H88" s="43"/>
      <c r="I88" s="43"/>
      <c r="J88" s="43"/>
      <c r="K88" s="43"/>
      <c r="L88" s="43"/>
      <c r="P88" s="42"/>
      <c r="Q88" s="42"/>
      <c r="R88" s="42"/>
    </row>
    <row r="89" spans="3:18" ht="15" customHeight="1" outlineLevel="1" x14ac:dyDescent="0.3">
      <c r="C89" s="3" t="s">
        <v>183</v>
      </c>
      <c r="D89" s="43"/>
      <c r="E89" s="43"/>
      <c r="F89" s="43"/>
      <c r="G89" s="43">
        <f>G336/1000</f>
        <v>0.128</v>
      </c>
      <c r="H89" s="43">
        <f t="shared" ref="H89:R89" si="65">H336/1000</f>
        <v>0.128</v>
      </c>
      <c r="I89" s="43">
        <f t="shared" si="65"/>
        <v>0.128</v>
      </c>
      <c r="J89" s="43">
        <f t="shared" si="65"/>
        <v>0.128</v>
      </c>
      <c r="K89" s="43">
        <f t="shared" si="65"/>
        <v>0.126</v>
      </c>
      <c r="L89" s="43">
        <f t="shared" si="65"/>
        <v>0.126</v>
      </c>
      <c r="M89" s="43">
        <f t="shared" si="65"/>
        <v>8.2219999999999995</v>
      </c>
      <c r="N89" s="43">
        <f t="shared" si="65"/>
        <v>2.1505000000000001</v>
      </c>
      <c r="O89" s="43">
        <f t="shared" si="65"/>
        <v>2.6561249999999998</v>
      </c>
      <c r="P89" s="43">
        <f t="shared" si="65"/>
        <v>3.2886562499999998</v>
      </c>
      <c r="Q89" s="43">
        <f t="shared" si="65"/>
        <v>4.0793203125000002</v>
      </c>
      <c r="R89" s="43">
        <f t="shared" si="65"/>
        <v>3.0436503906249999</v>
      </c>
    </row>
    <row r="90" spans="3:18" ht="15" customHeight="1" outlineLevel="1" x14ac:dyDescent="0.3">
      <c r="C90" s="3" t="s">
        <v>184</v>
      </c>
      <c r="D90" s="43"/>
      <c r="E90" s="43"/>
      <c r="F90" s="43"/>
      <c r="G90" s="43">
        <f>H336/1000</f>
        <v>0.128</v>
      </c>
      <c r="H90" s="43">
        <f t="shared" ref="H90:R90" si="66">I336/1000</f>
        <v>0.128</v>
      </c>
      <c r="I90" s="43">
        <f t="shared" si="66"/>
        <v>0.128</v>
      </c>
      <c r="J90" s="43">
        <f t="shared" si="66"/>
        <v>0.126</v>
      </c>
      <c r="K90" s="43">
        <f t="shared" si="66"/>
        <v>0.126</v>
      </c>
      <c r="L90" s="43">
        <f t="shared" si="66"/>
        <v>8.2219999999999995</v>
      </c>
      <c r="M90" s="43">
        <f t="shared" si="66"/>
        <v>2.1505000000000001</v>
      </c>
      <c r="N90" s="43">
        <f t="shared" si="66"/>
        <v>2.6561249999999998</v>
      </c>
      <c r="O90" s="43">
        <f t="shared" si="66"/>
        <v>3.2886562499999998</v>
      </c>
      <c r="P90" s="43">
        <f t="shared" si="66"/>
        <v>4.0793203125000002</v>
      </c>
      <c r="Q90" s="43">
        <f t="shared" si="66"/>
        <v>3.0436503906249999</v>
      </c>
      <c r="R90" s="43">
        <f t="shared" si="66"/>
        <v>3.2669379882812501</v>
      </c>
    </row>
    <row r="91" spans="3:18" ht="15" customHeight="1" outlineLevel="1" x14ac:dyDescent="0.3">
      <c r="D91" s="43"/>
      <c r="E91" s="43"/>
      <c r="F91" s="43"/>
      <c r="G91" s="78">
        <f>-(G89-G90)</f>
        <v>0</v>
      </c>
      <c r="H91" s="78">
        <f t="shared" ref="H91:R91" si="67">-(H89-H90)</f>
        <v>0</v>
      </c>
      <c r="I91" s="78">
        <f t="shared" si="67"/>
        <v>0</v>
      </c>
      <c r="J91" s="78">
        <f t="shared" si="67"/>
        <v>-2.0000000000000018E-3</v>
      </c>
      <c r="K91" s="78">
        <f t="shared" si="67"/>
        <v>0</v>
      </c>
      <c r="L91" s="78">
        <f t="shared" si="67"/>
        <v>8.0960000000000001</v>
      </c>
      <c r="M91" s="78">
        <f t="shared" si="67"/>
        <v>-6.0714999999999995</v>
      </c>
      <c r="N91" s="78">
        <f t="shared" si="67"/>
        <v>0.50562499999999977</v>
      </c>
      <c r="O91" s="78">
        <f t="shared" si="67"/>
        <v>0.63253124999999999</v>
      </c>
      <c r="P91" s="78">
        <f t="shared" si="67"/>
        <v>0.79066406250000032</v>
      </c>
      <c r="Q91" s="78">
        <f t="shared" si="67"/>
        <v>-1.0356699218750003</v>
      </c>
      <c r="R91" s="78">
        <f t="shared" si="67"/>
        <v>0.22328759765625028</v>
      </c>
    </row>
    <row r="92" spans="3:18" ht="15" customHeight="1" outlineLevel="1" x14ac:dyDescent="0.3">
      <c r="D92" s="43"/>
      <c r="E92" s="43"/>
      <c r="F92" s="43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3:18" ht="15" customHeight="1" outlineLevel="1" x14ac:dyDescent="0.3">
      <c r="C93" s="3" t="s">
        <v>308</v>
      </c>
      <c r="D93" s="43"/>
      <c r="E93" s="43"/>
      <c r="F93" s="43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3:18" ht="15" customHeight="1" outlineLevel="1" x14ac:dyDescent="0.3">
      <c r="C94" s="3" t="s">
        <v>309</v>
      </c>
      <c r="D94" s="43"/>
      <c r="E94" s="43"/>
      <c r="F94" s="43"/>
      <c r="G94" s="78">
        <f>G329/1000</f>
        <v>3.8439999999999999</v>
      </c>
      <c r="H94" s="78">
        <f t="shared" ref="H94:N94" si="68">G97</f>
        <v>3.65</v>
      </c>
      <c r="I94" s="78">
        <f t="shared" si="68"/>
        <v>3.032</v>
      </c>
      <c r="J94" s="78">
        <f t="shared" si="68"/>
        <v>2.548</v>
      </c>
      <c r="K94" s="78">
        <f t="shared" si="68"/>
        <v>2.0289999999999999</v>
      </c>
      <c r="L94" s="78">
        <f t="shared" si="68"/>
        <v>1.585</v>
      </c>
      <c r="M94" s="78">
        <f t="shared" si="68"/>
        <v>8.2829999999999995</v>
      </c>
      <c r="N94" s="78">
        <f t="shared" ca="1" si="68"/>
        <v>0</v>
      </c>
      <c r="O94" s="78">
        <f t="shared" ref="O94:R94" ca="1" si="69">N97</f>
        <v>0</v>
      </c>
      <c r="P94" s="78">
        <f t="shared" ca="1" si="69"/>
        <v>0</v>
      </c>
      <c r="Q94" s="78">
        <f t="shared" ca="1" si="69"/>
        <v>0</v>
      </c>
      <c r="R94" s="78">
        <f t="shared" ca="1" si="69"/>
        <v>0</v>
      </c>
    </row>
    <row r="95" spans="3:18" ht="15" customHeight="1" outlineLevel="1" x14ac:dyDescent="0.3">
      <c r="C95" s="3" t="s">
        <v>310</v>
      </c>
      <c r="D95" s="43"/>
      <c r="E95" s="43"/>
      <c r="F95" s="43"/>
      <c r="G95" s="78">
        <f t="shared" ref="G95:R95" si="70">-(G183+G187+G177)</f>
        <v>15.555298230274706</v>
      </c>
      <c r="H95" s="78">
        <f t="shared" si="70"/>
        <v>15.412731663536427</v>
      </c>
      <c r="I95" s="78">
        <f t="shared" si="70"/>
        <v>18.94621267433094</v>
      </c>
      <c r="J95" s="78">
        <f t="shared" si="70"/>
        <v>12.193684918719093</v>
      </c>
      <c r="K95" s="78">
        <f t="shared" ca="1" si="70"/>
        <v>10.487394495788187</v>
      </c>
      <c r="L95" s="78">
        <f t="shared" ca="1" si="70"/>
        <v>12.253603039643592</v>
      </c>
      <c r="M95" s="78">
        <f t="shared" ca="1" si="70"/>
        <v>14.375033636712331</v>
      </c>
      <c r="N95" s="78">
        <f t="shared" ca="1" si="70"/>
        <v>14.297765203290155</v>
      </c>
      <c r="O95" s="78">
        <f t="shared" ca="1" si="70"/>
        <v>13.951806390943871</v>
      </c>
      <c r="P95" s="78">
        <f t="shared" ca="1" si="70"/>
        <v>14.004254898436661</v>
      </c>
      <c r="Q95" s="78">
        <f t="shared" ca="1" si="70"/>
        <v>14.036924669471329</v>
      </c>
      <c r="R95" s="78">
        <f t="shared" ca="1" si="70"/>
        <v>13.95722175107551</v>
      </c>
    </row>
    <row r="96" spans="3:18" ht="15" customHeight="1" outlineLevel="1" x14ac:dyDescent="0.3">
      <c r="C96" s="3" t="s">
        <v>311</v>
      </c>
      <c r="D96" s="43"/>
      <c r="E96" s="43"/>
      <c r="F96" s="43"/>
      <c r="G96" s="78">
        <f>-(G94+G95-G97)</f>
        <v>-15.749298230274706</v>
      </c>
      <c r="H96" s="78">
        <f>-(H94+H95-H97)</f>
        <v>-16.030731663536425</v>
      </c>
      <c r="I96" s="78">
        <f>-(I94+I95-I97)</f>
        <v>-19.430212674330939</v>
      </c>
      <c r="J96" s="78">
        <f t="shared" ref="J96:L96" si="71">-(J94+J95-J97)</f>
        <v>-12.712684918719093</v>
      </c>
      <c r="K96" s="78">
        <f t="shared" ca="1" si="71"/>
        <v>-10.931394495788187</v>
      </c>
      <c r="L96" s="78">
        <f t="shared" ca="1" si="71"/>
        <v>-5.5556030396435911</v>
      </c>
      <c r="M96" s="78">
        <f ca="1">-M94-M95</f>
        <v>-22.658033636712332</v>
      </c>
      <c r="N96" s="78">
        <f ca="1">-N95</f>
        <v>-14.297765203290155</v>
      </c>
      <c r="O96" s="78">
        <f t="shared" ref="O96:R96" ca="1" si="72">-O95</f>
        <v>-13.951806390943871</v>
      </c>
      <c r="P96" s="78">
        <f t="shared" ca="1" si="72"/>
        <v>-14.004254898436661</v>
      </c>
      <c r="Q96" s="78">
        <f t="shared" ca="1" si="72"/>
        <v>-14.036924669471329</v>
      </c>
      <c r="R96" s="78">
        <f t="shared" ca="1" si="72"/>
        <v>-13.95722175107551</v>
      </c>
    </row>
    <row r="97" spans="3:18" ht="15" customHeight="1" outlineLevel="1" x14ac:dyDescent="0.3">
      <c r="C97" s="3" t="s">
        <v>312</v>
      </c>
      <c r="D97" s="43"/>
      <c r="E97" s="43"/>
      <c r="F97" s="43"/>
      <c r="G97" s="78">
        <f t="shared" ref="G97:L97" si="73">H329/1000</f>
        <v>3.65</v>
      </c>
      <c r="H97" s="78">
        <f t="shared" si="73"/>
        <v>3.032</v>
      </c>
      <c r="I97" s="78">
        <f t="shared" si="73"/>
        <v>2.548</v>
      </c>
      <c r="J97" s="78">
        <f t="shared" si="73"/>
        <v>2.0289999999999999</v>
      </c>
      <c r="K97" s="78">
        <f t="shared" si="73"/>
        <v>1.585</v>
      </c>
      <c r="L97" s="78">
        <f t="shared" si="73"/>
        <v>8.2829999999999995</v>
      </c>
      <c r="M97" s="78">
        <f ca="1">SUM(M94:M96)</f>
        <v>0</v>
      </c>
      <c r="N97" s="78">
        <f t="shared" ref="N97:R97" ca="1" si="74">SUM(N94:N96)</f>
        <v>0</v>
      </c>
      <c r="O97" s="78">
        <f t="shared" ca="1" si="74"/>
        <v>0</v>
      </c>
      <c r="P97" s="78">
        <f t="shared" ca="1" si="74"/>
        <v>0</v>
      </c>
      <c r="Q97" s="78">
        <f t="shared" ca="1" si="74"/>
        <v>0</v>
      </c>
      <c r="R97" s="78">
        <f t="shared" ca="1" si="74"/>
        <v>0</v>
      </c>
    </row>
    <row r="98" spans="3:18" ht="15" customHeight="1" outlineLevel="1" x14ac:dyDescent="0.3">
      <c r="D98" s="43"/>
      <c r="E98" s="43"/>
      <c r="F98" s="43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3:18" ht="15" customHeight="1" outlineLevel="1" x14ac:dyDescent="0.3">
      <c r="D99" s="43"/>
      <c r="E99" s="43"/>
      <c r="F99" s="43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3:18" ht="15" customHeight="1" outlineLevel="1" x14ac:dyDescent="0.3">
      <c r="D100" s="43"/>
      <c r="E100" s="43"/>
      <c r="F100" s="43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3:18" ht="15" customHeight="1" outlineLevel="1" x14ac:dyDescent="0.3">
      <c r="D101" s="43"/>
      <c r="E101" s="43"/>
      <c r="F101" s="43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3:18" ht="15" customHeight="1" outlineLevel="1" x14ac:dyDescent="0.3">
      <c r="D102" s="43"/>
      <c r="E102" s="43"/>
      <c r="F102" s="43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3:18" ht="15" customHeight="1" x14ac:dyDescent="0.3">
      <c r="D103" s="43"/>
      <c r="E103" s="43"/>
      <c r="F103" s="43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3:18" ht="15" customHeight="1" x14ac:dyDescent="0.3">
      <c r="C104" s="1" t="s">
        <v>189</v>
      </c>
      <c r="D104" s="43"/>
      <c r="E104" s="43"/>
      <c r="F104" s="43"/>
      <c r="G104" s="145">
        <f t="shared" ref="G104:L104" si="75">G28+G36+G47+G49</f>
        <v>4.0153991199999988</v>
      </c>
      <c r="H104" s="145">
        <f t="shared" si="75"/>
        <v>18.835324030000006</v>
      </c>
      <c r="I104" s="145">
        <f t="shared" si="75"/>
        <v>35.137</v>
      </c>
      <c r="J104" s="145">
        <f t="shared" si="75"/>
        <v>3.3072346999999951</v>
      </c>
      <c r="K104" s="145">
        <f t="shared" si="75"/>
        <v>-12.053605504211813</v>
      </c>
      <c r="L104" s="145">
        <f t="shared" si="75"/>
        <v>10.927603039643591</v>
      </c>
      <c r="M104" s="145">
        <f t="shared" ref="M104:R104" si="76">M28+M36+M47+M49</f>
        <v>-13.173452295669771</v>
      </c>
      <c r="N104" s="145">
        <f t="shared" si="76"/>
        <v>0.78526854727086259</v>
      </c>
      <c r="O104" s="145">
        <f t="shared" si="76"/>
        <v>-0.71487213312891118</v>
      </c>
      <c r="P104" s="145">
        <f t="shared" si="76"/>
        <v>-4.5341659532659495</v>
      </c>
      <c r="Q104" s="145">
        <f t="shared" si="76"/>
        <v>-1.9254320219399963</v>
      </c>
      <c r="R104" s="145">
        <f t="shared" si="76"/>
        <v>-0.32010202490774642</v>
      </c>
    </row>
    <row r="105" spans="3:18" ht="15" customHeight="1" x14ac:dyDescent="0.3">
      <c r="D105" s="43"/>
      <c r="E105" s="43"/>
      <c r="F105" s="43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3:18" ht="15" customHeight="1" x14ac:dyDescent="0.3">
      <c r="C106" s="1" t="s">
        <v>215</v>
      </c>
      <c r="D106" s="43"/>
      <c r="E106" s="43"/>
      <c r="F106" s="43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3:18" ht="15" customHeight="1" x14ac:dyDescent="0.3">
      <c r="D107" s="43"/>
      <c r="E107" s="43"/>
      <c r="F107" s="43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3:18" ht="15" customHeight="1" x14ac:dyDescent="0.3">
      <c r="C108" s="3" t="s">
        <v>217</v>
      </c>
      <c r="D108" s="43"/>
      <c r="E108" s="43"/>
      <c r="F108" s="43"/>
      <c r="G108" s="78">
        <v>0</v>
      </c>
      <c r="H108" s="78">
        <v>-0.34830196000000002</v>
      </c>
      <c r="I108" s="78">
        <v>-8.8041539999999988E-2</v>
      </c>
      <c r="J108" s="78">
        <v>0</v>
      </c>
      <c r="K108" s="78">
        <f t="shared" ref="K108:R108" ca="1" si="77">K177</f>
        <v>-0.49286300303818603</v>
      </c>
      <c r="L108" s="78">
        <f t="shared" ca="1" si="77"/>
        <v>-0.47088404689358987</v>
      </c>
      <c r="M108" s="78">
        <f t="shared" ca="1" si="77"/>
        <v>-0.46315068493150691</v>
      </c>
      <c r="N108" s="78">
        <f t="shared" ca="1" si="77"/>
        <v>-0.46315068493150691</v>
      </c>
      <c r="O108" s="78">
        <f t="shared" ca="1" si="77"/>
        <v>-0.45308219178082193</v>
      </c>
      <c r="P108" s="78">
        <f t="shared" ca="1" si="77"/>
        <v>-0.45811643835616439</v>
      </c>
      <c r="Q108" s="78">
        <f t="shared" ca="1" si="77"/>
        <v>-0.46315068493150691</v>
      </c>
      <c r="R108" s="78">
        <f t="shared" ca="1" si="77"/>
        <v>-0.46315068493150691</v>
      </c>
    </row>
    <row r="109" spans="3:18" ht="15" customHeight="1" x14ac:dyDescent="0.3">
      <c r="C109" s="3" t="s">
        <v>216</v>
      </c>
      <c r="D109" s="43"/>
      <c r="E109" s="43"/>
      <c r="F109" s="43"/>
      <c r="G109" s="78">
        <v>-13.154429199999999</v>
      </c>
      <c r="H109" s="78">
        <v>-12.94305215</v>
      </c>
      <c r="I109" s="78">
        <v>-12.701533679999999</v>
      </c>
      <c r="J109" s="78">
        <v>-11.88068956</v>
      </c>
      <c r="K109" s="78">
        <v>-9.9945314927500011</v>
      </c>
      <c r="L109" s="78">
        <v>-9.9827189927500015</v>
      </c>
      <c r="M109" s="78">
        <f ca="1">M187</f>
        <v>-11.997057738025207</v>
      </c>
      <c r="N109" s="78">
        <f t="shared" ref="N109:R109" ca="1" si="78">N187</f>
        <v>-11.924615713360989</v>
      </c>
      <c r="O109" s="78">
        <f t="shared" ca="1" si="78"/>
        <v>-11.634956693412029</v>
      </c>
      <c r="P109" s="78">
        <f t="shared" ca="1" si="78"/>
        <v>-11.666309079721316</v>
      </c>
      <c r="Q109" s="78">
        <f t="shared" ca="1" si="78"/>
        <v>-11.678025338544408</v>
      </c>
      <c r="R109" s="78">
        <f t="shared" ca="1" si="78"/>
        <v>-11.60310074550288</v>
      </c>
    </row>
    <row r="110" spans="3:18" ht="15" customHeight="1" x14ac:dyDescent="0.3">
      <c r="C110" s="3" t="s">
        <v>218</v>
      </c>
      <c r="D110" s="43"/>
      <c r="E110" s="43"/>
      <c r="F110" s="43"/>
      <c r="G110" s="78">
        <v>-1.9379699200000005</v>
      </c>
      <c r="H110" s="78">
        <v>-1.9379699200000005</v>
      </c>
      <c r="I110" s="78">
        <f>-1.93796992-4</f>
        <v>-5.9379699200000005</v>
      </c>
      <c r="J110" s="78">
        <v>0</v>
      </c>
      <c r="K110" s="78">
        <v>0</v>
      </c>
      <c r="L110" s="78">
        <f>L183</f>
        <v>-1.8</v>
      </c>
      <c r="M110" s="78">
        <f ca="1">M183</f>
        <v>-1.9148252137556165</v>
      </c>
      <c r="N110" s="78">
        <f t="shared" ref="N110:R110" ca="1" si="79">N183</f>
        <v>-1.9099988049976571</v>
      </c>
      <c r="O110" s="78">
        <f t="shared" ca="1" si="79"/>
        <v>-1.8637675057510192</v>
      </c>
      <c r="P110" s="78">
        <f t="shared" ca="1" si="79"/>
        <v>-1.8798293803591808</v>
      </c>
      <c r="Q110" s="78">
        <f t="shared" ca="1" si="79"/>
        <v>-1.8957486459954123</v>
      </c>
      <c r="R110" s="78">
        <f t="shared" ca="1" si="79"/>
        <v>-1.8909703206411224</v>
      </c>
    </row>
    <row r="111" spans="3:18" ht="15" customHeight="1" x14ac:dyDescent="0.3">
      <c r="C111" s="1" t="s">
        <v>219</v>
      </c>
      <c r="D111" s="43"/>
      <c r="E111" s="43"/>
      <c r="F111" s="43"/>
      <c r="G111" s="145">
        <f t="shared" ref="G111:R111" si="80">SUM(G108:G110,G104)</f>
        <v>-11.077000000000002</v>
      </c>
      <c r="H111" s="145">
        <f t="shared" si="80"/>
        <v>3.6060000000000052</v>
      </c>
      <c r="I111" s="145">
        <f t="shared" si="80"/>
        <v>16.40945486</v>
      </c>
      <c r="J111" s="145">
        <f t="shared" si="80"/>
        <v>-8.5734548600000053</v>
      </c>
      <c r="K111" s="145">
        <f t="shared" ca="1" si="80"/>
        <v>-22.541</v>
      </c>
      <c r="L111" s="145">
        <f t="shared" ca="1" si="80"/>
        <v>-1.3260000000000005</v>
      </c>
      <c r="M111" s="145">
        <f t="shared" ca="1" si="80"/>
        <v>-27.5484859323821</v>
      </c>
      <c r="N111" s="145">
        <f t="shared" ca="1" si="80"/>
        <v>-13.512496656019293</v>
      </c>
      <c r="O111" s="145">
        <f t="shared" ca="1" si="80"/>
        <v>-14.666678524072783</v>
      </c>
      <c r="P111" s="145">
        <f t="shared" ca="1" si="80"/>
        <v>-18.538420851702611</v>
      </c>
      <c r="Q111" s="145">
        <f t="shared" ca="1" si="80"/>
        <v>-15.962356691411326</v>
      </c>
      <c r="R111" s="145">
        <f t="shared" ca="1" si="80"/>
        <v>-14.277323775983255</v>
      </c>
    </row>
    <row r="112" spans="3:18" ht="15" customHeight="1" x14ac:dyDescent="0.3">
      <c r="C112" s="3" t="s">
        <v>229</v>
      </c>
      <c r="D112" s="43"/>
      <c r="E112" s="43"/>
      <c r="F112" s="43"/>
      <c r="G112" s="78">
        <f>G200</f>
        <v>0</v>
      </c>
      <c r="H112" s="78">
        <f t="shared" ref="H112:R112" si="81">H200</f>
        <v>0</v>
      </c>
      <c r="I112" s="78">
        <f t="shared" si="81"/>
        <v>0</v>
      </c>
      <c r="J112" s="78">
        <f t="shared" si="81"/>
        <v>0</v>
      </c>
      <c r="K112" s="78">
        <f t="shared" si="81"/>
        <v>0</v>
      </c>
      <c r="L112" s="78">
        <f t="shared" si="81"/>
        <v>0</v>
      </c>
      <c r="M112" s="78">
        <f t="shared" si="81"/>
        <v>-1.2602739726027397</v>
      </c>
      <c r="N112" s="78">
        <f t="shared" si="81"/>
        <v>-1.2602739726027397</v>
      </c>
      <c r="O112" s="78">
        <f t="shared" si="81"/>
        <v>-1.2328767123287672</v>
      </c>
      <c r="P112" s="78">
        <f t="shared" si="81"/>
        <v>-1.2465753424657535</v>
      </c>
      <c r="Q112" s="78">
        <f t="shared" si="81"/>
        <v>-1.2602739726027397</v>
      </c>
      <c r="R112" s="78">
        <f t="shared" si="81"/>
        <v>-1.2602739726027397</v>
      </c>
    </row>
    <row r="113" spans="3:18" ht="15" customHeight="1" x14ac:dyDescent="0.3">
      <c r="C113" s="3" t="s">
        <v>230</v>
      </c>
      <c r="D113" s="43"/>
      <c r="E113" s="43"/>
      <c r="F113" s="43"/>
      <c r="G113" s="78">
        <f>G201</f>
        <v>0</v>
      </c>
      <c r="H113" s="78">
        <f t="shared" ref="H113:R113" si="82">H201</f>
        <v>0</v>
      </c>
      <c r="I113" s="78">
        <f t="shared" si="82"/>
        <v>0</v>
      </c>
      <c r="J113" s="78">
        <f t="shared" si="82"/>
        <v>0</v>
      </c>
      <c r="K113" s="78">
        <f t="shared" ca="1" si="82"/>
        <v>0</v>
      </c>
      <c r="L113" s="78">
        <f t="shared" ca="1" si="82"/>
        <v>0</v>
      </c>
      <c r="M113" s="78">
        <f t="shared" ca="1" si="82"/>
        <v>0</v>
      </c>
      <c r="N113" s="78">
        <f t="shared" ca="1" si="82"/>
        <v>0</v>
      </c>
      <c r="O113" s="78">
        <f t="shared" ca="1" si="82"/>
        <v>0</v>
      </c>
      <c r="P113" s="78">
        <f t="shared" ca="1" si="82"/>
        <v>0</v>
      </c>
      <c r="Q113" s="78">
        <f t="shared" ca="1" si="82"/>
        <v>0</v>
      </c>
      <c r="R113" s="78">
        <f t="shared" ca="1" si="82"/>
        <v>0</v>
      </c>
    </row>
    <row r="114" spans="3:18" ht="15" customHeight="1" x14ac:dyDescent="0.3">
      <c r="C114" s="3" t="s">
        <v>301</v>
      </c>
      <c r="D114" s="43"/>
      <c r="E114" s="43"/>
      <c r="F114" s="43"/>
      <c r="G114" s="78">
        <f t="shared" ref="G114:J114" si="83">-SUM(G132:G133)</f>
        <v>12</v>
      </c>
      <c r="H114" s="78">
        <f t="shared" si="83"/>
        <v>3</v>
      </c>
      <c r="I114" s="78">
        <f t="shared" si="83"/>
        <v>-15</v>
      </c>
      <c r="J114" s="78">
        <f t="shared" si="83"/>
        <v>0</v>
      </c>
      <c r="K114" s="78">
        <f ca="1">-SUM(K132:K133)</f>
        <v>11.9</v>
      </c>
      <c r="L114" s="78">
        <f t="shared" ref="L114:R114" si="84">-SUM(L132:L133)</f>
        <v>-2.1500000000000004</v>
      </c>
      <c r="M114" s="78">
        <f t="shared" ca="1" si="84"/>
        <v>25.25</v>
      </c>
      <c r="N114" s="78">
        <f t="shared" ca="1" si="84"/>
        <v>0</v>
      </c>
      <c r="O114" s="78">
        <f t="shared" ca="1" si="84"/>
        <v>0</v>
      </c>
      <c r="P114" s="78">
        <f t="shared" ca="1" si="84"/>
        <v>0</v>
      </c>
      <c r="Q114" s="78">
        <f t="shared" ca="1" si="84"/>
        <v>0</v>
      </c>
      <c r="R114" s="78">
        <f t="shared" ca="1" si="84"/>
        <v>0</v>
      </c>
    </row>
    <row r="115" spans="3:18" ht="15" customHeight="1" x14ac:dyDescent="0.3">
      <c r="C115" s="3" t="s">
        <v>231</v>
      </c>
      <c r="D115" s="43"/>
      <c r="E115" s="43"/>
      <c r="F115" s="43"/>
      <c r="G115" s="78">
        <f>G203</f>
        <v>0</v>
      </c>
      <c r="H115" s="78">
        <f t="shared" ref="H115:R115" si="85">H203</f>
        <v>0</v>
      </c>
      <c r="I115" s="78">
        <f t="shared" si="85"/>
        <v>0</v>
      </c>
      <c r="J115" s="78">
        <f t="shared" si="85"/>
        <v>0</v>
      </c>
      <c r="K115" s="78">
        <f t="shared" si="85"/>
        <v>0</v>
      </c>
      <c r="L115" s="78">
        <f t="shared" si="85"/>
        <v>0</v>
      </c>
      <c r="M115" s="78">
        <f t="shared" si="85"/>
        <v>0</v>
      </c>
      <c r="N115" s="78">
        <f t="shared" si="85"/>
        <v>0</v>
      </c>
      <c r="O115" s="78">
        <f t="shared" si="85"/>
        <v>0</v>
      </c>
      <c r="P115" s="78">
        <f t="shared" si="85"/>
        <v>0</v>
      </c>
      <c r="Q115" s="78">
        <f t="shared" si="85"/>
        <v>0</v>
      </c>
      <c r="R115" s="78">
        <f t="shared" si="85"/>
        <v>0</v>
      </c>
    </row>
    <row r="116" spans="3:18" ht="15" customHeight="1" x14ac:dyDescent="0.3">
      <c r="C116" s="1" t="s">
        <v>232</v>
      </c>
      <c r="D116" s="43"/>
      <c r="E116" s="43"/>
      <c r="F116" s="43"/>
      <c r="G116" s="145">
        <f>SUM(G111:G115)</f>
        <v>0.92299999999999827</v>
      </c>
      <c r="H116" s="145">
        <f t="shared" ref="H116:R116" si="86">SUM(H111:H115)</f>
        <v>6.6060000000000052</v>
      </c>
      <c r="I116" s="145">
        <f t="shared" si="86"/>
        <v>1.4094548600000003</v>
      </c>
      <c r="J116" s="145">
        <f t="shared" si="86"/>
        <v>-8.5734548600000053</v>
      </c>
      <c r="K116" s="145">
        <f t="shared" ca="1" si="86"/>
        <v>-10.641</v>
      </c>
      <c r="L116" s="145">
        <f t="shared" ca="1" si="86"/>
        <v>-3.4760000000000009</v>
      </c>
      <c r="M116" s="145">
        <f t="shared" ca="1" si="86"/>
        <v>-3.5587599049848393</v>
      </c>
      <c r="N116" s="145">
        <f t="shared" ca="1" si="86"/>
        <v>-14.772770628622032</v>
      </c>
      <c r="O116" s="145">
        <f t="shared" ca="1" si="86"/>
        <v>-15.89955523640155</v>
      </c>
      <c r="P116" s="145">
        <f t="shared" ca="1" si="86"/>
        <v>-19.784996194168365</v>
      </c>
      <c r="Q116" s="145">
        <f t="shared" ca="1" si="86"/>
        <v>-17.222630664014066</v>
      </c>
      <c r="R116" s="145">
        <f t="shared" ca="1" si="86"/>
        <v>-15.537597748585995</v>
      </c>
    </row>
    <row r="117" spans="3:18" ht="15" customHeight="1" x14ac:dyDescent="0.3">
      <c r="C117" s="3" t="s">
        <v>233</v>
      </c>
      <c r="D117" s="43"/>
      <c r="E117" s="43"/>
      <c r="F117" s="43"/>
      <c r="G117" s="78">
        <v>0</v>
      </c>
      <c r="H117" s="78">
        <v>0</v>
      </c>
      <c r="I117" s="78">
        <v>0</v>
      </c>
      <c r="J117" s="78">
        <v>0</v>
      </c>
      <c r="K117" s="78">
        <v>0</v>
      </c>
      <c r="L117" s="78">
        <v>0</v>
      </c>
      <c r="M117" s="78">
        <f ca="1">M118-M116</f>
        <v>0</v>
      </c>
      <c r="N117" s="78">
        <f t="shared" ref="N117:R117" ca="1" si="87">N118-N116</f>
        <v>0</v>
      </c>
      <c r="O117" s="78">
        <f t="shared" ca="1" si="87"/>
        <v>0</v>
      </c>
      <c r="P117" s="78">
        <f t="shared" ca="1" si="87"/>
        <v>0</v>
      </c>
      <c r="Q117" s="78">
        <f t="shared" ca="1" si="87"/>
        <v>0</v>
      </c>
      <c r="R117" s="78">
        <f t="shared" ca="1" si="87"/>
        <v>0</v>
      </c>
    </row>
    <row r="118" spans="3:18" ht="15" customHeight="1" x14ac:dyDescent="0.3">
      <c r="C118" s="1" t="s">
        <v>234</v>
      </c>
      <c r="D118" s="43"/>
      <c r="E118" s="43"/>
      <c r="F118" s="43"/>
      <c r="G118" s="145">
        <f>G204</f>
        <v>0.92299999999999827</v>
      </c>
      <c r="H118" s="145">
        <f t="shared" ref="H118:R118" si="88">H204</f>
        <v>6.6060000000000052</v>
      </c>
      <c r="I118" s="145">
        <f t="shared" si="88"/>
        <v>1.4094548600000003</v>
      </c>
      <c r="J118" s="145">
        <f t="shared" si="88"/>
        <v>-8.5734548600000053</v>
      </c>
      <c r="K118" s="145">
        <f t="shared" ca="1" si="88"/>
        <v>-10.641</v>
      </c>
      <c r="L118" s="145">
        <f t="shared" ca="1" si="88"/>
        <v>-3.4760000000000009</v>
      </c>
      <c r="M118" s="145">
        <f t="shared" ca="1" si="88"/>
        <v>-3.5587599049848393</v>
      </c>
      <c r="N118" s="145">
        <f t="shared" ca="1" si="88"/>
        <v>-14.772770628622032</v>
      </c>
      <c r="O118" s="145">
        <f t="shared" ca="1" si="88"/>
        <v>-15.89955523640155</v>
      </c>
      <c r="P118" s="145">
        <f t="shared" ca="1" si="88"/>
        <v>-19.784996194168365</v>
      </c>
      <c r="Q118" s="145">
        <f t="shared" ca="1" si="88"/>
        <v>-17.222630664014066</v>
      </c>
      <c r="R118" s="145">
        <f t="shared" ca="1" si="88"/>
        <v>-15.537597748585995</v>
      </c>
    </row>
    <row r="119" spans="3:18" ht="15" customHeight="1" x14ac:dyDescent="0.3">
      <c r="C119" s="3" t="s">
        <v>235</v>
      </c>
      <c r="D119" s="43"/>
      <c r="E119" s="43"/>
      <c r="F119" s="43"/>
      <c r="G119" s="78">
        <v>0</v>
      </c>
      <c r="H119" s="78">
        <v>0</v>
      </c>
      <c r="I119" s="78">
        <v>0</v>
      </c>
      <c r="J119" s="78">
        <v>0</v>
      </c>
      <c r="K119" s="78">
        <v>0</v>
      </c>
      <c r="L119" s="78">
        <v>0</v>
      </c>
      <c r="M119" s="78">
        <f ca="1">-(M118+M121-M122)</f>
        <v>3.5587599049848393</v>
      </c>
      <c r="N119" s="78">
        <f t="shared" ref="N119:R119" ca="1" si="89">-(N118+N121-N122)</f>
        <v>14.772770628622032</v>
      </c>
      <c r="O119" s="78">
        <f t="shared" ca="1" si="89"/>
        <v>15.89955523640155</v>
      </c>
      <c r="P119" s="78">
        <f t="shared" ca="1" si="89"/>
        <v>19.784996194168365</v>
      </c>
      <c r="Q119" s="78">
        <f t="shared" ca="1" si="89"/>
        <v>17.222630664014066</v>
      </c>
      <c r="R119" s="78">
        <f t="shared" ca="1" si="89"/>
        <v>15.537597748585995</v>
      </c>
    </row>
    <row r="120" spans="3:18" ht="15" customHeight="1" x14ac:dyDescent="0.3">
      <c r="C120" s="3" t="s">
        <v>236</v>
      </c>
      <c r="D120" s="43"/>
      <c r="E120" s="43"/>
      <c r="F120" s="43"/>
      <c r="G120" s="78">
        <f>G207</f>
        <v>0</v>
      </c>
      <c r="H120" s="78">
        <f t="shared" ref="H120:R120" si="90">H207</f>
        <v>0</v>
      </c>
      <c r="I120" s="78">
        <f t="shared" si="90"/>
        <v>0</v>
      </c>
      <c r="J120" s="78">
        <f t="shared" si="90"/>
        <v>0</v>
      </c>
      <c r="K120" s="78">
        <f t="shared" si="90"/>
        <v>0</v>
      </c>
      <c r="L120" s="78">
        <f t="shared" si="90"/>
        <v>0</v>
      </c>
      <c r="M120" s="78">
        <f t="shared" ca="1" si="90"/>
        <v>0</v>
      </c>
      <c r="N120" s="78">
        <f t="shared" ca="1" si="90"/>
        <v>0</v>
      </c>
      <c r="O120" s="78">
        <f t="shared" ca="1" si="90"/>
        <v>0</v>
      </c>
      <c r="P120" s="78">
        <f t="shared" ca="1" si="90"/>
        <v>0</v>
      </c>
      <c r="Q120" s="78">
        <f t="shared" ca="1" si="90"/>
        <v>0</v>
      </c>
      <c r="R120" s="78">
        <f t="shared" ca="1" si="90"/>
        <v>0</v>
      </c>
    </row>
    <row r="121" spans="3:18" ht="15" customHeight="1" x14ac:dyDescent="0.3">
      <c r="C121" s="1" t="s">
        <v>324</v>
      </c>
      <c r="D121" s="43"/>
      <c r="E121" s="43"/>
      <c r="F121" s="43"/>
      <c r="G121" s="78">
        <f>-G243</f>
        <v>0</v>
      </c>
      <c r="H121" s="78">
        <f t="shared" ref="H121:R121" si="91">-H243</f>
        <v>0</v>
      </c>
      <c r="I121" s="78">
        <f t="shared" si="91"/>
        <v>0</v>
      </c>
      <c r="J121" s="78">
        <f t="shared" si="91"/>
        <v>0</v>
      </c>
      <c r="K121" s="78">
        <f t="shared" si="91"/>
        <v>0</v>
      </c>
      <c r="L121" s="78">
        <f t="shared" ca="1" si="91"/>
        <v>0</v>
      </c>
      <c r="M121" s="78">
        <f t="shared" ca="1" si="91"/>
        <v>0</v>
      </c>
      <c r="N121" s="78">
        <f t="shared" ca="1" si="91"/>
        <v>0</v>
      </c>
      <c r="O121" s="78">
        <f t="shared" ca="1" si="91"/>
        <v>0</v>
      </c>
      <c r="P121" s="78">
        <f t="shared" ca="1" si="91"/>
        <v>0</v>
      </c>
      <c r="Q121" s="78">
        <f t="shared" ca="1" si="91"/>
        <v>0</v>
      </c>
      <c r="R121" s="78">
        <f t="shared" ca="1" si="91"/>
        <v>0</v>
      </c>
    </row>
    <row r="122" spans="3:18" ht="15" customHeight="1" x14ac:dyDescent="0.3">
      <c r="C122" s="3" t="s">
        <v>237</v>
      </c>
      <c r="D122" s="43"/>
      <c r="E122" s="43"/>
      <c r="F122" s="43"/>
      <c r="G122" s="78">
        <v>0</v>
      </c>
      <c r="H122" s="78">
        <v>0</v>
      </c>
      <c r="I122" s="78">
        <v>0</v>
      </c>
      <c r="J122" s="78">
        <v>0</v>
      </c>
      <c r="K122" s="78">
        <v>0</v>
      </c>
      <c r="L122" s="78">
        <v>0</v>
      </c>
      <c r="M122" s="78">
        <v>0</v>
      </c>
      <c r="N122" s="78">
        <v>0</v>
      </c>
      <c r="O122" s="78">
        <v>0</v>
      </c>
      <c r="P122" s="78">
        <v>0</v>
      </c>
      <c r="Q122" s="78">
        <v>0</v>
      </c>
      <c r="R122" s="78">
        <v>0</v>
      </c>
    </row>
    <row r="123" spans="3:18" ht="15" customHeight="1" x14ac:dyDescent="0.3">
      <c r="C123" s="3" t="s">
        <v>238</v>
      </c>
      <c r="D123" s="43"/>
      <c r="E123" s="43"/>
      <c r="F123" s="43"/>
      <c r="G123" s="78">
        <f>G200</f>
        <v>0</v>
      </c>
      <c r="H123" s="78">
        <f t="shared" ref="H123:R123" si="92">H200</f>
        <v>0</v>
      </c>
      <c r="I123" s="78">
        <f t="shared" si="92"/>
        <v>0</v>
      </c>
      <c r="J123" s="78">
        <f t="shared" si="92"/>
        <v>0</v>
      </c>
      <c r="K123" s="78">
        <f t="shared" si="92"/>
        <v>0</v>
      </c>
      <c r="L123" s="78">
        <f t="shared" si="92"/>
        <v>0</v>
      </c>
      <c r="M123" s="78">
        <f t="shared" si="92"/>
        <v>-1.2602739726027397</v>
      </c>
      <c r="N123" s="78">
        <f t="shared" si="92"/>
        <v>-1.2602739726027397</v>
      </c>
      <c r="O123" s="78">
        <f t="shared" si="92"/>
        <v>-1.2328767123287672</v>
      </c>
      <c r="P123" s="78">
        <f t="shared" si="92"/>
        <v>-1.2465753424657535</v>
      </c>
      <c r="Q123" s="78">
        <f t="shared" si="92"/>
        <v>-1.2602739726027397</v>
      </c>
      <c r="R123" s="78">
        <f t="shared" si="92"/>
        <v>-1.2602739726027397</v>
      </c>
    </row>
    <row r="124" spans="3:18" ht="15" customHeight="1" x14ac:dyDescent="0.3">
      <c r="C124" s="3" t="s">
        <v>239</v>
      </c>
      <c r="D124" s="152">
        <v>43555</v>
      </c>
      <c r="E124" s="152">
        <v>44196</v>
      </c>
      <c r="F124" s="43"/>
      <c r="G124" s="78">
        <f t="shared" ref="G124:R124" si="93">IF(AND(G5&gt;=$D124,G5&lt;=$E124),1,0)</f>
        <v>1</v>
      </c>
      <c r="H124" s="78">
        <f t="shared" si="93"/>
        <v>1</v>
      </c>
      <c r="I124" s="78">
        <f t="shared" si="93"/>
        <v>1</v>
      </c>
      <c r="J124" s="78">
        <f t="shared" si="93"/>
        <v>1</v>
      </c>
      <c r="K124" s="78">
        <f t="shared" si="93"/>
        <v>1</v>
      </c>
      <c r="L124" s="78">
        <f t="shared" si="93"/>
        <v>1</v>
      </c>
      <c r="M124" s="78">
        <f t="shared" si="93"/>
        <v>1</v>
      </c>
      <c r="N124" s="78">
        <f t="shared" si="93"/>
        <v>1</v>
      </c>
      <c r="O124" s="78">
        <f t="shared" si="93"/>
        <v>0</v>
      </c>
      <c r="P124" s="78">
        <f t="shared" si="93"/>
        <v>0</v>
      </c>
      <c r="Q124" s="78">
        <f t="shared" si="93"/>
        <v>0</v>
      </c>
      <c r="R124" s="78">
        <f t="shared" si="93"/>
        <v>0</v>
      </c>
    </row>
    <row r="125" spans="3:18" ht="15" customHeight="1" x14ac:dyDescent="0.3">
      <c r="C125" s="3" t="s">
        <v>296</v>
      </c>
      <c r="D125" s="43"/>
      <c r="E125" s="43"/>
      <c r="F125" s="43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3:18" ht="15" customHeight="1" x14ac:dyDescent="0.3">
      <c r="C126" s="3" t="s">
        <v>240</v>
      </c>
      <c r="D126" s="43"/>
      <c r="E126" s="43"/>
      <c r="F126" s="43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spans="3:18" ht="15" customHeight="1" x14ac:dyDescent="0.3">
      <c r="C127" s="3" t="s">
        <v>241</v>
      </c>
      <c r="D127" s="43"/>
      <c r="E127" s="43"/>
      <c r="F127" s="43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</row>
    <row r="128" spans="3:18" ht="15" customHeight="1" x14ac:dyDescent="0.3">
      <c r="D128" s="43"/>
      <c r="E128" s="43"/>
      <c r="F128" s="43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</row>
    <row r="129" spans="3:18" ht="15" customHeight="1" x14ac:dyDescent="0.3">
      <c r="C129" s="1"/>
      <c r="D129" s="43"/>
      <c r="E129" s="43"/>
      <c r="F129" s="43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</row>
    <row r="130" spans="3:18" ht="15" customHeight="1" x14ac:dyDescent="0.3">
      <c r="C130" s="1" t="s">
        <v>297</v>
      </c>
      <c r="D130" s="43"/>
      <c r="E130" s="43"/>
      <c r="F130" s="43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</row>
    <row r="131" spans="3:18" ht="15" customHeight="1" x14ac:dyDescent="0.3">
      <c r="C131" s="3" t="s">
        <v>226</v>
      </c>
      <c r="D131" s="43"/>
      <c r="E131" s="43"/>
      <c r="F131" s="43"/>
      <c r="G131" s="78">
        <v>35</v>
      </c>
      <c r="H131" s="78">
        <f>G134</f>
        <v>23</v>
      </c>
      <c r="I131" s="78">
        <f t="shared" ref="I131:R131" si="94">H134</f>
        <v>20</v>
      </c>
      <c r="J131" s="78">
        <f t="shared" si="94"/>
        <v>35</v>
      </c>
      <c r="K131" s="78">
        <f t="shared" si="94"/>
        <v>35</v>
      </c>
      <c r="L131" s="78">
        <f t="shared" ca="1" si="94"/>
        <v>23.1</v>
      </c>
      <c r="M131" s="78">
        <f t="shared" ca="1" si="94"/>
        <v>25.25</v>
      </c>
      <c r="N131" s="78">
        <f t="shared" ca="1" si="94"/>
        <v>0</v>
      </c>
      <c r="O131" s="78">
        <f t="shared" ca="1" si="94"/>
        <v>0</v>
      </c>
      <c r="P131" s="78">
        <f t="shared" ca="1" si="94"/>
        <v>0</v>
      </c>
      <c r="Q131" s="78">
        <f t="shared" ca="1" si="94"/>
        <v>0</v>
      </c>
      <c r="R131" s="78">
        <f t="shared" ca="1" si="94"/>
        <v>0</v>
      </c>
    </row>
    <row r="132" spans="3:18" ht="15" customHeight="1" x14ac:dyDescent="0.3">
      <c r="C132" s="3" t="s">
        <v>227</v>
      </c>
      <c r="D132" s="43"/>
      <c r="E132" s="43"/>
      <c r="F132" s="43"/>
      <c r="G132" s="78">
        <f>-12000/1000</f>
        <v>-12</v>
      </c>
      <c r="H132" s="78">
        <f>-(15000-12000)/1000</f>
        <v>-3</v>
      </c>
      <c r="I132" s="78">
        <f t="shared" ref="I132:R132" si="95">IF(SUM(I111:I113)&gt;=0,0,MAX(SUM(I111:I113),-I131))</f>
        <v>0</v>
      </c>
      <c r="J132" s="78">
        <v>0</v>
      </c>
      <c r="K132" s="78">
        <f>-11900/1000</f>
        <v>-11.9</v>
      </c>
      <c r="L132" s="78">
        <v>0</v>
      </c>
      <c r="M132" s="78">
        <f ca="1">IF(SUM(M111:M113)&gt;=0,0,MAX(SUM(M111:M113),-M131))</f>
        <v>-25.25</v>
      </c>
      <c r="N132" s="78">
        <f t="shared" ca="1" si="95"/>
        <v>0</v>
      </c>
      <c r="O132" s="78">
        <f t="shared" ca="1" si="95"/>
        <v>0</v>
      </c>
      <c r="P132" s="78">
        <f t="shared" ca="1" si="95"/>
        <v>0</v>
      </c>
      <c r="Q132" s="78">
        <f t="shared" ca="1" si="95"/>
        <v>0</v>
      </c>
      <c r="R132" s="78">
        <f t="shared" ca="1" si="95"/>
        <v>0</v>
      </c>
    </row>
    <row r="133" spans="3:18" ht="15" customHeight="1" x14ac:dyDescent="0.3">
      <c r="C133" s="3" t="s">
        <v>228</v>
      </c>
      <c r="D133" s="43"/>
      <c r="E133" s="43"/>
      <c r="F133" s="43"/>
      <c r="G133" s="78">
        <f t="shared" ref="G133:K133" si="96">IF(SUM(G131:G132)&gt;=35,0,MIN(SUM(G111:G113),35-SUM(G111:G113),35-G131))*(SUM(G111:G113)&gt;0)</f>
        <v>0</v>
      </c>
      <c r="H133" s="78">
        <v>0</v>
      </c>
      <c r="I133" s="78">
        <f>IF(SUM(I131:I132)&gt;=35,0,MIN(SUM(I111:I113),35-SUM(I111:I113),35-I131))*(SUM(I111:I113)&gt;0)</f>
        <v>15</v>
      </c>
      <c r="J133" s="78">
        <f t="shared" si="96"/>
        <v>0</v>
      </c>
      <c r="K133" s="78">
        <f t="shared" ca="1" si="96"/>
        <v>0</v>
      </c>
      <c r="L133" s="78">
        <f>(11900/1000-9750/1000)</f>
        <v>2.1500000000000004</v>
      </c>
      <c r="M133" s="78">
        <f t="shared" ref="M133:O133" ca="1" si="97">IF(SUM(M131:M132)&gt;=35,0,MIN(SUM(M111:M113),35-M131))*(SUM(M111:M113)&gt;0)</f>
        <v>0</v>
      </c>
      <c r="N133" s="78">
        <f t="shared" ca="1" si="97"/>
        <v>0</v>
      </c>
      <c r="O133" s="78">
        <f t="shared" ca="1" si="97"/>
        <v>0</v>
      </c>
      <c r="P133" s="78">
        <f ca="1">IF(SUM(P131:P132)&gt;=35,0,MIN(SUM(P111:P113),35-P131))*(SUM(P111:P113)&gt;0)</f>
        <v>0</v>
      </c>
      <c r="Q133" s="78">
        <f t="shared" ref="Q133:R133" ca="1" si="98">IF(SUM(Q131:Q132)&gt;=35,0,MIN(SUM(Q111:Q113),35-Q131))*(SUM(Q111:Q113)&gt;0)</f>
        <v>0</v>
      </c>
      <c r="R133" s="78">
        <f t="shared" ca="1" si="98"/>
        <v>0</v>
      </c>
    </row>
    <row r="134" spans="3:18" ht="15" customHeight="1" x14ac:dyDescent="0.3">
      <c r="C134" s="3" t="s">
        <v>176</v>
      </c>
      <c r="D134" s="43"/>
      <c r="E134" s="43"/>
      <c r="F134" s="43"/>
      <c r="G134" s="78">
        <f>SUM(G131:G133)</f>
        <v>23</v>
      </c>
      <c r="H134" s="78">
        <f t="shared" ref="H134:M134" si="99">SUM(H131:H133)</f>
        <v>20</v>
      </c>
      <c r="I134" s="78">
        <f t="shared" si="99"/>
        <v>35</v>
      </c>
      <c r="J134" s="78">
        <f t="shared" si="99"/>
        <v>35</v>
      </c>
      <c r="K134" s="78">
        <f t="shared" ca="1" si="99"/>
        <v>23.1</v>
      </c>
      <c r="L134" s="78">
        <f t="shared" ca="1" si="99"/>
        <v>25.25</v>
      </c>
      <c r="M134" s="78">
        <f t="shared" ca="1" si="99"/>
        <v>0</v>
      </c>
      <c r="N134" s="78">
        <f ca="1">SUM(N131:N133)</f>
        <v>0</v>
      </c>
      <c r="O134" s="78">
        <f ca="1">SUM(O131:O133)</f>
        <v>0</v>
      </c>
      <c r="P134" s="78">
        <f ca="1">SUM(P131:P133)</f>
        <v>0</v>
      </c>
      <c r="Q134" s="78">
        <f ca="1">SUM(Q131:Q133)</f>
        <v>0</v>
      </c>
      <c r="R134" s="78">
        <f ca="1">SUM(R131:R133)</f>
        <v>0</v>
      </c>
    </row>
    <row r="135" spans="3:18" ht="15" customHeight="1" x14ac:dyDescent="0.3">
      <c r="D135" s="43"/>
      <c r="E135" s="43"/>
      <c r="F135" s="43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</row>
    <row r="136" spans="3:18" ht="15" customHeight="1" x14ac:dyDescent="0.3">
      <c r="C136" s="3" t="s">
        <v>242</v>
      </c>
      <c r="D136" s="43"/>
      <c r="E136" s="43"/>
      <c r="F136" s="43"/>
      <c r="G136" s="78">
        <f t="shared" ref="G136:M136" si="100">35-G134</f>
        <v>12</v>
      </c>
      <c r="H136" s="78">
        <f t="shared" si="100"/>
        <v>15</v>
      </c>
      <c r="I136" s="78">
        <f t="shared" si="100"/>
        <v>0</v>
      </c>
      <c r="J136" s="78">
        <f t="shared" si="100"/>
        <v>0</v>
      </c>
      <c r="K136" s="78">
        <f t="shared" ca="1" si="100"/>
        <v>11.899999999999999</v>
      </c>
      <c r="L136" s="78">
        <f t="shared" ca="1" si="100"/>
        <v>9.75</v>
      </c>
      <c r="M136" s="78">
        <f t="shared" ca="1" si="100"/>
        <v>35</v>
      </c>
      <c r="N136" s="78">
        <f t="shared" ref="N136:R136" ca="1" si="101">35-N134</f>
        <v>35</v>
      </c>
      <c r="O136" s="78">
        <f t="shared" ca="1" si="101"/>
        <v>35</v>
      </c>
      <c r="P136" s="78">
        <f t="shared" ca="1" si="101"/>
        <v>35</v>
      </c>
      <c r="Q136" s="78">
        <f t="shared" ca="1" si="101"/>
        <v>35</v>
      </c>
      <c r="R136" s="78">
        <f t="shared" ca="1" si="101"/>
        <v>35</v>
      </c>
    </row>
    <row r="137" spans="3:18" ht="15" customHeight="1" x14ac:dyDescent="0.3">
      <c r="C137" s="3" t="s">
        <v>243</v>
      </c>
      <c r="D137" s="43"/>
      <c r="E137" s="43"/>
      <c r="F137" s="43"/>
      <c r="G137" s="78">
        <f>G144</f>
        <v>16.100000000000001</v>
      </c>
      <c r="H137" s="78">
        <f t="shared" ref="H137:R137" si="102">H144</f>
        <v>16.100000000000001</v>
      </c>
      <c r="I137" s="78">
        <f t="shared" si="102"/>
        <v>16.100000000000001</v>
      </c>
      <c r="J137" s="78">
        <f t="shared" si="102"/>
        <v>16.100000000000001</v>
      </c>
      <c r="K137" s="78">
        <f t="shared" ca="1" si="102"/>
        <v>14.929601944530823</v>
      </c>
      <c r="L137" s="78">
        <f t="shared" ca="1" si="102"/>
        <v>15.623497470139471</v>
      </c>
      <c r="M137" s="78">
        <f ca="1">M144</f>
        <v>0</v>
      </c>
      <c r="N137" s="78">
        <f ca="1">N144</f>
        <v>0</v>
      </c>
      <c r="O137" s="78">
        <f ca="1">O144</f>
        <v>0</v>
      </c>
      <c r="P137" s="78">
        <f t="shared" ca="1" si="102"/>
        <v>0</v>
      </c>
      <c r="Q137" s="78">
        <f t="shared" ca="1" si="102"/>
        <v>0</v>
      </c>
      <c r="R137" s="78">
        <f t="shared" ca="1" si="102"/>
        <v>0</v>
      </c>
    </row>
    <row r="138" spans="3:18" ht="15" customHeight="1" x14ac:dyDescent="0.3">
      <c r="C138" s="3" t="s">
        <v>244</v>
      </c>
      <c r="D138" s="43"/>
      <c r="E138" s="43"/>
      <c r="F138" s="43"/>
      <c r="G138" s="78">
        <v>0</v>
      </c>
      <c r="H138" s="78">
        <f>G138</f>
        <v>0</v>
      </c>
      <c r="I138" s="78">
        <f t="shared" ref="I138:R138" si="103">H138</f>
        <v>0</v>
      </c>
      <c r="J138" s="78">
        <v>0</v>
      </c>
      <c r="K138" s="78">
        <f t="shared" si="103"/>
        <v>0</v>
      </c>
      <c r="L138" s="78">
        <f t="shared" si="103"/>
        <v>0</v>
      </c>
      <c r="M138" s="78">
        <f>L138</f>
        <v>0</v>
      </c>
      <c r="N138" s="78">
        <f t="shared" si="103"/>
        <v>0</v>
      </c>
      <c r="O138" s="78">
        <f t="shared" si="103"/>
        <v>0</v>
      </c>
      <c r="P138" s="78">
        <f t="shared" si="103"/>
        <v>0</v>
      </c>
      <c r="Q138" s="78">
        <f t="shared" si="103"/>
        <v>0</v>
      </c>
      <c r="R138" s="78">
        <f t="shared" si="103"/>
        <v>0</v>
      </c>
    </row>
    <row r="139" spans="3:18" ht="15" customHeight="1" x14ac:dyDescent="0.3">
      <c r="C139" s="3" t="s">
        <v>245</v>
      </c>
      <c r="D139" s="43"/>
      <c r="E139" s="43"/>
      <c r="F139" s="43"/>
      <c r="G139" s="78">
        <f t="shared" ref="G139:R139" si="104">35-G136-G137-G138</f>
        <v>6.8999999999999986</v>
      </c>
      <c r="H139" s="78">
        <f t="shared" si="104"/>
        <v>3.8999999999999986</v>
      </c>
      <c r="I139" s="78">
        <f t="shared" si="104"/>
        <v>18.899999999999999</v>
      </c>
      <c r="J139" s="78">
        <f t="shared" si="104"/>
        <v>18.899999999999999</v>
      </c>
      <c r="K139" s="78">
        <f t="shared" ca="1" si="104"/>
        <v>8.1703980554691782</v>
      </c>
      <c r="L139" s="78">
        <f t="shared" ca="1" si="104"/>
        <v>9.6265025298605291</v>
      </c>
      <c r="M139" s="78">
        <f t="shared" ca="1" si="104"/>
        <v>0</v>
      </c>
      <c r="N139" s="78">
        <f t="shared" ca="1" si="104"/>
        <v>0</v>
      </c>
      <c r="O139" s="78">
        <f t="shared" ca="1" si="104"/>
        <v>0</v>
      </c>
      <c r="P139" s="78">
        <f t="shared" ca="1" si="104"/>
        <v>0</v>
      </c>
      <c r="Q139" s="78">
        <f t="shared" ca="1" si="104"/>
        <v>0</v>
      </c>
      <c r="R139" s="78">
        <f t="shared" ca="1" si="104"/>
        <v>0</v>
      </c>
    </row>
    <row r="140" spans="3:18" ht="15" customHeight="1" x14ac:dyDescent="0.3">
      <c r="C140" s="144" t="s">
        <v>302</v>
      </c>
      <c r="D140" s="43"/>
      <c r="E140" s="43"/>
      <c r="F140" s="43"/>
      <c r="G140" s="153" t="str">
        <f>IF(G139&lt;0,"Error","Ok")</f>
        <v>Ok</v>
      </c>
      <c r="H140" s="153" t="str">
        <f t="shared" ref="H140:R140" si="105">IF(H139&lt;0,"Error","Ok")</f>
        <v>Ok</v>
      </c>
      <c r="I140" s="153" t="str">
        <f t="shared" si="105"/>
        <v>Ok</v>
      </c>
      <c r="J140" s="153" t="str">
        <f t="shared" si="105"/>
        <v>Ok</v>
      </c>
      <c r="K140" s="153" t="str">
        <f t="shared" ca="1" si="105"/>
        <v>Ok</v>
      </c>
      <c r="L140" s="153" t="str">
        <f t="shared" ca="1" si="105"/>
        <v>Ok</v>
      </c>
      <c r="M140" s="153" t="str">
        <f ca="1">IF(M139&lt;0,"Error","Ok")</f>
        <v>Ok</v>
      </c>
      <c r="N140" s="153" t="str">
        <f t="shared" ca="1" si="105"/>
        <v>Ok</v>
      </c>
      <c r="O140" s="153" t="str">
        <f t="shared" ca="1" si="105"/>
        <v>Ok</v>
      </c>
      <c r="P140" s="153" t="str">
        <f t="shared" ca="1" si="105"/>
        <v>Ok</v>
      </c>
      <c r="Q140" s="153" t="str">
        <f t="shared" ca="1" si="105"/>
        <v>Ok</v>
      </c>
      <c r="R140" s="153" t="str">
        <f t="shared" ca="1" si="105"/>
        <v>Ok</v>
      </c>
    </row>
    <row r="141" spans="3:18" ht="15" customHeight="1" x14ac:dyDescent="0.3">
      <c r="D141" s="43"/>
      <c r="E141" s="43"/>
      <c r="F141" s="4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</row>
    <row r="142" spans="3:18" ht="15" customHeight="1" x14ac:dyDescent="0.3">
      <c r="C142" s="1" t="s">
        <v>299</v>
      </c>
      <c r="D142" s="43"/>
      <c r="E142" s="43"/>
      <c r="F142" s="43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</row>
    <row r="143" spans="3:18" ht="15" customHeight="1" x14ac:dyDescent="0.3">
      <c r="C143" s="3" t="s">
        <v>298</v>
      </c>
      <c r="D143" s="43">
        <v>30.8</v>
      </c>
      <c r="E143" s="43"/>
      <c r="F143" s="43"/>
      <c r="G143" s="78">
        <f>IF(OR(SUM(H109:H110)=0,SUM(I109:I110)=0),D143,-SUM(H109:I110))</f>
        <v>33.520525669999998</v>
      </c>
      <c r="H143" s="78">
        <f t="shared" ref="H143:R143" si="106">IF(OR(SUM(I109:I110)=0,SUM(J109:J110)=0),G143,-SUM(I109:J110))</f>
        <v>30.520193159999998</v>
      </c>
      <c r="I143" s="78">
        <f t="shared" si="106"/>
        <v>21.87522105275</v>
      </c>
      <c r="J143" s="78">
        <f t="shared" si="106"/>
        <v>21.777250485500002</v>
      </c>
      <c r="K143" s="78">
        <f t="shared" ca="1" si="106"/>
        <v>25.694601944530824</v>
      </c>
      <c r="L143" s="78">
        <f t="shared" ca="1" si="106"/>
        <v>27.74649747013947</v>
      </c>
      <c r="M143" s="78">
        <f t="shared" ca="1" si="106"/>
        <v>27.333338717521695</v>
      </c>
      <c r="N143" s="78">
        <f t="shared" ca="1" si="106"/>
        <v>27.044862659243545</v>
      </c>
      <c r="O143" s="78">
        <f t="shared" ca="1" si="106"/>
        <v>27.119912444620315</v>
      </c>
      <c r="P143" s="78">
        <f t="shared" ca="1" si="106"/>
        <v>27.067845050683822</v>
      </c>
      <c r="Q143" s="78">
        <f t="shared" ca="1" si="106"/>
        <v>27.067845050683822</v>
      </c>
      <c r="R143" s="78">
        <f t="shared" ca="1" si="106"/>
        <v>27.067845050683822</v>
      </c>
    </row>
    <row r="144" spans="3:18" ht="15" customHeight="1" x14ac:dyDescent="0.3">
      <c r="C144" s="3" t="s">
        <v>246</v>
      </c>
      <c r="D144" s="43"/>
      <c r="E144" s="43"/>
      <c r="F144" s="43"/>
      <c r="G144" s="78">
        <v>16.100000000000001</v>
      </c>
      <c r="H144" s="78">
        <v>16.100000000000001</v>
      </c>
      <c r="I144" s="78">
        <v>16.100000000000001</v>
      </c>
      <c r="J144" s="78">
        <v>16.100000000000001</v>
      </c>
      <c r="K144" s="78">
        <f t="shared" ref="K144:M144" ca="1" si="107">IF(MIN(K143-K145,K134)&lt;0,0,MIN(K143-K145,K134))</f>
        <v>14.929601944530823</v>
      </c>
      <c r="L144" s="78">
        <f t="shared" ca="1" si="107"/>
        <v>15.623497470139471</v>
      </c>
      <c r="M144" s="78">
        <f t="shared" ca="1" si="107"/>
        <v>0</v>
      </c>
      <c r="N144" s="78">
        <f ca="1">IF(MIN(N143-N145,N134)&lt;0,0,MIN(N143-N145,N134))</f>
        <v>0</v>
      </c>
      <c r="O144" s="78">
        <f t="shared" ref="O144:R144" ca="1" si="108">IF(MIN(O143-O145,O134)&lt;0,0,MIN(O143-O145,O134))</f>
        <v>0</v>
      </c>
      <c r="P144" s="78">
        <f t="shared" ca="1" si="108"/>
        <v>0</v>
      </c>
      <c r="Q144" s="78">
        <f t="shared" ca="1" si="108"/>
        <v>0</v>
      </c>
      <c r="R144" s="78">
        <f t="shared" ca="1" si="108"/>
        <v>0</v>
      </c>
    </row>
    <row r="145" spans="3:19" ht="15" customHeight="1" x14ac:dyDescent="0.3">
      <c r="C145" s="3" t="s">
        <v>291</v>
      </c>
      <c r="D145" s="43"/>
      <c r="E145" s="43"/>
      <c r="F145" s="43"/>
      <c r="G145" s="78">
        <f>G143-G144</f>
        <v>17.420525669999996</v>
      </c>
      <c r="H145" s="78">
        <f t="shared" ref="H145:J145" si="109">H143-H144</f>
        <v>14.420193159999997</v>
      </c>
      <c r="I145" s="78">
        <f t="shared" si="109"/>
        <v>5.7752210527499983</v>
      </c>
      <c r="J145" s="78">
        <f t="shared" si="109"/>
        <v>5.6772504855000001</v>
      </c>
      <c r="K145" s="78">
        <f t="shared" ref="K145:R145" si="110">K311/1000</f>
        <v>10.765000000000001</v>
      </c>
      <c r="L145" s="78">
        <f t="shared" si="110"/>
        <v>12.122999999999999</v>
      </c>
      <c r="M145" s="78">
        <f>M311/1000</f>
        <v>9.3629999999999995</v>
      </c>
      <c r="N145" s="78">
        <f t="shared" ca="1" si="110"/>
        <v>27.333338717521695</v>
      </c>
      <c r="O145" s="78">
        <f t="shared" ca="1" si="110"/>
        <v>27.044862659243545</v>
      </c>
      <c r="P145" s="78">
        <f t="shared" ca="1" si="110"/>
        <v>27.119912444620319</v>
      </c>
      <c r="Q145" s="78">
        <f t="shared" ca="1" si="110"/>
        <v>27.067845050683818</v>
      </c>
      <c r="R145" s="78">
        <f t="shared" ca="1" si="110"/>
        <v>27.067845050683822</v>
      </c>
    </row>
    <row r="146" spans="3:19" ht="15" customHeight="1" x14ac:dyDescent="0.3">
      <c r="C146" s="144" t="s">
        <v>303</v>
      </c>
      <c r="D146" s="43"/>
      <c r="E146" s="43"/>
      <c r="F146" s="43"/>
      <c r="G146" s="153" t="str">
        <f t="shared" ref="G146:K146" si="111">IF(G144+G145-G143&gt;=0,"Ok","Error")</f>
        <v>Ok</v>
      </c>
      <c r="H146" s="153" t="str">
        <f t="shared" si="111"/>
        <v>Ok</v>
      </c>
      <c r="I146" s="153" t="str">
        <f t="shared" si="111"/>
        <v>Ok</v>
      </c>
      <c r="J146" s="153" t="str">
        <f t="shared" si="111"/>
        <v>Ok</v>
      </c>
      <c r="K146" s="153" t="str">
        <f t="shared" ca="1" si="111"/>
        <v>Ok</v>
      </c>
      <c r="L146" s="153" t="str">
        <f ca="1">IF(L144+L145-L143&gt;=0,"Ok","Error")</f>
        <v>Ok</v>
      </c>
      <c r="M146" s="153" t="str">
        <f ca="1">IF(M144+M145-M143&gt;=0,"Ok","Error")</f>
        <v>Error</v>
      </c>
      <c r="N146" s="153" t="str">
        <f t="shared" ref="N146:R146" ca="1" si="112">IF(N144+N145-N143&gt;=0,"Ok","Error")</f>
        <v>Ok</v>
      </c>
      <c r="O146" s="153" t="str">
        <f t="shared" ca="1" si="112"/>
        <v>Error</v>
      </c>
      <c r="P146" s="153" t="str">
        <f t="shared" ca="1" si="112"/>
        <v>Ok</v>
      </c>
      <c r="Q146" s="153" t="str">
        <f t="shared" ca="1" si="112"/>
        <v>Error</v>
      </c>
      <c r="R146" s="153" t="str">
        <f t="shared" ca="1" si="112"/>
        <v>Ok</v>
      </c>
    </row>
    <row r="147" spans="3:19" ht="15" customHeight="1" x14ac:dyDescent="0.3">
      <c r="D147" s="43"/>
      <c r="E147" s="43"/>
      <c r="F147" s="4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</row>
    <row r="148" spans="3:19" ht="15" customHeight="1" x14ac:dyDescent="0.3">
      <c r="C148" s="168" t="s">
        <v>304</v>
      </c>
      <c r="D148" s="169"/>
      <c r="E148" s="169"/>
      <c r="F148" s="169"/>
      <c r="G148" s="153">
        <f t="shared" ref="G148:K148" si="113">IF(G143-G144-G145&lt;0,G143-G144-G145,G143-G144-G145)</f>
        <v>0</v>
      </c>
      <c r="H148" s="153">
        <f t="shared" si="113"/>
        <v>0</v>
      </c>
      <c r="I148" s="153">
        <f t="shared" si="113"/>
        <v>0</v>
      </c>
      <c r="J148" s="153">
        <f t="shared" si="113"/>
        <v>0</v>
      </c>
      <c r="K148" s="153">
        <f t="shared" ca="1" si="113"/>
        <v>0</v>
      </c>
      <c r="L148" s="153">
        <f ca="1">IF(L143-L144-L145&lt;0,L143-L144-L145,L143-L144-L145)</f>
        <v>0</v>
      </c>
      <c r="M148" s="153">
        <f ca="1">IF(M143-M144-M145&lt;0,M143-M144-M145,M143-M144-M145)</f>
        <v>17.970338717521695</v>
      </c>
      <c r="N148" s="153">
        <f ca="1">IF(N143-N144-N145&lt;0,N143-N144-N145,N143-N144-N145)</f>
        <v>-0.28847605827814959</v>
      </c>
      <c r="O148" s="153">
        <f t="shared" ref="O148:R148" ca="1" si="114">IF(O143-O144-O145&lt;0,O143-O144-O145,O143-O144-O145)</f>
        <v>7.5049785376769762E-2</v>
      </c>
      <c r="P148" s="153">
        <f t="shared" ca="1" si="114"/>
        <v>-5.2067393936496842E-2</v>
      </c>
      <c r="Q148" s="153">
        <f t="shared" ca="1" si="114"/>
        <v>3.5527136788005009E-15</v>
      </c>
      <c r="R148" s="153">
        <f t="shared" ca="1" si="114"/>
        <v>0</v>
      </c>
    </row>
    <row r="149" spans="3:19" ht="15" customHeight="1" x14ac:dyDescent="0.3">
      <c r="D149" s="43"/>
      <c r="E149" s="43"/>
      <c r="F149" s="4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</row>
    <row r="150" spans="3:19" ht="15" customHeight="1" x14ac:dyDescent="0.3">
      <c r="D150" s="43"/>
      <c r="E150" s="43"/>
      <c r="F150" s="4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</row>
    <row r="151" spans="3:19" ht="15" customHeight="1" x14ac:dyDescent="0.3">
      <c r="C151" s="3" t="s">
        <v>247</v>
      </c>
      <c r="D151" s="43"/>
      <c r="E151" s="43"/>
      <c r="F151" s="43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</row>
    <row r="152" spans="3:19" ht="15" customHeight="1" x14ac:dyDescent="0.3">
      <c r="C152" s="168" t="s">
        <v>248</v>
      </c>
      <c r="D152" s="169"/>
      <c r="E152" s="169"/>
      <c r="F152" s="169"/>
      <c r="G152" s="147">
        <v>2.3080535883854534E-2</v>
      </c>
      <c r="H152" s="147">
        <v>2.5447952948940134E-2</v>
      </c>
      <c r="I152" s="147">
        <v>2.7210243134481737E-2</v>
      </c>
      <c r="J152" s="147">
        <v>2.8759320775363636E-2</v>
      </c>
      <c r="K152" s="147">
        <v>2.9659702661057035E-2</v>
      </c>
      <c r="L152" s="147">
        <v>3.0039397734072132E-2</v>
      </c>
      <c r="M152" s="147">
        <v>1.4E-3</v>
      </c>
      <c r="N152" s="147">
        <v>1.1000000000000001E-3</v>
      </c>
      <c r="O152" s="147">
        <v>1.2999999999999999E-3</v>
      </c>
      <c r="P152" s="147">
        <v>1.6000000000000001E-3</v>
      </c>
      <c r="Q152" s="147">
        <v>1.6999999999999999E-3</v>
      </c>
      <c r="R152" s="147">
        <v>1.9E-3</v>
      </c>
      <c r="S152" s="44"/>
    </row>
    <row r="153" spans="3:19" ht="15" customHeight="1" x14ac:dyDescent="0.3">
      <c r="C153" s="168" t="s">
        <v>249</v>
      </c>
      <c r="D153" s="169"/>
      <c r="E153" s="169"/>
      <c r="F153" s="169"/>
      <c r="G153" s="147">
        <v>0.01</v>
      </c>
      <c r="H153" s="147">
        <v>0.01</v>
      </c>
      <c r="I153" s="147">
        <v>0.01</v>
      </c>
      <c r="J153" s="147">
        <v>0.01</v>
      </c>
      <c r="K153" s="147">
        <v>0.01</v>
      </c>
      <c r="L153" s="147">
        <v>0.01</v>
      </c>
      <c r="M153" s="147">
        <v>0.01</v>
      </c>
      <c r="N153" s="147">
        <v>0.01</v>
      </c>
      <c r="O153" s="147">
        <v>0.01</v>
      </c>
      <c r="P153" s="147">
        <v>0.01</v>
      </c>
      <c r="Q153" s="147">
        <v>0.01</v>
      </c>
      <c r="R153" s="147">
        <v>0.01</v>
      </c>
      <c r="S153" s="44"/>
    </row>
    <row r="154" spans="3:19" ht="15" customHeight="1" x14ac:dyDescent="0.3">
      <c r="C154" s="3" t="s">
        <v>250</v>
      </c>
      <c r="D154" s="43"/>
      <c r="E154" s="43"/>
      <c r="F154" s="43"/>
      <c r="G154" s="147">
        <v>4.2500000000000003E-2</v>
      </c>
      <c r="H154" s="147">
        <v>4.2500000000000003E-2</v>
      </c>
      <c r="I154" s="147">
        <v>4.2500000000000003E-2</v>
      </c>
      <c r="J154" s="147">
        <v>4.2500000000000003E-2</v>
      </c>
      <c r="K154" s="147">
        <v>4.2500000000000003E-2</v>
      </c>
      <c r="L154" s="147">
        <v>4.2500000000000003E-2</v>
      </c>
      <c r="M154" s="147">
        <v>4.2500000000000003E-2</v>
      </c>
      <c r="N154" s="147">
        <v>4.2500000000000003E-2</v>
      </c>
      <c r="O154" s="147">
        <v>4.2500000000000003E-2</v>
      </c>
      <c r="P154" s="147">
        <v>4.2500000000000003E-2</v>
      </c>
      <c r="Q154" s="147">
        <v>4.2500000000000003E-2</v>
      </c>
      <c r="R154" s="147">
        <v>4.2500000000000003E-2</v>
      </c>
      <c r="S154" s="44"/>
    </row>
    <row r="155" spans="3:19" ht="15" customHeight="1" x14ac:dyDescent="0.3">
      <c r="C155" s="3" t="s">
        <v>283</v>
      </c>
      <c r="D155" s="43"/>
      <c r="E155" s="43"/>
      <c r="F155" s="43"/>
      <c r="G155" s="147">
        <f t="shared" ref="G155:R155" si="115">MAX(G152,G153)+G154</f>
        <v>6.558053588385454E-2</v>
      </c>
      <c r="H155" s="147">
        <f t="shared" si="115"/>
        <v>6.7947952948940141E-2</v>
      </c>
      <c r="I155" s="147">
        <f t="shared" si="115"/>
        <v>6.9710243134481736E-2</v>
      </c>
      <c r="J155" s="147">
        <f t="shared" si="115"/>
        <v>7.1259320775363635E-2</v>
      </c>
      <c r="K155" s="147">
        <f t="shared" si="115"/>
        <v>7.2159702661057035E-2</v>
      </c>
      <c r="L155" s="147">
        <f t="shared" si="115"/>
        <v>7.2539397734072142E-2</v>
      </c>
      <c r="M155" s="147">
        <f t="shared" si="115"/>
        <v>5.2500000000000005E-2</v>
      </c>
      <c r="N155" s="147">
        <f t="shared" si="115"/>
        <v>5.2500000000000005E-2</v>
      </c>
      <c r="O155" s="147">
        <f t="shared" si="115"/>
        <v>5.2500000000000005E-2</v>
      </c>
      <c r="P155" s="147">
        <f t="shared" si="115"/>
        <v>5.2500000000000005E-2</v>
      </c>
      <c r="Q155" s="147">
        <f t="shared" si="115"/>
        <v>5.2500000000000005E-2</v>
      </c>
      <c r="R155" s="147">
        <f t="shared" si="115"/>
        <v>5.2500000000000005E-2</v>
      </c>
      <c r="S155" s="147"/>
    </row>
    <row r="156" spans="3:19" ht="15" customHeight="1" x14ac:dyDescent="0.3">
      <c r="D156" s="43"/>
      <c r="E156" s="43"/>
      <c r="F156" s="43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</row>
    <row r="157" spans="3:19" ht="15" customHeight="1" x14ac:dyDescent="0.3">
      <c r="C157" s="3" t="s">
        <v>284</v>
      </c>
      <c r="D157" s="43"/>
      <c r="E157" s="43"/>
      <c r="F157" s="43"/>
      <c r="G157" s="78">
        <f t="shared" ref="G157:R157" si="116">G182-G161</f>
        <v>266.41799999999995</v>
      </c>
      <c r="H157" s="78">
        <f t="shared" si="116"/>
        <v>273.31703007999994</v>
      </c>
      <c r="I157" s="78">
        <f t="shared" si="116"/>
        <v>289.95806015999995</v>
      </c>
      <c r="J157" s="78">
        <f t="shared" si="116"/>
        <v>293.19309023999995</v>
      </c>
      <c r="K157" s="78">
        <f t="shared" si="116"/>
        <v>294.50609023999993</v>
      </c>
      <c r="L157" s="78">
        <f t="shared" si="116"/>
        <v>302.66709023999994</v>
      </c>
      <c r="M157" s="78">
        <f t="shared" ca="1" si="116"/>
        <v>321.79209023999999</v>
      </c>
      <c r="N157" s="78">
        <f t="shared" ca="1" si="116"/>
        <v>330.48626502624433</v>
      </c>
      <c r="O157" s="78">
        <f t="shared" ca="1" si="116"/>
        <v>329.88926622124666</v>
      </c>
      <c r="P157" s="78">
        <f t="shared" ca="1" si="116"/>
        <v>344.76849871549558</v>
      </c>
      <c r="Q157" s="78">
        <f t="shared" ca="1" si="116"/>
        <v>363.52166933513638</v>
      </c>
      <c r="R157" s="78">
        <f t="shared" ca="1" si="116"/>
        <v>372.85092068914093</v>
      </c>
    </row>
    <row r="158" spans="3:19" ht="15" customHeight="1" x14ac:dyDescent="0.3">
      <c r="C158" s="3" t="s">
        <v>285</v>
      </c>
      <c r="D158" s="43"/>
      <c r="E158" s="43"/>
      <c r="F158" s="43"/>
      <c r="G158" s="78">
        <f t="shared" ref="G158:R158" si="117">-G157*G155*(DATEDIF(G4,G5,"d")+1)/365</f>
        <v>-4.3081237501902141</v>
      </c>
      <c r="H158" s="78">
        <f t="shared" si="117"/>
        <v>-4.6301130841145488</v>
      </c>
      <c r="I158" s="78">
        <f t="shared" si="117"/>
        <v>-5.0947953760963776</v>
      </c>
      <c r="J158" s="78">
        <f t="shared" si="117"/>
        <v>-5.2661154052629344</v>
      </c>
      <c r="K158" s="78">
        <f t="shared" si="117"/>
        <v>-5.2983121732235157</v>
      </c>
      <c r="L158" s="78">
        <f t="shared" si="117"/>
        <v>-5.4737842411889401</v>
      </c>
      <c r="M158" s="78">
        <f t="shared" ca="1" si="117"/>
        <v>-4.258235057148493</v>
      </c>
      <c r="N158" s="78">
        <f t="shared" ca="1" si="117"/>
        <v>-4.3732840002103019</v>
      </c>
      <c r="O158" s="78">
        <f t="shared" ca="1" si="117"/>
        <v>-4.2704843366996998</v>
      </c>
      <c r="P158" s="78">
        <f t="shared" ca="1" si="117"/>
        <v>-4.5126890482555631</v>
      </c>
      <c r="Q158" s="78">
        <f t="shared" ca="1" si="117"/>
        <v>-4.8104374325718045</v>
      </c>
      <c r="R158" s="78">
        <f t="shared" ca="1" si="117"/>
        <v>-4.9338902655576735</v>
      </c>
    </row>
    <row r="159" spans="3:19" ht="15" customHeight="1" x14ac:dyDescent="0.3">
      <c r="D159" s="43"/>
      <c r="E159" s="43"/>
      <c r="F159" s="43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</row>
    <row r="160" spans="3:19" ht="15" customHeight="1" x14ac:dyDescent="0.3">
      <c r="C160" s="3" t="s">
        <v>289</v>
      </c>
      <c r="D160" s="43"/>
      <c r="E160" s="43"/>
      <c r="F160" s="43"/>
      <c r="G160" s="78">
        <v>504.88200000000001</v>
      </c>
      <c r="H160" s="78">
        <v>496.04500000000002</v>
      </c>
      <c r="I160" s="78">
        <v>477.46600000000001</v>
      </c>
      <c r="J160" s="78">
        <v>468.29300000000001</v>
      </c>
      <c r="K160" s="78">
        <v>466.98</v>
      </c>
      <c r="L160" s="78">
        <v>458.81900000000002</v>
      </c>
      <c r="M160" s="78">
        <v>437.89400000000001</v>
      </c>
      <c r="N160" s="78">
        <v>427.28500000000003</v>
      </c>
      <c r="O160" s="78">
        <v>425.97199999999998</v>
      </c>
      <c r="P160" s="78">
        <v>409.22899999999998</v>
      </c>
      <c r="Q160" s="78">
        <v>388.596</v>
      </c>
      <c r="R160" s="78">
        <v>377.37099999999998</v>
      </c>
    </row>
    <row r="161" spans="3:19" ht="15" customHeight="1" x14ac:dyDescent="0.3">
      <c r="C161" s="3" t="s">
        <v>286</v>
      </c>
      <c r="D161" s="43"/>
      <c r="E161" s="43"/>
      <c r="F161" s="43"/>
      <c r="G161" s="78">
        <f t="shared" ref="G161:R161" si="118">MIN(G160,G182)</f>
        <v>504.88200000000001</v>
      </c>
      <c r="H161" s="78">
        <f t="shared" si="118"/>
        <v>496.04500000000002</v>
      </c>
      <c r="I161" s="78">
        <f t="shared" si="118"/>
        <v>477.46600000000001</v>
      </c>
      <c r="J161" s="78">
        <f t="shared" si="118"/>
        <v>468.29300000000001</v>
      </c>
      <c r="K161" s="78">
        <f t="shared" si="118"/>
        <v>466.98</v>
      </c>
      <c r="L161" s="78">
        <f t="shared" si="118"/>
        <v>458.81900000000002</v>
      </c>
      <c r="M161" s="78">
        <f t="shared" ca="1" si="118"/>
        <v>437.89400000000001</v>
      </c>
      <c r="N161" s="78">
        <f t="shared" ca="1" si="118"/>
        <v>427.28500000000003</v>
      </c>
      <c r="O161" s="78">
        <f t="shared" ca="1" si="118"/>
        <v>425.97199999999998</v>
      </c>
      <c r="P161" s="78">
        <f t="shared" ca="1" si="118"/>
        <v>409.22899999999998</v>
      </c>
      <c r="Q161" s="78">
        <f t="shared" ca="1" si="118"/>
        <v>388.596</v>
      </c>
      <c r="R161" s="78">
        <f t="shared" ca="1" si="118"/>
        <v>377.37099999999998</v>
      </c>
    </row>
    <row r="162" spans="3:19" ht="15" customHeight="1" x14ac:dyDescent="0.3">
      <c r="C162" s="3" t="s">
        <v>287</v>
      </c>
      <c r="D162" s="43"/>
      <c r="E162" s="43"/>
      <c r="F162" s="43"/>
      <c r="G162" s="147">
        <v>2.7615000000000001E-2</v>
      </c>
      <c r="H162" s="147">
        <v>2.7615000000000001E-2</v>
      </c>
      <c r="I162" s="147">
        <v>2.7615000000000001E-2</v>
      </c>
      <c r="J162" s="147">
        <v>2.7615000000000001E-2</v>
      </c>
      <c r="K162" s="147">
        <v>2.7615000000000001E-2</v>
      </c>
      <c r="L162" s="147">
        <v>2.7615000000000001E-2</v>
      </c>
      <c r="M162" s="147">
        <v>2.7615000000000001E-2</v>
      </c>
      <c r="N162" s="147">
        <v>2.7615000000000001E-2</v>
      </c>
      <c r="O162" s="147">
        <v>2.7615000000000001E-2</v>
      </c>
      <c r="P162" s="147">
        <v>2.7615000000000001E-2</v>
      </c>
      <c r="Q162" s="147">
        <v>2.7615000000000001E-2</v>
      </c>
      <c r="R162" s="147">
        <v>2.7615000000000001E-2</v>
      </c>
    </row>
    <row r="163" spans="3:19" ht="15" customHeight="1" x14ac:dyDescent="0.3">
      <c r="C163" s="3" t="s">
        <v>250</v>
      </c>
      <c r="D163" s="43"/>
      <c r="E163" s="43"/>
      <c r="F163" s="43"/>
      <c r="G163" s="147">
        <v>4.2500000000000003E-2</v>
      </c>
      <c r="H163" s="147">
        <f>G163</f>
        <v>4.2500000000000003E-2</v>
      </c>
      <c r="I163" s="147">
        <f t="shared" ref="I163:R163" si="119">H163</f>
        <v>4.2500000000000003E-2</v>
      </c>
      <c r="J163" s="147">
        <f t="shared" si="119"/>
        <v>4.2500000000000003E-2</v>
      </c>
      <c r="K163" s="147">
        <f t="shared" si="119"/>
        <v>4.2500000000000003E-2</v>
      </c>
      <c r="L163" s="147">
        <f t="shared" si="119"/>
        <v>4.2500000000000003E-2</v>
      </c>
      <c r="M163" s="147">
        <f t="shared" si="119"/>
        <v>4.2500000000000003E-2</v>
      </c>
      <c r="N163" s="147">
        <f t="shared" si="119"/>
        <v>4.2500000000000003E-2</v>
      </c>
      <c r="O163" s="147">
        <f t="shared" si="119"/>
        <v>4.2500000000000003E-2</v>
      </c>
      <c r="P163" s="147">
        <f t="shared" si="119"/>
        <v>4.2500000000000003E-2</v>
      </c>
      <c r="Q163" s="147">
        <f t="shared" si="119"/>
        <v>4.2500000000000003E-2</v>
      </c>
      <c r="R163" s="147">
        <f t="shared" si="119"/>
        <v>4.2500000000000003E-2</v>
      </c>
    </row>
    <row r="164" spans="3:19" ht="15" customHeight="1" x14ac:dyDescent="0.3">
      <c r="C164" s="3" t="s">
        <v>288</v>
      </c>
      <c r="D164" s="43"/>
      <c r="E164" s="43"/>
      <c r="F164" s="43"/>
      <c r="G164" s="147">
        <f>MAX(G162,G153)+G163</f>
        <v>7.0115000000000011E-2</v>
      </c>
      <c r="H164" s="147">
        <f t="shared" ref="H164:R164" si="120">MAX(H162,H153)+H163</f>
        <v>7.0115000000000011E-2</v>
      </c>
      <c r="I164" s="147">
        <f t="shared" si="120"/>
        <v>7.0115000000000011E-2</v>
      </c>
      <c r="J164" s="147">
        <f t="shared" si="120"/>
        <v>7.0115000000000011E-2</v>
      </c>
      <c r="K164" s="147">
        <f t="shared" si="120"/>
        <v>7.0115000000000011E-2</v>
      </c>
      <c r="L164" s="147">
        <f t="shared" si="120"/>
        <v>7.0115000000000011E-2</v>
      </c>
      <c r="M164" s="147">
        <f t="shared" si="120"/>
        <v>7.0115000000000011E-2</v>
      </c>
      <c r="N164" s="147">
        <f t="shared" si="120"/>
        <v>7.0115000000000011E-2</v>
      </c>
      <c r="O164" s="147">
        <f t="shared" si="120"/>
        <v>7.0115000000000011E-2</v>
      </c>
      <c r="P164" s="147">
        <f t="shared" si="120"/>
        <v>7.0115000000000011E-2</v>
      </c>
      <c r="Q164" s="147">
        <f t="shared" si="120"/>
        <v>7.0115000000000011E-2</v>
      </c>
      <c r="R164" s="147">
        <f t="shared" si="120"/>
        <v>7.0115000000000011E-2</v>
      </c>
    </row>
    <row r="165" spans="3:19" ht="15" customHeight="1" x14ac:dyDescent="0.3">
      <c r="D165" s="43"/>
      <c r="E165" s="43"/>
      <c r="F165" s="43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</row>
    <row r="166" spans="3:19" ht="15" customHeight="1" x14ac:dyDescent="0.3">
      <c r="C166" s="3" t="s">
        <v>290</v>
      </c>
      <c r="D166" s="43"/>
      <c r="E166" s="43"/>
      <c r="F166" s="43"/>
      <c r="G166" s="78">
        <f t="shared" ref="G166:R166" si="121">-G164*G161*(DATEDIF(G4,G5,"d")+1)/365</f>
        <v>-8.7287181608219182</v>
      </c>
      <c r="H166" s="78">
        <f t="shared" si="121"/>
        <v>-8.6712267422602753</v>
      </c>
      <c r="I166" s="78">
        <f t="shared" si="121"/>
        <v>-8.4381715898082206</v>
      </c>
      <c r="J166" s="78">
        <f t="shared" si="121"/>
        <v>-8.2760587943561674</v>
      </c>
      <c r="K166" s="78">
        <f t="shared" si="121"/>
        <v>-8.1631494402739726</v>
      </c>
      <c r="L166" s="78">
        <f t="shared" si="121"/>
        <v>-8.0204892351643853</v>
      </c>
      <c r="M166" s="78">
        <f t="shared" ca="1" si="121"/>
        <v>-7.738822680876714</v>
      </c>
      <c r="N166" s="78">
        <f t="shared" ca="1" si="121"/>
        <v>-7.5513317131506872</v>
      </c>
      <c r="O166" s="78">
        <f t="shared" ca="1" si="121"/>
        <v>-7.36447235671233</v>
      </c>
      <c r="P166" s="78">
        <f t="shared" ca="1" si="121"/>
        <v>-7.1536200314657536</v>
      </c>
      <c r="Q166" s="78">
        <f t="shared" ca="1" si="121"/>
        <v>-6.8675879059726048</v>
      </c>
      <c r="R166" s="78">
        <f t="shared" ca="1" si="121"/>
        <v>-6.6692104799452068</v>
      </c>
    </row>
    <row r="167" spans="3:19" ht="15" customHeight="1" x14ac:dyDescent="0.3">
      <c r="D167" s="43"/>
      <c r="E167" s="43"/>
      <c r="F167" s="43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</row>
    <row r="168" spans="3:19" ht="15" customHeight="1" x14ac:dyDescent="0.3">
      <c r="C168" s="1" t="s">
        <v>300</v>
      </c>
      <c r="D168" s="43"/>
      <c r="E168" s="43"/>
      <c r="F168" s="43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</row>
    <row r="169" spans="3:19" ht="15" customHeight="1" x14ac:dyDescent="0.3">
      <c r="C169" s="3" t="s">
        <v>251</v>
      </c>
      <c r="D169" s="43"/>
      <c r="E169" s="43"/>
      <c r="F169" s="43"/>
      <c r="G169" s="147">
        <v>4.2500000000000003E-2</v>
      </c>
      <c r="H169" s="147">
        <f>G169</f>
        <v>4.2500000000000003E-2</v>
      </c>
      <c r="I169" s="147">
        <f t="shared" ref="I169:R169" si="122">H169</f>
        <v>4.2500000000000003E-2</v>
      </c>
      <c r="J169" s="147">
        <f t="shared" si="122"/>
        <v>4.2500000000000003E-2</v>
      </c>
      <c r="K169" s="147">
        <f t="shared" si="122"/>
        <v>4.2500000000000003E-2</v>
      </c>
      <c r="L169" s="147">
        <f t="shared" si="122"/>
        <v>4.2500000000000003E-2</v>
      </c>
      <c r="M169" s="147">
        <f t="shared" si="122"/>
        <v>4.2500000000000003E-2</v>
      </c>
      <c r="N169" s="147">
        <f t="shared" si="122"/>
        <v>4.2500000000000003E-2</v>
      </c>
      <c r="O169" s="147">
        <f t="shared" si="122"/>
        <v>4.2500000000000003E-2</v>
      </c>
      <c r="P169" s="147">
        <f t="shared" si="122"/>
        <v>4.2500000000000003E-2</v>
      </c>
      <c r="Q169" s="147">
        <f t="shared" si="122"/>
        <v>4.2500000000000003E-2</v>
      </c>
      <c r="R169" s="147">
        <f t="shared" si="122"/>
        <v>4.2500000000000003E-2</v>
      </c>
      <c r="S169" s="147"/>
    </row>
    <row r="170" spans="3:19" ht="15" customHeight="1" x14ac:dyDescent="0.3">
      <c r="C170" s="3" t="s">
        <v>252</v>
      </c>
      <c r="D170" s="43"/>
      <c r="E170" s="43"/>
      <c r="F170" s="43"/>
      <c r="G170" s="147">
        <f t="shared" ref="G170:R170" si="123">MAX(G152:G153)+G169</f>
        <v>6.558053588385454E-2</v>
      </c>
      <c r="H170" s="147">
        <f t="shared" si="123"/>
        <v>6.7947952948940141E-2</v>
      </c>
      <c r="I170" s="147">
        <f t="shared" si="123"/>
        <v>6.9710243134481736E-2</v>
      </c>
      <c r="J170" s="147">
        <f t="shared" si="123"/>
        <v>7.1259320775363635E-2</v>
      </c>
      <c r="K170" s="147">
        <f t="shared" si="123"/>
        <v>7.2159702661057035E-2</v>
      </c>
      <c r="L170" s="147">
        <f t="shared" si="123"/>
        <v>7.2539397734072142E-2</v>
      </c>
      <c r="M170" s="147">
        <f t="shared" si="123"/>
        <v>5.2500000000000005E-2</v>
      </c>
      <c r="N170" s="147">
        <f t="shared" si="123"/>
        <v>5.2500000000000005E-2</v>
      </c>
      <c r="O170" s="147">
        <f t="shared" si="123"/>
        <v>5.2500000000000005E-2</v>
      </c>
      <c r="P170" s="147">
        <f t="shared" si="123"/>
        <v>5.2500000000000005E-2</v>
      </c>
      <c r="Q170" s="147">
        <f t="shared" si="123"/>
        <v>5.2500000000000005E-2</v>
      </c>
      <c r="R170" s="147">
        <f t="shared" si="123"/>
        <v>5.2500000000000005E-2</v>
      </c>
      <c r="S170" s="147"/>
    </row>
    <row r="171" spans="3:19" ht="15" customHeight="1" x14ac:dyDescent="0.3">
      <c r="D171" s="43"/>
      <c r="E171" s="43"/>
      <c r="F171" s="43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</row>
    <row r="172" spans="3:19" ht="15" customHeight="1" x14ac:dyDescent="0.3">
      <c r="C172" s="3" t="s">
        <v>220</v>
      </c>
      <c r="D172" s="43"/>
      <c r="E172" s="43"/>
      <c r="F172" s="43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</row>
    <row r="173" spans="3:19" ht="15" customHeight="1" x14ac:dyDescent="0.3">
      <c r="C173" s="3" t="s">
        <v>221</v>
      </c>
      <c r="D173" s="43"/>
      <c r="E173" s="43"/>
      <c r="F173" s="43"/>
      <c r="G173" s="78">
        <f t="shared" ref="G173:R173" si="124">-G170*G136*(DATEDIF(G4,G5,"d")+1)/365</f>
        <v>-0.19404651713578877</v>
      </c>
      <c r="H173" s="78">
        <f t="shared" si="124"/>
        <v>-0.25410672815151586</v>
      </c>
      <c r="I173" s="78">
        <f t="shared" si="124"/>
        <v>0</v>
      </c>
      <c r="J173" s="78">
        <f t="shared" si="124"/>
        <v>0</v>
      </c>
      <c r="K173" s="78">
        <f t="shared" ca="1" si="124"/>
        <v>-0.21408696441550318</v>
      </c>
      <c r="L173" s="78">
        <f t="shared" ca="1" si="124"/>
        <v>-0.17633035791659044</v>
      </c>
      <c r="M173" s="78">
        <f t="shared" ca="1" si="124"/>
        <v>-0.46315068493150691</v>
      </c>
      <c r="N173" s="78">
        <f t="shared" ca="1" si="124"/>
        <v>-0.46315068493150691</v>
      </c>
      <c r="O173" s="78">
        <f t="shared" ca="1" si="124"/>
        <v>-0.45308219178082193</v>
      </c>
      <c r="P173" s="78">
        <f t="shared" ca="1" si="124"/>
        <v>-0.45811643835616439</v>
      </c>
      <c r="Q173" s="78">
        <f t="shared" ca="1" si="124"/>
        <v>-0.46315068493150691</v>
      </c>
      <c r="R173" s="78">
        <f t="shared" ca="1" si="124"/>
        <v>-0.46315068493150691</v>
      </c>
      <c r="S173" s="78"/>
    </row>
    <row r="174" spans="3:19" ht="15" customHeight="1" x14ac:dyDescent="0.3">
      <c r="C174" s="3" t="s">
        <v>222</v>
      </c>
      <c r="D174" s="43"/>
      <c r="E174" s="43"/>
      <c r="F174" s="43"/>
      <c r="G174" s="78">
        <f t="shared" ref="G174:R174" si="125">-G170*G137*(DATEDIF(G4,G5,"d")+1)/365</f>
        <v>-0.26034574382384995</v>
      </c>
      <c r="H174" s="78">
        <f t="shared" si="125"/>
        <v>-0.27274122154929376</v>
      </c>
      <c r="I174" s="78">
        <f t="shared" si="125"/>
        <v>-0.28288989624875166</v>
      </c>
      <c r="J174" s="78">
        <f t="shared" si="125"/>
        <v>-0.28917618063690037</v>
      </c>
      <c r="K174" s="78">
        <f t="shared" ca="1" si="125"/>
        <v>-0.26859102186860484</v>
      </c>
      <c r="L174" s="78">
        <f t="shared" ca="1" si="125"/>
        <v>-0.28255352828909108</v>
      </c>
      <c r="M174" s="78">
        <f t="shared" ca="1" si="125"/>
        <v>0</v>
      </c>
      <c r="N174" s="78">
        <f t="shared" ca="1" si="125"/>
        <v>0</v>
      </c>
      <c r="O174" s="78">
        <f t="shared" ca="1" si="125"/>
        <v>0</v>
      </c>
      <c r="P174" s="78">
        <f t="shared" ca="1" si="125"/>
        <v>0</v>
      </c>
      <c r="Q174" s="78">
        <f t="shared" ca="1" si="125"/>
        <v>0</v>
      </c>
      <c r="R174" s="78">
        <f t="shared" ca="1" si="125"/>
        <v>0</v>
      </c>
      <c r="S174" s="78"/>
    </row>
    <row r="175" spans="3:19" ht="15" customHeight="1" x14ac:dyDescent="0.3">
      <c r="C175" s="3" t="s">
        <v>223</v>
      </c>
      <c r="D175" s="43"/>
      <c r="E175" s="43"/>
      <c r="F175" s="43"/>
      <c r="G175" s="78">
        <f t="shared" ref="G175:R175" si="126">-G169*G138*(DATEDIF(G4,G5,"d")+1)/365</f>
        <v>0</v>
      </c>
      <c r="H175" s="78">
        <f t="shared" si="126"/>
        <v>0</v>
      </c>
      <c r="I175" s="78">
        <f t="shared" si="126"/>
        <v>0</v>
      </c>
      <c r="J175" s="78">
        <f t="shared" si="126"/>
        <v>0</v>
      </c>
      <c r="K175" s="78">
        <f t="shared" si="126"/>
        <v>0</v>
      </c>
      <c r="L175" s="78">
        <f t="shared" si="126"/>
        <v>0</v>
      </c>
      <c r="M175" s="78">
        <f t="shared" si="126"/>
        <v>0</v>
      </c>
      <c r="N175" s="78">
        <f t="shared" si="126"/>
        <v>0</v>
      </c>
      <c r="O175" s="78">
        <f t="shared" si="126"/>
        <v>0</v>
      </c>
      <c r="P175" s="78">
        <f t="shared" si="126"/>
        <v>0</v>
      </c>
      <c r="Q175" s="78">
        <f t="shared" si="126"/>
        <v>0</v>
      </c>
      <c r="R175" s="78">
        <f t="shared" si="126"/>
        <v>0</v>
      </c>
      <c r="S175" s="78"/>
    </row>
    <row r="176" spans="3:19" ht="15" customHeight="1" x14ac:dyDescent="0.3">
      <c r="C176" s="3" t="s">
        <v>224</v>
      </c>
      <c r="D176" s="43"/>
      <c r="E176" s="43"/>
      <c r="F176" s="43"/>
      <c r="G176" s="78">
        <f t="shared" ref="G176:R176" si="127">-0.5%*G139*(DATEDIF(G4,G5,"d")+1)/365</f>
        <v>-8.5068493150684925E-3</v>
      </c>
      <c r="H176" s="78">
        <f t="shared" si="127"/>
        <v>-4.8616438356164368E-3</v>
      </c>
      <c r="I176" s="78">
        <f t="shared" si="127"/>
        <v>-2.3819178082191785E-2</v>
      </c>
      <c r="J176" s="78">
        <f t="shared" si="127"/>
        <v>-2.3819178082191785E-2</v>
      </c>
      <c r="K176" s="78">
        <f t="shared" ca="1" si="127"/>
        <v>-1.0185016754078017E-2</v>
      </c>
      <c r="L176" s="78">
        <f t="shared" ca="1" si="127"/>
        <v>-1.2000160687908332E-2</v>
      </c>
      <c r="M176" s="78">
        <f t="shared" ca="1" si="127"/>
        <v>0</v>
      </c>
      <c r="N176" s="78">
        <f t="shared" ca="1" si="127"/>
        <v>0</v>
      </c>
      <c r="O176" s="78">
        <f t="shared" ca="1" si="127"/>
        <v>0</v>
      </c>
      <c r="P176" s="78">
        <f t="shared" ca="1" si="127"/>
        <v>0</v>
      </c>
      <c r="Q176" s="78">
        <f t="shared" ca="1" si="127"/>
        <v>0</v>
      </c>
      <c r="R176" s="78">
        <f t="shared" ca="1" si="127"/>
        <v>0</v>
      </c>
      <c r="S176" s="78"/>
    </row>
    <row r="177" spans="3:22" ht="15" customHeight="1" x14ac:dyDescent="0.3">
      <c r="C177" s="3" t="s">
        <v>225</v>
      </c>
      <c r="D177" s="43"/>
      <c r="G177" s="78">
        <f t="shared" ref="G177:J177" si="128">SUM(G173:G176)</f>
        <v>-0.4628991102747072</v>
      </c>
      <c r="H177" s="78">
        <f t="shared" si="128"/>
        <v>-0.53170959353642611</v>
      </c>
      <c r="I177" s="78">
        <f t="shared" si="128"/>
        <v>-0.30670907433094347</v>
      </c>
      <c r="J177" s="78">
        <f t="shared" si="128"/>
        <v>-0.31299535871909218</v>
      </c>
      <c r="K177" s="78">
        <f ca="1">SUM(K173:K176)</f>
        <v>-0.49286300303818603</v>
      </c>
      <c r="L177" s="78">
        <f t="shared" ref="L177:R177" ca="1" si="129">SUM(L172:L176)</f>
        <v>-0.47088404689358987</v>
      </c>
      <c r="M177" s="78">
        <f t="shared" ca="1" si="129"/>
        <v>-0.46315068493150691</v>
      </c>
      <c r="N177" s="78">
        <f t="shared" ca="1" si="129"/>
        <v>-0.46315068493150691</v>
      </c>
      <c r="O177" s="78">
        <f t="shared" ca="1" si="129"/>
        <v>-0.45308219178082193</v>
      </c>
      <c r="P177" s="78">
        <f t="shared" ca="1" si="129"/>
        <v>-0.45811643835616439</v>
      </c>
      <c r="Q177" s="78">
        <f t="shared" ca="1" si="129"/>
        <v>-0.46315068493150691</v>
      </c>
      <c r="R177" s="78">
        <f t="shared" ca="1" si="129"/>
        <v>-0.46315068493150691</v>
      </c>
      <c r="S177" s="78"/>
    </row>
    <row r="178" spans="3:22" ht="15" customHeight="1" x14ac:dyDescent="0.3">
      <c r="D178" s="43"/>
      <c r="E178" s="43"/>
      <c r="F178" s="43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</row>
    <row r="179" spans="3:22" ht="15" customHeight="1" x14ac:dyDescent="0.3">
      <c r="D179" s="43"/>
      <c r="E179" s="43"/>
      <c r="F179" s="43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</row>
    <row r="180" spans="3:22" ht="15" customHeight="1" x14ac:dyDescent="0.3">
      <c r="C180" s="1" t="s">
        <v>253</v>
      </c>
      <c r="D180" s="43"/>
      <c r="E180" s="43"/>
      <c r="F180" s="43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</row>
    <row r="181" spans="3:22" ht="15" customHeight="1" x14ac:dyDescent="0.3">
      <c r="C181" s="3" t="s">
        <v>254</v>
      </c>
      <c r="D181" s="43"/>
      <c r="E181" s="43"/>
      <c r="F181" s="43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</row>
    <row r="182" spans="3:22" ht="15" customHeight="1" x14ac:dyDescent="0.3">
      <c r="C182" s="3" t="s">
        <v>255</v>
      </c>
      <c r="D182" s="43"/>
      <c r="E182" s="43"/>
      <c r="F182" s="43"/>
      <c r="G182" s="78">
        <f>D185</f>
        <v>771.3</v>
      </c>
      <c r="H182" s="78">
        <f t="shared" ref="H182:S182" si="130">G185</f>
        <v>769.36203007999995</v>
      </c>
      <c r="I182" s="78">
        <f t="shared" si="130"/>
        <v>767.42406015999995</v>
      </c>
      <c r="J182" s="78">
        <f t="shared" si="130"/>
        <v>761.48609023999995</v>
      </c>
      <c r="K182" s="78">
        <f t="shared" si="130"/>
        <v>761.48609023999995</v>
      </c>
      <c r="L182" s="78">
        <f t="shared" si="130"/>
        <v>761.48609023999995</v>
      </c>
      <c r="M182" s="78">
        <f t="shared" ca="1" si="130"/>
        <v>759.68609024</v>
      </c>
      <c r="N182" s="78">
        <f t="shared" ca="1" si="130"/>
        <v>757.77126502624435</v>
      </c>
      <c r="O182" s="78">
        <f t="shared" ca="1" si="130"/>
        <v>755.86126622124664</v>
      </c>
      <c r="P182" s="78">
        <f t="shared" ca="1" si="130"/>
        <v>753.99749871549557</v>
      </c>
      <c r="Q182" s="78">
        <f t="shared" ca="1" si="130"/>
        <v>752.11766933513638</v>
      </c>
      <c r="R182" s="78">
        <f t="shared" ca="1" si="130"/>
        <v>750.22192068914092</v>
      </c>
      <c r="S182" s="78">
        <f t="shared" ca="1" si="130"/>
        <v>748.33095036849977</v>
      </c>
      <c r="T182" s="78">
        <f t="shared" ref="T182" ca="1" si="131">S185</f>
        <v>746.48575076485145</v>
      </c>
      <c r="U182" s="78">
        <f t="shared" ref="U182" ca="1" si="132">T185</f>
        <v>744.62464930404042</v>
      </c>
      <c r="V182" s="78">
        <f t="shared" ref="V182" ca="1" si="133">U185</f>
        <v>742.74778717428774</v>
      </c>
    </row>
    <row r="183" spans="3:22" ht="15" customHeight="1" x14ac:dyDescent="0.3">
      <c r="C183" s="3" t="s">
        <v>256</v>
      </c>
      <c r="D183" s="43"/>
      <c r="E183" s="43"/>
      <c r="F183" s="43"/>
      <c r="G183" s="78">
        <v>-1.9379699200000005</v>
      </c>
      <c r="H183" s="78">
        <v>-1.9379699200000005</v>
      </c>
      <c r="I183" s="78">
        <v>-5.9379699200000005</v>
      </c>
      <c r="J183" s="78">
        <v>0</v>
      </c>
      <c r="K183" s="78">
        <v>0</v>
      </c>
      <c r="L183" s="78">
        <v>-1.8</v>
      </c>
      <c r="M183" s="78">
        <f t="shared" ref="M183:V183" ca="1" si="134">-MIN(L185*0.01*(DATEDIF(M4,M5,"d")+1)/365,$D$185)</f>
        <v>-1.9148252137556165</v>
      </c>
      <c r="N183" s="78">
        <f t="shared" ca="1" si="134"/>
        <v>-1.9099988049976571</v>
      </c>
      <c r="O183" s="78">
        <f t="shared" ca="1" si="134"/>
        <v>-1.8637675057510192</v>
      </c>
      <c r="P183" s="78">
        <f t="shared" ca="1" si="134"/>
        <v>-1.8798293803591808</v>
      </c>
      <c r="Q183" s="78">
        <f t="shared" ca="1" si="134"/>
        <v>-1.8957486459954123</v>
      </c>
      <c r="R183" s="78">
        <f t="shared" ca="1" si="134"/>
        <v>-1.8909703206411224</v>
      </c>
      <c r="S183" s="78">
        <f t="shared" ca="1" si="134"/>
        <v>-1.8451996036483556</v>
      </c>
      <c r="T183" s="78">
        <f t="shared" ca="1" si="134"/>
        <v>-1.8611014608109995</v>
      </c>
      <c r="U183" s="78">
        <f t="shared" ca="1" si="134"/>
        <v>-1.8768621297526498</v>
      </c>
      <c r="V183" s="78">
        <f t="shared" ca="1" si="134"/>
        <v>-1.8721314087680676</v>
      </c>
    </row>
    <row r="184" spans="3:22" ht="15" customHeight="1" x14ac:dyDescent="0.3">
      <c r="C184" s="3" t="s">
        <v>257</v>
      </c>
      <c r="D184" s="43"/>
      <c r="E184" s="43"/>
      <c r="F184" s="43"/>
      <c r="G184" s="78">
        <v>0</v>
      </c>
      <c r="H184" s="78">
        <v>0</v>
      </c>
      <c r="I184" s="78">
        <f t="shared" ref="I184:R184" si="135">I241</f>
        <v>0</v>
      </c>
      <c r="J184" s="78">
        <f t="shared" si="135"/>
        <v>0</v>
      </c>
      <c r="K184" s="78">
        <f t="shared" si="135"/>
        <v>0</v>
      </c>
      <c r="L184" s="78">
        <f t="shared" ca="1" si="135"/>
        <v>0</v>
      </c>
      <c r="M184" s="78">
        <f t="shared" ca="1" si="135"/>
        <v>0</v>
      </c>
      <c r="N184" s="78">
        <f t="shared" ca="1" si="135"/>
        <v>0</v>
      </c>
      <c r="O184" s="78">
        <f t="shared" ca="1" si="135"/>
        <v>0</v>
      </c>
      <c r="P184" s="78">
        <f t="shared" ca="1" si="135"/>
        <v>0</v>
      </c>
      <c r="Q184" s="78">
        <f t="shared" ca="1" si="135"/>
        <v>0</v>
      </c>
      <c r="R184" s="78">
        <f t="shared" ca="1" si="135"/>
        <v>0</v>
      </c>
      <c r="S184" s="78">
        <f t="shared" ref="S184:V184" si="136">S241</f>
        <v>0</v>
      </c>
      <c r="T184" s="78">
        <f t="shared" si="136"/>
        <v>0</v>
      </c>
      <c r="U184" s="78">
        <f t="shared" si="136"/>
        <v>0</v>
      </c>
      <c r="V184" s="78">
        <f t="shared" si="136"/>
        <v>0</v>
      </c>
    </row>
    <row r="185" spans="3:22" ht="15" customHeight="1" x14ac:dyDescent="0.3">
      <c r="C185" s="3" t="s">
        <v>176</v>
      </c>
      <c r="D185" s="43">
        <v>771.3</v>
      </c>
      <c r="E185" s="43"/>
      <c r="G185" s="78">
        <f>SUM(G182:G184)</f>
        <v>769.36203007999995</v>
      </c>
      <c r="H185" s="78">
        <f t="shared" ref="H185:R185" si="137">SUM(H182:H184)</f>
        <v>767.42406015999995</v>
      </c>
      <c r="I185" s="78">
        <f t="shared" si="137"/>
        <v>761.48609023999995</v>
      </c>
      <c r="J185" s="78">
        <f t="shared" si="137"/>
        <v>761.48609023999995</v>
      </c>
      <c r="K185" s="78">
        <f t="shared" si="137"/>
        <v>761.48609023999995</v>
      </c>
      <c r="L185" s="78">
        <f t="shared" ca="1" si="137"/>
        <v>759.68609024</v>
      </c>
      <c r="M185" s="78">
        <f t="shared" ca="1" si="137"/>
        <v>757.77126502624435</v>
      </c>
      <c r="N185" s="78">
        <f t="shared" ca="1" si="137"/>
        <v>755.86126622124664</v>
      </c>
      <c r="O185" s="78">
        <f t="shared" ca="1" si="137"/>
        <v>753.99749871549557</v>
      </c>
      <c r="P185" s="78">
        <f t="shared" ca="1" si="137"/>
        <v>752.11766933513638</v>
      </c>
      <c r="Q185" s="78">
        <f t="shared" ca="1" si="137"/>
        <v>750.22192068914092</v>
      </c>
      <c r="R185" s="78">
        <f t="shared" ca="1" si="137"/>
        <v>748.33095036849977</v>
      </c>
      <c r="S185" s="78">
        <f t="shared" ref="S185:V185" ca="1" si="138">SUM(S182:S184)</f>
        <v>746.48575076485145</v>
      </c>
      <c r="T185" s="78">
        <f t="shared" ca="1" si="138"/>
        <v>744.62464930404042</v>
      </c>
      <c r="U185" s="78">
        <f t="shared" ca="1" si="138"/>
        <v>742.74778717428774</v>
      </c>
      <c r="V185" s="78">
        <f t="shared" ca="1" si="138"/>
        <v>740.8756557655197</v>
      </c>
    </row>
    <row r="186" spans="3:22" ht="15" customHeight="1" x14ac:dyDescent="0.3">
      <c r="D186" s="43"/>
      <c r="E186" s="43"/>
      <c r="F186" s="43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</row>
    <row r="187" spans="3:22" ht="15" customHeight="1" x14ac:dyDescent="0.3">
      <c r="C187" s="48" t="s">
        <v>317</v>
      </c>
      <c r="D187" s="43"/>
      <c r="E187" s="43"/>
      <c r="F187" s="43"/>
      <c r="G187" s="78">
        <v>-13.154429199999999</v>
      </c>
      <c r="H187" s="78">
        <v>-12.94305215</v>
      </c>
      <c r="I187" s="78">
        <v>-12.701533679999999</v>
      </c>
      <c r="J187" s="78">
        <v>-11.88068956</v>
      </c>
      <c r="K187" s="78">
        <v>-9.9945314927500011</v>
      </c>
      <c r="L187" s="78">
        <v>-9.9827189927500015</v>
      </c>
      <c r="M187" s="78">
        <f t="shared" ref="M187:V187" ca="1" si="139">M166+M158</f>
        <v>-11.997057738025207</v>
      </c>
      <c r="N187" s="78">
        <f t="shared" ca="1" si="139"/>
        <v>-11.924615713360989</v>
      </c>
      <c r="O187" s="78">
        <f t="shared" ca="1" si="139"/>
        <v>-11.634956693412029</v>
      </c>
      <c r="P187" s="78">
        <f t="shared" ca="1" si="139"/>
        <v>-11.666309079721316</v>
      </c>
      <c r="Q187" s="78">
        <f t="shared" ca="1" si="139"/>
        <v>-11.678025338544408</v>
      </c>
      <c r="R187" s="78">
        <f t="shared" ca="1" si="139"/>
        <v>-11.60310074550288</v>
      </c>
      <c r="S187" s="78">
        <f>S166+S158</f>
        <v>0</v>
      </c>
      <c r="T187" s="78">
        <f t="shared" si="139"/>
        <v>0</v>
      </c>
      <c r="U187" s="78">
        <f t="shared" si="139"/>
        <v>0</v>
      </c>
      <c r="V187" s="78">
        <f t="shared" si="139"/>
        <v>0</v>
      </c>
    </row>
    <row r="188" spans="3:22" ht="15" customHeight="1" x14ac:dyDescent="0.3">
      <c r="D188" s="43"/>
      <c r="E188" s="43"/>
      <c r="F188" s="43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</row>
    <row r="189" spans="3:22" ht="15" hidden="1" customHeight="1" outlineLevel="1" x14ac:dyDescent="0.3">
      <c r="C189" s="48" t="s">
        <v>321</v>
      </c>
      <c r="D189" s="43"/>
      <c r="E189" s="43"/>
      <c r="F189" s="43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3:22" ht="15" hidden="1" customHeight="1" outlineLevel="1" x14ac:dyDescent="0.3">
      <c r="C190" s="3" t="s">
        <v>318</v>
      </c>
      <c r="D190" s="43"/>
      <c r="E190" s="43"/>
      <c r="F190" s="43"/>
      <c r="G190" s="78">
        <f>D193</f>
        <v>-23.8</v>
      </c>
      <c r="H190" s="78">
        <f t="shared" ref="H190:R190" si="140">G193</f>
        <v>-22.967508744656044</v>
      </c>
      <c r="I190" s="78">
        <f t="shared" si="140"/>
        <v>-22.155210534098835</v>
      </c>
      <c r="J190" s="78">
        <f t="shared" si="140"/>
        <v>-21.363030445044387</v>
      </c>
      <c r="K190" s="78">
        <f t="shared" si="140"/>
        <v>-20.099175489372378</v>
      </c>
      <c r="L190" s="78">
        <f t="shared" si="140"/>
        <v>-19.388322411434995</v>
      </c>
      <c r="M190" s="78">
        <f t="shared" si="140"/>
        <v>-18.70261027018331</v>
      </c>
      <c r="N190" s="78">
        <f t="shared" si="140"/>
        <v>-18.03388110389615</v>
      </c>
      <c r="O190" s="78">
        <f t="shared" si="140"/>
        <v>-17.389062968817079</v>
      </c>
      <c r="P190" s="78">
        <f t="shared" si="140"/>
        <v>-16.780817470490792</v>
      </c>
      <c r="Q190" s="78">
        <f t="shared" si="140"/>
        <v>-16.187325674993449</v>
      </c>
      <c r="R190" s="78">
        <f t="shared" si="140"/>
        <v>-15.608532840908957</v>
      </c>
    </row>
    <row r="191" spans="3:22" ht="15" hidden="1" customHeight="1" outlineLevel="1" x14ac:dyDescent="0.3">
      <c r="C191" s="3" t="s">
        <v>319</v>
      </c>
      <c r="D191" s="43"/>
      <c r="E191" s="43"/>
      <c r="F191" s="43"/>
      <c r="G191" s="78">
        <f t="shared" ref="G191:R191" si="141">-G190*(DATEDIF(G4,G5,"d")+1)/2573</f>
        <v>0.83249125534395652</v>
      </c>
      <c r="H191" s="78">
        <f t="shared" si="141"/>
        <v>0.81229821055720941</v>
      </c>
      <c r="I191" s="78">
        <f t="shared" si="141"/>
        <v>0.79218008905444726</v>
      </c>
      <c r="J191" s="78">
        <f t="shared" si="141"/>
        <v>0.76385495567201078</v>
      </c>
      <c r="K191" s="78">
        <f t="shared" si="141"/>
        <v>0.71085307793738295</v>
      </c>
      <c r="L191" s="78">
        <f t="shared" si="141"/>
        <v>0.68571214125168467</v>
      </c>
      <c r="M191" s="78">
        <f t="shared" si="141"/>
        <v>0.66872916628716073</v>
      </c>
      <c r="N191" s="78">
        <f t="shared" si="141"/>
        <v>0.64481813507906949</v>
      </c>
      <c r="O191" s="78">
        <f t="shared" si="141"/>
        <v>0.60824549832628727</v>
      </c>
      <c r="P191" s="78">
        <f t="shared" si="141"/>
        <v>0.59349179549734243</v>
      </c>
      <c r="Q191" s="78">
        <f t="shared" si="141"/>
        <v>0.57879283408449178</v>
      </c>
      <c r="R191" s="78">
        <f t="shared" si="141"/>
        <v>0.55809755979930975</v>
      </c>
    </row>
    <row r="192" spans="3:22" ht="15" hidden="1" customHeight="1" outlineLevel="1" x14ac:dyDescent="0.3">
      <c r="C192" s="3" t="s">
        <v>322</v>
      </c>
      <c r="D192" s="43"/>
      <c r="E192" s="43"/>
      <c r="F192" s="43"/>
      <c r="G192" s="78"/>
      <c r="H192" s="78"/>
      <c r="I192" s="78"/>
      <c r="J192" s="78">
        <v>0.5</v>
      </c>
      <c r="K192" s="78"/>
      <c r="L192" s="78"/>
      <c r="M192" s="78"/>
      <c r="N192" s="78"/>
      <c r="O192" s="78"/>
      <c r="P192" s="78"/>
      <c r="Q192" s="78"/>
      <c r="R192" s="78"/>
    </row>
    <row r="193" spans="3:19" ht="15" hidden="1" customHeight="1" outlineLevel="1" x14ac:dyDescent="0.3">
      <c r="C193" s="3" t="s">
        <v>320</v>
      </c>
      <c r="D193" s="78">
        <f>-(3.6+20.2)</f>
        <v>-23.8</v>
      </c>
      <c r="E193" s="43"/>
      <c r="G193" s="78">
        <f t="shared" ref="G193:I193" si="142">SUM(G190:G192)</f>
        <v>-22.967508744656044</v>
      </c>
      <c r="H193" s="78">
        <f t="shared" si="142"/>
        <v>-22.155210534098835</v>
      </c>
      <c r="I193" s="78">
        <f t="shared" si="142"/>
        <v>-21.363030445044387</v>
      </c>
      <c r="J193" s="78">
        <f>SUM(J190:J192)</f>
        <v>-20.099175489372378</v>
      </c>
      <c r="K193" s="78">
        <f t="shared" ref="K193:R193" si="143">SUM(K190:K192)</f>
        <v>-19.388322411434995</v>
      </c>
      <c r="L193" s="78">
        <f t="shared" si="143"/>
        <v>-18.70261027018331</v>
      </c>
      <c r="M193" s="78">
        <f t="shared" si="143"/>
        <v>-18.03388110389615</v>
      </c>
      <c r="N193" s="78">
        <f t="shared" si="143"/>
        <v>-17.389062968817079</v>
      </c>
      <c r="O193" s="78">
        <f t="shared" si="143"/>
        <v>-16.780817470490792</v>
      </c>
      <c r="P193" s="78">
        <f t="shared" si="143"/>
        <v>-16.187325674993449</v>
      </c>
      <c r="Q193" s="78">
        <f t="shared" si="143"/>
        <v>-15.608532840908957</v>
      </c>
      <c r="R193" s="78">
        <f t="shared" si="143"/>
        <v>-15.050435281109648</v>
      </c>
    </row>
    <row r="194" spans="3:19" ht="15" hidden="1" customHeight="1" outlineLevel="1" x14ac:dyDescent="0.3">
      <c r="D194" s="43"/>
      <c r="E194" s="43"/>
      <c r="F194" s="43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</row>
    <row r="195" spans="3:19" ht="15" hidden="1" customHeight="1" outlineLevel="1" x14ac:dyDescent="0.3">
      <c r="C195" s="3" t="s">
        <v>323</v>
      </c>
      <c r="D195" s="43"/>
      <c r="E195" s="43"/>
      <c r="F195" s="43"/>
      <c r="G195" s="78">
        <f>G187-G191-G192</f>
        <v>-13.986920455343956</v>
      </c>
      <c r="H195" s="78">
        <f t="shared" ref="H195:R195" si="144">H187-H191-H192</f>
        <v>-13.755350360557209</v>
      </c>
      <c r="I195" s="78">
        <f t="shared" si="144"/>
        <v>-13.493713769054446</v>
      </c>
      <c r="J195" s="78">
        <f t="shared" si="144"/>
        <v>-13.144544515672012</v>
      </c>
      <c r="K195" s="78">
        <f t="shared" si="144"/>
        <v>-10.705384570687384</v>
      </c>
      <c r="L195" s="78">
        <f t="shared" si="144"/>
        <v>-10.668431134001686</v>
      </c>
      <c r="M195" s="78">
        <f t="shared" ca="1" si="144"/>
        <v>-12.665786904312368</v>
      </c>
      <c r="N195" s="78">
        <f t="shared" ca="1" si="144"/>
        <v>-12.569433848440058</v>
      </c>
      <c r="O195" s="78">
        <f t="shared" ca="1" si="144"/>
        <v>-12.243202191738316</v>
      </c>
      <c r="P195" s="78">
        <f t="shared" ca="1" si="144"/>
        <v>-12.259800875218659</v>
      </c>
      <c r="Q195" s="78">
        <f t="shared" ca="1" si="144"/>
        <v>-12.2568181726289</v>
      </c>
      <c r="R195" s="78">
        <f t="shared" ca="1" si="144"/>
        <v>-12.161198305302189</v>
      </c>
    </row>
    <row r="196" spans="3:19" ht="15" hidden="1" customHeight="1" outlineLevel="1" x14ac:dyDescent="0.3">
      <c r="D196" s="43"/>
      <c r="E196" s="43"/>
      <c r="F196" s="43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</row>
    <row r="197" spans="3:19" ht="15" customHeight="1" collapsed="1" x14ac:dyDescent="0.3">
      <c r="D197" s="43"/>
      <c r="E197" s="43"/>
      <c r="F197" s="152"/>
      <c r="G197" s="155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</row>
    <row r="198" spans="3:19" ht="15" customHeight="1" x14ac:dyDescent="0.3">
      <c r="C198" s="1" t="s">
        <v>262</v>
      </c>
      <c r="D198" s="43"/>
      <c r="E198" s="43"/>
      <c r="F198" s="43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7"/>
    </row>
    <row r="199" spans="3:19" ht="15" customHeight="1" x14ac:dyDescent="0.3">
      <c r="C199" s="3" t="s">
        <v>263</v>
      </c>
      <c r="D199" s="43"/>
      <c r="E199" s="43"/>
      <c r="F199" s="43"/>
      <c r="G199" s="78">
        <f t="shared" ref="G199:R199" si="145">G111</f>
        <v>-11.077000000000002</v>
      </c>
      <c r="H199" s="78">
        <f t="shared" si="145"/>
        <v>3.6060000000000052</v>
      </c>
      <c r="I199" s="78">
        <f t="shared" si="145"/>
        <v>16.40945486</v>
      </c>
      <c r="J199" s="78">
        <f t="shared" si="145"/>
        <v>-8.5734548600000053</v>
      </c>
      <c r="K199" s="78">
        <f t="shared" ca="1" si="145"/>
        <v>-22.541</v>
      </c>
      <c r="L199" s="78">
        <f t="shared" ca="1" si="145"/>
        <v>-1.3260000000000005</v>
      </c>
      <c r="M199" s="78">
        <f t="shared" ca="1" si="145"/>
        <v>-27.5484859323821</v>
      </c>
      <c r="N199" s="78">
        <f t="shared" ca="1" si="145"/>
        <v>-13.512496656019293</v>
      </c>
      <c r="O199" s="78">
        <f t="shared" ca="1" si="145"/>
        <v>-14.666678524072783</v>
      </c>
      <c r="P199" s="78">
        <f t="shared" ca="1" si="145"/>
        <v>-18.538420851702611</v>
      </c>
      <c r="Q199" s="78">
        <f t="shared" ca="1" si="145"/>
        <v>-15.962356691411326</v>
      </c>
      <c r="R199" s="78">
        <f t="shared" ca="1" si="145"/>
        <v>-14.277323775983255</v>
      </c>
      <c r="S199" s="78"/>
    </row>
    <row r="200" spans="3:19" ht="15" customHeight="1" x14ac:dyDescent="0.3">
      <c r="C200" s="3" t="s">
        <v>264</v>
      </c>
      <c r="D200" s="43">
        <v>5</v>
      </c>
      <c r="E200" s="43"/>
      <c r="F200" s="43"/>
      <c r="G200" s="78">
        <v>0</v>
      </c>
      <c r="H200" s="78">
        <v>0</v>
      </c>
      <c r="I200" s="78">
        <v>0</v>
      </c>
      <c r="J200" s="78">
        <v>0</v>
      </c>
      <c r="K200" s="78">
        <v>0</v>
      </c>
      <c r="L200" s="78">
        <v>0</v>
      </c>
      <c r="M200" s="78">
        <f t="shared" ref="M200:R200" si="146">-$D200*(DATEDIF(M4,M5,"D")+1)/365</f>
        <v>-1.2602739726027397</v>
      </c>
      <c r="N200" s="78">
        <f t="shared" si="146"/>
        <v>-1.2602739726027397</v>
      </c>
      <c r="O200" s="78">
        <f t="shared" si="146"/>
        <v>-1.2328767123287672</v>
      </c>
      <c r="P200" s="78">
        <f t="shared" si="146"/>
        <v>-1.2465753424657535</v>
      </c>
      <c r="Q200" s="78">
        <f t="shared" si="146"/>
        <v>-1.2602739726027397</v>
      </c>
      <c r="R200" s="78">
        <f t="shared" si="146"/>
        <v>-1.2602739726027397</v>
      </c>
      <c r="S200" s="78"/>
    </row>
    <row r="201" spans="3:19" ht="15" customHeight="1" x14ac:dyDescent="0.3">
      <c r="C201" s="3" t="s">
        <v>265</v>
      </c>
      <c r="D201" s="43"/>
      <c r="E201" s="43"/>
      <c r="F201" s="43"/>
      <c r="G201" s="78">
        <f t="shared" ref="G201:R201" si="147">MIN(IF(G111&gt;=0,0,MAX(G111,-SUM(G199:G200))),0)</f>
        <v>0</v>
      </c>
      <c r="H201" s="78">
        <f t="shared" si="147"/>
        <v>0</v>
      </c>
      <c r="I201" s="78">
        <f t="shared" si="147"/>
        <v>0</v>
      </c>
      <c r="J201" s="78">
        <f t="shared" si="147"/>
        <v>0</v>
      </c>
      <c r="K201" s="78">
        <f t="shared" ca="1" si="147"/>
        <v>0</v>
      </c>
      <c r="L201" s="78">
        <f t="shared" ca="1" si="147"/>
        <v>0</v>
      </c>
      <c r="M201" s="78">
        <f t="shared" ca="1" si="147"/>
        <v>0</v>
      </c>
      <c r="N201" s="78">
        <f t="shared" ca="1" si="147"/>
        <v>0</v>
      </c>
      <c r="O201" s="78">
        <f t="shared" ca="1" si="147"/>
        <v>0</v>
      </c>
      <c r="P201" s="78">
        <f t="shared" ca="1" si="147"/>
        <v>0</v>
      </c>
      <c r="Q201" s="78">
        <f t="shared" ca="1" si="147"/>
        <v>0</v>
      </c>
      <c r="R201" s="78">
        <f t="shared" ca="1" si="147"/>
        <v>0</v>
      </c>
      <c r="S201" s="78"/>
    </row>
    <row r="202" spans="3:19" ht="15" customHeight="1" x14ac:dyDescent="0.3">
      <c r="C202" s="3" t="s">
        <v>266</v>
      </c>
      <c r="D202" s="43"/>
      <c r="E202" s="43"/>
      <c r="F202" s="43"/>
      <c r="G202" s="78">
        <f t="shared" ref="G202:R202" si="148">-SUM(G132:G133)</f>
        <v>12</v>
      </c>
      <c r="H202" s="78">
        <f t="shared" si="148"/>
        <v>3</v>
      </c>
      <c r="I202" s="78">
        <f t="shared" si="148"/>
        <v>-15</v>
      </c>
      <c r="J202" s="78">
        <f t="shared" si="148"/>
        <v>0</v>
      </c>
      <c r="K202" s="78">
        <f t="shared" ca="1" si="148"/>
        <v>11.9</v>
      </c>
      <c r="L202" s="78">
        <f t="shared" si="148"/>
        <v>-2.1500000000000004</v>
      </c>
      <c r="M202" s="78">
        <f t="shared" ca="1" si="148"/>
        <v>25.25</v>
      </c>
      <c r="N202" s="78">
        <f t="shared" ca="1" si="148"/>
        <v>0</v>
      </c>
      <c r="O202" s="78">
        <f t="shared" ca="1" si="148"/>
        <v>0</v>
      </c>
      <c r="P202" s="78">
        <f t="shared" ca="1" si="148"/>
        <v>0</v>
      </c>
      <c r="Q202" s="78">
        <f t="shared" ca="1" si="148"/>
        <v>0</v>
      </c>
      <c r="R202" s="78">
        <f t="shared" ca="1" si="148"/>
        <v>0</v>
      </c>
      <c r="S202" s="78"/>
    </row>
    <row r="203" spans="3:19" ht="15" customHeight="1" x14ac:dyDescent="0.3">
      <c r="C203" s="3" t="s">
        <v>267</v>
      </c>
      <c r="D203" s="43"/>
      <c r="E203" s="43"/>
      <c r="F203" s="43"/>
      <c r="G203" s="78">
        <v>0</v>
      </c>
      <c r="H203" s="78">
        <v>0</v>
      </c>
      <c r="I203" s="78">
        <v>0</v>
      </c>
      <c r="J203" s="78">
        <v>0</v>
      </c>
      <c r="K203" s="78">
        <v>0</v>
      </c>
      <c r="L203" s="78">
        <v>0</v>
      </c>
      <c r="M203" s="78">
        <v>0</v>
      </c>
      <c r="N203" s="78">
        <v>0</v>
      </c>
      <c r="O203" s="78">
        <v>0</v>
      </c>
      <c r="P203" s="78">
        <v>0</v>
      </c>
      <c r="Q203" s="78">
        <v>0</v>
      </c>
      <c r="R203" s="78">
        <v>0</v>
      </c>
      <c r="S203" s="77"/>
    </row>
    <row r="204" spans="3:19" ht="15" customHeight="1" x14ac:dyDescent="0.3">
      <c r="C204" s="3" t="s">
        <v>268</v>
      </c>
      <c r="D204" s="43"/>
      <c r="E204" s="43"/>
      <c r="F204" s="43"/>
      <c r="G204" s="145">
        <f>SUM(G199:G203)</f>
        <v>0.92299999999999827</v>
      </c>
      <c r="H204" s="145">
        <f t="shared" ref="H204:R204" si="149">SUM(H199:H203)</f>
        <v>6.6060000000000052</v>
      </c>
      <c r="I204" s="145">
        <f t="shared" si="149"/>
        <v>1.4094548600000003</v>
      </c>
      <c r="J204" s="145">
        <f t="shared" si="149"/>
        <v>-8.5734548600000053</v>
      </c>
      <c r="K204" s="145">
        <f ca="1">SUM(K199:K203)</f>
        <v>-10.641</v>
      </c>
      <c r="L204" s="145">
        <f t="shared" ca="1" si="149"/>
        <v>-3.4760000000000009</v>
      </c>
      <c r="M204" s="145">
        <f ca="1">SUM(M199:M203)</f>
        <v>-3.5587599049848393</v>
      </c>
      <c r="N204" s="145">
        <f t="shared" ca="1" si="149"/>
        <v>-14.772770628622032</v>
      </c>
      <c r="O204" s="145">
        <f ca="1">SUM(O199:O203)</f>
        <v>-15.89955523640155</v>
      </c>
      <c r="P204" s="145">
        <f t="shared" ca="1" si="149"/>
        <v>-19.784996194168365</v>
      </c>
      <c r="Q204" s="145">
        <f t="shared" ca="1" si="149"/>
        <v>-17.222630664014066</v>
      </c>
      <c r="R204" s="145">
        <f t="shared" ca="1" si="149"/>
        <v>-15.537597748585995</v>
      </c>
      <c r="S204" s="78"/>
    </row>
    <row r="205" spans="3:19" ht="15" customHeight="1" x14ac:dyDescent="0.3">
      <c r="D205" s="43"/>
      <c r="E205" s="43"/>
      <c r="F205" s="43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</row>
    <row r="206" spans="3:19" ht="15" customHeight="1" x14ac:dyDescent="0.3">
      <c r="C206" s="3" t="s">
        <v>269</v>
      </c>
      <c r="D206" s="43"/>
      <c r="E206" s="43"/>
      <c r="F206" s="43"/>
      <c r="G206" s="78">
        <f>6340/1000</f>
        <v>6.34</v>
      </c>
      <c r="H206" s="78">
        <f>G210</f>
        <v>7.2629999999999981</v>
      </c>
      <c r="I206" s="78">
        <f t="shared" ref="I206:R206" si="150">H210</f>
        <v>13.869000000000003</v>
      </c>
      <c r="J206" s="78">
        <f t="shared" si="150"/>
        <v>20.326454860000005</v>
      </c>
      <c r="K206" s="78">
        <f t="shared" si="150"/>
        <v>11.753</v>
      </c>
      <c r="L206" s="78">
        <f t="shared" ca="1" si="150"/>
        <v>1.1120000000000001</v>
      </c>
      <c r="M206" s="78">
        <f t="shared" ca="1" si="150"/>
        <v>0.39599999999999902</v>
      </c>
      <c r="N206" s="78">
        <f t="shared" ca="1" si="150"/>
        <v>-21.133098622506537</v>
      </c>
      <c r="O206" s="78">
        <f ca="1">N210</f>
        <v>-21.133098622506537</v>
      </c>
      <c r="P206" s="78">
        <f t="shared" ca="1" si="150"/>
        <v>-21.133098622506541</v>
      </c>
      <c r="Q206" s="78">
        <f t="shared" ca="1" si="150"/>
        <v>-21.133098622506544</v>
      </c>
      <c r="R206" s="78">
        <f t="shared" ca="1" si="150"/>
        <v>-21.133098622506544</v>
      </c>
      <c r="S206" s="78"/>
    </row>
    <row r="207" spans="3:19" ht="15" customHeight="1" x14ac:dyDescent="0.3">
      <c r="C207" s="3" t="s">
        <v>270</v>
      </c>
      <c r="D207" s="43"/>
      <c r="E207" s="43"/>
      <c r="F207" s="43"/>
      <c r="G207" s="78">
        <f>-G212</f>
        <v>0</v>
      </c>
      <c r="H207" s="78">
        <f>-H212</f>
        <v>0</v>
      </c>
      <c r="I207" s="78">
        <f t="shared" ref="I207:R207" si="151">-I212</f>
        <v>0</v>
      </c>
      <c r="J207" s="78">
        <f t="shared" si="151"/>
        <v>0</v>
      </c>
      <c r="K207" s="78">
        <f t="shared" si="151"/>
        <v>0</v>
      </c>
      <c r="L207" s="78">
        <f t="shared" si="151"/>
        <v>0</v>
      </c>
      <c r="M207" s="78">
        <f t="shared" ca="1" si="151"/>
        <v>0</v>
      </c>
      <c r="N207" s="78">
        <f t="shared" ca="1" si="151"/>
        <v>0</v>
      </c>
      <c r="O207" s="78">
        <f ca="1">-O212</f>
        <v>0</v>
      </c>
      <c r="P207" s="78">
        <f t="shared" ca="1" si="151"/>
        <v>0</v>
      </c>
      <c r="Q207" s="78">
        <f t="shared" ca="1" si="151"/>
        <v>0</v>
      </c>
      <c r="R207" s="78">
        <f t="shared" ca="1" si="151"/>
        <v>0</v>
      </c>
      <c r="S207" s="78"/>
    </row>
    <row r="208" spans="3:19" ht="15" customHeight="1" x14ac:dyDescent="0.3">
      <c r="C208" s="3" t="s">
        <v>294</v>
      </c>
      <c r="D208" s="43"/>
      <c r="E208" s="43"/>
      <c r="F208" s="43"/>
      <c r="G208" s="78">
        <v>0</v>
      </c>
      <c r="H208" s="78">
        <v>0</v>
      </c>
      <c r="I208" s="78">
        <v>5.048</v>
      </c>
      <c r="J208" s="78">
        <v>0</v>
      </c>
      <c r="K208" s="78">
        <v>0</v>
      </c>
      <c r="L208" s="78">
        <f>(L311-M311)/1000</f>
        <v>2.76</v>
      </c>
      <c r="M208" s="78">
        <f t="shared" ref="M208:R208" ca="1" si="152">-M148</f>
        <v>-17.970338717521695</v>
      </c>
      <c r="N208" s="78">
        <f t="shared" ca="1" si="152"/>
        <v>0.28847605827814959</v>
      </c>
      <c r="O208" s="78">
        <f ca="1">-O148</f>
        <v>-7.5049785376769762E-2</v>
      </c>
      <c r="P208" s="78">
        <f t="shared" ca="1" si="152"/>
        <v>5.2067393936496842E-2</v>
      </c>
      <c r="Q208" s="78">
        <f t="shared" ca="1" si="152"/>
        <v>-3.5527136788005009E-15</v>
      </c>
      <c r="R208" s="78">
        <f t="shared" ca="1" si="152"/>
        <v>0</v>
      </c>
      <c r="S208" s="78"/>
    </row>
    <row r="209" spans="3:19" ht="15" customHeight="1" x14ac:dyDescent="0.3">
      <c r="C209" s="168" t="s">
        <v>325</v>
      </c>
      <c r="D209" s="169"/>
      <c r="E209" s="169"/>
      <c r="F209" s="184">
        <f>SUM(G209:R209)</f>
        <v>82.95205680495414</v>
      </c>
      <c r="G209" s="78"/>
      <c r="H209" s="78"/>
      <c r="I209" s="78"/>
      <c r="J209" s="78"/>
      <c r="K209" s="78"/>
      <c r="L209" s="78"/>
      <c r="M209" s="78">
        <f>+M215</f>
        <v>0</v>
      </c>
      <c r="N209" s="78">
        <f t="shared" ref="N209:R209" si="153">+N215</f>
        <v>14.484294570343883</v>
      </c>
      <c r="O209" s="78">
        <f t="shared" si="153"/>
        <v>15.97460502177832</v>
      </c>
      <c r="P209" s="78">
        <f t="shared" si="153"/>
        <v>19.732928800231868</v>
      </c>
      <c r="Q209" s="78">
        <f t="shared" si="153"/>
        <v>17.222630664014069</v>
      </c>
      <c r="R209" s="78">
        <f t="shared" si="153"/>
        <v>15.537597748585995</v>
      </c>
      <c r="S209" s="78"/>
    </row>
    <row r="210" spans="3:19" ht="15" customHeight="1" x14ac:dyDescent="0.3">
      <c r="C210" s="3" t="s">
        <v>176</v>
      </c>
      <c r="D210" s="43">
        <f>6340/1000</f>
        <v>6.34</v>
      </c>
      <c r="E210" s="43"/>
      <c r="G210" s="78">
        <f>SUM(G204:G208)</f>
        <v>7.2629999999999981</v>
      </c>
      <c r="H210" s="78">
        <f>SUM(H204:H208)</f>
        <v>13.869000000000003</v>
      </c>
      <c r="I210" s="78">
        <f>SUM(I204:I208)</f>
        <v>20.326454860000005</v>
      </c>
      <c r="J210" s="78">
        <f t="shared" ref="J210:L210" si="154">SUM(J204:J208)</f>
        <v>11.753</v>
      </c>
      <c r="K210" s="78">
        <f ca="1">SUM(K204:K208)</f>
        <v>1.1120000000000001</v>
      </c>
      <c r="L210" s="78">
        <f t="shared" ca="1" si="154"/>
        <v>0.39599999999999902</v>
      </c>
      <c r="M210" s="78">
        <f ca="1">SUM(M204:M209)</f>
        <v>-21.133098622506537</v>
      </c>
      <c r="N210" s="78">
        <f t="shared" ref="N210:R210" ca="1" si="155">SUM(N204:N209)</f>
        <v>-21.133098622506537</v>
      </c>
      <c r="O210" s="78">
        <f t="shared" ca="1" si="155"/>
        <v>-21.133098622506541</v>
      </c>
      <c r="P210" s="78">
        <f t="shared" ca="1" si="155"/>
        <v>-21.133098622506544</v>
      </c>
      <c r="Q210" s="78">
        <f t="shared" ca="1" si="155"/>
        <v>-21.133098622506544</v>
      </c>
      <c r="R210" s="78">
        <f t="shared" ca="1" si="155"/>
        <v>-21.133098622506544</v>
      </c>
      <c r="S210" s="78"/>
    </row>
    <row r="211" spans="3:19" ht="15" customHeight="1" x14ac:dyDescent="0.3">
      <c r="C211" s="144" t="s">
        <v>306</v>
      </c>
      <c r="D211" s="43"/>
      <c r="E211" s="43"/>
      <c r="F211" s="43"/>
      <c r="G211" s="78">
        <f>G210-H310/1000</f>
        <v>0</v>
      </c>
      <c r="H211" s="78">
        <f t="shared" ref="H211:R211" si="156">I310/1000-H210</f>
        <v>0</v>
      </c>
      <c r="I211" s="78">
        <f t="shared" si="156"/>
        <v>-2.4548600000038334E-3</v>
      </c>
      <c r="J211" s="78">
        <f t="shared" si="156"/>
        <v>0</v>
      </c>
      <c r="K211" s="78">
        <f t="shared" ca="1" si="156"/>
        <v>0</v>
      </c>
      <c r="L211" s="78">
        <f t="shared" ca="1" si="156"/>
        <v>9.9920072216264089E-16</v>
      </c>
      <c r="M211" s="78">
        <f t="shared" ca="1" si="156"/>
        <v>0</v>
      </c>
      <c r="N211" s="78">
        <f t="shared" ca="1" si="156"/>
        <v>0</v>
      </c>
      <c r="O211" s="78">
        <f t="shared" ca="1" si="156"/>
        <v>0</v>
      </c>
      <c r="P211" s="78">
        <f t="shared" ca="1" si="156"/>
        <v>0</v>
      </c>
      <c r="Q211" s="78">
        <f t="shared" ca="1" si="156"/>
        <v>0</v>
      </c>
      <c r="R211" s="78">
        <f t="shared" ca="1" si="156"/>
        <v>0</v>
      </c>
      <c r="S211" s="78"/>
    </row>
    <row r="212" spans="3:19" ht="15" customHeight="1" x14ac:dyDescent="0.3">
      <c r="C212" s="3" t="s">
        <v>281</v>
      </c>
      <c r="D212" s="43"/>
      <c r="E212" s="43"/>
      <c r="F212" s="43"/>
      <c r="G212" s="78">
        <v>0</v>
      </c>
      <c r="H212" s="78">
        <v>0</v>
      </c>
      <c r="I212" s="78">
        <v>0</v>
      </c>
      <c r="J212" s="78">
        <v>0</v>
      </c>
      <c r="K212" s="78">
        <v>0</v>
      </c>
      <c r="L212" s="78">
        <v>0</v>
      </c>
      <c r="M212" s="78">
        <f ca="1">IF(M204&lt;0,IF(SUM(M204:M206)&lt;=0,0,SUM(M204:M206)),MAX(L204,0))</f>
        <v>0</v>
      </c>
      <c r="N212" s="78">
        <f t="shared" ref="N212:R212" ca="1" si="157">IF(N204&lt;0,IF(SUM(N204:N206)&lt;=0,0,SUM(N204:N206)),MAX(M204,0))</f>
        <v>0</v>
      </c>
      <c r="O212" s="78">
        <f t="shared" ca="1" si="157"/>
        <v>0</v>
      </c>
      <c r="P212" s="78">
        <f t="shared" ca="1" si="157"/>
        <v>0</v>
      </c>
      <c r="Q212" s="78">
        <f t="shared" ca="1" si="157"/>
        <v>0</v>
      </c>
      <c r="R212" s="78">
        <f t="shared" ca="1" si="157"/>
        <v>0</v>
      </c>
      <c r="S212" s="78"/>
    </row>
    <row r="213" spans="3:19" ht="15" customHeight="1" x14ac:dyDescent="0.3">
      <c r="D213" s="43"/>
      <c r="E213" s="43"/>
      <c r="F213" s="43"/>
      <c r="G213" s="78" t="b">
        <f t="shared" ref="G213:R213" si="158">G212=-G241</f>
        <v>1</v>
      </c>
      <c r="H213" s="78" t="b">
        <f t="shared" si="158"/>
        <v>1</v>
      </c>
      <c r="I213" s="78" t="b">
        <f t="shared" si="158"/>
        <v>1</v>
      </c>
      <c r="J213" s="78" t="b">
        <f t="shared" si="158"/>
        <v>1</v>
      </c>
      <c r="K213" s="78" t="b">
        <f t="shared" si="158"/>
        <v>1</v>
      </c>
      <c r="L213" s="78" t="b">
        <f t="shared" ca="1" si="158"/>
        <v>1</v>
      </c>
      <c r="M213" s="78" t="b">
        <f t="shared" ca="1" si="158"/>
        <v>1</v>
      </c>
      <c r="N213" s="78" t="b">
        <f t="shared" ca="1" si="158"/>
        <v>1</v>
      </c>
      <c r="O213" s="78" t="b">
        <f t="shared" ca="1" si="158"/>
        <v>1</v>
      </c>
      <c r="P213" s="78" t="b">
        <f t="shared" ca="1" si="158"/>
        <v>1</v>
      </c>
      <c r="Q213" s="78" t="b">
        <f t="shared" ca="1" si="158"/>
        <v>1</v>
      </c>
      <c r="R213" s="78" t="b">
        <f t="shared" ca="1" si="158"/>
        <v>1</v>
      </c>
      <c r="S213" s="78"/>
    </row>
    <row r="214" spans="3:19" ht="15" customHeight="1" x14ac:dyDescent="0.3">
      <c r="C214" s="122" t="s">
        <v>305</v>
      </c>
      <c r="D214" s="185"/>
      <c r="E214" s="185"/>
      <c r="F214" s="185"/>
      <c r="G214" s="186">
        <f>IF(G210&lt;0,-G210,0)</f>
        <v>0</v>
      </c>
      <c r="H214" s="186">
        <f t="shared" ref="H214:R214" si="159">IF(H210&lt;0,-H210,0)</f>
        <v>0</v>
      </c>
      <c r="I214" s="186">
        <f t="shared" si="159"/>
        <v>0</v>
      </c>
      <c r="J214" s="186">
        <f t="shared" si="159"/>
        <v>0</v>
      </c>
      <c r="K214" s="186">
        <f t="shared" ca="1" si="159"/>
        <v>0</v>
      </c>
      <c r="L214" s="186">
        <f t="shared" ca="1" si="159"/>
        <v>0</v>
      </c>
      <c r="M214" s="186">
        <f t="shared" ca="1" si="159"/>
        <v>21.133098622506537</v>
      </c>
      <c r="N214" s="186">
        <f t="shared" ca="1" si="159"/>
        <v>21.133098622506537</v>
      </c>
      <c r="O214" s="186">
        <f t="shared" ca="1" si="159"/>
        <v>21.133098622506541</v>
      </c>
      <c r="P214" s="186">
        <f t="shared" ca="1" si="159"/>
        <v>21.133098622506544</v>
      </c>
      <c r="Q214" s="186">
        <f t="shared" ca="1" si="159"/>
        <v>21.133098622506544</v>
      </c>
      <c r="R214" s="186">
        <f t="shared" ca="1" si="159"/>
        <v>21.133098622506544</v>
      </c>
      <c r="S214" s="78"/>
    </row>
    <row r="215" spans="3:19" ht="15" customHeight="1" x14ac:dyDescent="0.3">
      <c r="C215" s="148" t="s">
        <v>373</v>
      </c>
      <c r="D215" s="180"/>
      <c r="E215" s="180"/>
      <c r="F215" s="180"/>
      <c r="G215" s="154"/>
      <c r="H215" s="154"/>
      <c r="I215" s="154"/>
      <c r="J215" s="154"/>
      <c r="K215" s="154"/>
      <c r="L215" s="154"/>
      <c r="M215" s="154"/>
      <c r="N215" s="154">
        <v>14.484294570343883</v>
      </c>
      <c r="O215" s="154">
        <v>15.97460502177832</v>
      </c>
      <c r="P215" s="154">
        <v>19.732928800231868</v>
      </c>
      <c r="Q215" s="154">
        <v>17.222630664014069</v>
      </c>
      <c r="R215" s="154">
        <v>15.537597748585995</v>
      </c>
      <c r="S215" s="77"/>
    </row>
    <row r="216" spans="3:19" s="168" customFormat="1" ht="15" customHeight="1" x14ac:dyDescent="0.3">
      <c r="D216" s="169"/>
      <c r="E216" s="169"/>
      <c r="F216" s="169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52"/>
    </row>
    <row r="217" spans="3:19" s="168" customFormat="1" ht="15" customHeight="1" x14ac:dyDescent="0.3">
      <c r="D217" s="169"/>
      <c r="E217" s="169"/>
      <c r="F217" s="169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52"/>
    </row>
    <row r="218" spans="3:19" ht="15" customHeight="1" x14ac:dyDescent="0.3">
      <c r="C218" s="1" t="s">
        <v>258</v>
      </c>
      <c r="D218" s="43"/>
      <c r="E218" s="43"/>
      <c r="F218" s="43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7"/>
    </row>
    <row r="219" spans="3:19" ht="15" customHeight="1" x14ac:dyDescent="0.3">
      <c r="C219" s="3" t="s">
        <v>259</v>
      </c>
      <c r="D219" s="43"/>
      <c r="E219" s="43"/>
      <c r="F219" s="43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7"/>
    </row>
    <row r="220" spans="3:19" ht="15" customHeight="1" x14ac:dyDescent="0.3">
      <c r="C220" s="3" t="s">
        <v>260</v>
      </c>
      <c r="D220" s="43"/>
      <c r="E220" s="43"/>
      <c r="F220" s="43"/>
      <c r="G220" s="78">
        <f t="shared" ref="G220:R220" si="160">G182</f>
        <v>771.3</v>
      </c>
      <c r="H220" s="78">
        <f t="shared" si="160"/>
        <v>769.36203007999995</v>
      </c>
      <c r="I220" s="78">
        <f t="shared" si="160"/>
        <v>767.42406015999995</v>
      </c>
      <c r="J220" s="78">
        <f t="shared" si="160"/>
        <v>761.48609023999995</v>
      </c>
      <c r="K220" s="78">
        <f t="shared" si="160"/>
        <v>761.48609023999995</v>
      </c>
      <c r="L220" s="78">
        <f t="shared" si="160"/>
        <v>761.48609023999995</v>
      </c>
      <c r="M220" s="78">
        <f t="shared" ca="1" si="160"/>
        <v>759.68609024</v>
      </c>
      <c r="N220" s="78">
        <f t="shared" ca="1" si="160"/>
        <v>757.77126502624435</v>
      </c>
      <c r="O220" s="78">
        <f t="shared" ca="1" si="160"/>
        <v>755.86126622124664</v>
      </c>
      <c r="P220" s="78">
        <f t="shared" ca="1" si="160"/>
        <v>753.99749871549557</v>
      </c>
      <c r="Q220" s="78">
        <f t="shared" ca="1" si="160"/>
        <v>752.11766933513638</v>
      </c>
      <c r="R220" s="78">
        <f t="shared" ca="1" si="160"/>
        <v>750.22192068914092</v>
      </c>
      <c r="S220" s="78"/>
    </row>
    <row r="221" spans="3:19" ht="15" customHeight="1" x14ac:dyDescent="0.3">
      <c r="C221" s="3" t="s">
        <v>261</v>
      </c>
      <c r="D221" s="43"/>
      <c r="E221" s="43"/>
      <c r="F221" s="43"/>
      <c r="G221" s="78">
        <f t="shared" ref="G221:R221" si="161">-G206</f>
        <v>-6.34</v>
      </c>
      <c r="H221" s="78">
        <f t="shared" si="161"/>
        <v>-7.2629999999999981</v>
      </c>
      <c r="I221" s="78">
        <f t="shared" si="161"/>
        <v>-13.869000000000003</v>
      </c>
      <c r="J221" s="78">
        <f t="shared" si="161"/>
        <v>-20.326454860000005</v>
      </c>
      <c r="K221" s="78">
        <f t="shared" si="161"/>
        <v>-11.753</v>
      </c>
      <c r="L221" s="78">
        <f t="shared" ca="1" si="161"/>
        <v>-1.1120000000000001</v>
      </c>
      <c r="M221" s="78">
        <f t="shared" ca="1" si="161"/>
        <v>-0.39599999999999902</v>
      </c>
      <c r="N221" s="78">
        <f t="shared" ca="1" si="161"/>
        <v>21.133098622506537</v>
      </c>
      <c r="O221" s="78">
        <f t="shared" ca="1" si="161"/>
        <v>21.133098622506537</v>
      </c>
      <c r="P221" s="78">
        <f t="shared" ca="1" si="161"/>
        <v>21.133098622506541</v>
      </c>
      <c r="Q221" s="78">
        <f t="shared" ca="1" si="161"/>
        <v>21.133098622506544</v>
      </c>
      <c r="R221" s="78">
        <f t="shared" ca="1" si="161"/>
        <v>21.133098622506544</v>
      </c>
      <c r="S221" s="78"/>
    </row>
    <row r="222" spans="3:19" ht="15" customHeight="1" x14ac:dyDescent="0.3">
      <c r="C222" s="3" t="s">
        <v>271</v>
      </c>
      <c r="D222" s="43"/>
      <c r="E222" s="43"/>
      <c r="F222" s="43"/>
      <c r="G222" s="78">
        <f>SUM(G220:G221)</f>
        <v>764.95999999999992</v>
      </c>
      <c r="H222" s="78">
        <f t="shared" ref="H222:R222" si="162">SUM(H220:H221)</f>
        <v>762.09903007999992</v>
      </c>
      <c r="I222" s="78">
        <f t="shared" si="162"/>
        <v>753.55506015999993</v>
      </c>
      <c r="J222" s="78">
        <f t="shared" si="162"/>
        <v>741.15963537999994</v>
      </c>
      <c r="K222" s="78">
        <f t="shared" si="162"/>
        <v>749.73309023999991</v>
      </c>
      <c r="L222" s="78">
        <f t="shared" ca="1" si="162"/>
        <v>760.37409023999999</v>
      </c>
      <c r="M222" s="78">
        <f t="shared" ca="1" si="162"/>
        <v>759.29009024000004</v>
      </c>
      <c r="N222" s="78">
        <f t="shared" ca="1" si="162"/>
        <v>778.90436364875086</v>
      </c>
      <c r="O222" s="78">
        <f t="shared" ca="1" si="162"/>
        <v>776.99436484375315</v>
      </c>
      <c r="P222" s="78">
        <f t="shared" ca="1" si="162"/>
        <v>775.13059733800208</v>
      </c>
      <c r="Q222" s="78">
        <f t="shared" ca="1" si="162"/>
        <v>773.25076795764289</v>
      </c>
      <c r="R222" s="78">
        <f t="shared" ca="1" si="162"/>
        <v>771.35501931164742</v>
      </c>
      <c r="S222" s="78"/>
    </row>
    <row r="223" spans="3:19" ht="15" customHeight="1" x14ac:dyDescent="0.3">
      <c r="D223" s="43"/>
      <c r="E223" s="43"/>
      <c r="F223" s="43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7"/>
    </row>
    <row r="224" spans="3:19" ht="15" customHeight="1" x14ac:dyDescent="0.3">
      <c r="C224" s="3" t="s">
        <v>272</v>
      </c>
      <c r="D224" s="43"/>
      <c r="E224" s="43"/>
      <c r="F224" s="43"/>
      <c r="G224" s="78">
        <v>167.77306460520032</v>
      </c>
      <c r="H224" s="149">
        <f>149.9+SUM(G26)</f>
        <v>158.9</v>
      </c>
      <c r="I224" s="149">
        <f>92.3+SUM(G26:H26)</f>
        <v>131.89999999999998</v>
      </c>
      <c r="J224" s="149">
        <v>0</v>
      </c>
      <c r="K224" s="149">
        <v>0</v>
      </c>
      <c r="L224" s="149">
        <v>0</v>
      </c>
      <c r="M224" s="149">
        <v>0</v>
      </c>
      <c r="N224" s="149">
        <v>0</v>
      </c>
      <c r="O224" s="149">
        <v>0</v>
      </c>
      <c r="P224" s="149">
        <v>0</v>
      </c>
      <c r="Q224" s="149">
        <v>0</v>
      </c>
      <c r="R224" s="149">
        <v>0</v>
      </c>
      <c r="S224" s="149"/>
    </row>
    <row r="225" spans="3:19" ht="15" customHeight="1" x14ac:dyDescent="0.3">
      <c r="C225" s="3" t="s">
        <v>273</v>
      </c>
      <c r="D225" s="43"/>
      <c r="E225" s="43"/>
      <c r="F225" s="43"/>
      <c r="G225" s="78">
        <v>0</v>
      </c>
      <c r="H225" s="78">
        <v>0</v>
      </c>
      <c r="I225" s="78">
        <v>0</v>
      </c>
      <c r="J225" s="78">
        <f>28+SUM(G26:I26)</f>
        <v>104.1</v>
      </c>
      <c r="K225" s="78">
        <f t="shared" ref="K225:R225" si="163">SUM(G26:J26)</f>
        <v>86.199999999999989</v>
      </c>
      <c r="L225" s="78">
        <f t="shared" si="163"/>
        <v>76.599999999999994</v>
      </c>
      <c r="M225" s="78">
        <f t="shared" si="163"/>
        <v>46.599999999999994</v>
      </c>
      <c r="N225" s="78">
        <f t="shared" si="163"/>
        <v>14.093084778800206</v>
      </c>
      <c r="O225" s="78">
        <f t="shared" si="163"/>
        <v>4.280900439733343</v>
      </c>
      <c r="P225" s="78">
        <f t="shared" si="163"/>
        <v>0.45592909075685029</v>
      </c>
      <c r="Q225" s="78">
        <f t="shared" si="163"/>
        <v>-3.7244210502571051</v>
      </c>
      <c r="R225" s="78">
        <f t="shared" si="163"/>
        <v>-7.0104570736091922</v>
      </c>
      <c r="S225" s="78"/>
    </row>
    <row r="226" spans="3:19" ht="15" customHeight="1" x14ac:dyDescent="0.3">
      <c r="C226" s="3" t="s">
        <v>274</v>
      </c>
      <c r="D226" s="43"/>
      <c r="E226" s="43"/>
      <c r="F226" s="43"/>
      <c r="G226" s="78">
        <f>G222/SUM(G224:G225)</f>
        <v>4.559492322561348</v>
      </c>
      <c r="H226" s="78">
        <f t="shared" ref="H226:R226" si="164">H222/SUM(H224:H225)</f>
        <v>4.7960920709880419</v>
      </c>
      <c r="I226" s="78">
        <f t="shared" si="164"/>
        <v>5.7130785455648221</v>
      </c>
      <c r="J226" s="78">
        <f t="shared" si="164"/>
        <v>7.1196891006724305</v>
      </c>
      <c r="K226" s="78">
        <f t="shared" si="164"/>
        <v>8.697599654756381</v>
      </c>
      <c r="L226" s="78">
        <f t="shared" ca="1" si="164"/>
        <v>9.926554702872064</v>
      </c>
      <c r="M226" s="78">
        <f t="shared" ca="1" si="164"/>
        <v>16.293778760515025</v>
      </c>
      <c r="N226" s="78">
        <f t="shared" ca="1" si="164"/>
        <v>55.268550205589676</v>
      </c>
      <c r="O226" s="78">
        <f t="shared" ca="1" si="164"/>
        <v>181.50255437665635</v>
      </c>
      <c r="P226" s="78">
        <f t="shared" ca="1" si="164"/>
        <v>1700.112173257626</v>
      </c>
      <c r="Q226" s="78">
        <f t="shared" ca="1" si="164"/>
        <v>-207.61636708724532</v>
      </c>
      <c r="R226" s="78">
        <f t="shared" ca="1" si="164"/>
        <v>-110.02920511636924</v>
      </c>
      <c r="S226" s="78"/>
    </row>
    <row r="227" spans="3:19" ht="15" customHeight="1" x14ac:dyDescent="0.3">
      <c r="D227" s="43"/>
      <c r="E227" s="43"/>
      <c r="F227" s="43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7"/>
    </row>
    <row r="228" spans="3:19" ht="15" customHeight="1" x14ac:dyDescent="0.3">
      <c r="C228" s="3" t="s">
        <v>275</v>
      </c>
      <c r="D228" s="43"/>
      <c r="E228" s="43"/>
      <c r="F228" s="43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7"/>
    </row>
    <row r="229" spans="3:19" ht="15" customHeight="1" x14ac:dyDescent="0.3">
      <c r="C229" s="3" t="s">
        <v>276</v>
      </c>
      <c r="D229" s="150">
        <v>3.75</v>
      </c>
      <c r="E229" s="43"/>
      <c r="F229" s="43"/>
      <c r="G229" s="78">
        <f t="shared" ref="G229:R229" si="165">(G226&gt;$D229)*1</f>
        <v>1</v>
      </c>
      <c r="H229" s="78">
        <f t="shared" si="165"/>
        <v>1</v>
      </c>
      <c r="I229" s="78">
        <f t="shared" si="165"/>
        <v>1</v>
      </c>
      <c r="J229" s="78">
        <f t="shared" si="165"/>
        <v>1</v>
      </c>
      <c r="K229" s="78">
        <f t="shared" si="165"/>
        <v>1</v>
      </c>
      <c r="L229" s="78">
        <f t="shared" ca="1" si="165"/>
        <v>1</v>
      </c>
      <c r="M229" s="78">
        <f t="shared" ca="1" si="165"/>
        <v>1</v>
      </c>
      <c r="N229" s="78">
        <f t="shared" ca="1" si="165"/>
        <v>1</v>
      </c>
      <c r="O229" s="78">
        <f t="shared" ca="1" si="165"/>
        <v>1</v>
      </c>
      <c r="P229" s="78">
        <f t="shared" ca="1" si="165"/>
        <v>1</v>
      </c>
      <c r="Q229" s="78">
        <f t="shared" ca="1" si="165"/>
        <v>0</v>
      </c>
      <c r="R229" s="78">
        <f t="shared" ca="1" si="165"/>
        <v>0</v>
      </c>
      <c r="S229" s="78"/>
    </row>
    <row r="230" spans="3:19" ht="15" customHeight="1" x14ac:dyDescent="0.3">
      <c r="C230" s="3" t="s">
        <v>277</v>
      </c>
      <c r="D230" s="150">
        <v>2.75</v>
      </c>
      <c r="E230" s="43"/>
      <c r="F230" s="43"/>
      <c r="G230" s="78">
        <f t="shared" ref="G230:R230" si="166">AND(G226&gt;$D230,G226&lt;=$D229)*1</f>
        <v>0</v>
      </c>
      <c r="H230" s="78">
        <f t="shared" si="166"/>
        <v>0</v>
      </c>
      <c r="I230" s="78">
        <f t="shared" si="166"/>
        <v>0</v>
      </c>
      <c r="J230" s="78">
        <f t="shared" si="166"/>
        <v>0</v>
      </c>
      <c r="K230" s="78">
        <f t="shared" si="166"/>
        <v>0</v>
      </c>
      <c r="L230" s="78">
        <f t="shared" ca="1" si="166"/>
        <v>0</v>
      </c>
      <c r="M230" s="78">
        <f t="shared" ca="1" si="166"/>
        <v>0</v>
      </c>
      <c r="N230" s="78">
        <f t="shared" ca="1" si="166"/>
        <v>0</v>
      </c>
      <c r="O230" s="78">
        <f t="shared" ca="1" si="166"/>
        <v>0</v>
      </c>
      <c r="P230" s="78">
        <f t="shared" ca="1" si="166"/>
        <v>0</v>
      </c>
      <c r="Q230" s="78">
        <f t="shared" ca="1" si="166"/>
        <v>0</v>
      </c>
      <c r="R230" s="78">
        <f t="shared" ca="1" si="166"/>
        <v>0</v>
      </c>
      <c r="S230" s="78"/>
    </row>
    <row r="231" spans="3:19" ht="15" customHeight="1" x14ac:dyDescent="0.3">
      <c r="C231" s="3" t="s">
        <v>278</v>
      </c>
      <c r="D231" s="151">
        <v>2.75</v>
      </c>
      <c r="E231" s="43"/>
      <c r="F231" s="43"/>
      <c r="G231" s="78">
        <f t="shared" ref="G231:R231" si="167">(G226&lt;=$D231)*1</f>
        <v>0</v>
      </c>
      <c r="H231" s="78">
        <f t="shared" si="167"/>
        <v>0</v>
      </c>
      <c r="I231" s="78">
        <f t="shared" si="167"/>
        <v>0</v>
      </c>
      <c r="J231" s="78">
        <f t="shared" si="167"/>
        <v>0</v>
      </c>
      <c r="K231" s="78">
        <f t="shared" si="167"/>
        <v>0</v>
      </c>
      <c r="L231" s="78">
        <f t="shared" ca="1" si="167"/>
        <v>0</v>
      </c>
      <c r="M231" s="78">
        <f t="shared" ca="1" si="167"/>
        <v>0</v>
      </c>
      <c r="N231" s="78">
        <f t="shared" ca="1" si="167"/>
        <v>0</v>
      </c>
      <c r="O231" s="78">
        <f t="shared" ca="1" si="167"/>
        <v>0</v>
      </c>
      <c r="P231" s="78">
        <f t="shared" ca="1" si="167"/>
        <v>0</v>
      </c>
      <c r="Q231" s="78">
        <f t="shared" ca="1" si="167"/>
        <v>1</v>
      </c>
      <c r="R231" s="78">
        <f t="shared" ca="1" si="167"/>
        <v>1</v>
      </c>
      <c r="S231" s="78"/>
    </row>
    <row r="232" spans="3:19" ht="15" customHeight="1" x14ac:dyDescent="0.3">
      <c r="D232" s="43"/>
      <c r="E232" s="43"/>
      <c r="F232" s="43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7"/>
    </row>
    <row r="233" spans="3:19" ht="15" customHeight="1" x14ac:dyDescent="0.3">
      <c r="C233" s="3" t="s">
        <v>275</v>
      </c>
      <c r="D233" s="43"/>
      <c r="E233" s="43"/>
      <c r="F233" s="43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7"/>
    </row>
    <row r="234" spans="3:19" ht="15" customHeight="1" x14ac:dyDescent="0.3">
      <c r="C234" s="3" t="s">
        <v>276</v>
      </c>
      <c r="D234" s="2">
        <v>1</v>
      </c>
      <c r="E234" s="43"/>
      <c r="F234" s="43"/>
      <c r="G234" s="146">
        <f t="shared" ref="G234:Q234" si="168">$D234*G229</f>
        <v>1</v>
      </c>
      <c r="H234" s="146">
        <f t="shared" si="168"/>
        <v>1</v>
      </c>
      <c r="I234" s="146">
        <f t="shared" si="168"/>
        <v>1</v>
      </c>
      <c r="J234" s="146">
        <f t="shared" si="168"/>
        <v>1</v>
      </c>
      <c r="K234" s="146">
        <f t="shared" si="168"/>
        <v>1</v>
      </c>
      <c r="L234" s="146">
        <f t="shared" ca="1" si="168"/>
        <v>1</v>
      </c>
      <c r="M234" s="146">
        <f t="shared" ca="1" si="168"/>
        <v>1</v>
      </c>
      <c r="N234" s="146">
        <f t="shared" ca="1" si="168"/>
        <v>1</v>
      </c>
      <c r="O234" s="146">
        <f t="shared" ca="1" si="168"/>
        <v>1</v>
      </c>
      <c r="P234" s="146">
        <f t="shared" ca="1" si="168"/>
        <v>1</v>
      </c>
      <c r="Q234" s="146">
        <f t="shared" ca="1" si="168"/>
        <v>0</v>
      </c>
      <c r="R234" s="146">
        <f ca="1">$D234*R229</f>
        <v>0</v>
      </c>
      <c r="S234" s="146"/>
    </row>
    <row r="235" spans="3:19" ht="15" customHeight="1" x14ac:dyDescent="0.3">
      <c r="C235" s="3" t="s">
        <v>277</v>
      </c>
      <c r="D235" s="2">
        <v>0.5</v>
      </c>
      <c r="E235" s="43"/>
      <c r="F235" s="43"/>
      <c r="G235" s="146">
        <f t="shared" ref="G235:R235" si="169">$D235*G230</f>
        <v>0</v>
      </c>
      <c r="H235" s="146">
        <f t="shared" si="169"/>
        <v>0</v>
      </c>
      <c r="I235" s="146">
        <f t="shared" si="169"/>
        <v>0</v>
      </c>
      <c r="J235" s="146">
        <f t="shared" si="169"/>
        <v>0</v>
      </c>
      <c r="K235" s="146">
        <f t="shared" si="169"/>
        <v>0</v>
      </c>
      <c r="L235" s="146">
        <f t="shared" ca="1" si="169"/>
        <v>0</v>
      </c>
      <c r="M235" s="146">
        <f t="shared" ca="1" si="169"/>
        <v>0</v>
      </c>
      <c r="N235" s="146">
        <f t="shared" ca="1" si="169"/>
        <v>0</v>
      </c>
      <c r="O235" s="146">
        <f t="shared" ca="1" si="169"/>
        <v>0</v>
      </c>
      <c r="P235" s="146">
        <f t="shared" ca="1" si="169"/>
        <v>0</v>
      </c>
      <c r="Q235" s="146">
        <f t="shared" ca="1" si="169"/>
        <v>0</v>
      </c>
      <c r="R235" s="146">
        <f t="shared" ca="1" si="169"/>
        <v>0</v>
      </c>
      <c r="S235" s="146"/>
    </row>
    <row r="236" spans="3:19" ht="15" customHeight="1" x14ac:dyDescent="0.3">
      <c r="C236" s="3" t="s">
        <v>278</v>
      </c>
      <c r="D236" s="2">
        <v>0</v>
      </c>
      <c r="E236" s="43"/>
      <c r="F236" s="43"/>
      <c r="G236" s="146">
        <f t="shared" ref="G236:R236" si="170">$D236*G231</f>
        <v>0</v>
      </c>
      <c r="H236" s="146">
        <f t="shared" si="170"/>
        <v>0</v>
      </c>
      <c r="I236" s="146">
        <f t="shared" si="170"/>
        <v>0</v>
      </c>
      <c r="J236" s="146">
        <f t="shared" si="170"/>
        <v>0</v>
      </c>
      <c r="K236" s="146">
        <f t="shared" si="170"/>
        <v>0</v>
      </c>
      <c r="L236" s="146">
        <f t="shared" ca="1" si="170"/>
        <v>0</v>
      </c>
      <c r="M236" s="146">
        <f t="shared" ca="1" si="170"/>
        <v>0</v>
      </c>
      <c r="N236" s="146">
        <f t="shared" ca="1" si="170"/>
        <v>0</v>
      </c>
      <c r="O236" s="146">
        <f t="shared" ca="1" si="170"/>
        <v>0</v>
      </c>
      <c r="P236" s="146">
        <f t="shared" ca="1" si="170"/>
        <v>0</v>
      </c>
      <c r="Q236" s="146">
        <f t="shared" ca="1" si="170"/>
        <v>0</v>
      </c>
      <c r="R236" s="146">
        <f t="shared" ca="1" si="170"/>
        <v>0</v>
      </c>
      <c r="S236" s="146"/>
    </row>
    <row r="237" spans="3:19" ht="15" customHeight="1" x14ac:dyDescent="0.3">
      <c r="C237" s="3" t="s">
        <v>279</v>
      </c>
      <c r="D237" s="43"/>
      <c r="E237" s="43"/>
      <c r="F237" s="43"/>
      <c r="G237" s="146">
        <f>SUM(G234:G236)</f>
        <v>1</v>
      </c>
      <c r="H237" s="146">
        <f t="shared" ref="H237:R237" si="171">SUM(H234:H236)</f>
        <v>1</v>
      </c>
      <c r="I237" s="146">
        <f t="shared" si="171"/>
        <v>1</v>
      </c>
      <c r="J237" s="146">
        <f t="shared" si="171"/>
        <v>1</v>
      </c>
      <c r="K237" s="146">
        <f t="shared" si="171"/>
        <v>1</v>
      </c>
      <c r="L237" s="146">
        <f t="shared" ca="1" si="171"/>
        <v>1</v>
      </c>
      <c r="M237" s="146">
        <f t="shared" ca="1" si="171"/>
        <v>1</v>
      </c>
      <c r="N237" s="146">
        <f t="shared" ca="1" si="171"/>
        <v>1</v>
      </c>
      <c r="O237" s="146">
        <f t="shared" ca="1" si="171"/>
        <v>1</v>
      </c>
      <c r="P237" s="146">
        <f t="shared" ca="1" si="171"/>
        <v>1</v>
      </c>
      <c r="Q237" s="146">
        <f t="shared" ca="1" si="171"/>
        <v>0</v>
      </c>
      <c r="R237" s="146">
        <f t="shared" ca="1" si="171"/>
        <v>0</v>
      </c>
      <c r="S237" s="146"/>
    </row>
    <row r="238" spans="3:19" ht="15" customHeight="1" x14ac:dyDescent="0.3">
      <c r="D238" s="43"/>
      <c r="E238" s="43"/>
      <c r="F238" s="43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7"/>
    </row>
    <row r="239" spans="3:19" ht="15" customHeight="1" x14ac:dyDescent="0.3">
      <c r="C239" s="3" t="s">
        <v>280</v>
      </c>
      <c r="D239" s="43"/>
      <c r="E239" s="43"/>
      <c r="F239" s="43"/>
      <c r="G239" s="78">
        <f t="shared" ref="G239:R239" si="172">MAX(G212,0)</f>
        <v>0</v>
      </c>
      <c r="H239" s="78">
        <f t="shared" si="172"/>
        <v>0</v>
      </c>
      <c r="I239" s="78">
        <f t="shared" si="172"/>
        <v>0</v>
      </c>
      <c r="J239" s="78">
        <f t="shared" si="172"/>
        <v>0</v>
      </c>
      <c r="K239" s="78">
        <f t="shared" si="172"/>
        <v>0</v>
      </c>
      <c r="L239" s="78">
        <f t="shared" si="172"/>
        <v>0</v>
      </c>
      <c r="M239" s="78">
        <f t="shared" ca="1" si="172"/>
        <v>0</v>
      </c>
      <c r="N239" s="78">
        <f t="shared" ca="1" si="172"/>
        <v>0</v>
      </c>
      <c r="O239" s="78">
        <f t="shared" ca="1" si="172"/>
        <v>0</v>
      </c>
      <c r="P239" s="78">
        <f t="shared" ca="1" si="172"/>
        <v>0</v>
      </c>
      <c r="Q239" s="78">
        <f t="shared" ca="1" si="172"/>
        <v>0</v>
      </c>
      <c r="R239" s="78">
        <f t="shared" ca="1" si="172"/>
        <v>0</v>
      </c>
      <c r="S239" s="78"/>
    </row>
    <row r="240" spans="3:19" ht="15" customHeight="1" x14ac:dyDescent="0.3">
      <c r="D240" s="43"/>
      <c r="E240" s="43"/>
      <c r="F240" s="43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7"/>
    </row>
    <row r="241" spans="3:19" ht="15" customHeight="1" x14ac:dyDescent="0.3">
      <c r="C241" s="3" t="s">
        <v>282</v>
      </c>
      <c r="D241" s="43"/>
      <c r="E241" s="43"/>
      <c r="F241" s="43"/>
      <c r="G241" s="78">
        <f>-G239*G237</f>
        <v>0</v>
      </c>
      <c r="H241" s="78">
        <f t="shared" ref="H241:R241" si="173">-H239*H237</f>
        <v>0</v>
      </c>
      <c r="I241" s="78">
        <v>0</v>
      </c>
      <c r="J241" s="78">
        <v>0</v>
      </c>
      <c r="K241" s="78">
        <v>0</v>
      </c>
      <c r="L241" s="78">
        <f t="shared" ca="1" si="173"/>
        <v>0</v>
      </c>
      <c r="M241" s="78">
        <f t="shared" ca="1" si="173"/>
        <v>0</v>
      </c>
      <c r="N241" s="78">
        <f t="shared" ca="1" si="173"/>
        <v>0</v>
      </c>
      <c r="O241" s="78">
        <f t="shared" ca="1" si="173"/>
        <v>0</v>
      </c>
      <c r="P241" s="78">
        <f t="shared" ca="1" si="173"/>
        <v>0</v>
      </c>
      <c r="Q241" s="78">
        <f t="shared" ca="1" si="173"/>
        <v>0</v>
      </c>
      <c r="R241" s="78">
        <f t="shared" ca="1" si="173"/>
        <v>0</v>
      </c>
      <c r="S241" s="78"/>
    </row>
    <row r="242" spans="3:19" ht="15" customHeight="1" x14ac:dyDescent="0.3">
      <c r="D242" s="43"/>
      <c r="E242" s="43"/>
      <c r="F242" s="43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7"/>
    </row>
    <row r="243" spans="3:19" ht="15" customHeight="1" x14ac:dyDescent="0.3">
      <c r="C243" s="3" t="s">
        <v>295</v>
      </c>
      <c r="D243" s="43"/>
      <c r="E243" s="43"/>
      <c r="F243" s="43"/>
      <c r="G243" s="78">
        <f>G239+G241</f>
        <v>0</v>
      </c>
      <c r="H243" s="78">
        <f t="shared" ref="H243:R243" si="174">H239+H241</f>
        <v>0</v>
      </c>
      <c r="I243" s="78">
        <f t="shared" si="174"/>
        <v>0</v>
      </c>
      <c r="J243" s="78">
        <f t="shared" si="174"/>
        <v>0</v>
      </c>
      <c r="K243" s="78">
        <f t="shared" si="174"/>
        <v>0</v>
      </c>
      <c r="L243" s="78">
        <f t="shared" ca="1" si="174"/>
        <v>0</v>
      </c>
      <c r="M243" s="78">
        <f t="shared" ca="1" si="174"/>
        <v>0</v>
      </c>
      <c r="N243" s="78">
        <f t="shared" ca="1" si="174"/>
        <v>0</v>
      </c>
      <c r="O243" s="78">
        <f t="shared" ca="1" si="174"/>
        <v>0</v>
      </c>
      <c r="P243" s="78">
        <f t="shared" ca="1" si="174"/>
        <v>0</v>
      </c>
      <c r="Q243" s="78">
        <f t="shared" ca="1" si="174"/>
        <v>0</v>
      </c>
      <c r="R243" s="78">
        <f t="shared" ca="1" si="174"/>
        <v>0</v>
      </c>
      <c r="S243" s="78"/>
    </row>
    <row r="244" spans="3:19" ht="15" customHeight="1" x14ac:dyDescent="0.3">
      <c r="D244" s="43"/>
      <c r="E244" s="43"/>
      <c r="F244" s="43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7"/>
    </row>
    <row r="245" spans="3:19" ht="15" customHeight="1" x14ac:dyDescent="0.3">
      <c r="D245" s="43"/>
      <c r="E245" s="43"/>
      <c r="F245" s="43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</row>
    <row r="246" spans="3:19" ht="15" customHeight="1" x14ac:dyDescent="0.3">
      <c r="D246" s="43"/>
      <c r="E246" s="43"/>
      <c r="F246" s="43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</row>
    <row r="247" spans="3:19" ht="15" customHeight="1" x14ac:dyDescent="0.3">
      <c r="D247" s="43"/>
      <c r="E247" s="43"/>
      <c r="F247" s="43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</row>
    <row r="248" spans="3:19" ht="15" customHeight="1" x14ac:dyDescent="0.3">
      <c r="D248" s="43"/>
      <c r="E248" s="43"/>
      <c r="F248" s="43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</row>
    <row r="249" spans="3:19" ht="15" customHeight="1" x14ac:dyDescent="0.3">
      <c r="C249" s="1" t="s">
        <v>213</v>
      </c>
      <c r="D249" s="43"/>
      <c r="E249" s="43"/>
      <c r="F249" s="43"/>
      <c r="G249" s="43"/>
      <c r="H249" s="43"/>
      <c r="I249" s="43"/>
      <c r="J249" s="43"/>
      <c r="K249" s="43"/>
      <c r="L249" s="43"/>
      <c r="P249" s="42"/>
      <c r="Q249" s="42"/>
      <c r="R249" s="42"/>
    </row>
    <row r="250" spans="3:19" ht="15" customHeight="1" x14ac:dyDescent="0.3">
      <c r="C250" s="3" t="s">
        <v>207</v>
      </c>
      <c r="D250" s="43"/>
      <c r="E250" s="43"/>
      <c r="F250" s="43"/>
      <c r="G250" s="43">
        <f t="shared" ref="G250:R250" si="175">G259+G265-G271+G281</f>
        <v>231.8229810840306</v>
      </c>
      <c r="H250" s="43">
        <f t="shared" si="175"/>
        <v>230.14596216806115</v>
      </c>
      <c r="I250" s="43">
        <f t="shared" si="175"/>
        <v>228.7689432520917</v>
      </c>
      <c r="J250" s="43">
        <f t="shared" si="175"/>
        <v>224.89192433612223</v>
      </c>
      <c r="K250" s="43">
        <f t="shared" si="175"/>
        <v>230.11894325209167</v>
      </c>
      <c r="L250" s="43">
        <f t="shared" si="175"/>
        <v>228.64596216806112</v>
      </c>
      <c r="M250" s="43">
        <f t="shared" si="175"/>
        <v>225.87298108403056</v>
      </c>
      <c r="N250" s="43">
        <f t="shared" si="175"/>
        <v>223.1</v>
      </c>
      <c r="O250" s="43">
        <f t="shared" si="175"/>
        <v>220.32701891596943</v>
      </c>
      <c r="P250" s="43">
        <f t="shared" si="175"/>
        <v>217.55403783193887</v>
      </c>
      <c r="Q250" s="43">
        <f t="shared" si="175"/>
        <v>214.78105674790831</v>
      </c>
      <c r="R250" s="43">
        <f t="shared" si="175"/>
        <v>212.00807566387775</v>
      </c>
    </row>
    <row r="251" spans="3:19" ht="15" customHeight="1" x14ac:dyDescent="0.3">
      <c r="C251" s="3" t="s">
        <v>214</v>
      </c>
      <c r="D251" s="43"/>
      <c r="E251" s="43"/>
      <c r="F251" s="43"/>
      <c r="G251" s="43">
        <f>G287</f>
        <v>131.61099999999999</v>
      </c>
      <c r="H251" s="43">
        <f t="shared" ref="H251:R251" si="176">H287</f>
        <v>127.36099999999999</v>
      </c>
      <c r="I251" s="43">
        <f t="shared" si="176"/>
        <v>123.11099999999999</v>
      </c>
      <c r="J251" s="43">
        <f t="shared" si="176"/>
        <v>118.86099999999999</v>
      </c>
      <c r="K251" s="43">
        <f t="shared" si="176"/>
        <v>114.61099999999999</v>
      </c>
      <c r="L251" s="43">
        <f t="shared" si="176"/>
        <v>110.36099999999999</v>
      </c>
      <c r="M251" s="43">
        <f t="shared" si="176"/>
        <v>106.11099999999999</v>
      </c>
      <c r="N251" s="43">
        <f t="shared" si="176"/>
        <v>101.86099999999999</v>
      </c>
      <c r="O251" s="43">
        <f t="shared" si="176"/>
        <v>97.61099999999999</v>
      </c>
      <c r="P251" s="43">
        <f t="shared" si="176"/>
        <v>93.36099999999999</v>
      </c>
      <c r="Q251" s="43">
        <f t="shared" si="176"/>
        <v>89.11099999999999</v>
      </c>
      <c r="R251" s="43">
        <f t="shared" si="176"/>
        <v>84.86099999999999</v>
      </c>
    </row>
    <row r="252" spans="3:19" ht="15" customHeight="1" x14ac:dyDescent="0.3">
      <c r="C252" s="3" t="s">
        <v>208</v>
      </c>
      <c r="D252" s="43"/>
      <c r="E252" s="43"/>
      <c r="F252" s="43"/>
      <c r="G252" s="43">
        <f t="shared" ref="G252:R252" si="177">G269+G258</f>
        <v>2.7770189159694438</v>
      </c>
      <c r="H252" s="43">
        <f t="shared" si="177"/>
        <v>2.7770189159694438</v>
      </c>
      <c r="I252" s="43">
        <f t="shared" si="177"/>
        <v>2.7770189159694438</v>
      </c>
      <c r="J252" s="43">
        <f t="shared" si="177"/>
        <v>2.7770189159694438</v>
      </c>
      <c r="K252" s="43">
        <f t="shared" si="177"/>
        <v>2.7729810840305569</v>
      </c>
      <c r="L252" s="43">
        <f t="shared" si="177"/>
        <v>2.7729810840305569</v>
      </c>
      <c r="M252" s="43">
        <f t="shared" si="177"/>
        <v>2.7729810840305569</v>
      </c>
      <c r="N252" s="43">
        <f t="shared" si="177"/>
        <v>2.7729810840305569</v>
      </c>
      <c r="O252" s="43">
        <f t="shared" si="177"/>
        <v>2.7729810840305569</v>
      </c>
      <c r="P252" s="43">
        <f t="shared" si="177"/>
        <v>2.7729810840305569</v>
      </c>
      <c r="Q252" s="43">
        <f t="shared" si="177"/>
        <v>2.7729810840305569</v>
      </c>
      <c r="R252" s="43">
        <f t="shared" si="177"/>
        <v>2.7729810840305569</v>
      </c>
    </row>
    <row r="253" spans="3:19" ht="15" customHeight="1" x14ac:dyDescent="0.3">
      <c r="C253" s="3" t="s">
        <v>209</v>
      </c>
      <c r="D253" s="43"/>
      <c r="E253" s="43"/>
      <c r="F253" s="43"/>
      <c r="G253" s="43">
        <f>G286</f>
        <v>4.25</v>
      </c>
      <c r="H253" s="43">
        <f t="shared" ref="H253:R253" si="178">H286</f>
        <v>4.25</v>
      </c>
      <c r="I253" s="43">
        <f t="shared" si="178"/>
        <v>4.25</v>
      </c>
      <c r="J253" s="43">
        <f t="shared" si="178"/>
        <v>4.25</v>
      </c>
      <c r="K253" s="43">
        <f t="shared" si="178"/>
        <v>4.25</v>
      </c>
      <c r="L253" s="43">
        <f t="shared" si="178"/>
        <v>4.25</v>
      </c>
      <c r="M253" s="43">
        <f t="shared" si="178"/>
        <v>4.25</v>
      </c>
      <c r="N253" s="43">
        <f t="shared" si="178"/>
        <v>4.25</v>
      </c>
      <c r="O253" s="43">
        <f t="shared" si="178"/>
        <v>4.25</v>
      </c>
      <c r="P253" s="43">
        <f t="shared" si="178"/>
        <v>4.25</v>
      </c>
      <c r="Q253" s="43">
        <f t="shared" si="178"/>
        <v>4.25</v>
      </c>
      <c r="R253" s="43">
        <f t="shared" si="178"/>
        <v>4.25</v>
      </c>
    </row>
    <row r="254" spans="3:19" ht="15" customHeight="1" x14ac:dyDescent="0.3">
      <c r="D254" s="43"/>
      <c r="E254" s="43"/>
      <c r="F254" s="43"/>
      <c r="G254" s="43"/>
      <c r="H254" s="43"/>
      <c r="I254" s="43"/>
      <c r="J254" s="43"/>
      <c r="K254" s="43"/>
      <c r="L254" s="43"/>
      <c r="P254" s="42"/>
      <c r="Q254" s="42"/>
      <c r="R254" s="42"/>
    </row>
    <row r="255" spans="3:19" ht="15" customHeight="1" x14ac:dyDescent="0.3">
      <c r="C255" s="3" t="s">
        <v>190</v>
      </c>
      <c r="D255" s="43"/>
      <c r="E255" s="43"/>
      <c r="F255" s="43"/>
      <c r="G255" s="43"/>
      <c r="H255" s="43"/>
      <c r="I255" s="43"/>
      <c r="J255" s="43"/>
      <c r="K255" s="43"/>
      <c r="L255" s="43"/>
      <c r="P255" s="42"/>
      <c r="Q255" s="42"/>
      <c r="R255" s="42"/>
    </row>
    <row r="256" spans="3:19" ht="15" customHeight="1" x14ac:dyDescent="0.3">
      <c r="C256" s="3" t="s">
        <v>183</v>
      </c>
      <c r="D256" s="43"/>
      <c r="E256" s="43"/>
      <c r="F256" s="43"/>
      <c r="G256" s="43">
        <v>0.5</v>
      </c>
      <c r="H256" s="43">
        <f>G259</f>
        <v>0.5</v>
      </c>
      <c r="I256" s="43">
        <f t="shared" ref="I256:R256" si="179">H259</f>
        <v>0.5</v>
      </c>
      <c r="J256" s="43">
        <f t="shared" si="179"/>
        <v>0.5</v>
      </c>
      <c r="K256" s="43">
        <f t="shared" si="179"/>
        <v>0.5</v>
      </c>
      <c r="L256" s="43">
        <f t="shared" si="179"/>
        <v>0.5</v>
      </c>
      <c r="M256" s="43">
        <f t="shared" si="179"/>
        <v>0.5</v>
      </c>
      <c r="N256" s="43">
        <f t="shared" si="179"/>
        <v>0.5</v>
      </c>
      <c r="O256" s="43">
        <f t="shared" si="179"/>
        <v>0.5</v>
      </c>
      <c r="P256" s="43">
        <f t="shared" si="179"/>
        <v>0.5</v>
      </c>
      <c r="Q256" s="43">
        <f t="shared" si="179"/>
        <v>0.5</v>
      </c>
      <c r="R256" s="43">
        <f t="shared" si="179"/>
        <v>0.5</v>
      </c>
    </row>
    <row r="257" spans="3:18" ht="15" customHeight="1" x14ac:dyDescent="0.3">
      <c r="C257" s="3" t="s">
        <v>192</v>
      </c>
      <c r="D257" s="43"/>
      <c r="E257" s="43"/>
      <c r="F257" s="43"/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43">
        <v>0</v>
      </c>
    </row>
    <row r="258" spans="3:18" ht="15" customHeight="1" x14ac:dyDescent="0.3">
      <c r="C258" s="3" t="s">
        <v>193</v>
      </c>
      <c r="D258" s="43"/>
      <c r="E258" s="43"/>
      <c r="F258" s="43"/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43">
        <v>0</v>
      </c>
    </row>
    <row r="259" spans="3:18" ht="15" customHeight="1" x14ac:dyDescent="0.3">
      <c r="C259" s="3" t="s">
        <v>194</v>
      </c>
      <c r="D259" s="43"/>
      <c r="E259" s="43"/>
      <c r="F259" s="43"/>
      <c r="G259" s="43">
        <f>SUM(G256:G258)</f>
        <v>0.5</v>
      </c>
      <c r="H259" s="43">
        <f>SUM(H256:H258)</f>
        <v>0.5</v>
      </c>
      <c r="I259" s="43">
        <f t="shared" ref="I259:R259" si="180">SUM(I256:I258)</f>
        <v>0.5</v>
      </c>
      <c r="J259" s="43">
        <f t="shared" si="180"/>
        <v>0.5</v>
      </c>
      <c r="K259" s="43">
        <f t="shared" si="180"/>
        <v>0.5</v>
      </c>
      <c r="L259" s="43">
        <f t="shared" si="180"/>
        <v>0.5</v>
      </c>
      <c r="M259" s="43">
        <f t="shared" si="180"/>
        <v>0.5</v>
      </c>
      <c r="N259" s="43">
        <f t="shared" si="180"/>
        <v>0.5</v>
      </c>
      <c r="O259" s="43">
        <f t="shared" si="180"/>
        <v>0.5</v>
      </c>
      <c r="P259" s="43">
        <f t="shared" si="180"/>
        <v>0.5</v>
      </c>
      <c r="Q259" s="43">
        <f t="shared" si="180"/>
        <v>0.5</v>
      </c>
      <c r="R259" s="43">
        <f t="shared" si="180"/>
        <v>0.5</v>
      </c>
    </row>
    <row r="260" spans="3:18" ht="15" customHeight="1" x14ac:dyDescent="0.3">
      <c r="D260" s="43"/>
      <c r="E260" s="43"/>
      <c r="F260" s="43"/>
      <c r="G260" s="43"/>
      <c r="H260" s="43"/>
      <c r="I260" s="43"/>
      <c r="J260" s="43"/>
      <c r="K260" s="43"/>
      <c r="L260" s="43"/>
      <c r="P260" s="42"/>
      <c r="Q260" s="42"/>
      <c r="R260" s="42"/>
    </row>
    <row r="261" spans="3:18" ht="15" customHeight="1" x14ac:dyDescent="0.3">
      <c r="C261" s="3" t="s">
        <v>195</v>
      </c>
      <c r="D261" s="43"/>
      <c r="E261" s="43"/>
      <c r="F261" s="43"/>
      <c r="G261" s="43"/>
      <c r="H261" s="43"/>
      <c r="I261" s="43"/>
      <c r="J261" s="43"/>
      <c r="K261" s="43"/>
      <c r="L261" s="43"/>
      <c r="P261" s="42"/>
      <c r="Q261" s="42"/>
      <c r="R261" s="42"/>
    </row>
    <row r="262" spans="3:18" ht="15" customHeight="1" x14ac:dyDescent="0.3">
      <c r="C262" s="3" t="s">
        <v>183</v>
      </c>
      <c r="D262" s="43"/>
      <c r="E262" s="43"/>
      <c r="F262" s="43"/>
      <c r="G262" s="43">
        <f>275.1</f>
        <v>275.10000000000002</v>
      </c>
      <c r="H262" s="43">
        <f t="shared" ref="H262:R262" si="181">G265</f>
        <v>275.10000000000002</v>
      </c>
      <c r="I262" s="43">
        <f t="shared" si="181"/>
        <v>275.10000000000002</v>
      </c>
      <c r="J262" s="43">
        <f t="shared" si="181"/>
        <v>275.10000000000002</v>
      </c>
      <c r="K262" s="43">
        <f t="shared" si="181"/>
        <v>274.7</v>
      </c>
      <c r="L262" s="43">
        <f t="shared" si="181"/>
        <v>274.7</v>
      </c>
      <c r="M262" s="43">
        <f t="shared" si="181"/>
        <v>274.7</v>
      </c>
      <c r="N262" s="43">
        <f t="shared" si="181"/>
        <v>274.7</v>
      </c>
      <c r="O262" s="43">
        <f t="shared" si="181"/>
        <v>274.7</v>
      </c>
      <c r="P262" s="43">
        <f t="shared" si="181"/>
        <v>274.7</v>
      </c>
      <c r="Q262" s="43">
        <f t="shared" si="181"/>
        <v>274.7</v>
      </c>
      <c r="R262" s="43">
        <f t="shared" si="181"/>
        <v>274.7</v>
      </c>
    </row>
    <row r="263" spans="3:18" ht="15" customHeight="1" x14ac:dyDescent="0.3">
      <c r="C263" s="3" t="s">
        <v>196</v>
      </c>
      <c r="D263" s="43"/>
      <c r="E263" s="43"/>
      <c r="F263" s="43"/>
      <c r="G263" s="43">
        <v>0</v>
      </c>
      <c r="H263" s="43">
        <v>0</v>
      </c>
      <c r="I263" s="43">
        <v>0</v>
      </c>
      <c r="J263" s="43">
        <v>0</v>
      </c>
      <c r="K263" s="43">
        <v>0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43">
        <v>0</v>
      </c>
    </row>
    <row r="264" spans="3:18" ht="15" customHeight="1" x14ac:dyDescent="0.3">
      <c r="C264" s="3" t="s">
        <v>198</v>
      </c>
      <c r="D264" s="43"/>
      <c r="E264" s="43"/>
      <c r="F264" s="43"/>
      <c r="G264" s="43">
        <v>0</v>
      </c>
      <c r="H264" s="43">
        <v>0</v>
      </c>
      <c r="I264" s="43">
        <v>0</v>
      </c>
      <c r="J264" s="43">
        <v>0.400000000000034</v>
      </c>
      <c r="K264" s="43">
        <v>0</v>
      </c>
      <c r="L264" s="43">
        <v>0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43">
        <v>0</v>
      </c>
    </row>
    <row r="265" spans="3:18" ht="15" customHeight="1" x14ac:dyDescent="0.3">
      <c r="C265" s="3" t="s">
        <v>194</v>
      </c>
      <c r="D265" s="43"/>
      <c r="E265" s="43"/>
      <c r="F265" s="43"/>
      <c r="G265" s="43">
        <f>G262+G263-G264</f>
        <v>275.10000000000002</v>
      </c>
      <c r="H265" s="43">
        <f t="shared" ref="H265:R265" si="182">H262+H263-H264</f>
        <v>275.10000000000002</v>
      </c>
      <c r="I265" s="43">
        <f t="shared" si="182"/>
        <v>275.10000000000002</v>
      </c>
      <c r="J265" s="43">
        <f t="shared" si="182"/>
        <v>274.7</v>
      </c>
      <c r="K265" s="43">
        <f t="shared" si="182"/>
        <v>274.7</v>
      </c>
      <c r="L265" s="43">
        <f t="shared" si="182"/>
        <v>274.7</v>
      </c>
      <c r="M265" s="43">
        <f t="shared" si="182"/>
        <v>274.7</v>
      </c>
      <c r="N265" s="43">
        <f t="shared" si="182"/>
        <v>274.7</v>
      </c>
      <c r="O265" s="43">
        <f t="shared" si="182"/>
        <v>274.7</v>
      </c>
      <c r="P265" s="43">
        <f t="shared" si="182"/>
        <v>274.7</v>
      </c>
      <c r="Q265" s="43">
        <f t="shared" si="182"/>
        <v>274.7</v>
      </c>
      <c r="R265" s="43">
        <f t="shared" si="182"/>
        <v>274.7</v>
      </c>
    </row>
    <row r="267" spans="3:18" ht="15" customHeight="1" x14ac:dyDescent="0.3">
      <c r="C267" s="3" t="s">
        <v>199</v>
      </c>
      <c r="D267" s="43"/>
      <c r="E267" s="43"/>
      <c r="F267" s="43"/>
      <c r="G267" s="43"/>
      <c r="H267" s="43"/>
      <c r="I267" s="43"/>
      <c r="J267" s="43"/>
      <c r="K267" s="43"/>
      <c r="L267" s="43"/>
      <c r="P267" s="42"/>
      <c r="Q267" s="42"/>
      <c r="R267" s="42"/>
    </row>
    <row r="268" spans="3:18" ht="15" customHeight="1" x14ac:dyDescent="0.3">
      <c r="C268" s="3" t="s">
        <v>200</v>
      </c>
      <c r="D268" s="43"/>
      <c r="E268" s="43"/>
      <c r="F268" s="43"/>
      <c r="G268" s="43">
        <v>46.3</v>
      </c>
      <c r="H268" s="43">
        <f t="shared" ref="H268:R268" si="183">G271</f>
        <v>49.07701891596944</v>
      </c>
      <c r="I268" s="43">
        <f t="shared" si="183"/>
        <v>51.854037831938882</v>
      </c>
      <c r="J268" s="43">
        <f t="shared" si="183"/>
        <v>54.631056747908325</v>
      </c>
      <c r="K268" s="43">
        <f t="shared" si="183"/>
        <v>57.408075663877767</v>
      </c>
      <c r="L268" s="43">
        <f t="shared" si="183"/>
        <v>60.181056747908322</v>
      </c>
      <c r="M268" s="43">
        <f t="shared" si="183"/>
        <v>62.954037831938876</v>
      </c>
      <c r="N268" s="43">
        <f t="shared" si="183"/>
        <v>65.727018915969438</v>
      </c>
      <c r="O268" s="43">
        <f t="shared" si="183"/>
        <v>68.5</v>
      </c>
      <c r="P268" s="43">
        <f t="shared" si="183"/>
        <v>71.272981084030562</v>
      </c>
      <c r="Q268" s="43">
        <f t="shared" si="183"/>
        <v>74.045962168061124</v>
      </c>
      <c r="R268" s="43">
        <f t="shared" si="183"/>
        <v>76.818943252091685</v>
      </c>
    </row>
    <row r="269" spans="3:18" ht="15" customHeight="1" x14ac:dyDescent="0.3">
      <c r="C269" s="3" t="s">
        <v>193</v>
      </c>
      <c r="D269" s="43"/>
      <c r="E269" s="43"/>
      <c r="F269" s="43"/>
      <c r="G269" s="43">
        <f t="shared" ref="G269:R269" si="184">G262*$H$275*3/12</f>
        <v>2.7770189159694438</v>
      </c>
      <c r="H269" s="43">
        <f t="shared" si="184"/>
        <v>2.7770189159694438</v>
      </c>
      <c r="I269" s="43">
        <f t="shared" si="184"/>
        <v>2.7770189159694438</v>
      </c>
      <c r="J269" s="43">
        <f t="shared" si="184"/>
        <v>2.7770189159694438</v>
      </c>
      <c r="K269" s="43">
        <f t="shared" si="184"/>
        <v>2.7729810840305569</v>
      </c>
      <c r="L269" s="43">
        <f t="shared" si="184"/>
        <v>2.7729810840305569</v>
      </c>
      <c r="M269" s="43">
        <f t="shared" si="184"/>
        <v>2.7729810840305569</v>
      </c>
      <c r="N269" s="43">
        <f t="shared" si="184"/>
        <v>2.7729810840305569</v>
      </c>
      <c r="O269" s="43">
        <f t="shared" si="184"/>
        <v>2.7729810840305569</v>
      </c>
      <c r="P269" s="43">
        <f t="shared" si="184"/>
        <v>2.7729810840305569</v>
      </c>
      <c r="Q269" s="43">
        <f t="shared" si="184"/>
        <v>2.7729810840305569</v>
      </c>
      <c r="R269" s="43">
        <f t="shared" si="184"/>
        <v>2.7729810840305569</v>
      </c>
    </row>
    <row r="270" spans="3:18" ht="15" customHeight="1" x14ac:dyDescent="0.3">
      <c r="C270" s="3" t="s">
        <v>201</v>
      </c>
      <c r="D270" s="43"/>
      <c r="E270" s="43"/>
      <c r="F270" s="43"/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43">
        <v>0</v>
      </c>
    </row>
    <row r="271" spans="3:18" ht="15" customHeight="1" x14ac:dyDescent="0.3">
      <c r="C271" s="3" t="s">
        <v>202</v>
      </c>
      <c r="D271" s="43"/>
      <c r="E271" s="43"/>
      <c r="F271" s="43"/>
      <c r="G271" s="43">
        <f>G268+G269-G270</f>
        <v>49.07701891596944</v>
      </c>
      <c r="H271" s="43">
        <f>H268+H269-H270</f>
        <v>51.854037831938882</v>
      </c>
      <c r="I271" s="43">
        <f>I268+I269-I270</f>
        <v>54.631056747908325</v>
      </c>
      <c r="J271" s="43">
        <f>J268+J269-J270</f>
        <v>57.408075663877767</v>
      </c>
      <c r="K271" s="43">
        <f>K268+K269-K270</f>
        <v>60.181056747908322</v>
      </c>
      <c r="L271" s="43">
        <f t="shared" ref="L271:R271" si="185">L268+L269-L270</f>
        <v>62.954037831938876</v>
      </c>
      <c r="M271" s="43">
        <f t="shared" si="185"/>
        <v>65.727018915969438</v>
      </c>
      <c r="N271" s="43">
        <f t="shared" si="185"/>
        <v>68.5</v>
      </c>
      <c r="O271" s="43">
        <f t="shared" si="185"/>
        <v>71.272981084030562</v>
      </c>
      <c r="P271" s="43">
        <f t="shared" si="185"/>
        <v>74.045962168061124</v>
      </c>
      <c r="Q271" s="43">
        <f t="shared" si="185"/>
        <v>76.818943252091685</v>
      </c>
      <c r="R271" s="43">
        <f t="shared" si="185"/>
        <v>79.591924336122247</v>
      </c>
    </row>
    <row r="272" spans="3:18" ht="15" customHeight="1" x14ac:dyDescent="0.3">
      <c r="D272" s="43"/>
      <c r="E272" s="43"/>
      <c r="F272" s="43"/>
      <c r="G272" s="43"/>
      <c r="H272" s="43"/>
      <c r="I272" s="43"/>
      <c r="J272" s="43"/>
      <c r="K272" s="43"/>
      <c r="L272" s="43"/>
      <c r="P272" s="42"/>
      <c r="Q272" s="42"/>
      <c r="R272" s="42"/>
    </row>
    <row r="273" spans="3:18" ht="15" hidden="1" customHeight="1" outlineLevel="1" x14ac:dyDescent="0.3">
      <c r="G273" s="43">
        <v>11.2</v>
      </c>
      <c r="H273" s="43">
        <v>11.1</v>
      </c>
      <c r="J273" s="43"/>
      <c r="K273" s="43"/>
      <c r="L273" s="43"/>
      <c r="P273" s="42"/>
      <c r="Q273" s="42"/>
      <c r="R273" s="42"/>
    </row>
    <row r="274" spans="3:18" ht="15" hidden="1" customHeight="1" outlineLevel="1" x14ac:dyDescent="0.3">
      <c r="D274" s="43"/>
      <c r="E274" s="43"/>
      <c r="F274" s="43">
        <v>275.8</v>
      </c>
      <c r="G274" s="43">
        <v>275.10000000000002</v>
      </c>
      <c r="H274" s="43">
        <v>274.7</v>
      </c>
      <c r="I274" s="43">
        <f>H274-G274</f>
        <v>-0.40000000000003411</v>
      </c>
      <c r="J274" s="43"/>
      <c r="K274" s="43"/>
      <c r="L274" s="43"/>
      <c r="P274" s="42"/>
      <c r="Q274" s="42"/>
      <c r="R274" s="42"/>
    </row>
    <row r="275" spans="3:18" ht="15" hidden="1" customHeight="1" outlineLevel="1" x14ac:dyDescent="0.3">
      <c r="D275" s="43"/>
      <c r="E275" s="43"/>
      <c r="F275" s="43"/>
      <c r="G275" s="44">
        <f>G273/((F274+G274)/2)</f>
        <v>4.0660736975857675E-2</v>
      </c>
      <c r="H275" s="44">
        <f>H273/((G274+H274)/2)</f>
        <v>4.0378319388868683E-2</v>
      </c>
      <c r="I275" s="43"/>
      <c r="J275" s="43"/>
      <c r="K275" s="43"/>
      <c r="L275" s="43"/>
      <c r="P275" s="42"/>
      <c r="Q275" s="42"/>
      <c r="R275" s="42"/>
    </row>
    <row r="276" spans="3:18" ht="15" hidden="1" customHeight="1" outlineLevel="1" x14ac:dyDescent="0.3">
      <c r="D276" s="43"/>
      <c r="E276" s="43"/>
      <c r="F276" s="43"/>
      <c r="G276" s="43"/>
      <c r="H276" s="43"/>
      <c r="I276" s="43"/>
      <c r="J276" s="43"/>
      <c r="K276" s="43"/>
      <c r="L276" s="43"/>
      <c r="P276" s="42"/>
      <c r="Q276" s="42"/>
      <c r="R276" s="42"/>
    </row>
    <row r="277" spans="3:18" ht="15" customHeight="1" collapsed="1" x14ac:dyDescent="0.3">
      <c r="C277" s="3" t="s">
        <v>191</v>
      </c>
      <c r="D277" s="43"/>
      <c r="E277" s="43"/>
      <c r="F277" s="43"/>
      <c r="G277" s="43"/>
      <c r="H277" s="43"/>
      <c r="I277" s="43"/>
      <c r="J277" s="43"/>
      <c r="K277" s="43"/>
      <c r="L277" s="43"/>
      <c r="P277" s="42"/>
      <c r="Q277" s="42"/>
      <c r="R277" s="42"/>
    </row>
    <row r="278" spans="3:18" ht="15" customHeight="1" x14ac:dyDescent="0.3">
      <c r="C278" s="3" t="s">
        <v>183</v>
      </c>
      <c r="D278" s="43"/>
      <c r="E278" s="43"/>
      <c r="F278" s="43"/>
      <c r="G278" s="43">
        <v>5.3</v>
      </c>
      <c r="H278" s="43">
        <f>G281</f>
        <v>5.3</v>
      </c>
      <c r="I278" s="43">
        <f>H281</f>
        <v>6.4</v>
      </c>
      <c r="J278" s="43">
        <f>I281</f>
        <v>7.8000000000000007</v>
      </c>
      <c r="K278" s="43">
        <f t="shared" ref="K278:R278" si="186">J281</f>
        <v>7.1000000000000014</v>
      </c>
      <c r="L278" s="43">
        <f t="shared" si="186"/>
        <v>15.100000000000001</v>
      </c>
      <c r="M278" s="43">
        <f t="shared" si="186"/>
        <v>16.400000000000002</v>
      </c>
      <c r="N278" s="43">
        <f t="shared" si="186"/>
        <v>16.400000000000002</v>
      </c>
      <c r="O278" s="43">
        <f t="shared" si="186"/>
        <v>16.400000000000002</v>
      </c>
      <c r="P278" s="43">
        <f t="shared" si="186"/>
        <v>16.400000000000002</v>
      </c>
      <c r="Q278" s="43">
        <f t="shared" si="186"/>
        <v>16.400000000000002</v>
      </c>
      <c r="R278" s="43">
        <f t="shared" si="186"/>
        <v>16.400000000000002</v>
      </c>
    </row>
    <row r="279" spans="3:18" ht="15" customHeight="1" x14ac:dyDescent="0.3">
      <c r="C279" s="3" t="s">
        <v>192</v>
      </c>
      <c r="D279" s="43"/>
      <c r="E279" s="43"/>
      <c r="F279" s="43"/>
      <c r="G279" s="43">
        <f t="shared" ref="G279:R279" si="187">-G27</f>
        <v>0</v>
      </c>
      <c r="H279" s="43">
        <f t="shared" si="187"/>
        <v>1.1000000000000001</v>
      </c>
      <c r="I279" s="43">
        <f t="shared" si="187"/>
        <v>1.4</v>
      </c>
      <c r="J279" s="43">
        <f t="shared" si="187"/>
        <v>14.3</v>
      </c>
      <c r="K279" s="43">
        <f t="shared" si="187"/>
        <v>8</v>
      </c>
      <c r="L279" s="43">
        <f t="shared" si="187"/>
        <v>1.3</v>
      </c>
      <c r="M279" s="43">
        <f t="shared" si="187"/>
        <v>0</v>
      </c>
      <c r="N279" s="43">
        <f t="shared" si="187"/>
        <v>0</v>
      </c>
      <c r="O279" s="43">
        <f t="shared" si="187"/>
        <v>0</v>
      </c>
      <c r="P279" s="43">
        <f t="shared" si="187"/>
        <v>0</v>
      </c>
      <c r="Q279" s="43">
        <f t="shared" si="187"/>
        <v>0</v>
      </c>
      <c r="R279" s="43">
        <f t="shared" si="187"/>
        <v>0</v>
      </c>
    </row>
    <row r="280" spans="3:18" ht="15" customHeight="1" x14ac:dyDescent="0.3">
      <c r="C280" s="3" t="s">
        <v>197</v>
      </c>
      <c r="D280" s="43"/>
      <c r="E280" s="43"/>
      <c r="F280" s="43"/>
      <c r="G280" s="43">
        <v>0</v>
      </c>
      <c r="H280" s="43">
        <v>0</v>
      </c>
      <c r="I280" s="43">
        <v>0</v>
      </c>
      <c r="J280" s="43">
        <v>15</v>
      </c>
      <c r="K280" s="169">
        <v>0</v>
      </c>
      <c r="L280" s="169">
        <v>0</v>
      </c>
      <c r="M280" s="169">
        <v>0</v>
      </c>
      <c r="N280" s="169">
        <v>0</v>
      </c>
      <c r="O280" s="169">
        <v>0</v>
      </c>
      <c r="P280" s="169">
        <v>0</v>
      </c>
      <c r="Q280" s="169">
        <v>0</v>
      </c>
      <c r="R280" s="169">
        <v>0</v>
      </c>
    </row>
    <row r="281" spans="3:18" ht="15" customHeight="1" x14ac:dyDescent="0.3">
      <c r="C281" s="3" t="s">
        <v>194</v>
      </c>
      <c r="D281" s="43"/>
      <c r="E281" s="43"/>
      <c r="F281" s="43"/>
      <c r="G281" s="43">
        <f>G278+G279-G280</f>
        <v>5.3</v>
      </c>
      <c r="H281" s="43">
        <f>H278+H279-H280</f>
        <v>6.4</v>
      </c>
      <c r="I281" s="43">
        <f>I278+I279-I280</f>
        <v>7.8000000000000007</v>
      </c>
      <c r="J281" s="43">
        <f>J278+J279-J280</f>
        <v>7.1000000000000014</v>
      </c>
      <c r="K281" s="43">
        <f t="shared" ref="K281:R281" si="188">K278+K279-K280</f>
        <v>15.100000000000001</v>
      </c>
      <c r="L281" s="43">
        <f t="shared" si="188"/>
        <v>16.400000000000002</v>
      </c>
      <c r="M281" s="43">
        <f t="shared" si="188"/>
        <v>16.400000000000002</v>
      </c>
      <c r="N281" s="43">
        <f t="shared" si="188"/>
        <v>16.400000000000002</v>
      </c>
      <c r="O281" s="43">
        <f t="shared" si="188"/>
        <v>16.400000000000002</v>
      </c>
      <c r="P281" s="43">
        <f t="shared" si="188"/>
        <v>16.400000000000002</v>
      </c>
      <c r="Q281" s="43">
        <f t="shared" si="188"/>
        <v>16.400000000000002</v>
      </c>
      <c r="R281" s="43">
        <f t="shared" si="188"/>
        <v>16.400000000000002</v>
      </c>
    </row>
    <row r="282" spans="3:18" ht="15" customHeight="1" x14ac:dyDescent="0.3">
      <c r="D282" s="43"/>
      <c r="E282" s="43"/>
      <c r="F282" s="43"/>
      <c r="G282" s="43"/>
      <c r="H282" s="43"/>
      <c r="I282" s="43"/>
      <c r="J282" s="43"/>
      <c r="K282" s="43"/>
      <c r="L282" s="43"/>
      <c r="P282" s="42"/>
      <c r="Q282" s="42"/>
      <c r="R282" s="42"/>
    </row>
    <row r="283" spans="3:18" ht="15" customHeight="1" x14ac:dyDescent="0.3">
      <c r="C283" s="3" t="s">
        <v>203</v>
      </c>
      <c r="D283" s="43"/>
      <c r="E283" s="43"/>
      <c r="F283" s="43"/>
      <c r="G283" s="43"/>
      <c r="H283" s="43"/>
      <c r="I283" s="43"/>
      <c r="J283" s="43"/>
      <c r="K283" s="43"/>
      <c r="L283" s="43"/>
      <c r="P283" s="42"/>
      <c r="Q283" s="42"/>
      <c r="R283" s="42"/>
    </row>
    <row r="284" spans="3:18" ht="15" customHeight="1" x14ac:dyDescent="0.3">
      <c r="C284" s="3" t="s">
        <v>204</v>
      </c>
      <c r="D284" s="43"/>
      <c r="E284" s="43"/>
      <c r="F284" s="43"/>
      <c r="G284" s="43">
        <f>G321/1000</f>
        <v>135.86099999999999</v>
      </c>
      <c r="H284" s="43">
        <f>G287</f>
        <v>131.61099999999999</v>
      </c>
      <c r="I284" s="43">
        <f t="shared" ref="I284:R284" si="189">H287</f>
        <v>127.36099999999999</v>
      </c>
      <c r="J284" s="43">
        <f t="shared" si="189"/>
        <v>123.11099999999999</v>
      </c>
      <c r="K284" s="43">
        <f t="shared" si="189"/>
        <v>118.86099999999999</v>
      </c>
      <c r="L284" s="43">
        <f t="shared" si="189"/>
        <v>114.61099999999999</v>
      </c>
      <c r="M284" s="43">
        <f t="shared" si="189"/>
        <v>110.36099999999999</v>
      </c>
      <c r="N284" s="43">
        <f t="shared" si="189"/>
        <v>106.11099999999999</v>
      </c>
      <c r="O284" s="43">
        <f t="shared" si="189"/>
        <v>101.86099999999999</v>
      </c>
      <c r="P284" s="43">
        <f t="shared" si="189"/>
        <v>97.61099999999999</v>
      </c>
      <c r="Q284" s="43">
        <f t="shared" si="189"/>
        <v>93.36099999999999</v>
      </c>
      <c r="R284" s="43">
        <f t="shared" si="189"/>
        <v>89.11099999999999</v>
      </c>
    </row>
    <row r="285" spans="3:18" ht="15" customHeight="1" x14ac:dyDescent="0.3">
      <c r="C285" s="3" t="s">
        <v>205</v>
      </c>
      <c r="D285" s="43"/>
      <c r="E285" s="43"/>
      <c r="F285" s="43"/>
      <c r="G285" s="43">
        <v>0</v>
      </c>
      <c r="H285" s="43">
        <v>0</v>
      </c>
      <c r="I285" s="43">
        <v>0</v>
      </c>
      <c r="J285" s="43">
        <v>0</v>
      </c>
      <c r="K285" s="43">
        <v>0</v>
      </c>
      <c r="L285" s="43">
        <v>0</v>
      </c>
      <c r="M285" s="3">
        <v>0</v>
      </c>
      <c r="N285" s="3">
        <v>0</v>
      </c>
      <c r="O285" s="3">
        <v>0</v>
      </c>
      <c r="P285" s="42">
        <v>0</v>
      </c>
      <c r="Q285" s="42">
        <v>0</v>
      </c>
      <c r="R285" s="42">
        <v>0</v>
      </c>
    </row>
    <row r="286" spans="3:18" ht="15" customHeight="1" x14ac:dyDescent="0.3">
      <c r="C286" s="3" t="s">
        <v>206</v>
      </c>
      <c r="D286" s="43"/>
      <c r="E286" s="43"/>
      <c r="F286" s="43"/>
      <c r="G286" s="43">
        <f>17*3/12</f>
        <v>4.25</v>
      </c>
      <c r="H286" s="43">
        <f t="shared" ref="H286:R286" si="190">17*3/12</f>
        <v>4.25</v>
      </c>
      <c r="I286" s="43">
        <f t="shared" si="190"/>
        <v>4.25</v>
      </c>
      <c r="J286" s="43">
        <f t="shared" si="190"/>
        <v>4.25</v>
      </c>
      <c r="K286" s="43">
        <f t="shared" si="190"/>
        <v>4.25</v>
      </c>
      <c r="L286" s="43">
        <f t="shared" si="190"/>
        <v>4.25</v>
      </c>
      <c r="M286" s="43">
        <f t="shared" si="190"/>
        <v>4.25</v>
      </c>
      <c r="N286" s="43">
        <f t="shared" si="190"/>
        <v>4.25</v>
      </c>
      <c r="O286" s="43">
        <f t="shared" si="190"/>
        <v>4.25</v>
      </c>
      <c r="P286" s="43">
        <f t="shared" si="190"/>
        <v>4.25</v>
      </c>
      <c r="Q286" s="43">
        <f t="shared" si="190"/>
        <v>4.25</v>
      </c>
      <c r="R286" s="43">
        <f t="shared" si="190"/>
        <v>4.25</v>
      </c>
    </row>
    <row r="287" spans="3:18" ht="15" customHeight="1" x14ac:dyDescent="0.3">
      <c r="C287" s="3" t="s">
        <v>194</v>
      </c>
      <c r="D287" s="43"/>
      <c r="E287" s="43"/>
      <c r="F287" s="43"/>
      <c r="G287" s="43">
        <f>G284+G285-G286</f>
        <v>131.61099999999999</v>
      </c>
      <c r="H287" s="43">
        <f t="shared" ref="H287:R287" si="191">H284+H285-H286</f>
        <v>127.36099999999999</v>
      </c>
      <c r="I287" s="43">
        <f t="shared" si="191"/>
        <v>123.11099999999999</v>
      </c>
      <c r="J287" s="43">
        <f t="shared" si="191"/>
        <v>118.86099999999999</v>
      </c>
      <c r="K287" s="43">
        <f t="shared" si="191"/>
        <v>114.61099999999999</v>
      </c>
      <c r="L287" s="43">
        <f t="shared" si="191"/>
        <v>110.36099999999999</v>
      </c>
      <c r="M287" s="43">
        <f t="shared" si="191"/>
        <v>106.11099999999999</v>
      </c>
      <c r="N287" s="43">
        <f t="shared" si="191"/>
        <v>101.86099999999999</v>
      </c>
      <c r="O287" s="43">
        <f t="shared" si="191"/>
        <v>97.61099999999999</v>
      </c>
      <c r="P287" s="43">
        <f t="shared" si="191"/>
        <v>93.36099999999999</v>
      </c>
      <c r="Q287" s="43">
        <f t="shared" si="191"/>
        <v>89.11099999999999</v>
      </c>
      <c r="R287" s="43">
        <f t="shared" si="191"/>
        <v>84.86099999999999</v>
      </c>
    </row>
    <row r="288" spans="3:18" ht="15" customHeight="1" x14ac:dyDescent="0.3">
      <c r="D288" s="43"/>
      <c r="E288" s="43"/>
      <c r="F288" s="43"/>
      <c r="G288" s="43"/>
      <c r="H288" s="43"/>
      <c r="I288" s="43"/>
      <c r="J288" s="43"/>
      <c r="K288" s="43"/>
      <c r="L288" s="43"/>
      <c r="P288" s="42"/>
      <c r="Q288" s="42"/>
      <c r="R288" s="42"/>
    </row>
    <row r="289" spans="3:18" ht="15" hidden="1" customHeight="1" x14ac:dyDescent="0.3"/>
    <row r="290" spans="3:18" ht="15" hidden="1" customHeight="1" x14ac:dyDescent="0.3">
      <c r="C290" s="1" t="s">
        <v>327</v>
      </c>
      <c r="D290" s="43"/>
      <c r="E290" s="43"/>
      <c r="F290" s="43"/>
      <c r="G290" s="43"/>
      <c r="H290" s="43"/>
      <c r="I290" s="43"/>
      <c r="J290" s="43"/>
      <c r="K290" s="43"/>
      <c r="L290" s="43"/>
      <c r="P290" s="42"/>
      <c r="Q290" s="42"/>
      <c r="R290" s="42"/>
    </row>
    <row r="291" spans="3:18" ht="15" hidden="1" customHeight="1" x14ac:dyDescent="0.3">
      <c r="C291" s="121" t="s">
        <v>358</v>
      </c>
      <c r="D291" s="43"/>
      <c r="E291" s="43"/>
      <c r="F291" s="43"/>
      <c r="G291" s="43"/>
      <c r="H291" s="43"/>
      <c r="I291" s="43"/>
      <c r="J291" s="43"/>
      <c r="K291" s="43"/>
      <c r="L291" s="43"/>
      <c r="P291" s="42"/>
      <c r="Q291" s="42"/>
      <c r="R291" s="42"/>
    </row>
    <row r="292" spans="3:18" ht="15" hidden="1" customHeight="1" x14ac:dyDescent="0.3">
      <c r="C292" s="3" t="s">
        <v>328</v>
      </c>
      <c r="D292" s="43"/>
      <c r="E292" s="43"/>
      <c r="F292" s="43"/>
      <c r="G292" s="78">
        <f t="shared" ref="G292:R292" si="192">G26</f>
        <v>9</v>
      </c>
      <c r="H292" s="78">
        <f t="shared" si="192"/>
        <v>30.599999999999998</v>
      </c>
      <c r="I292" s="78">
        <f t="shared" si="192"/>
        <v>36.5</v>
      </c>
      <c r="J292" s="78">
        <f t="shared" si="192"/>
        <v>10.100000000000001</v>
      </c>
      <c r="K292" s="78">
        <f t="shared" si="192"/>
        <v>-0.60000000000000053</v>
      </c>
      <c r="L292" s="78">
        <f t="shared" si="192"/>
        <v>0.59999999999999787</v>
      </c>
      <c r="M292" s="78">
        <f t="shared" si="192"/>
        <v>3.993084778800208</v>
      </c>
      <c r="N292" s="78">
        <f t="shared" si="192"/>
        <v>0.28781566093313771</v>
      </c>
      <c r="O292" s="78">
        <f t="shared" si="192"/>
        <v>-4.4249713489764932</v>
      </c>
      <c r="P292" s="78">
        <f t="shared" si="192"/>
        <v>-3.5803501410139575</v>
      </c>
      <c r="Q292" s="78">
        <f t="shared" si="192"/>
        <v>0.7070487554481204</v>
      </c>
      <c r="R292" s="78">
        <f t="shared" si="192"/>
        <v>-1.0403558495365255</v>
      </c>
    </row>
    <row r="293" spans="3:18" ht="15" hidden="1" customHeight="1" x14ac:dyDescent="0.3">
      <c r="C293" s="3" t="s">
        <v>338</v>
      </c>
      <c r="D293" s="43"/>
      <c r="E293" s="43"/>
      <c r="F293" s="43"/>
      <c r="G293" s="78">
        <f>9097/1000-G292</f>
        <v>9.6999999999999531E-2</v>
      </c>
      <c r="H293" s="78">
        <f>30524/1000-H292</f>
        <v>-7.5999999999996959E-2</v>
      </c>
      <c r="I293" s="78">
        <f>36719/1000-I292</f>
        <v>0.21900000000000119</v>
      </c>
      <c r="J293" s="78">
        <f>10136/1000-J292</f>
        <v>3.5999999999997812E-2</v>
      </c>
      <c r="K293" s="78">
        <f>-663/1000-K292</f>
        <v>-6.2999999999999501E-2</v>
      </c>
      <c r="L293" s="78">
        <f>609/1000-L292</f>
        <v>9.0000000000021174E-3</v>
      </c>
      <c r="M293" s="78"/>
      <c r="N293" s="78"/>
      <c r="O293" s="78"/>
      <c r="P293" s="78"/>
      <c r="Q293" s="78"/>
      <c r="R293" s="78"/>
    </row>
    <row r="294" spans="3:18" ht="15" hidden="1" customHeight="1" x14ac:dyDescent="0.3">
      <c r="C294" s="3" t="s">
        <v>329</v>
      </c>
      <c r="D294" s="43"/>
      <c r="E294" s="43"/>
      <c r="F294" s="43"/>
      <c r="G294" s="78">
        <v>-2.4510000000000001</v>
      </c>
      <c r="H294" s="78">
        <v>-4.2000000000000003E-2</v>
      </c>
      <c r="I294" s="78">
        <v>-6.1150000000000002</v>
      </c>
      <c r="J294" s="78">
        <v>5.157</v>
      </c>
      <c r="K294" s="78">
        <v>-25.783999999999999</v>
      </c>
      <c r="L294" s="78">
        <v>1.7000000000000001E-2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</row>
    <row r="295" spans="3:18" ht="15" hidden="1" customHeight="1" x14ac:dyDescent="0.3">
      <c r="C295" s="3" t="s">
        <v>330</v>
      </c>
      <c r="D295" s="43"/>
      <c r="E295" s="43"/>
      <c r="F295" s="43"/>
      <c r="G295" s="78">
        <v>-2.1999999999999999E-2</v>
      </c>
      <c r="H295" s="78">
        <v>-5.3999999999999999E-2</v>
      </c>
      <c r="I295" s="78">
        <v>-8.5999999999999993E-2</v>
      </c>
      <c r="J295" s="78">
        <v>-5.3999999999999999E-2</v>
      </c>
      <c r="K295" s="78">
        <f>-54/1000</f>
        <v>-5.3999999999999999E-2</v>
      </c>
      <c r="L295" s="78">
        <f>-54/1000</f>
        <v>-5.3999999999999999E-2</v>
      </c>
      <c r="M295" s="42">
        <f>AVERAGE(I295:L295)</f>
        <v>-6.1999999999999993E-2</v>
      </c>
      <c r="N295" s="42">
        <f t="shared" ref="N295:R295" si="193">AVERAGE(J295:M295)</f>
        <v>-5.6000000000000001E-2</v>
      </c>
      <c r="O295" s="42">
        <f t="shared" si="193"/>
        <v>-5.6499999999999995E-2</v>
      </c>
      <c r="P295" s="42">
        <f t="shared" si="193"/>
        <v>-5.7124999999999995E-2</v>
      </c>
      <c r="Q295" s="42">
        <f t="shared" si="193"/>
        <v>-5.7906249999999992E-2</v>
      </c>
      <c r="R295" s="42">
        <f t="shared" si="193"/>
        <v>-5.6882812499999991E-2</v>
      </c>
    </row>
    <row r="296" spans="3:18" ht="15" hidden="1" customHeight="1" x14ac:dyDescent="0.3">
      <c r="C296" s="3" t="s">
        <v>333</v>
      </c>
      <c r="D296" s="43"/>
      <c r="E296" s="43"/>
      <c r="F296" s="43"/>
      <c r="G296" s="78">
        <v>0</v>
      </c>
      <c r="H296" s="78">
        <v>0</v>
      </c>
      <c r="I296" s="78">
        <v>0</v>
      </c>
      <c r="J296" s="78">
        <v>0</v>
      </c>
      <c r="K296" s="78">
        <v>-7.5999999999999998E-2</v>
      </c>
      <c r="L296" s="78">
        <v>-0.216</v>
      </c>
      <c r="M296" s="42">
        <f t="shared" ref="M296:Q296" si="194">AVERAGE(I296:L296)</f>
        <v>-7.2999999999999995E-2</v>
      </c>
      <c r="N296" s="42">
        <f t="shared" si="194"/>
        <v>-9.1249999999999998E-2</v>
      </c>
      <c r="O296" s="42">
        <f t="shared" si="194"/>
        <v>-0.1140625</v>
      </c>
      <c r="P296" s="42">
        <f t="shared" si="194"/>
        <v>-0.123578125</v>
      </c>
      <c r="Q296" s="42">
        <f t="shared" si="194"/>
        <v>-0.10047265625</v>
      </c>
      <c r="R296" s="42">
        <f>AVERAGE(N296:Q296)</f>
        <v>-0.1073408203125</v>
      </c>
    </row>
    <row r="297" spans="3:18" ht="15" hidden="1" customHeight="1" x14ac:dyDescent="0.3">
      <c r="C297" s="3" t="s">
        <v>331</v>
      </c>
      <c r="D297" s="43"/>
      <c r="E297" s="43"/>
      <c r="F297" s="43"/>
      <c r="G297" s="78">
        <v>0</v>
      </c>
      <c r="H297" s="78">
        <v>0</v>
      </c>
      <c r="I297" s="78">
        <v>0</v>
      </c>
      <c r="J297" s="78">
        <v>-0.26700000000000002</v>
      </c>
      <c r="K297" s="78">
        <v>-1.9E-2</v>
      </c>
      <c r="L297" s="78">
        <v>-0.876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</row>
    <row r="298" spans="3:18" ht="15" hidden="1" customHeight="1" x14ac:dyDescent="0.3">
      <c r="C298" s="3" t="s">
        <v>332</v>
      </c>
      <c r="D298" s="43"/>
      <c r="E298" s="43"/>
      <c r="F298" s="43"/>
      <c r="G298" s="78">
        <v>-6.9429999999999996</v>
      </c>
      <c r="H298" s="78">
        <v>-7.0439999999999996</v>
      </c>
      <c r="I298" s="78">
        <v>-7.0359999999999996</v>
      </c>
      <c r="J298" s="78">
        <v>-7.0380000000000003</v>
      </c>
      <c r="K298" s="78">
        <v>-7.2670000000000003</v>
      </c>
      <c r="L298" s="78">
        <v>-7.2270000000000003</v>
      </c>
      <c r="M298" s="78">
        <f>-SUM(M252:M253)</f>
        <v>-7.0229810840305564</v>
      </c>
      <c r="N298" s="78">
        <f t="shared" ref="N298:R298" si="195">-SUM(N252:N253)</f>
        <v>-7.0229810840305564</v>
      </c>
      <c r="O298" s="78">
        <f t="shared" si="195"/>
        <v>-7.0229810840305564</v>
      </c>
      <c r="P298" s="78">
        <f t="shared" si="195"/>
        <v>-7.0229810840305564</v>
      </c>
      <c r="Q298" s="78">
        <f t="shared" si="195"/>
        <v>-7.0229810840305564</v>
      </c>
      <c r="R298" s="78">
        <f t="shared" si="195"/>
        <v>-7.0229810840305564</v>
      </c>
    </row>
    <row r="299" spans="3:18" ht="15" hidden="1" customHeight="1" x14ac:dyDescent="0.3">
      <c r="C299" s="3" t="s">
        <v>334</v>
      </c>
      <c r="D299" s="43"/>
      <c r="E299" s="43"/>
      <c r="F299" s="43"/>
      <c r="G299" s="145">
        <f t="shared" ref="G299:L299" si="196">SUM(G292:G298)</f>
        <v>-0.31900000000000084</v>
      </c>
      <c r="H299" s="145">
        <f t="shared" si="196"/>
        <v>23.384</v>
      </c>
      <c r="I299" s="145">
        <f t="shared" si="196"/>
        <v>23.481999999999999</v>
      </c>
      <c r="J299" s="145">
        <f t="shared" si="196"/>
        <v>7.9339999999999993</v>
      </c>
      <c r="K299" s="145">
        <f t="shared" si="196"/>
        <v>-33.863</v>
      </c>
      <c r="L299" s="145">
        <f t="shared" si="196"/>
        <v>-7.7469999999999999</v>
      </c>
      <c r="M299" s="145">
        <f t="shared" ref="M299:R299" si="197">SUM(M292:M298)</f>
        <v>-3.1648963052303483</v>
      </c>
      <c r="N299" s="145">
        <f t="shared" si="197"/>
        <v>-6.8824154230974184</v>
      </c>
      <c r="O299" s="145">
        <f t="shared" si="197"/>
        <v>-11.618514933007049</v>
      </c>
      <c r="P299" s="145">
        <f t="shared" si="197"/>
        <v>-10.784034350044514</v>
      </c>
      <c r="Q299" s="145">
        <f t="shared" si="197"/>
        <v>-6.4743112348324363</v>
      </c>
      <c r="R299" s="145">
        <f t="shared" si="197"/>
        <v>-8.2275605663795819</v>
      </c>
    </row>
    <row r="300" spans="3:18" ht="15" hidden="1" customHeight="1" x14ac:dyDescent="0.3">
      <c r="C300" s="3" t="s">
        <v>335</v>
      </c>
      <c r="D300" s="43"/>
      <c r="E300" s="43"/>
      <c r="F300" s="43"/>
      <c r="G300" s="78">
        <v>-17.777999999999999</v>
      </c>
      <c r="H300" s="78">
        <f>-19583/1000</f>
        <v>-19.582999999999998</v>
      </c>
      <c r="I300" s="78">
        <v>-15.282999999999999</v>
      </c>
      <c r="J300" s="78">
        <f>-65636/1000-SUM(G300:I300)</f>
        <v>-12.991999999999997</v>
      </c>
      <c r="K300" s="78">
        <v>-18.367999999999999</v>
      </c>
      <c r="L300" s="78">
        <v>-12.956</v>
      </c>
      <c r="M300" s="78">
        <f t="shared" ref="M300:R300" ca="1" si="198">M195-(N330-M330+N335-M335)/1000+M177</f>
        <v>-11.800937589243876</v>
      </c>
      <c r="N300" s="78">
        <f t="shared" ca="1" si="198"/>
        <v>-13.337334533371566</v>
      </c>
      <c r="O300" s="78">
        <f t="shared" ca="1" si="198"/>
        <v>-13.365221883519139</v>
      </c>
      <c r="P300" s="78">
        <f t="shared" ca="1" si="198"/>
        <v>-12.395839188574822</v>
      </c>
      <c r="Q300" s="78">
        <f t="shared" ca="1" si="198"/>
        <v>-12.550871201310407</v>
      </c>
      <c r="R300" s="78">
        <f t="shared" ca="1" si="198"/>
        <v>-12.744976919921196</v>
      </c>
    </row>
    <row r="301" spans="3:18" ht="15" hidden="1" customHeight="1" x14ac:dyDescent="0.3">
      <c r="C301" s="3" t="s">
        <v>343</v>
      </c>
      <c r="D301" s="43"/>
      <c r="E301" s="43"/>
      <c r="F301" s="43"/>
      <c r="G301" s="78">
        <v>-1E-3</v>
      </c>
      <c r="H301" s="78">
        <v>4.0000000000000001E-3</v>
      </c>
      <c r="I301" s="78">
        <v>0</v>
      </c>
      <c r="J301" s="78">
        <f>3/1000-SUM(G301:I301)</f>
        <v>0</v>
      </c>
      <c r="K301" s="78">
        <v>0</v>
      </c>
      <c r="L301" s="78">
        <f>1/1000</f>
        <v>1E-3</v>
      </c>
      <c r="M301" s="78">
        <f t="shared" ref="M301:R301" si="199">0-N344/1000</f>
        <v>-9.0828510954738011</v>
      </c>
      <c r="N301" s="78">
        <f t="shared" si="199"/>
        <v>-3.3976526241835092</v>
      </c>
      <c r="O301" s="78">
        <f t="shared" si="199"/>
        <v>-0.78365770662104484</v>
      </c>
      <c r="P301" s="78">
        <f t="shared" si="199"/>
        <v>-6.3880079617397856</v>
      </c>
      <c r="Q301" s="78">
        <f t="shared" si="199"/>
        <v>0.86541016892605693</v>
      </c>
      <c r="R301" s="78">
        <f t="shared" si="199"/>
        <v>-1.7287041925881641</v>
      </c>
    </row>
    <row r="302" spans="3:18" ht="15" hidden="1" customHeight="1" x14ac:dyDescent="0.3">
      <c r="C302" s="3" t="s">
        <v>342</v>
      </c>
      <c r="D302" s="43"/>
      <c r="E302" s="43"/>
      <c r="F302" s="43"/>
      <c r="G302" s="145">
        <f>SUM(G299:G301)</f>
        <v>-18.098000000000003</v>
      </c>
      <c r="H302" s="145">
        <f t="shared" ref="H302:R302" si="200">SUM(H299:H301)</f>
        <v>3.8050000000000019</v>
      </c>
      <c r="I302" s="145">
        <f t="shared" si="200"/>
        <v>8.1989999999999998</v>
      </c>
      <c r="J302" s="145">
        <f t="shared" si="200"/>
        <v>-5.0579999999999981</v>
      </c>
      <c r="K302" s="145">
        <f t="shared" si="200"/>
        <v>-52.230999999999995</v>
      </c>
      <c r="L302" s="145">
        <f t="shared" si="200"/>
        <v>-20.701999999999998</v>
      </c>
      <c r="M302" s="145">
        <f t="shared" ca="1" si="200"/>
        <v>-24.048684989948026</v>
      </c>
      <c r="N302" s="145">
        <f t="shared" ca="1" si="200"/>
        <v>-23.617402580652495</v>
      </c>
      <c r="O302" s="145">
        <f t="shared" ca="1" si="200"/>
        <v>-25.767394523147235</v>
      </c>
      <c r="P302" s="145">
        <f t="shared" ca="1" si="200"/>
        <v>-29.567881500359121</v>
      </c>
      <c r="Q302" s="145">
        <f t="shared" ca="1" si="200"/>
        <v>-18.159772267216784</v>
      </c>
      <c r="R302" s="145">
        <f t="shared" ca="1" si="200"/>
        <v>-22.701241678888945</v>
      </c>
    </row>
    <row r="303" spans="3:18" ht="15" hidden="1" customHeight="1" x14ac:dyDescent="0.3">
      <c r="C303" s="3" t="s">
        <v>336</v>
      </c>
      <c r="D303" s="43"/>
      <c r="E303" s="43"/>
      <c r="F303" s="43"/>
      <c r="G303" s="78">
        <v>0</v>
      </c>
      <c r="H303" s="78">
        <v>-1E-3</v>
      </c>
      <c r="I303" s="78">
        <v>0</v>
      </c>
      <c r="J303" s="78">
        <f>-1398/1000-SUM(G303:I303)</f>
        <v>-1.397</v>
      </c>
      <c r="K303" s="78">
        <v>0</v>
      </c>
      <c r="L303" s="78">
        <f>9/1000</f>
        <v>8.9999999999999993E-3</v>
      </c>
      <c r="M303" s="78">
        <f>-(M334-N334)/1000</f>
        <v>-6.5000000000000002E-2</v>
      </c>
      <c r="N303" s="78">
        <f t="shared" ref="N303:R303" si="201">-(N334-O334)/1000</f>
        <v>0.23474999999999999</v>
      </c>
      <c r="O303" s="78">
        <f t="shared" si="201"/>
        <v>-0.1658125</v>
      </c>
      <c r="P303" s="78">
        <f t="shared" si="201"/>
        <v>2.3234375000000002E-2</v>
      </c>
      <c r="Q303" s="78">
        <f t="shared" si="201"/>
        <v>6.7929687500000004E-3</v>
      </c>
      <c r="R303" s="78">
        <f t="shared" si="201"/>
        <v>2.4741210937500001E-2</v>
      </c>
    </row>
    <row r="304" spans="3:18" ht="15" hidden="1" customHeight="1" x14ac:dyDescent="0.3">
      <c r="C304" s="3" t="s">
        <v>337</v>
      </c>
      <c r="D304" s="43"/>
      <c r="E304" s="43"/>
      <c r="F304" s="43"/>
      <c r="G304" s="145">
        <f>SUM(G302:G303)</f>
        <v>-18.098000000000003</v>
      </c>
      <c r="H304" s="145">
        <f t="shared" ref="H304:R304" si="202">SUM(H302:H303)</f>
        <v>3.804000000000002</v>
      </c>
      <c r="I304" s="145">
        <f t="shared" si="202"/>
        <v>8.1989999999999998</v>
      </c>
      <c r="J304" s="145">
        <f t="shared" si="202"/>
        <v>-6.4549999999999983</v>
      </c>
      <c r="K304" s="145">
        <f t="shared" si="202"/>
        <v>-52.230999999999995</v>
      </c>
      <c r="L304" s="145">
        <f t="shared" si="202"/>
        <v>-20.692999999999998</v>
      </c>
      <c r="M304" s="145">
        <f t="shared" ca="1" si="202"/>
        <v>-24.113684989948027</v>
      </c>
      <c r="N304" s="145">
        <f t="shared" ca="1" si="202"/>
        <v>-23.382652580652497</v>
      </c>
      <c r="O304" s="145">
        <f t="shared" ca="1" si="202"/>
        <v>-25.933207023147236</v>
      </c>
      <c r="P304" s="145">
        <f t="shared" ca="1" si="202"/>
        <v>-29.54464712535912</v>
      </c>
      <c r="Q304" s="145">
        <f t="shared" ca="1" si="202"/>
        <v>-18.152979298466786</v>
      </c>
      <c r="R304" s="145">
        <f t="shared" ca="1" si="202"/>
        <v>-22.676500467951445</v>
      </c>
    </row>
    <row r="305" spans="3:19" ht="15" hidden="1" customHeight="1" x14ac:dyDescent="0.3">
      <c r="C305" s="3" t="s">
        <v>339</v>
      </c>
      <c r="D305" s="43"/>
      <c r="E305" s="43"/>
      <c r="F305" s="43"/>
      <c r="G305" s="78">
        <v>-1.0549999999999999</v>
      </c>
      <c r="H305" s="78">
        <f>374/1000</f>
        <v>0.374</v>
      </c>
      <c r="I305" s="78">
        <v>-0.74299999999999999</v>
      </c>
      <c r="J305" s="78">
        <f>-0.861-SUM(G305:I305)</f>
        <v>0.56299999999999994</v>
      </c>
      <c r="K305" s="78">
        <f>-1044/1000</f>
        <v>-1.044</v>
      </c>
      <c r="L305" s="78">
        <v>3.0000000000000001E-3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</row>
    <row r="306" spans="3:19" ht="15" hidden="1" customHeight="1" thickBot="1" x14ac:dyDescent="0.35">
      <c r="C306" s="3" t="s">
        <v>340</v>
      </c>
      <c r="D306" s="43"/>
      <c r="E306" s="43"/>
      <c r="F306" s="43"/>
      <c r="G306" s="157">
        <f t="shared" ref="G306:J306" si="203">SUM(G304:G305)</f>
        <v>-19.153000000000002</v>
      </c>
      <c r="H306" s="157">
        <f t="shared" si="203"/>
        <v>4.1780000000000017</v>
      </c>
      <c r="I306" s="157">
        <f t="shared" si="203"/>
        <v>7.4559999999999995</v>
      </c>
      <c r="J306" s="157">
        <f t="shared" si="203"/>
        <v>-5.8919999999999986</v>
      </c>
      <c r="K306" s="157">
        <f>SUM(K304:K305)</f>
        <v>-53.274999999999991</v>
      </c>
      <c r="L306" s="157">
        <f>SUM(L304:L305)</f>
        <v>-20.689999999999998</v>
      </c>
      <c r="M306" s="157">
        <f t="shared" ref="M306:R306" ca="1" si="204">SUM(M304:M305)</f>
        <v>-24.113684989948027</v>
      </c>
      <c r="N306" s="157">
        <f t="shared" ca="1" si="204"/>
        <v>-23.382652580652497</v>
      </c>
      <c r="O306" s="157">
        <f t="shared" ca="1" si="204"/>
        <v>-25.933207023147236</v>
      </c>
      <c r="P306" s="157">
        <f t="shared" ca="1" si="204"/>
        <v>-29.54464712535912</v>
      </c>
      <c r="Q306" s="157">
        <f t="shared" ca="1" si="204"/>
        <v>-18.152979298466786</v>
      </c>
      <c r="R306" s="157">
        <f t="shared" ca="1" si="204"/>
        <v>-22.676500467951445</v>
      </c>
    </row>
    <row r="307" spans="3:19" ht="15" customHeight="1" x14ac:dyDescent="0.3">
      <c r="D307" s="43"/>
      <c r="E307" s="43"/>
      <c r="F307" s="43"/>
      <c r="G307" s="43"/>
      <c r="H307" s="43"/>
      <c r="I307" s="43"/>
      <c r="J307" s="43"/>
      <c r="K307" s="43"/>
      <c r="L307" s="43"/>
      <c r="P307" s="42"/>
      <c r="Q307" s="42"/>
      <c r="R307" s="42"/>
    </row>
    <row r="308" spans="3:19" ht="15" customHeight="1" x14ac:dyDescent="0.3">
      <c r="C308" s="1" t="s">
        <v>368</v>
      </c>
    </row>
    <row r="309" spans="3:19" ht="15" customHeight="1" x14ac:dyDescent="0.3">
      <c r="C309" s="121" t="s">
        <v>367</v>
      </c>
      <c r="F309" s="45"/>
      <c r="G309" s="46" t="s">
        <v>31</v>
      </c>
      <c r="H309" s="47" t="s">
        <v>1</v>
      </c>
      <c r="I309" s="47" t="s">
        <v>2</v>
      </c>
      <c r="J309" s="47" t="s">
        <v>3</v>
      </c>
      <c r="K309" s="47" t="s">
        <v>4</v>
      </c>
      <c r="L309" s="47" t="s">
        <v>5</v>
      </c>
      <c r="M309" s="47" t="s">
        <v>6</v>
      </c>
      <c r="N309" s="47" t="s">
        <v>170</v>
      </c>
      <c r="O309" s="47" t="s">
        <v>61</v>
      </c>
      <c r="P309" s="47" t="s">
        <v>62</v>
      </c>
      <c r="Q309" s="47" t="s">
        <v>105</v>
      </c>
      <c r="R309" s="47" t="s">
        <v>103</v>
      </c>
      <c r="S309" s="47" t="s">
        <v>104</v>
      </c>
    </row>
    <row r="310" spans="3:19" ht="15" customHeight="1" x14ac:dyDescent="0.3">
      <c r="C310" s="3" t="s">
        <v>32</v>
      </c>
      <c r="F310" s="45" t="s">
        <v>33</v>
      </c>
      <c r="G310" s="160">
        <v>6340</v>
      </c>
      <c r="H310" s="160">
        <v>7263</v>
      </c>
      <c r="I310" s="161">
        <v>13869</v>
      </c>
      <c r="J310" s="161">
        <v>20324</v>
      </c>
      <c r="K310" s="161">
        <v>11753</v>
      </c>
      <c r="L310" s="161">
        <v>1112</v>
      </c>
      <c r="M310" s="161">
        <v>396</v>
      </c>
      <c r="N310" s="161">
        <f t="shared" ref="N310:S310" ca="1" si="205">M210*1000</f>
        <v>-21133.098622506539</v>
      </c>
      <c r="O310" s="161">
        <f t="shared" ca="1" si="205"/>
        <v>-21133.098622506539</v>
      </c>
      <c r="P310" s="161">
        <f t="shared" ca="1" si="205"/>
        <v>-21133.098622506543</v>
      </c>
      <c r="Q310" s="161">
        <f t="shared" ca="1" si="205"/>
        <v>-21133.098622506546</v>
      </c>
      <c r="R310" s="161">
        <f t="shared" ca="1" si="205"/>
        <v>-21133.098622506546</v>
      </c>
      <c r="S310" s="161">
        <f t="shared" ca="1" si="205"/>
        <v>-21133.098622506546</v>
      </c>
    </row>
    <row r="311" spans="3:19" ht="15" customHeight="1" x14ac:dyDescent="0.3">
      <c r="C311" s="3" t="s">
        <v>34</v>
      </c>
      <c r="F311" s="45"/>
      <c r="G311" s="160">
        <v>15813</v>
      </c>
      <c r="H311" s="160">
        <v>15865</v>
      </c>
      <c r="I311" s="161">
        <v>15865</v>
      </c>
      <c r="J311" s="161">
        <v>10765</v>
      </c>
      <c r="K311" s="161">
        <v>10765</v>
      </c>
      <c r="L311" s="161">
        <v>12123</v>
      </c>
      <c r="M311" s="161">
        <v>9363</v>
      </c>
      <c r="N311" s="161">
        <f t="shared" ref="N311:S311" ca="1" si="206">M311-M208*1000</f>
        <v>27333.338717521696</v>
      </c>
      <c r="O311" s="161">
        <f t="shared" ca="1" si="206"/>
        <v>27044.862659243547</v>
      </c>
      <c r="P311" s="161">
        <f t="shared" ca="1" si="206"/>
        <v>27119.912444620317</v>
      </c>
      <c r="Q311" s="161">
        <f t="shared" ca="1" si="206"/>
        <v>27067.84505068382</v>
      </c>
      <c r="R311" s="161">
        <f t="shared" ca="1" si="206"/>
        <v>27067.845050683824</v>
      </c>
      <c r="S311" s="161">
        <f t="shared" ca="1" si="206"/>
        <v>27067.845050683824</v>
      </c>
    </row>
    <row r="312" spans="3:19" ht="15" customHeight="1" x14ac:dyDescent="0.3">
      <c r="C312" s="3" t="s">
        <v>35</v>
      </c>
      <c r="F312" s="45"/>
      <c r="G312" s="160">
        <v>14192</v>
      </c>
      <c r="H312" s="160">
        <v>10912</v>
      </c>
      <c r="I312" s="161">
        <v>16526</v>
      </c>
      <c r="J312" s="161">
        <v>19785</v>
      </c>
      <c r="K312" s="161">
        <v>7839</v>
      </c>
      <c r="L312" s="161">
        <v>5839</v>
      </c>
      <c r="M312" s="161">
        <v>6418</v>
      </c>
      <c r="N312" s="161">
        <f t="shared" ref="N312:S312" si="207">M54*1000</f>
        <v>7038.9750387106424</v>
      </c>
      <c r="O312" s="161">
        <f t="shared" si="207"/>
        <v>7284.3764630330743</v>
      </c>
      <c r="P312" s="161">
        <f t="shared" si="207"/>
        <v>4831.9121630408818</v>
      </c>
      <c r="Q312" s="161">
        <f t="shared" si="207"/>
        <v>6012.8516246813597</v>
      </c>
      <c r="R312" s="161">
        <f t="shared" si="207"/>
        <v>7374.3231368069737</v>
      </c>
      <c r="S312" s="161">
        <f t="shared" si="207"/>
        <v>7020.1111672577508</v>
      </c>
    </row>
    <row r="313" spans="3:19" ht="15" customHeight="1" x14ac:dyDescent="0.3">
      <c r="C313" s="3" t="s">
        <v>36</v>
      </c>
      <c r="F313" s="45"/>
      <c r="G313" s="160">
        <v>4002</v>
      </c>
      <c r="H313" s="160">
        <v>3078</v>
      </c>
      <c r="I313" s="161">
        <v>2775</v>
      </c>
      <c r="J313" s="161">
        <v>2281</v>
      </c>
      <c r="K313" s="161">
        <v>2448</v>
      </c>
      <c r="L313" s="161">
        <v>1841</v>
      </c>
      <c r="M313" s="161">
        <v>1590</v>
      </c>
      <c r="N313" s="161">
        <f t="shared" ref="N313:S313" si="208">AVERAGE(J313:M313)</f>
        <v>2040</v>
      </c>
      <c r="O313" s="161">
        <f t="shared" si="208"/>
        <v>1979.75</v>
      </c>
      <c r="P313" s="161">
        <f t="shared" si="208"/>
        <v>1862.6875</v>
      </c>
      <c r="Q313" s="161">
        <f t="shared" si="208"/>
        <v>1868.109375</v>
      </c>
      <c r="R313" s="161">
        <f t="shared" si="208"/>
        <v>1937.63671875</v>
      </c>
      <c r="S313" s="161">
        <f t="shared" si="208"/>
        <v>1912.0458984375</v>
      </c>
    </row>
    <row r="314" spans="3:19" ht="15" customHeight="1" x14ac:dyDescent="0.3">
      <c r="C314" s="3" t="s">
        <v>37</v>
      </c>
      <c r="F314" s="45"/>
      <c r="G314" s="160">
        <v>548</v>
      </c>
      <c r="H314" s="160">
        <v>235</v>
      </c>
      <c r="I314" s="161">
        <v>108</v>
      </c>
      <c r="J314" s="161">
        <v>66</v>
      </c>
      <c r="K314" s="161">
        <v>1227</v>
      </c>
      <c r="L314" s="161">
        <v>788</v>
      </c>
      <c r="M314" s="161">
        <v>786</v>
      </c>
      <c r="N314" s="161">
        <f t="shared" ref="N314:S314" si="209">M314</f>
        <v>786</v>
      </c>
      <c r="O314" s="161">
        <f t="shared" si="209"/>
        <v>786</v>
      </c>
      <c r="P314" s="161">
        <f t="shared" si="209"/>
        <v>786</v>
      </c>
      <c r="Q314" s="161">
        <f t="shared" si="209"/>
        <v>786</v>
      </c>
      <c r="R314" s="161">
        <f t="shared" si="209"/>
        <v>786</v>
      </c>
      <c r="S314" s="161">
        <f t="shared" si="209"/>
        <v>786</v>
      </c>
    </row>
    <row r="315" spans="3:19" ht="15" customHeight="1" x14ac:dyDescent="0.3">
      <c r="C315" s="3" t="s">
        <v>38</v>
      </c>
      <c r="F315" s="45"/>
      <c r="G315" s="160">
        <v>762</v>
      </c>
      <c r="H315" s="160">
        <v>685</v>
      </c>
      <c r="I315" s="161">
        <v>328</v>
      </c>
      <c r="J315" s="161">
        <v>501</v>
      </c>
      <c r="K315" s="161">
        <v>356</v>
      </c>
      <c r="L315" s="161">
        <v>180</v>
      </c>
      <c r="M315" s="161">
        <v>363</v>
      </c>
      <c r="N315" s="161">
        <f t="shared" ref="N315:S315" si="210">(-M16-M23)*M70</f>
        <v>606.81203575933955</v>
      </c>
      <c r="O315" s="161">
        <f t="shared" si="210"/>
        <v>654.77022509918356</v>
      </c>
      <c r="P315" s="161">
        <f t="shared" si="210"/>
        <v>565.12079540854052</v>
      </c>
      <c r="Q315" s="161">
        <f t="shared" si="210"/>
        <v>745.01667727005679</v>
      </c>
      <c r="R315" s="161">
        <f t="shared" si="210"/>
        <v>711.55035659505722</v>
      </c>
      <c r="S315" s="161">
        <f t="shared" si="210"/>
        <v>719.60151909362685</v>
      </c>
    </row>
    <row r="316" spans="3:19" ht="15" customHeight="1" x14ac:dyDescent="0.3">
      <c r="C316" s="3" t="s">
        <v>39</v>
      </c>
      <c r="F316" s="45"/>
      <c r="G316" s="160">
        <v>930</v>
      </c>
      <c r="H316" s="160">
        <v>6388</v>
      </c>
      <c r="I316" s="161">
        <v>10917</v>
      </c>
      <c r="J316" s="161">
        <v>12178</v>
      </c>
      <c r="K316" s="161">
        <v>11102</v>
      </c>
      <c r="L316" s="161">
        <v>7889</v>
      </c>
      <c r="M316" s="161">
        <v>8166</v>
      </c>
      <c r="N316" s="161">
        <f t="shared" ref="N316:S316" si="211">AVERAGE(J316:M316)</f>
        <v>9833.75</v>
      </c>
      <c r="O316" s="161">
        <f t="shared" si="211"/>
        <v>9247.6875</v>
      </c>
      <c r="P316" s="161">
        <f t="shared" si="211"/>
        <v>8784.109375</v>
      </c>
      <c r="Q316" s="161">
        <f t="shared" si="211"/>
        <v>9007.88671875</v>
      </c>
      <c r="R316" s="161">
        <f t="shared" si="211"/>
        <v>9218.3583984375</v>
      </c>
      <c r="S316" s="161">
        <f t="shared" si="211"/>
        <v>9064.510498046875</v>
      </c>
    </row>
    <row r="317" spans="3:19" ht="15" customHeight="1" x14ac:dyDescent="0.3">
      <c r="C317" s="50" t="s">
        <v>40</v>
      </c>
      <c r="D317" s="50"/>
      <c r="E317" s="50"/>
      <c r="F317" s="45"/>
      <c r="G317" s="162">
        <f>SUM(G310:G316)</f>
        <v>42587</v>
      </c>
      <c r="H317" s="162">
        <f>SUM(H310:H316)</f>
        <v>44426</v>
      </c>
      <c r="I317" s="162">
        <f>SUM(I310:I316)</f>
        <v>60388</v>
      </c>
      <c r="J317" s="162">
        <f>SUM(J310:J316)</f>
        <v>65900</v>
      </c>
      <c r="K317" s="162">
        <f t="shared" ref="K317:S317" si="212">SUM(K310:K316)</f>
        <v>45490</v>
      </c>
      <c r="L317" s="162">
        <f t="shared" si="212"/>
        <v>29772</v>
      </c>
      <c r="M317" s="162">
        <f t="shared" si="212"/>
        <v>27082</v>
      </c>
      <c r="N317" s="162">
        <f t="shared" ca="1" si="212"/>
        <v>26505.77716948514</v>
      </c>
      <c r="O317" s="162">
        <f t="shared" ca="1" si="212"/>
        <v>25864.348224869264</v>
      </c>
      <c r="P317" s="162">
        <f t="shared" ca="1" si="212"/>
        <v>22816.643655563195</v>
      </c>
      <c r="Q317" s="162">
        <f t="shared" ca="1" si="212"/>
        <v>24354.610823878691</v>
      </c>
      <c r="R317" s="162">
        <f t="shared" ca="1" si="212"/>
        <v>25962.615038766809</v>
      </c>
      <c r="S317" s="162">
        <f t="shared" ca="1" si="212"/>
        <v>25437.015511013029</v>
      </c>
    </row>
    <row r="318" spans="3:19" ht="15" customHeight="1" x14ac:dyDescent="0.3">
      <c r="F318" s="45"/>
      <c r="G318" s="49"/>
      <c r="H318" s="49"/>
      <c r="I318" s="49"/>
      <c r="J318" s="49"/>
      <c r="K318" s="49"/>
      <c r="L318" s="49"/>
      <c r="M318" s="49"/>
      <c r="N318" s="48"/>
    </row>
    <row r="319" spans="3:19" ht="15" customHeight="1" x14ac:dyDescent="0.3">
      <c r="C319" s="3" t="s">
        <v>41</v>
      </c>
      <c r="F319" s="45"/>
      <c r="G319" s="160">
        <v>234559</v>
      </c>
      <c r="H319" s="160">
        <v>232922</v>
      </c>
      <c r="I319" s="161">
        <v>230938</v>
      </c>
      <c r="J319" s="161">
        <v>227757</v>
      </c>
      <c r="K319" s="161">
        <v>224964</v>
      </c>
      <c r="L319" s="161">
        <v>226374</v>
      </c>
      <c r="M319" s="161">
        <v>223797</v>
      </c>
      <c r="N319" s="161">
        <f t="shared" ref="N319:S319" si="213">M250*1000</f>
        <v>225872.98108403056</v>
      </c>
      <c r="O319" s="161">
        <f t="shared" si="213"/>
        <v>223100</v>
      </c>
      <c r="P319" s="161">
        <f t="shared" si="213"/>
        <v>220327.01891596944</v>
      </c>
      <c r="Q319" s="161">
        <f t="shared" si="213"/>
        <v>217554.03783193888</v>
      </c>
      <c r="R319" s="161">
        <f t="shared" si="213"/>
        <v>214781.0567479083</v>
      </c>
      <c r="S319" s="161">
        <f t="shared" si="213"/>
        <v>212008.07566387774</v>
      </c>
    </row>
    <row r="320" spans="3:19" ht="15" customHeight="1" x14ac:dyDescent="0.3">
      <c r="C320" s="3" t="s">
        <v>42</v>
      </c>
      <c r="F320" s="45"/>
      <c r="G320" s="160">
        <v>11042</v>
      </c>
      <c r="H320" s="160">
        <v>10884</v>
      </c>
      <c r="I320" s="161">
        <v>10917</v>
      </c>
      <c r="J320" s="161">
        <v>11084</v>
      </c>
      <c r="K320" s="161">
        <v>22475</v>
      </c>
      <c r="L320" s="161">
        <v>6772</v>
      </c>
      <c r="M320" s="161">
        <v>7315</v>
      </c>
      <c r="N320" s="161">
        <f t="shared" ref="N320:S320" si="214">AVERAGE(J320:M320)</f>
        <v>11911.5</v>
      </c>
      <c r="O320" s="161">
        <f t="shared" si="214"/>
        <v>12118.375</v>
      </c>
      <c r="P320" s="161">
        <f t="shared" si="214"/>
        <v>9529.21875</v>
      </c>
      <c r="Q320" s="161">
        <f t="shared" si="214"/>
        <v>10218.5234375</v>
      </c>
      <c r="R320" s="161">
        <f t="shared" si="214"/>
        <v>10944.404296875</v>
      </c>
      <c r="S320" s="161">
        <f t="shared" si="214"/>
        <v>10702.63037109375</v>
      </c>
    </row>
    <row r="321" spans="3:19" ht="15" customHeight="1" x14ac:dyDescent="0.3">
      <c r="C321" s="3" t="s">
        <v>43</v>
      </c>
      <c r="F321" s="45"/>
      <c r="G321" s="160">
        <v>135861</v>
      </c>
      <c r="H321" s="160">
        <v>131616</v>
      </c>
      <c r="I321" s="161">
        <v>127370</v>
      </c>
      <c r="J321" s="161">
        <v>123124</v>
      </c>
      <c r="K321" s="161">
        <v>118879</v>
      </c>
      <c r="L321" s="161">
        <v>114633</v>
      </c>
      <c r="M321" s="161">
        <v>110387</v>
      </c>
      <c r="N321" s="161">
        <f t="shared" ref="N321:S321" si="215">M287*1000</f>
        <v>106110.99999999999</v>
      </c>
      <c r="O321" s="161">
        <f t="shared" si="215"/>
        <v>101860.99999999999</v>
      </c>
      <c r="P321" s="161">
        <f t="shared" si="215"/>
        <v>97610.999999999985</v>
      </c>
      <c r="Q321" s="161">
        <f t="shared" si="215"/>
        <v>93360.999999999985</v>
      </c>
      <c r="R321" s="161">
        <f t="shared" si="215"/>
        <v>89110.999999999985</v>
      </c>
      <c r="S321" s="161">
        <f t="shared" si="215"/>
        <v>84860.999999999985</v>
      </c>
    </row>
    <row r="322" spans="3:19" ht="15" customHeight="1" x14ac:dyDescent="0.3">
      <c r="C322" s="3" t="s">
        <v>44</v>
      </c>
      <c r="F322" s="45"/>
      <c r="G322" s="160">
        <v>12466</v>
      </c>
      <c r="H322" s="160">
        <v>8953</v>
      </c>
      <c r="I322" s="161">
        <v>4322</v>
      </c>
      <c r="J322" s="161">
        <v>4337</v>
      </c>
      <c r="K322" s="161">
        <v>8036</v>
      </c>
      <c r="L322" s="161">
        <v>4255</v>
      </c>
      <c r="M322" s="161">
        <v>4570</v>
      </c>
      <c r="N322" s="161">
        <f t="shared" ref="N322:S322" si="216">AVERAGE(J322:M322)</f>
        <v>5299.5</v>
      </c>
      <c r="O322" s="161">
        <f t="shared" si="216"/>
        <v>5540.125</v>
      </c>
      <c r="P322" s="161">
        <f t="shared" si="216"/>
        <v>4916.15625</v>
      </c>
      <c r="Q322" s="161">
        <f t="shared" si="216"/>
        <v>5081.4453125</v>
      </c>
      <c r="R322" s="161">
        <f t="shared" si="216"/>
        <v>5209.306640625</v>
      </c>
      <c r="S322" s="161">
        <f t="shared" si="216"/>
        <v>5186.75830078125</v>
      </c>
    </row>
    <row r="323" spans="3:19" ht="15" customHeight="1" x14ac:dyDescent="0.3">
      <c r="C323" s="50" t="s">
        <v>45</v>
      </c>
      <c r="D323" s="50"/>
      <c r="E323" s="50"/>
      <c r="F323" s="45"/>
      <c r="G323" s="162">
        <f>SUM(G319:G322)</f>
        <v>393928</v>
      </c>
      <c r="H323" s="162">
        <f>SUM(H319:H322)</f>
        <v>384375</v>
      </c>
      <c r="I323" s="163">
        <f>SUM(I319:I322)</f>
        <v>373547</v>
      </c>
      <c r="J323" s="163">
        <f t="shared" ref="J323:S323" si="217">SUM(J319:J322)</f>
        <v>366302</v>
      </c>
      <c r="K323" s="163">
        <f t="shared" si="217"/>
        <v>374354</v>
      </c>
      <c r="L323" s="163">
        <f t="shared" si="217"/>
        <v>352034</v>
      </c>
      <c r="M323" s="163">
        <f t="shared" si="217"/>
        <v>346069</v>
      </c>
      <c r="N323" s="163">
        <f t="shared" si="217"/>
        <v>349194.98108403053</v>
      </c>
      <c r="O323" s="163">
        <f t="shared" si="217"/>
        <v>342619.5</v>
      </c>
      <c r="P323" s="163">
        <f t="shared" si="217"/>
        <v>332383.39391596941</v>
      </c>
      <c r="Q323" s="163">
        <f t="shared" si="217"/>
        <v>326215.00658193888</v>
      </c>
      <c r="R323" s="163">
        <f t="shared" si="217"/>
        <v>320045.7676854083</v>
      </c>
      <c r="S323" s="163">
        <f t="shared" si="217"/>
        <v>312758.46433575271</v>
      </c>
    </row>
    <row r="324" spans="3:19" ht="15" customHeight="1" x14ac:dyDescent="0.3">
      <c r="F324" s="45"/>
      <c r="G324" s="49"/>
      <c r="H324" s="49"/>
      <c r="I324" s="49"/>
      <c r="J324" s="49"/>
      <c r="K324" s="49"/>
      <c r="L324" s="49"/>
      <c r="M324" s="49"/>
      <c r="N324" s="48"/>
    </row>
    <row r="325" spans="3:19" ht="15" customHeight="1" thickBot="1" x14ac:dyDescent="0.35">
      <c r="C325" s="51" t="s">
        <v>46</v>
      </c>
      <c r="D325" s="50"/>
      <c r="E325" s="50"/>
      <c r="F325" s="45" t="s">
        <v>33</v>
      </c>
      <c r="G325" s="164">
        <f>G323+G317</f>
        <v>436515</v>
      </c>
      <c r="H325" s="164">
        <f>H323+H317</f>
        <v>428801</v>
      </c>
      <c r="I325" s="165">
        <f>I323+I317</f>
        <v>433935</v>
      </c>
      <c r="J325" s="165">
        <f t="shared" ref="J325:S325" si="218">J323+J317</f>
        <v>432202</v>
      </c>
      <c r="K325" s="165">
        <f t="shared" si="218"/>
        <v>419844</v>
      </c>
      <c r="L325" s="165">
        <f t="shared" si="218"/>
        <v>381806</v>
      </c>
      <c r="M325" s="165">
        <f t="shared" si="218"/>
        <v>373151</v>
      </c>
      <c r="N325" s="165">
        <f t="shared" ca="1" si="218"/>
        <v>375700.7582535157</v>
      </c>
      <c r="O325" s="165">
        <f t="shared" ca="1" si="218"/>
        <v>368483.84822486929</v>
      </c>
      <c r="P325" s="165">
        <f t="shared" ca="1" si="218"/>
        <v>355200.03757153259</v>
      </c>
      <c r="Q325" s="165">
        <f t="shared" ca="1" si="218"/>
        <v>350569.61740581755</v>
      </c>
      <c r="R325" s="165">
        <f t="shared" ca="1" si="218"/>
        <v>346008.38272417511</v>
      </c>
      <c r="S325" s="165">
        <f t="shared" ca="1" si="218"/>
        <v>338195.47984676575</v>
      </c>
    </row>
    <row r="326" spans="3:19" ht="15" customHeight="1" thickTop="1" x14ac:dyDescent="0.3">
      <c r="F326" s="45"/>
      <c r="G326" s="49"/>
      <c r="H326" s="49"/>
      <c r="I326" s="49"/>
      <c r="J326" s="49"/>
      <c r="K326" s="49"/>
      <c r="L326" s="49"/>
      <c r="M326" s="49"/>
      <c r="N326" s="48"/>
    </row>
    <row r="327" spans="3:19" ht="15" customHeight="1" x14ac:dyDescent="0.3">
      <c r="C327" s="3" t="s">
        <v>47</v>
      </c>
      <c r="F327" s="45" t="s">
        <v>33</v>
      </c>
      <c r="G327" s="160">
        <v>4089</v>
      </c>
      <c r="H327" s="160">
        <v>13997</v>
      </c>
      <c r="I327" s="161">
        <v>13997</v>
      </c>
      <c r="J327" s="161">
        <v>0</v>
      </c>
      <c r="K327" s="161">
        <v>1935</v>
      </c>
      <c r="L327" s="161">
        <v>15773</v>
      </c>
      <c r="M327" s="161">
        <v>3997</v>
      </c>
      <c r="N327" s="161">
        <f t="shared" ref="N327:S327" ca="1" si="219">M136*1000-SUM(N183:Q183)*1000</f>
        <v>42549.34433710327</v>
      </c>
      <c r="O327" s="161">
        <f t="shared" ca="1" si="219"/>
        <v>42530.315852746731</v>
      </c>
      <c r="P327" s="161">
        <f t="shared" ca="1" si="219"/>
        <v>42511.747950644072</v>
      </c>
      <c r="Q327" s="161">
        <f t="shared" ca="1" si="219"/>
        <v>42493.02003109589</v>
      </c>
      <c r="R327" s="161">
        <f t="shared" ca="1" si="219"/>
        <v>42474.133514853129</v>
      </c>
      <c r="S327" s="161">
        <f t="shared" ca="1" si="219"/>
        <v>42455.294602980073</v>
      </c>
    </row>
    <row r="328" spans="3:19" ht="15" customHeight="1" x14ac:dyDescent="0.3">
      <c r="C328" s="3" t="s">
        <v>48</v>
      </c>
      <c r="F328" s="45"/>
      <c r="G328" s="160">
        <v>12945</v>
      </c>
      <c r="H328" s="160">
        <v>12808</v>
      </c>
      <c r="I328" s="161">
        <v>10500</v>
      </c>
      <c r="J328" s="161">
        <v>16040</v>
      </c>
      <c r="K328" s="161">
        <v>8471</v>
      </c>
      <c r="L328" s="161">
        <v>7602</v>
      </c>
      <c r="M328" s="161">
        <v>8734</v>
      </c>
      <c r="N328" s="161">
        <f t="shared" ref="N328:S328" si="220">(-M16-M23)*M85*1000</f>
        <v>20104.214984012211</v>
      </c>
      <c r="O328" s="161">
        <f t="shared" si="220"/>
        <v>22024.747119949487</v>
      </c>
      <c r="P328" s="161">
        <f t="shared" si="220"/>
        <v>18837.972127509314</v>
      </c>
      <c r="Q328" s="161">
        <f t="shared" si="220"/>
        <v>24832.515478831556</v>
      </c>
      <c r="R328" s="161">
        <f t="shared" si="220"/>
        <v>23735.446369170561</v>
      </c>
      <c r="S328" s="161">
        <f t="shared" si="220"/>
        <v>24044.501145560393</v>
      </c>
    </row>
    <row r="329" spans="3:19" ht="15" customHeight="1" x14ac:dyDescent="0.3">
      <c r="C329" s="3" t="s">
        <v>49</v>
      </c>
      <c r="F329" s="45"/>
      <c r="G329" s="160">
        <v>3844</v>
      </c>
      <c r="H329" s="160">
        <v>3650</v>
      </c>
      <c r="I329" s="161">
        <v>3032</v>
      </c>
      <c r="J329" s="161">
        <v>2548</v>
      </c>
      <c r="K329" s="161">
        <v>2029</v>
      </c>
      <c r="L329" s="161">
        <v>1585</v>
      </c>
      <c r="M329" s="161">
        <v>8283</v>
      </c>
      <c r="N329" s="161">
        <f t="shared" ref="N329:S329" ca="1" si="221">M97*1000</f>
        <v>0</v>
      </c>
      <c r="O329" s="161">
        <f t="shared" ca="1" si="221"/>
        <v>0</v>
      </c>
      <c r="P329" s="161">
        <f t="shared" ca="1" si="221"/>
        <v>0</v>
      </c>
      <c r="Q329" s="161">
        <f t="shared" ca="1" si="221"/>
        <v>0</v>
      </c>
      <c r="R329" s="161">
        <f t="shared" ca="1" si="221"/>
        <v>0</v>
      </c>
      <c r="S329" s="161">
        <f t="shared" ca="1" si="221"/>
        <v>0</v>
      </c>
    </row>
    <row r="330" spans="3:19" ht="15" customHeight="1" x14ac:dyDescent="0.3">
      <c r="C330" s="3" t="s">
        <v>50</v>
      </c>
      <c r="F330" s="45"/>
      <c r="G330" s="160">
        <v>0</v>
      </c>
      <c r="H330" s="160">
        <v>0</v>
      </c>
      <c r="I330" s="161">
        <v>0</v>
      </c>
      <c r="J330" s="161">
        <v>0</v>
      </c>
      <c r="K330" s="161">
        <v>0</v>
      </c>
      <c r="L330" s="161">
        <v>7767</v>
      </c>
      <c r="M330" s="161">
        <v>7949</v>
      </c>
      <c r="N330" s="161">
        <f t="shared" ref="N330:S330" si="222">AVERAGE(J330:M330)</f>
        <v>3929</v>
      </c>
      <c r="O330" s="161">
        <f t="shared" si="222"/>
        <v>4911.25</v>
      </c>
      <c r="P330" s="161">
        <f t="shared" si="222"/>
        <v>6139.0625</v>
      </c>
      <c r="Q330" s="161">
        <f t="shared" si="222"/>
        <v>5732.078125</v>
      </c>
      <c r="R330" s="161">
        <f t="shared" si="222"/>
        <v>5177.84765625</v>
      </c>
      <c r="S330" s="161">
        <f t="shared" si="222"/>
        <v>5490.0595703125</v>
      </c>
    </row>
    <row r="331" spans="3:19" ht="15" customHeight="1" x14ac:dyDescent="0.3">
      <c r="C331" s="50" t="s">
        <v>51</v>
      </c>
      <c r="D331" s="50"/>
      <c r="E331" s="50"/>
      <c r="F331" s="45"/>
      <c r="G331" s="162">
        <f>SUM(G327:G330)</f>
        <v>20878</v>
      </c>
      <c r="H331" s="162">
        <f>SUM(H327:H329)</f>
        <v>30455</v>
      </c>
      <c r="I331" s="163">
        <f>SUM(I327:I329)</f>
        <v>27529</v>
      </c>
      <c r="J331" s="163">
        <f>SUM(J327:J329)</f>
        <v>18588</v>
      </c>
      <c r="K331" s="163">
        <f>SUM(K327:K330)</f>
        <v>12435</v>
      </c>
      <c r="L331" s="163">
        <f>SUM(L327:L330)</f>
        <v>32727</v>
      </c>
      <c r="M331" s="163">
        <f>SUM(M327:M330)</f>
        <v>28963</v>
      </c>
      <c r="N331" s="163">
        <f ca="1">SUM(N327:N330)</f>
        <v>66582.559321115477</v>
      </c>
      <c r="O331" s="163">
        <f t="shared" ref="O331:S331" ca="1" si="223">SUM(O327:O330)</f>
        <v>69466.312972696222</v>
      </c>
      <c r="P331" s="163">
        <f t="shared" ca="1" si="223"/>
        <v>67488.78257815339</v>
      </c>
      <c r="Q331" s="163">
        <f t="shared" ca="1" si="223"/>
        <v>73057.613634927446</v>
      </c>
      <c r="R331" s="163">
        <f t="shared" ca="1" si="223"/>
        <v>71387.427540273697</v>
      </c>
      <c r="S331" s="163">
        <f t="shared" ca="1" si="223"/>
        <v>71989.855318852962</v>
      </c>
    </row>
    <row r="332" spans="3:19" ht="15" customHeight="1" x14ac:dyDescent="0.3">
      <c r="F332" s="45"/>
      <c r="G332" s="49"/>
      <c r="H332" s="49"/>
      <c r="I332" s="49"/>
      <c r="J332" s="49"/>
      <c r="K332" s="49"/>
      <c r="L332" s="49"/>
      <c r="M332" s="49"/>
      <c r="N332" s="48"/>
    </row>
    <row r="333" spans="3:19" ht="15" customHeight="1" x14ac:dyDescent="0.3">
      <c r="C333" s="3" t="s">
        <v>52</v>
      </c>
      <c r="F333" s="45"/>
      <c r="G333" s="160">
        <v>743403</v>
      </c>
      <c r="H333" s="160">
        <v>742496</v>
      </c>
      <c r="I333" s="161">
        <v>741496</v>
      </c>
      <c r="J333" s="161">
        <v>740494</v>
      </c>
      <c r="K333" s="161">
        <v>739498</v>
      </c>
      <c r="L333" s="161">
        <v>738499</v>
      </c>
      <c r="M333" s="161">
        <v>747249</v>
      </c>
      <c r="N333" s="161">
        <f t="shared" ref="N333:S333" ca="1" si="224">(M185+M193)*1000</f>
        <v>739737.38392234815</v>
      </c>
      <c r="O333" s="161">
        <f t="shared" ca="1" si="224"/>
        <v>738472.20325242961</v>
      </c>
      <c r="P333" s="161">
        <f t="shared" ca="1" si="224"/>
        <v>737216.68124500476</v>
      </c>
      <c r="Q333" s="161">
        <f t="shared" ca="1" si="224"/>
        <v>735930.34366014297</v>
      </c>
      <c r="R333" s="161">
        <f t="shared" ca="1" si="224"/>
        <v>734613.38784823194</v>
      </c>
      <c r="S333" s="161">
        <f t="shared" ca="1" si="224"/>
        <v>733280.51508739009</v>
      </c>
    </row>
    <row r="334" spans="3:19" ht="15" customHeight="1" x14ac:dyDescent="0.3">
      <c r="C334" s="3" t="s">
        <v>53</v>
      </c>
      <c r="F334" s="45"/>
      <c r="G334" s="160">
        <v>3207</v>
      </c>
      <c r="H334" s="160">
        <v>2802</v>
      </c>
      <c r="I334" s="161">
        <v>2873</v>
      </c>
      <c r="J334" s="161">
        <v>2805</v>
      </c>
      <c r="K334" s="161">
        <v>4642</v>
      </c>
      <c r="L334" s="161">
        <v>3720</v>
      </c>
      <c r="M334" s="161">
        <v>3809</v>
      </c>
      <c r="N334" s="161">
        <f t="shared" ref="N334:S334" si="225">AVERAGE(J334:M334)</f>
        <v>3744</v>
      </c>
      <c r="O334" s="161">
        <f t="shared" si="225"/>
        <v>3978.75</v>
      </c>
      <c r="P334" s="161">
        <f t="shared" si="225"/>
        <v>3812.9375</v>
      </c>
      <c r="Q334" s="161">
        <f t="shared" si="225"/>
        <v>3836.171875</v>
      </c>
      <c r="R334" s="161">
        <f t="shared" si="225"/>
        <v>3842.96484375</v>
      </c>
      <c r="S334" s="161">
        <f t="shared" si="225"/>
        <v>3867.7060546875</v>
      </c>
    </row>
    <row r="335" spans="3:19" ht="15" customHeight="1" x14ac:dyDescent="0.3">
      <c r="C335" s="3" t="s">
        <v>54</v>
      </c>
      <c r="F335" s="45"/>
      <c r="G335" s="160">
        <v>3573</v>
      </c>
      <c r="H335" s="160">
        <v>6747</v>
      </c>
      <c r="I335" s="161">
        <v>11557</v>
      </c>
      <c r="J335" s="161">
        <v>12379</v>
      </c>
      <c r="K335" s="161">
        <v>11227</v>
      </c>
      <c r="L335" s="161">
        <v>8093</v>
      </c>
      <c r="M335" s="161">
        <v>6977</v>
      </c>
      <c r="N335" s="161">
        <f t="shared" ref="N335:S335" si="226">AVERAGE(J335:M335)</f>
        <v>9669</v>
      </c>
      <c r="O335" s="161">
        <f t="shared" si="226"/>
        <v>8991.5</v>
      </c>
      <c r="P335" s="161">
        <f t="shared" si="226"/>
        <v>8432.625</v>
      </c>
      <c r="Q335" s="161">
        <f t="shared" si="226"/>
        <v>8517.53125</v>
      </c>
      <c r="R335" s="161">
        <f t="shared" si="226"/>
        <v>8902.6640625</v>
      </c>
      <c r="S335" s="161">
        <f t="shared" si="226"/>
        <v>8711.080078125</v>
      </c>
    </row>
    <row r="336" spans="3:19" ht="15" customHeight="1" x14ac:dyDescent="0.3">
      <c r="C336" s="3" t="s">
        <v>55</v>
      </c>
      <c r="F336" s="45"/>
      <c r="G336" s="160">
        <v>128</v>
      </c>
      <c r="H336" s="160">
        <v>128</v>
      </c>
      <c r="I336" s="161">
        <v>128</v>
      </c>
      <c r="J336" s="161">
        <v>128</v>
      </c>
      <c r="K336" s="161">
        <v>126</v>
      </c>
      <c r="L336" s="161">
        <v>126</v>
      </c>
      <c r="M336" s="161">
        <v>8222</v>
      </c>
      <c r="N336" s="161">
        <f t="shared" ref="N336:S336" si="227">AVERAGE(J336:M336)</f>
        <v>2150.5</v>
      </c>
      <c r="O336" s="161">
        <f t="shared" si="227"/>
        <v>2656.125</v>
      </c>
      <c r="P336" s="161">
        <f t="shared" si="227"/>
        <v>3288.65625</v>
      </c>
      <c r="Q336" s="161">
        <f t="shared" si="227"/>
        <v>4079.3203125</v>
      </c>
      <c r="R336" s="161">
        <f t="shared" si="227"/>
        <v>3043.650390625</v>
      </c>
      <c r="S336" s="161">
        <f t="shared" si="227"/>
        <v>3266.93798828125</v>
      </c>
    </row>
    <row r="337" spans="3:19" ht="15" customHeight="1" x14ac:dyDescent="0.3">
      <c r="C337" s="50" t="s">
        <v>56</v>
      </c>
      <c r="D337" s="50"/>
      <c r="E337" s="50"/>
      <c r="F337" s="45"/>
      <c r="G337" s="162">
        <f>SUM(G333:G336)</f>
        <v>750311</v>
      </c>
      <c r="H337" s="162">
        <f>SUM(H333:H336)</f>
        <v>752173</v>
      </c>
      <c r="I337" s="163">
        <f>SUM(I333:I336)</f>
        <v>756054</v>
      </c>
      <c r="J337" s="163">
        <f t="shared" ref="J337:S337" si="228">SUM(J333:J336)</f>
        <v>755806</v>
      </c>
      <c r="K337" s="163">
        <f t="shared" si="228"/>
        <v>755493</v>
      </c>
      <c r="L337" s="163">
        <f t="shared" si="228"/>
        <v>750438</v>
      </c>
      <c r="M337" s="163">
        <f t="shared" si="228"/>
        <v>766257</v>
      </c>
      <c r="N337" s="163">
        <f t="shared" ca="1" si="228"/>
        <v>755300.88392234815</v>
      </c>
      <c r="O337" s="163">
        <f t="shared" ca="1" si="228"/>
        <v>754098.57825242961</v>
      </c>
      <c r="P337" s="163">
        <f t="shared" ca="1" si="228"/>
        <v>752750.89999500476</v>
      </c>
      <c r="Q337" s="163">
        <f t="shared" ca="1" si="228"/>
        <v>752363.36709764297</v>
      </c>
      <c r="R337" s="163">
        <f t="shared" ca="1" si="228"/>
        <v>750402.66714510694</v>
      </c>
      <c r="S337" s="163">
        <f t="shared" ca="1" si="228"/>
        <v>749126.23920848384</v>
      </c>
    </row>
    <row r="338" spans="3:19" ht="15" customHeight="1" x14ac:dyDescent="0.3">
      <c r="F338" s="45"/>
      <c r="G338" s="49"/>
      <c r="H338" s="49"/>
      <c r="I338" s="49"/>
      <c r="J338" s="49"/>
      <c r="K338" s="49"/>
      <c r="L338" s="49"/>
      <c r="M338" s="49"/>
      <c r="N338" s="48"/>
    </row>
    <row r="339" spans="3:19" ht="15" customHeight="1" x14ac:dyDescent="0.3">
      <c r="C339" s="50" t="s">
        <v>57</v>
      </c>
      <c r="D339" s="50"/>
      <c r="E339" s="50"/>
      <c r="F339" s="45"/>
      <c r="G339" s="160">
        <f>G337+G331</f>
        <v>771189</v>
      </c>
      <c r="H339" s="160">
        <f>H337+H331</f>
        <v>782628</v>
      </c>
      <c r="I339" s="161">
        <f>I337+I331</f>
        <v>783583</v>
      </c>
      <c r="J339" s="161">
        <f t="shared" ref="J339:S339" si="229">J337+J331</f>
        <v>774394</v>
      </c>
      <c r="K339" s="161">
        <f t="shared" si="229"/>
        <v>767928</v>
      </c>
      <c r="L339" s="161">
        <f t="shared" si="229"/>
        <v>783165</v>
      </c>
      <c r="M339" s="161">
        <f t="shared" si="229"/>
        <v>795220</v>
      </c>
      <c r="N339" s="161">
        <f t="shared" ca="1" si="229"/>
        <v>821883.44324346364</v>
      </c>
      <c r="O339" s="161">
        <f t="shared" ca="1" si="229"/>
        <v>823564.89122512587</v>
      </c>
      <c r="P339" s="161">
        <f t="shared" ca="1" si="229"/>
        <v>820239.68257315818</v>
      </c>
      <c r="Q339" s="161">
        <f t="shared" ca="1" si="229"/>
        <v>825420.9807325704</v>
      </c>
      <c r="R339" s="161">
        <f t="shared" ca="1" si="229"/>
        <v>821790.09468538058</v>
      </c>
      <c r="S339" s="161">
        <f t="shared" ca="1" si="229"/>
        <v>821116.09452733677</v>
      </c>
    </row>
    <row r="340" spans="3:19" ht="15" customHeight="1" x14ac:dyDescent="0.3">
      <c r="F340" s="45"/>
      <c r="G340" s="49"/>
      <c r="H340" s="49"/>
      <c r="I340" s="49"/>
      <c r="J340" s="49"/>
      <c r="K340" s="49"/>
      <c r="L340" s="49"/>
      <c r="M340" s="49"/>
      <c r="N340" s="48"/>
    </row>
    <row r="341" spans="3:19" ht="15" customHeight="1" x14ac:dyDescent="0.3">
      <c r="C341" s="3" t="s">
        <v>58</v>
      </c>
      <c r="F341" s="45"/>
      <c r="G341" s="160">
        <v>-334674</v>
      </c>
      <c r="H341" s="160">
        <v>-353827</v>
      </c>
      <c r="I341" s="161">
        <v>-349649</v>
      </c>
      <c r="J341" s="161">
        <v>-342193</v>
      </c>
      <c r="K341" s="161">
        <v>-348084</v>
      </c>
      <c r="L341" s="161">
        <v>-401359</v>
      </c>
      <c r="M341" s="161">
        <v>-422069</v>
      </c>
      <c r="N341" s="161">
        <f t="shared" ref="N341:S341" ca="1" si="230">M341+M306*1000+M209*1000</f>
        <v>-446182.684989948</v>
      </c>
      <c r="O341" s="161">
        <f t="shared" ca="1" si="230"/>
        <v>-455081.04300025664</v>
      </c>
      <c r="P341" s="161">
        <f t="shared" ca="1" si="230"/>
        <v>-465039.64500162558</v>
      </c>
      <c r="Q341" s="161">
        <f t="shared" ca="1" si="230"/>
        <v>-474851.36332675279</v>
      </c>
      <c r="R341" s="161">
        <f t="shared" ca="1" si="230"/>
        <v>-475781.71196120552</v>
      </c>
      <c r="S341" s="161">
        <f t="shared" ca="1" si="230"/>
        <v>-482920.61468057102</v>
      </c>
    </row>
    <row r="342" spans="3:19" ht="15" customHeight="1" thickBot="1" x14ac:dyDescent="0.35">
      <c r="C342" s="51" t="s">
        <v>59</v>
      </c>
      <c r="D342" s="50"/>
      <c r="E342" s="50"/>
      <c r="F342" s="45" t="s">
        <v>33</v>
      </c>
      <c r="G342" s="164">
        <f t="shared" ref="G342:M342" si="231">G341+G339</f>
        <v>436515</v>
      </c>
      <c r="H342" s="164">
        <f t="shared" si="231"/>
        <v>428801</v>
      </c>
      <c r="I342" s="165">
        <f t="shared" si="231"/>
        <v>433934</v>
      </c>
      <c r="J342" s="165">
        <f t="shared" si="231"/>
        <v>432201</v>
      </c>
      <c r="K342" s="165">
        <f t="shared" si="231"/>
        <v>419844</v>
      </c>
      <c r="L342" s="165">
        <f t="shared" si="231"/>
        <v>381806</v>
      </c>
      <c r="M342" s="165">
        <f t="shared" si="231"/>
        <v>373151</v>
      </c>
      <c r="N342" s="165">
        <f t="shared" ref="N342:S342" ca="1" si="232">N341+N339</f>
        <v>375700.75825351564</v>
      </c>
      <c r="O342" s="165">
        <f t="shared" ca="1" si="232"/>
        <v>368483.84822486923</v>
      </c>
      <c r="P342" s="165">
        <f t="shared" ca="1" si="232"/>
        <v>355200.03757153259</v>
      </c>
      <c r="Q342" s="165">
        <f t="shared" ca="1" si="232"/>
        <v>350569.61740581761</v>
      </c>
      <c r="R342" s="165">
        <f t="shared" ca="1" si="232"/>
        <v>346008.38272417506</v>
      </c>
      <c r="S342" s="165">
        <f t="shared" ca="1" si="232"/>
        <v>338195.47984676575</v>
      </c>
    </row>
    <row r="343" spans="3:19" ht="15" customHeight="1" thickTop="1" x14ac:dyDescent="0.3">
      <c r="G343" s="167">
        <f>G342-G325</f>
        <v>0</v>
      </c>
      <c r="H343" s="167">
        <f t="shared" ref="H343:S343" si="233">H342-H325</f>
        <v>0</v>
      </c>
      <c r="I343" s="167">
        <f t="shared" si="233"/>
        <v>-1</v>
      </c>
      <c r="J343" s="167">
        <f t="shared" si="233"/>
        <v>-1</v>
      </c>
      <c r="K343" s="167">
        <f t="shared" si="233"/>
        <v>0</v>
      </c>
      <c r="L343" s="167">
        <f t="shared" si="233"/>
        <v>0</v>
      </c>
      <c r="M343" s="167">
        <f t="shared" si="233"/>
        <v>0</v>
      </c>
      <c r="N343" s="167">
        <f ca="1">N342-N325</f>
        <v>0</v>
      </c>
      <c r="O343" s="167">
        <f t="shared" ca="1" si="233"/>
        <v>0</v>
      </c>
      <c r="P343" s="167">
        <f t="shared" ca="1" si="233"/>
        <v>0</v>
      </c>
      <c r="Q343" s="167">
        <f t="shared" ca="1" si="233"/>
        <v>0</v>
      </c>
      <c r="R343" s="167">
        <f t="shared" ca="1" si="233"/>
        <v>0</v>
      </c>
      <c r="S343" s="167">
        <f t="shared" ca="1" si="233"/>
        <v>0</v>
      </c>
    </row>
    <row r="344" spans="3:19" ht="15" customHeight="1" x14ac:dyDescent="0.3">
      <c r="N344" s="159">
        <v>9082.8510954738013</v>
      </c>
      <c r="O344" s="159">
        <v>3397.652624183509</v>
      </c>
      <c r="P344" s="159">
        <v>783.65770662104478</v>
      </c>
      <c r="Q344" s="159">
        <v>6388.007961739786</v>
      </c>
      <c r="R344" s="159">
        <v>-865.41016892605694</v>
      </c>
      <c r="S344" s="159">
        <v>1728.704192588164</v>
      </c>
    </row>
    <row r="345" spans="3:19" ht="15" customHeight="1" x14ac:dyDescent="0.3">
      <c r="C345" s="1" t="s">
        <v>369</v>
      </c>
    </row>
    <row r="346" spans="3:19" ht="15" customHeight="1" x14ac:dyDescent="0.3">
      <c r="C346" s="1"/>
    </row>
    <row r="347" spans="3:19" ht="15" customHeight="1" x14ac:dyDescent="0.3">
      <c r="C347" s="121" t="s">
        <v>358</v>
      </c>
    </row>
    <row r="348" spans="3:19" ht="15" customHeight="1" x14ac:dyDescent="0.3">
      <c r="C348" s="3" t="s">
        <v>344</v>
      </c>
      <c r="F348" s="42">
        <f t="shared" ref="F348:F350" ca="1" si="234">SUM(G348:R348)</f>
        <v>-72081.591735039256</v>
      </c>
      <c r="G348" s="160">
        <f>H310</f>
        <v>7263</v>
      </c>
      <c r="H348" s="160">
        <f t="shared" ref="H348:R348" si="235">I310</f>
        <v>13869</v>
      </c>
      <c r="I348" s="160">
        <f t="shared" si="235"/>
        <v>20324</v>
      </c>
      <c r="J348" s="160">
        <f t="shared" si="235"/>
        <v>11753</v>
      </c>
      <c r="K348" s="160">
        <f t="shared" si="235"/>
        <v>1112</v>
      </c>
      <c r="L348" s="160">
        <f t="shared" si="235"/>
        <v>396</v>
      </c>
      <c r="M348" s="160">
        <f t="shared" ca="1" si="235"/>
        <v>-21133.098622506539</v>
      </c>
      <c r="N348" s="160">
        <f t="shared" ca="1" si="235"/>
        <v>-21133.098622506539</v>
      </c>
      <c r="O348" s="160">
        <f t="shared" ca="1" si="235"/>
        <v>-21133.098622506543</v>
      </c>
      <c r="P348" s="160">
        <f t="shared" ca="1" si="235"/>
        <v>-21133.098622506546</v>
      </c>
      <c r="Q348" s="160">
        <f t="shared" ca="1" si="235"/>
        <v>-21133.098622506546</v>
      </c>
      <c r="R348" s="160">
        <f t="shared" ca="1" si="235"/>
        <v>-21133.098622506546</v>
      </c>
      <c r="S348" s="123"/>
    </row>
    <row r="349" spans="3:19" ht="15" customHeight="1" x14ac:dyDescent="0.3">
      <c r="C349" s="3" t="s">
        <v>345</v>
      </c>
      <c r="F349" s="42">
        <f t="shared" ca="1" si="234"/>
        <v>237447.64897343703</v>
      </c>
      <c r="G349" s="160">
        <f>H311</f>
        <v>15865</v>
      </c>
      <c r="H349" s="160">
        <f t="shared" ref="H349:R349" si="236">I311</f>
        <v>15865</v>
      </c>
      <c r="I349" s="160">
        <f t="shared" si="236"/>
        <v>10765</v>
      </c>
      <c r="J349" s="160">
        <f t="shared" si="236"/>
        <v>10765</v>
      </c>
      <c r="K349" s="160">
        <f t="shared" si="236"/>
        <v>12123</v>
      </c>
      <c r="L349" s="160">
        <f t="shared" si="236"/>
        <v>9363</v>
      </c>
      <c r="M349" s="160">
        <f t="shared" ca="1" si="236"/>
        <v>27333.338717521696</v>
      </c>
      <c r="N349" s="160">
        <f t="shared" ca="1" si="236"/>
        <v>27044.862659243547</v>
      </c>
      <c r="O349" s="160">
        <f t="shared" ca="1" si="236"/>
        <v>27119.912444620317</v>
      </c>
      <c r="P349" s="160">
        <f t="shared" ca="1" si="236"/>
        <v>27067.84505068382</v>
      </c>
      <c r="Q349" s="160">
        <f t="shared" ca="1" si="236"/>
        <v>27067.845050683824</v>
      </c>
      <c r="R349" s="160">
        <f t="shared" ca="1" si="236"/>
        <v>27067.845050683824</v>
      </c>
      <c r="S349" s="123"/>
    </row>
    <row r="350" spans="3:19" ht="15" customHeight="1" x14ac:dyDescent="0.3">
      <c r="C350" s="193" t="s">
        <v>346</v>
      </c>
      <c r="D350" s="194"/>
      <c r="E350" s="194"/>
      <c r="F350" s="195">
        <f t="shared" ca="1" si="234"/>
        <v>165366.05723839777</v>
      </c>
      <c r="G350" s="162">
        <f>SUM(G348:G349)</f>
        <v>23128</v>
      </c>
      <c r="H350" s="162">
        <f t="shared" ref="H350:R350" si="237">SUM(H348:H349)</f>
        <v>29734</v>
      </c>
      <c r="I350" s="162">
        <f t="shared" si="237"/>
        <v>31089</v>
      </c>
      <c r="J350" s="162">
        <f t="shared" si="237"/>
        <v>22518</v>
      </c>
      <c r="K350" s="162">
        <f t="shared" si="237"/>
        <v>13235</v>
      </c>
      <c r="L350" s="162">
        <f t="shared" si="237"/>
        <v>9759</v>
      </c>
      <c r="M350" s="162">
        <f t="shared" ca="1" si="237"/>
        <v>6200.2400950151568</v>
      </c>
      <c r="N350" s="162">
        <f t="shared" ca="1" si="237"/>
        <v>5911.7640367370077</v>
      </c>
      <c r="O350" s="162">
        <f t="shared" ca="1" si="237"/>
        <v>5986.8138221137742</v>
      </c>
      <c r="P350" s="162">
        <f t="shared" ca="1" si="237"/>
        <v>5934.7464281772736</v>
      </c>
      <c r="Q350" s="162">
        <f t="shared" ca="1" si="237"/>
        <v>5934.7464281772773</v>
      </c>
      <c r="R350" s="162">
        <f t="shared" ca="1" si="237"/>
        <v>5934.7464281772773</v>
      </c>
      <c r="S350" s="123"/>
    </row>
    <row r="351" spans="3:19" ht="15" customHeight="1" x14ac:dyDescent="0.3">
      <c r="C351" s="144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</row>
    <row r="352" spans="3:19" ht="15" customHeight="1" x14ac:dyDescent="0.3">
      <c r="C352" s="121" t="s">
        <v>366</v>
      </c>
      <c r="F352" s="42">
        <f t="shared" ref="F352:F358" ca="1" si="238">SUM(G352:R352)</f>
        <v>94.953099414670291</v>
      </c>
      <c r="G352" s="123">
        <f t="shared" ref="G352:R352" si="239">G137</f>
        <v>16.100000000000001</v>
      </c>
      <c r="H352" s="123">
        <f t="shared" si="239"/>
        <v>16.100000000000001</v>
      </c>
      <c r="I352" s="123">
        <f t="shared" si="239"/>
        <v>16.100000000000001</v>
      </c>
      <c r="J352" s="123">
        <f t="shared" si="239"/>
        <v>16.100000000000001</v>
      </c>
      <c r="K352" s="123">
        <f t="shared" ca="1" si="239"/>
        <v>14.929601944530823</v>
      </c>
      <c r="L352" s="123">
        <f t="shared" ca="1" si="239"/>
        <v>15.623497470139471</v>
      </c>
      <c r="M352" s="123">
        <f t="shared" ca="1" si="239"/>
        <v>0</v>
      </c>
      <c r="N352" s="123">
        <f t="shared" ca="1" si="239"/>
        <v>0</v>
      </c>
      <c r="O352" s="123">
        <f t="shared" ca="1" si="239"/>
        <v>0</v>
      </c>
      <c r="P352" s="123">
        <f t="shared" ca="1" si="239"/>
        <v>0</v>
      </c>
      <c r="Q352" s="123">
        <f t="shared" ca="1" si="239"/>
        <v>0</v>
      </c>
      <c r="R352" s="123">
        <f t="shared" ca="1" si="239"/>
        <v>0</v>
      </c>
      <c r="S352" s="123"/>
    </row>
    <row r="353" spans="3:19 16384:16384" ht="15" customHeight="1" x14ac:dyDescent="0.3">
      <c r="C353" s="121" t="s">
        <v>349</v>
      </c>
      <c r="F353" s="42">
        <f t="shared" ca="1" si="238"/>
        <v>66.396900585329703</v>
      </c>
      <c r="G353" s="123">
        <f t="shared" ref="G353:R353" si="240">G139</f>
        <v>6.8999999999999986</v>
      </c>
      <c r="H353" s="123">
        <f t="shared" si="240"/>
        <v>3.8999999999999986</v>
      </c>
      <c r="I353" s="123">
        <f t="shared" si="240"/>
        <v>18.899999999999999</v>
      </c>
      <c r="J353" s="123">
        <f t="shared" si="240"/>
        <v>18.899999999999999</v>
      </c>
      <c r="K353" s="123">
        <f t="shared" ca="1" si="240"/>
        <v>8.1703980554691782</v>
      </c>
      <c r="L353" s="123">
        <f t="shared" ca="1" si="240"/>
        <v>9.6265025298605291</v>
      </c>
      <c r="M353" s="123">
        <f t="shared" ca="1" si="240"/>
        <v>0</v>
      </c>
      <c r="N353" s="123">
        <f t="shared" ca="1" si="240"/>
        <v>0</v>
      </c>
      <c r="O353" s="123">
        <f t="shared" ca="1" si="240"/>
        <v>0</v>
      </c>
      <c r="P353" s="123">
        <f t="shared" ca="1" si="240"/>
        <v>0</v>
      </c>
      <c r="Q353" s="123">
        <f t="shared" ca="1" si="240"/>
        <v>0</v>
      </c>
      <c r="R353" s="123">
        <f t="shared" ca="1" si="240"/>
        <v>0</v>
      </c>
      <c r="S353" s="123"/>
    </row>
    <row r="354" spans="3:19 16384:16384" ht="15" customHeight="1" x14ac:dyDescent="0.3">
      <c r="C354" s="3" t="s">
        <v>350</v>
      </c>
      <c r="F354" s="42">
        <f t="shared" ca="1" si="238"/>
        <v>258.64999999999998</v>
      </c>
      <c r="G354" s="42">
        <f t="shared" ref="G354:R354" si="241">G136</f>
        <v>12</v>
      </c>
      <c r="H354" s="42">
        <f t="shared" si="241"/>
        <v>15</v>
      </c>
      <c r="I354" s="42">
        <f t="shared" si="241"/>
        <v>0</v>
      </c>
      <c r="J354" s="42">
        <f t="shared" si="241"/>
        <v>0</v>
      </c>
      <c r="K354" s="42">
        <f t="shared" ca="1" si="241"/>
        <v>11.899999999999999</v>
      </c>
      <c r="L354" s="42">
        <f t="shared" ca="1" si="241"/>
        <v>9.75</v>
      </c>
      <c r="M354" s="42">
        <f t="shared" ca="1" si="241"/>
        <v>35</v>
      </c>
      <c r="N354" s="42">
        <f t="shared" ca="1" si="241"/>
        <v>35</v>
      </c>
      <c r="O354" s="42">
        <f t="shared" ca="1" si="241"/>
        <v>35</v>
      </c>
      <c r="P354" s="42">
        <f t="shared" ca="1" si="241"/>
        <v>35</v>
      </c>
      <c r="Q354" s="42">
        <f t="shared" ca="1" si="241"/>
        <v>35</v>
      </c>
      <c r="R354" s="42">
        <f t="shared" ca="1" si="241"/>
        <v>35</v>
      </c>
      <c r="S354" s="42"/>
    </row>
    <row r="355" spans="3:19 16384:16384" ht="15" customHeight="1" x14ac:dyDescent="0.3">
      <c r="C355" s="3" t="s">
        <v>347</v>
      </c>
      <c r="F355" s="42">
        <f t="shared" ca="1" si="238"/>
        <v>9099.2310215557627</v>
      </c>
      <c r="G355" s="42">
        <f t="shared" ref="G355:R355" si="242">G185</f>
        <v>769.36203007999995</v>
      </c>
      <c r="H355" s="42">
        <f t="shared" si="242"/>
        <v>767.42406015999995</v>
      </c>
      <c r="I355" s="42">
        <f t="shared" si="242"/>
        <v>761.48609023999995</v>
      </c>
      <c r="J355" s="42">
        <f t="shared" si="242"/>
        <v>761.48609023999995</v>
      </c>
      <c r="K355" s="42">
        <f t="shared" si="242"/>
        <v>761.48609023999995</v>
      </c>
      <c r="L355" s="42">
        <f t="shared" ca="1" si="242"/>
        <v>759.68609024</v>
      </c>
      <c r="M355" s="42">
        <f t="shared" ca="1" si="242"/>
        <v>757.77126502624435</v>
      </c>
      <c r="N355" s="42">
        <f t="shared" ca="1" si="242"/>
        <v>755.86126622124664</v>
      </c>
      <c r="O355" s="42">
        <f t="shared" ca="1" si="242"/>
        <v>753.99749871549557</v>
      </c>
      <c r="P355" s="42">
        <f t="shared" ca="1" si="242"/>
        <v>752.11766933513638</v>
      </c>
      <c r="Q355" s="42">
        <f t="shared" ca="1" si="242"/>
        <v>750.22192068914092</v>
      </c>
      <c r="R355" s="42">
        <f t="shared" ca="1" si="242"/>
        <v>748.33095036849977</v>
      </c>
      <c r="S355" s="42"/>
    </row>
    <row r="356" spans="3:19 16384:16384" ht="15" customHeight="1" x14ac:dyDescent="0.3">
      <c r="C356" s="3" t="s">
        <v>348</v>
      </c>
      <c r="F356" s="42">
        <f t="shared" ca="1" si="238"/>
        <v>9192.5149643173663</v>
      </c>
      <c r="G356" s="158">
        <f>(G355+G354)-G350/1000</f>
        <v>758.23403007999991</v>
      </c>
      <c r="H356" s="158">
        <f t="shared" ref="H356:R356" si="243">(H355+H354)-H350/1000</f>
        <v>752.69006015999992</v>
      </c>
      <c r="I356" s="158">
        <f t="shared" si="243"/>
        <v>730.3970902399999</v>
      </c>
      <c r="J356" s="158">
        <f t="shared" si="243"/>
        <v>738.96809023999992</v>
      </c>
      <c r="K356" s="158">
        <f t="shared" ca="1" si="243"/>
        <v>760.15109023999992</v>
      </c>
      <c r="L356" s="158">
        <f t="shared" ca="1" si="243"/>
        <v>759.67709023999998</v>
      </c>
      <c r="M356" s="158">
        <f t="shared" ca="1" si="243"/>
        <v>786.5710249312292</v>
      </c>
      <c r="N356" s="158">
        <f t="shared" ca="1" si="243"/>
        <v>784.94950218450958</v>
      </c>
      <c r="O356" s="158">
        <f t="shared" ca="1" si="243"/>
        <v>783.01068489338184</v>
      </c>
      <c r="P356" s="158">
        <f t="shared" ca="1" si="243"/>
        <v>781.18292290695911</v>
      </c>
      <c r="Q356" s="158">
        <f t="shared" ca="1" si="243"/>
        <v>779.28717426096364</v>
      </c>
      <c r="R356" s="158">
        <f t="shared" ca="1" si="243"/>
        <v>777.39620394032249</v>
      </c>
    </row>
    <row r="357" spans="3:19 16384:16384" ht="15" customHeight="1" x14ac:dyDescent="0.3">
      <c r="C357" s="3" t="s">
        <v>352</v>
      </c>
      <c r="F357" s="42">
        <f t="shared" si="238"/>
        <v>780.16810079062452</v>
      </c>
      <c r="G357" s="42">
        <f>G225+G224</f>
        <v>167.77306460520032</v>
      </c>
      <c r="H357" s="42">
        <f t="shared" ref="H357:R357" si="244">H225+H224</f>
        <v>158.9</v>
      </c>
      <c r="I357" s="42">
        <f t="shared" si="244"/>
        <v>131.89999999999998</v>
      </c>
      <c r="J357" s="42">
        <f t="shared" si="244"/>
        <v>104.1</v>
      </c>
      <c r="K357" s="42">
        <f t="shared" si="244"/>
        <v>86.199999999999989</v>
      </c>
      <c r="L357" s="42">
        <f t="shared" si="244"/>
        <v>76.599999999999994</v>
      </c>
      <c r="M357" s="42">
        <f t="shared" si="244"/>
        <v>46.599999999999994</v>
      </c>
      <c r="N357" s="42">
        <f t="shared" si="244"/>
        <v>14.093084778800206</v>
      </c>
      <c r="O357" s="42">
        <f t="shared" si="244"/>
        <v>4.280900439733343</v>
      </c>
      <c r="P357" s="42">
        <f t="shared" si="244"/>
        <v>0.45592909075685029</v>
      </c>
      <c r="Q357" s="42">
        <f t="shared" si="244"/>
        <v>-3.7244210502571051</v>
      </c>
      <c r="R357" s="42">
        <f t="shared" si="244"/>
        <v>-7.0104570736091922</v>
      </c>
    </row>
    <row r="358" spans="3:19 16384:16384" ht="15" customHeight="1" x14ac:dyDescent="0.3">
      <c r="C358" s="3" t="s">
        <v>351</v>
      </c>
      <c r="F358" s="42">
        <f t="shared" ca="1" si="238"/>
        <v>1689.3717860227723</v>
      </c>
      <c r="G358" s="42">
        <f>G356/G357</f>
        <v>4.5194026339344679</v>
      </c>
      <c r="H358" s="42">
        <f t="shared" ref="H358:R358" si="245">H356/H357</f>
        <v>4.736878918565135</v>
      </c>
      <c r="I358" s="42">
        <f t="shared" si="245"/>
        <v>5.5375063702805161</v>
      </c>
      <c r="J358" s="42">
        <f t="shared" si="245"/>
        <v>7.0986367938520649</v>
      </c>
      <c r="K358" s="42">
        <f t="shared" ca="1" si="245"/>
        <v>8.8184581234338744</v>
      </c>
      <c r="L358" s="42">
        <f t="shared" ca="1" si="245"/>
        <v>9.9174554861618809</v>
      </c>
      <c r="M358" s="42">
        <f t="shared" ca="1" si="245"/>
        <v>16.879206543588612</v>
      </c>
      <c r="N358" s="42">
        <f t="shared" ca="1" si="245"/>
        <v>55.697493806699086</v>
      </c>
      <c r="O358" s="42">
        <f t="shared" ca="1" si="245"/>
        <v>182.90794096163458</v>
      </c>
      <c r="P358" s="42">
        <f t="shared" ca="1" si="245"/>
        <v>1713.3868813024887</v>
      </c>
      <c r="Q358" s="42">
        <f t="shared" ca="1" si="245"/>
        <v>-209.23713075007126</v>
      </c>
      <c r="R358" s="42">
        <f t="shared" ca="1" si="245"/>
        <v>-110.8909441677953</v>
      </c>
    </row>
    <row r="360" spans="3:19 16384:16384" ht="15" customHeight="1" x14ac:dyDescent="0.3">
      <c r="C360" s="187" t="s">
        <v>372</v>
      </c>
      <c r="D360" s="188"/>
      <c r="E360" s="188"/>
      <c r="F360" s="189">
        <f>SUM(G360:R360)</f>
        <v>82.95205680495414</v>
      </c>
      <c r="G360" s="189">
        <f t="shared" ref="G360:R360" si="246">G209</f>
        <v>0</v>
      </c>
      <c r="H360" s="189">
        <f t="shared" si="246"/>
        <v>0</v>
      </c>
      <c r="I360" s="189">
        <f t="shared" si="246"/>
        <v>0</v>
      </c>
      <c r="J360" s="189">
        <f t="shared" si="246"/>
        <v>0</v>
      </c>
      <c r="K360" s="189">
        <f t="shared" si="246"/>
        <v>0</v>
      </c>
      <c r="L360" s="189">
        <f t="shared" si="246"/>
        <v>0</v>
      </c>
      <c r="M360" s="189">
        <f t="shared" si="246"/>
        <v>0</v>
      </c>
      <c r="N360" s="189">
        <f t="shared" si="246"/>
        <v>14.484294570343883</v>
      </c>
      <c r="O360" s="189">
        <f t="shared" si="246"/>
        <v>15.97460502177832</v>
      </c>
      <c r="P360" s="189">
        <f t="shared" si="246"/>
        <v>19.732928800231868</v>
      </c>
      <c r="Q360" s="189">
        <f t="shared" si="246"/>
        <v>17.222630664014069</v>
      </c>
      <c r="R360" s="189">
        <f t="shared" si="246"/>
        <v>15.537597748585995</v>
      </c>
    </row>
    <row r="361" spans="3:19 16384:16384" ht="15" customHeight="1" x14ac:dyDescent="0.3">
      <c r="C361" s="48" t="s">
        <v>374</v>
      </c>
      <c r="F361" s="42">
        <f ca="1">SUM(G361:R361)</f>
        <v>17.704845050683822</v>
      </c>
      <c r="M361" s="42">
        <f ca="1">-M208</f>
        <v>17.970338717521695</v>
      </c>
      <c r="N361" s="42">
        <f ca="1">-N208</f>
        <v>-0.28847605827814959</v>
      </c>
      <c r="O361" s="42">
        <f ca="1">-O208</f>
        <v>7.5049785376769762E-2</v>
      </c>
      <c r="P361" s="42">
        <f ca="1">-P208</f>
        <v>-5.2067393936496842E-2</v>
      </c>
      <c r="Q361" s="42">
        <f ca="1">-Q208</f>
        <v>3.5527136788005009E-15</v>
      </c>
      <c r="R361" s="42">
        <v>0</v>
      </c>
    </row>
    <row r="362" spans="3:19 16384:16384" ht="15" customHeight="1" x14ac:dyDescent="0.3">
      <c r="C362" s="48" t="s">
        <v>375</v>
      </c>
      <c r="F362" s="42">
        <f ca="1">SUM(G362:R362)</f>
        <v>65.24721175427031</v>
      </c>
      <c r="M362" s="42">
        <f t="shared" ref="M362:R362" ca="1" si="247">M360-M361</f>
        <v>-17.970338717521695</v>
      </c>
      <c r="N362" s="42">
        <f t="shared" ca="1" si="247"/>
        <v>14.772770628622032</v>
      </c>
      <c r="O362" s="42">
        <f t="shared" ca="1" si="247"/>
        <v>15.89955523640155</v>
      </c>
      <c r="P362" s="42">
        <f t="shared" ca="1" si="247"/>
        <v>19.784996194168365</v>
      </c>
      <c r="Q362" s="42">
        <f t="shared" ca="1" si="247"/>
        <v>17.222630664014066</v>
      </c>
      <c r="R362" s="42">
        <f t="shared" si="247"/>
        <v>15.537597748585995</v>
      </c>
    </row>
    <row r="363" spans="3:19 16384:16384" ht="15" customHeight="1" x14ac:dyDescent="0.3">
      <c r="F363" s="42"/>
      <c r="M363" s="42"/>
      <c r="N363" s="42"/>
      <c r="O363" s="42"/>
      <c r="P363" s="42"/>
      <c r="Q363" s="42"/>
      <c r="R363" s="42"/>
    </row>
    <row r="364" spans="3:19 16384:16384" ht="15" customHeight="1" x14ac:dyDescent="0.3">
      <c r="C364" s="3" t="s">
        <v>371</v>
      </c>
      <c r="G364" s="183"/>
      <c r="H364" s="183"/>
      <c r="I364" s="183"/>
      <c r="J364" s="183">
        <f t="shared" ref="J364:R364" si="248">+SUM(G28:J28)/-SUM(G109:J110)</f>
        <v>1.1472285256171009</v>
      </c>
      <c r="K364" s="183">
        <f t="shared" si="248"/>
        <v>0.93508984108931048</v>
      </c>
      <c r="L364" s="183">
        <f t="shared" si="248"/>
        <v>0.41302210001728445</v>
      </c>
      <c r="M364" s="183">
        <f t="shared" ca="1" si="248"/>
        <v>-0.19985180986995113</v>
      </c>
      <c r="N364" s="183">
        <f t="shared" ca="1" si="248"/>
        <v>-0.1013473286545776</v>
      </c>
      <c r="O364" s="183">
        <f t="shared" ca="1" si="248"/>
        <v>-1.591747480111325E-2</v>
      </c>
      <c r="P364" s="183">
        <f t="shared" ca="1" si="248"/>
        <v>-6.7974604781891615E-2</v>
      </c>
      <c r="Q364" s="183">
        <f t="shared" ca="1" si="248"/>
        <v>-0.12874267236559661</v>
      </c>
      <c r="R364" s="183">
        <f t="shared" ca="1" si="248"/>
        <v>-0.15409741883141939</v>
      </c>
      <c r="XFD364" s="182"/>
    </row>
  </sheetData>
  <phoneticPr fontId="3" type="noConversion"/>
  <conditionalFormatting sqref="G148:R148">
    <cfRule type="cellIs" dxfId="0" priority="1" operator="greaterThan">
      <formula>0</formula>
    </cfRule>
  </conditionalFormatting>
  <dataValidations disablePrompts="1" count="1">
    <dataValidation type="list" allowBlank="1" showInputMessage="1" showErrorMessage="1" sqref="D11">
      <formula1>"2021 1Q, 2021 2Q, 2021 3Q, 2021 4Q, 2021년 이후"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30"/>
  <sheetViews>
    <sheetView showGridLines="0" zoomScaleNormal="100" workbookViewId="0"/>
  </sheetViews>
  <sheetFormatPr defaultRowHeight="13.5" x14ac:dyDescent="0.3"/>
  <cols>
    <col min="1" max="2" width="2.125" style="3" customWidth="1"/>
    <col min="3" max="3" width="35.25" style="3" customWidth="1"/>
    <col min="4" max="4" width="11.125" style="3" bestFit="1" customWidth="1"/>
    <col min="5" max="6" width="9.125" style="3" bestFit="1" customWidth="1"/>
    <col min="7" max="9" width="11.125" style="3" bestFit="1" customWidth="1"/>
    <col min="10" max="10" width="9.125" style="3" customWidth="1"/>
    <col min="11" max="11" width="9.375" style="3" bestFit="1" customWidth="1"/>
    <col min="12" max="15" width="9.375" style="3" customWidth="1"/>
    <col min="16" max="16" width="9.125" style="3" bestFit="1" customWidth="1"/>
    <col min="17" max="19" width="11.125" style="3" bestFit="1" customWidth="1"/>
    <col min="20" max="22" width="9.125" style="3" customWidth="1"/>
    <col min="23" max="24" width="9.125" style="3" bestFit="1" customWidth="1"/>
    <col min="25" max="25" width="9.375" style="3" bestFit="1" customWidth="1"/>
    <col min="26" max="27" width="9.125" style="3" bestFit="1" customWidth="1"/>
    <col min="28" max="28" width="9" style="3"/>
    <col min="29" max="29" width="9" style="3" customWidth="1"/>
    <col min="30" max="16384" width="9" style="3"/>
  </cols>
  <sheetData>
    <row r="2" spans="3:42" x14ac:dyDescent="0.3">
      <c r="C2" s="1" t="s">
        <v>101</v>
      </c>
      <c r="D2" s="2"/>
      <c r="E2" s="2"/>
      <c r="F2" s="2"/>
      <c r="G2" s="2"/>
      <c r="H2" s="2"/>
      <c r="I2" s="2"/>
      <c r="J2" s="2"/>
    </row>
    <row r="3" spans="3:42" ht="16.5" customHeight="1" x14ac:dyDescent="0.3">
      <c r="C3" s="228"/>
      <c r="D3" s="80" t="s">
        <v>0</v>
      </c>
      <c r="E3" s="81"/>
      <c r="F3" s="81"/>
      <c r="G3" s="81"/>
      <c r="H3" s="81"/>
      <c r="I3" s="81"/>
      <c r="J3" s="82" t="s">
        <v>122</v>
      </c>
      <c r="K3" s="81"/>
      <c r="L3" s="81"/>
      <c r="M3" s="81"/>
      <c r="N3" s="81"/>
      <c r="O3" s="81"/>
      <c r="P3" s="82" t="s">
        <v>74</v>
      </c>
      <c r="Q3" s="81"/>
      <c r="R3" s="81"/>
      <c r="S3" s="81"/>
      <c r="T3" s="81"/>
      <c r="U3" s="81"/>
      <c r="V3" s="81"/>
      <c r="W3" s="83"/>
      <c r="X3" s="81" t="s">
        <v>102</v>
      </c>
      <c r="Y3" s="81"/>
      <c r="Z3" s="81"/>
      <c r="AA3" s="81"/>
      <c r="AB3" s="81"/>
      <c r="AC3" s="81"/>
      <c r="AD3" s="81"/>
      <c r="AE3" s="81"/>
      <c r="AF3" s="4" t="s">
        <v>75</v>
      </c>
      <c r="AG3" s="5"/>
      <c r="AH3" s="5"/>
      <c r="AI3" s="5"/>
      <c r="AJ3" s="5"/>
      <c r="AK3" s="5"/>
      <c r="AL3" s="6"/>
      <c r="AM3" s="7"/>
    </row>
    <row r="4" spans="3:42" x14ac:dyDescent="0.3">
      <c r="C4" s="229"/>
      <c r="D4" s="84" t="s">
        <v>76</v>
      </c>
      <c r="E4" s="85" t="s">
        <v>77</v>
      </c>
      <c r="F4" s="85" t="s">
        <v>78</v>
      </c>
      <c r="G4" s="85" t="s">
        <v>79</v>
      </c>
      <c r="H4" s="85" t="s">
        <v>80</v>
      </c>
      <c r="I4" s="134" t="s">
        <v>81</v>
      </c>
      <c r="J4" s="84" t="s">
        <v>82</v>
      </c>
      <c r="K4" s="86" t="s">
        <v>83</v>
      </c>
      <c r="L4" s="95" t="s">
        <v>63</v>
      </c>
      <c r="M4" s="95" t="s">
        <v>123</v>
      </c>
      <c r="N4" s="95" t="s">
        <v>124</v>
      </c>
      <c r="O4" s="95" t="s">
        <v>125</v>
      </c>
      <c r="P4" s="84" t="s">
        <v>76</v>
      </c>
      <c r="Q4" s="85" t="s">
        <v>77</v>
      </c>
      <c r="R4" s="85" t="s">
        <v>78</v>
      </c>
      <c r="S4" s="86" t="s">
        <v>79</v>
      </c>
      <c r="T4" s="84" t="s">
        <v>80</v>
      </c>
      <c r="U4" s="85" t="s">
        <v>84</v>
      </c>
      <c r="V4" s="85" t="s">
        <v>82</v>
      </c>
      <c r="W4" s="86" t="s">
        <v>83</v>
      </c>
      <c r="X4" s="84" t="s">
        <v>76</v>
      </c>
      <c r="Y4" s="85" t="s">
        <v>77</v>
      </c>
      <c r="Z4" s="85" t="s">
        <v>78</v>
      </c>
      <c r="AA4" s="86" t="s">
        <v>79</v>
      </c>
      <c r="AB4" s="84" t="s">
        <v>80</v>
      </c>
      <c r="AC4" s="85" t="s">
        <v>84</v>
      </c>
      <c r="AD4" s="85" t="s">
        <v>82</v>
      </c>
      <c r="AE4" s="86" t="s">
        <v>83</v>
      </c>
      <c r="AF4" s="8" t="s">
        <v>76</v>
      </c>
      <c r="AG4" s="9" t="s">
        <v>77</v>
      </c>
      <c r="AH4" s="9" t="s">
        <v>78</v>
      </c>
      <c r="AI4" s="9" t="s">
        <v>79</v>
      </c>
      <c r="AJ4" s="9" t="s">
        <v>80</v>
      </c>
      <c r="AK4" s="9" t="s">
        <v>84</v>
      </c>
      <c r="AL4" s="9" t="s">
        <v>84</v>
      </c>
      <c r="AM4" s="10" t="s">
        <v>84</v>
      </c>
    </row>
    <row r="5" spans="3:42" x14ac:dyDescent="0.3">
      <c r="C5" s="11" t="s">
        <v>85</v>
      </c>
      <c r="D5" s="57">
        <v>640</v>
      </c>
      <c r="E5" s="58">
        <v>898</v>
      </c>
      <c r="F5" s="58">
        <v>989</v>
      </c>
      <c r="G5" s="58">
        <v>918</v>
      </c>
      <c r="H5" s="58">
        <v>684</v>
      </c>
      <c r="I5" s="135">
        <v>957</v>
      </c>
      <c r="J5" s="57">
        <f>Calculation!M11</f>
        <v>975.28927911275423</v>
      </c>
      <c r="K5" s="58">
        <f>Calculation!N11</f>
        <v>946.21902017291075</v>
      </c>
      <c r="L5" s="125">
        <f>Calculation!O11</f>
        <v>684</v>
      </c>
      <c r="M5" s="125">
        <f>Calculation!P11</f>
        <v>957</v>
      </c>
      <c r="N5" s="125">
        <f>Calculation!Q11</f>
        <v>975.28927911275423</v>
      </c>
      <c r="O5" s="125">
        <f>Calculation!R11</f>
        <v>946.21902017291075</v>
      </c>
      <c r="P5" s="57">
        <v>640</v>
      </c>
      <c r="Q5" s="58">
        <v>950</v>
      </c>
      <c r="R5" s="58">
        <v>1082</v>
      </c>
      <c r="S5" s="87">
        <v>1041</v>
      </c>
      <c r="T5" s="57">
        <v>696</v>
      </c>
      <c r="U5" s="58">
        <v>1071</v>
      </c>
      <c r="V5" s="58">
        <v>1067</v>
      </c>
      <c r="W5" s="87">
        <v>1073</v>
      </c>
      <c r="X5" s="96">
        <f>D5/P5</f>
        <v>1</v>
      </c>
      <c r="Y5" s="97">
        <f t="shared" ref="Y5:Y22" si="0">E5/Q5</f>
        <v>0.94526315789473681</v>
      </c>
      <c r="Z5" s="97">
        <f t="shared" ref="Z5:Z22" si="1">F5/R5</f>
        <v>0.91404805914972276</v>
      </c>
      <c r="AA5" s="97">
        <f t="shared" ref="AA5:AA22" si="2">G5/S5</f>
        <v>0.88184438040345825</v>
      </c>
      <c r="AB5" s="97">
        <f t="shared" ref="AB5:AB22" si="3">H5/T5</f>
        <v>0.98275862068965514</v>
      </c>
      <c r="AC5" s="97">
        <f t="shared" ref="AC5:AC22" si="4">I5/U5</f>
        <v>0.89355742296918772</v>
      </c>
      <c r="AD5" s="97">
        <f t="shared" ref="AD5:AD22" si="5">J5/V5</f>
        <v>0.91404805914972276</v>
      </c>
      <c r="AE5" s="98">
        <f t="shared" ref="AE5:AE22" si="6">K5/W5</f>
        <v>0.88184438040345825</v>
      </c>
      <c r="AF5" s="12">
        <f t="shared" ref="AF5:AM7" si="7">D5-P5</f>
        <v>0</v>
      </c>
      <c r="AG5" s="13">
        <f t="shared" si="7"/>
        <v>-52</v>
      </c>
      <c r="AH5" s="13">
        <f t="shared" si="7"/>
        <v>-93</v>
      </c>
      <c r="AI5" s="13">
        <f t="shared" si="7"/>
        <v>-123</v>
      </c>
      <c r="AJ5" s="13">
        <f t="shared" si="7"/>
        <v>-12</v>
      </c>
      <c r="AK5" s="13">
        <f t="shared" si="7"/>
        <v>-114</v>
      </c>
      <c r="AL5" s="13">
        <f t="shared" si="7"/>
        <v>-91.71072088724577</v>
      </c>
      <c r="AM5" s="14">
        <f t="shared" si="7"/>
        <v>-126.78097982708925</v>
      </c>
      <c r="AN5" s="2"/>
      <c r="AO5" s="2"/>
      <c r="AP5" s="2"/>
    </row>
    <row r="6" spans="3:42" x14ac:dyDescent="0.3">
      <c r="C6" s="181" t="s">
        <v>108</v>
      </c>
      <c r="D6" s="59">
        <v>38.450000000000003</v>
      </c>
      <c r="E6" s="60">
        <v>50.72</v>
      </c>
      <c r="F6" s="60">
        <v>50.98</v>
      </c>
      <c r="G6" s="60">
        <v>22.56</v>
      </c>
      <c r="H6" s="60">
        <v>13.84</v>
      </c>
      <c r="I6" s="136">
        <v>15.64</v>
      </c>
      <c r="J6" s="59">
        <f>Calculation!M12</f>
        <v>18.860234105300599</v>
      </c>
      <c r="K6" s="60">
        <f>Calculation!N12</f>
        <v>17.71664225445668</v>
      </c>
      <c r="L6" s="126">
        <f>Calculation!O12</f>
        <v>14.429168590436657</v>
      </c>
      <c r="M6" s="126">
        <f>Calculation!P12</f>
        <v>15.349724204027519</v>
      </c>
      <c r="N6" s="126">
        <f>Calculation!Q12</f>
        <v>18.718274765288243</v>
      </c>
      <c r="O6" s="126">
        <f>Calculation!R12</f>
        <v>17.806477555837699</v>
      </c>
      <c r="P6" s="59">
        <v>38.450000000000003</v>
      </c>
      <c r="Q6" s="60">
        <v>64.930000000000007</v>
      </c>
      <c r="R6" s="60">
        <v>52.1</v>
      </c>
      <c r="S6" s="88">
        <v>44.48</v>
      </c>
      <c r="T6" s="59">
        <v>20.76</v>
      </c>
      <c r="U6" s="60">
        <v>48.96</v>
      </c>
      <c r="V6" s="60">
        <v>56.7</v>
      </c>
      <c r="W6" s="88">
        <v>31.98</v>
      </c>
      <c r="X6" s="99">
        <f t="shared" ref="X6:X22" si="8">D6/P6</f>
        <v>1</v>
      </c>
      <c r="Y6" s="100">
        <f t="shared" si="0"/>
        <v>0.78114892961650995</v>
      </c>
      <c r="Z6" s="100">
        <f t="shared" si="1"/>
        <v>0.97850287907869471</v>
      </c>
      <c r="AA6" s="100">
        <f t="shared" si="2"/>
        <v>0.5071942446043165</v>
      </c>
      <c r="AB6" s="100">
        <f t="shared" si="3"/>
        <v>0.66666666666666663</v>
      </c>
      <c r="AC6" s="100">
        <f t="shared" si="4"/>
        <v>0.31944444444444448</v>
      </c>
      <c r="AD6" s="100">
        <f t="shared" si="5"/>
        <v>0.33263199480247968</v>
      </c>
      <c r="AE6" s="101">
        <f t="shared" si="6"/>
        <v>0.55399131502366106</v>
      </c>
      <c r="AF6" s="15">
        <f t="shared" si="7"/>
        <v>0</v>
      </c>
      <c r="AG6" s="16">
        <f t="shared" si="7"/>
        <v>-14.210000000000008</v>
      </c>
      <c r="AH6" s="16">
        <f t="shared" si="7"/>
        <v>-1.1200000000000045</v>
      </c>
      <c r="AI6" s="16">
        <f t="shared" si="7"/>
        <v>-21.919999999999998</v>
      </c>
      <c r="AJ6" s="16">
        <f t="shared" si="7"/>
        <v>-6.9200000000000017</v>
      </c>
      <c r="AK6" s="16">
        <f t="shared" si="7"/>
        <v>-33.32</v>
      </c>
      <c r="AL6" s="16">
        <f t="shared" si="7"/>
        <v>-37.839765894699404</v>
      </c>
      <c r="AM6" s="17">
        <f t="shared" si="7"/>
        <v>-14.26335774554332</v>
      </c>
      <c r="AN6" s="2"/>
      <c r="AO6" s="2"/>
      <c r="AP6" s="2"/>
    </row>
    <row r="7" spans="3:42" x14ac:dyDescent="0.3">
      <c r="C7" s="181" t="s">
        <v>86</v>
      </c>
      <c r="D7" s="59">
        <f>+P7</f>
        <v>2.86</v>
      </c>
      <c r="E7" s="60">
        <v>2.4700000000000002</v>
      </c>
      <c r="F7" s="60">
        <v>2.2599999999999998</v>
      </c>
      <c r="G7" s="60">
        <v>2.2400000000000002</v>
      </c>
      <c r="H7" s="60">
        <v>1.82</v>
      </c>
      <c r="I7" s="136">
        <v>1.64</v>
      </c>
      <c r="J7" s="59">
        <f>Calculation!M13</f>
        <v>2</v>
      </c>
      <c r="K7" s="60">
        <f>Calculation!N13</f>
        <v>2.2999999999999998</v>
      </c>
      <c r="L7" s="126">
        <f>Calculation!O13</f>
        <v>2.64</v>
      </c>
      <c r="M7" s="126">
        <f>Calculation!P13</f>
        <v>2.4</v>
      </c>
      <c r="N7" s="126">
        <f>Calculation!Q13</f>
        <v>2.36</v>
      </c>
      <c r="O7" s="126">
        <f>Calculation!R13</f>
        <v>2.4900000000000002</v>
      </c>
      <c r="P7" s="59">
        <v>2.86</v>
      </c>
      <c r="Q7" s="60">
        <v>2.6</v>
      </c>
      <c r="R7" s="60">
        <v>2.68</v>
      </c>
      <c r="S7" s="88">
        <v>2.68</v>
      </c>
      <c r="T7" s="59">
        <v>1.83</v>
      </c>
      <c r="U7" s="60">
        <v>1.87</v>
      </c>
      <c r="V7" s="60">
        <v>2.06</v>
      </c>
      <c r="W7" s="88">
        <v>2.27</v>
      </c>
      <c r="X7" s="99">
        <f t="shared" si="8"/>
        <v>1</v>
      </c>
      <c r="Y7" s="100">
        <f t="shared" si="0"/>
        <v>0.95000000000000007</v>
      </c>
      <c r="Z7" s="100">
        <f t="shared" si="1"/>
        <v>0.84328358208955212</v>
      </c>
      <c r="AA7" s="100">
        <f t="shared" si="2"/>
        <v>0.83582089552238814</v>
      </c>
      <c r="AB7" s="100">
        <f t="shared" si="3"/>
        <v>0.99453551912568305</v>
      </c>
      <c r="AC7" s="100">
        <f t="shared" si="4"/>
        <v>0.87700534759358284</v>
      </c>
      <c r="AD7" s="100">
        <f t="shared" si="5"/>
        <v>0.970873786407767</v>
      </c>
      <c r="AE7" s="101">
        <f t="shared" si="6"/>
        <v>1.0132158590308369</v>
      </c>
      <c r="AF7" s="15">
        <f t="shared" si="7"/>
        <v>0</v>
      </c>
      <c r="AG7" s="16">
        <f t="shared" si="7"/>
        <v>-0.12999999999999989</v>
      </c>
      <c r="AH7" s="16">
        <f t="shared" si="7"/>
        <v>-0.42000000000000037</v>
      </c>
      <c r="AI7" s="16">
        <f t="shared" si="7"/>
        <v>-0.43999999999999995</v>
      </c>
      <c r="AJ7" s="16">
        <f t="shared" si="7"/>
        <v>-1.0000000000000009E-2</v>
      </c>
      <c r="AK7" s="16">
        <f t="shared" si="7"/>
        <v>-0.2300000000000002</v>
      </c>
      <c r="AL7" s="16">
        <f t="shared" si="7"/>
        <v>-6.0000000000000053E-2</v>
      </c>
      <c r="AM7" s="17">
        <f t="shared" si="7"/>
        <v>2.9999999999999805E-2</v>
      </c>
      <c r="AN7" s="2"/>
      <c r="AO7" s="2"/>
      <c r="AP7" s="2"/>
    </row>
    <row r="8" spans="3:42" x14ac:dyDescent="0.3">
      <c r="C8" s="181" t="s">
        <v>110</v>
      </c>
      <c r="D8" s="59">
        <v>41.51</v>
      </c>
      <c r="E8" s="60">
        <v>53.9</v>
      </c>
      <c r="F8" s="60">
        <v>54.08</v>
      </c>
      <c r="G8" s="60">
        <v>25.84</v>
      </c>
      <c r="H8" s="60">
        <v>16.399999999999999</v>
      </c>
      <c r="I8" s="136">
        <v>17.27</v>
      </c>
      <c r="J8" s="59">
        <v>21.16</v>
      </c>
      <c r="K8" s="60">
        <f>AVERAGE(G8:J8)</f>
        <v>20.167499999999997</v>
      </c>
      <c r="L8" s="126">
        <f>Calculation!O14</f>
        <v>16.399999999999999</v>
      </c>
      <c r="M8" s="126">
        <f>Calculation!P14</f>
        <v>17.27</v>
      </c>
      <c r="N8" s="126">
        <f>Calculation!Q14</f>
        <v>21.16</v>
      </c>
      <c r="O8" s="126">
        <f>Calculation!R14</f>
        <v>20.167499999999997</v>
      </c>
      <c r="P8" s="59"/>
      <c r="Q8" s="60"/>
      <c r="R8" s="60"/>
      <c r="S8" s="88"/>
      <c r="T8" s="59"/>
      <c r="U8" s="60"/>
      <c r="V8" s="60"/>
      <c r="W8" s="88"/>
      <c r="X8" s="102"/>
      <c r="Y8" s="103"/>
      <c r="Z8" s="103"/>
      <c r="AA8" s="103"/>
      <c r="AB8" s="103"/>
      <c r="AC8" s="103"/>
      <c r="AD8" s="103"/>
      <c r="AE8" s="104"/>
      <c r="AF8" s="18"/>
      <c r="AG8" s="19"/>
      <c r="AH8" s="19"/>
      <c r="AI8" s="19"/>
      <c r="AJ8" s="19"/>
      <c r="AK8" s="19"/>
      <c r="AL8" s="19"/>
      <c r="AM8" s="20"/>
      <c r="AN8" s="2"/>
      <c r="AO8" s="2"/>
      <c r="AP8" s="2"/>
    </row>
    <row r="9" spans="3:42" x14ac:dyDescent="0.3">
      <c r="C9" s="21" t="s">
        <v>87</v>
      </c>
      <c r="D9" s="61">
        <f>+P9</f>
        <v>23.5</v>
      </c>
      <c r="E9" s="62">
        <v>45.4</v>
      </c>
      <c r="F9" s="62">
        <v>51.1</v>
      </c>
      <c r="G9" s="62">
        <v>25.1</v>
      </c>
      <c r="H9" s="62">
        <v>9.5</v>
      </c>
      <c r="I9" s="137">
        <v>15</v>
      </c>
      <c r="J9" s="61">
        <f>Calculation!M15</f>
        <v>18.394184124456402</v>
      </c>
      <c r="K9" s="62">
        <f>Calculation!N15</f>
        <v>16.76382387476599</v>
      </c>
      <c r="L9" s="127">
        <f>Calculation!O15</f>
        <v>9.8695513158586721</v>
      </c>
      <c r="M9" s="127">
        <f>Calculation!P15</f>
        <v>14.689686063254335</v>
      </c>
      <c r="N9" s="127">
        <f>Calculation!Q15</f>
        <v>18.255732702072429</v>
      </c>
      <c r="O9" s="127">
        <f>Calculation!R15</f>
        <v>16.848827745615672</v>
      </c>
      <c r="P9" s="61">
        <v>23.5</v>
      </c>
      <c r="Q9" s="62">
        <v>61.2</v>
      </c>
      <c r="R9" s="62">
        <v>56.4</v>
      </c>
      <c r="S9" s="89">
        <v>46.1</v>
      </c>
      <c r="T9" s="61">
        <v>14.4</v>
      </c>
      <c r="U9" s="62">
        <v>52.4</v>
      </c>
      <c r="V9" s="62">
        <v>60.5</v>
      </c>
      <c r="W9" s="89">
        <v>34.299999999999997</v>
      </c>
      <c r="X9" s="99">
        <f t="shared" si="8"/>
        <v>1</v>
      </c>
      <c r="Y9" s="100">
        <f t="shared" si="0"/>
        <v>0.74183006535947704</v>
      </c>
      <c r="Z9" s="100">
        <f t="shared" si="1"/>
        <v>0.90602836879432624</v>
      </c>
      <c r="AA9" s="100">
        <f t="shared" si="2"/>
        <v>0.54446854663774402</v>
      </c>
      <c r="AB9" s="100">
        <f t="shared" si="3"/>
        <v>0.65972222222222221</v>
      </c>
      <c r="AC9" s="100">
        <f t="shared" si="4"/>
        <v>0.28625954198473286</v>
      </c>
      <c r="AD9" s="100">
        <f t="shared" si="5"/>
        <v>0.30403610123068431</v>
      </c>
      <c r="AE9" s="101">
        <f t="shared" si="6"/>
        <v>0.48874122083865862</v>
      </c>
      <c r="AF9" s="15">
        <f t="shared" ref="AF9:AF22" si="9">D9-P9</f>
        <v>0</v>
      </c>
      <c r="AG9" s="16">
        <f t="shared" ref="AG9:AG22" si="10">E9-Q9</f>
        <v>-15.800000000000004</v>
      </c>
      <c r="AH9" s="16">
        <f t="shared" ref="AH9:AH22" si="11">F9-R9</f>
        <v>-5.2999999999999972</v>
      </c>
      <c r="AI9" s="16">
        <f t="shared" ref="AI9:AI22" si="12">G9-S9</f>
        <v>-21</v>
      </c>
      <c r="AJ9" s="16">
        <f t="shared" ref="AJ9:AJ22" si="13">H9-T9</f>
        <v>-4.9000000000000004</v>
      </c>
      <c r="AK9" s="16">
        <f t="shared" ref="AK9:AK22" si="14">I9-U9</f>
        <v>-37.4</v>
      </c>
      <c r="AL9" s="16">
        <f t="shared" ref="AL9:AL22" si="15">J9-V9</f>
        <v>-42.105815875543598</v>
      </c>
      <c r="AM9" s="17">
        <f t="shared" ref="AM9:AM22" si="16">K9-W9</f>
        <v>-17.536176125234007</v>
      </c>
      <c r="AN9" s="2"/>
      <c r="AO9" s="2"/>
      <c r="AP9" s="2"/>
    </row>
    <row r="10" spans="3:42" x14ac:dyDescent="0.3">
      <c r="C10" s="22" t="s">
        <v>88</v>
      </c>
      <c r="D10" s="63">
        <f t="shared" ref="D10:D22" si="17">+P10</f>
        <v>-13.6</v>
      </c>
      <c r="E10" s="64">
        <v>-16.100000000000001</v>
      </c>
      <c r="F10" s="64">
        <v>-16.7</v>
      </c>
      <c r="G10" s="64">
        <v>-14.9</v>
      </c>
      <c r="H10" s="64">
        <v>-8.8000000000000007</v>
      </c>
      <c r="I10" s="138">
        <v>-11.4</v>
      </c>
      <c r="J10" s="63">
        <f>Calculation!M16</f>
        <v>-13.826099345656194</v>
      </c>
      <c r="K10" s="64">
        <f>Calculation!N16</f>
        <v>-15.232258213832852</v>
      </c>
      <c r="L10" s="128">
        <f>Calculation!O16</f>
        <v>-12.764835164835166</v>
      </c>
      <c r="M10" s="128">
        <f>Calculation!P16</f>
        <v>-16.682926829268293</v>
      </c>
      <c r="N10" s="128">
        <f>Calculation!Q16</f>
        <v>-16.314797227874308</v>
      </c>
      <c r="O10" s="128">
        <f>Calculation!R16</f>
        <v>-16.490575196714698</v>
      </c>
      <c r="P10" s="73">
        <v>-13.6</v>
      </c>
      <c r="Q10" s="74">
        <v>-17.399999999999999</v>
      </c>
      <c r="R10" s="74">
        <v>-20.3</v>
      </c>
      <c r="S10" s="90">
        <v>-19.600000000000001</v>
      </c>
      <c r="T10" s="73">
        <v>-9.1</v>
      </c>
      <c r="U10" s="74">
        <v>-14.6</v>
      </c>
      <c r="V10" s="74">
        <v>-16</v>
      </c>
      <c r="W10" s="90">
        <v>-16.600000000000001</v>
      </c>
      <c r="X10" s="105">
        <f t="shared" si="8"/>
        <v>1</v>
      </c>
      <c r="Y10" s="106">
        <f t="shared" si="0"/>
        <v>0.92528735632183923</v>
      </c>
      <c r="Z10" s="106">
        <f t="shared" si="1"/>
        <v>0.82266009852216737</v>
      </c>
      <c r="AA10" s="106">
        <f t="shared" si="2"/>
        <v>0.76020408163265307</v>
      </c>
      <c r="AB10" s="106">
        <f t="shared" si="3"/>
        <v>0.96703296703296715</v>
      </c>
      <c r="AC10" s="106">
        <f t="shared" si="4"/>
        <v>0.78082191780821919</v>
      </c>
      <c r="AD10" s="106">
        <f t="shared" si="5"/>
        <v>0.86413120910351215</v>
      </c>
      <c r="AE10" s="107">
        <f t="shared" si="6"/>
        <v>0.9176059164959548</v>
      </c>
      <c r="AF10" s="23">
        <f t="shared" si="9"/>
        <v>0</v>
      </c>
      <c r="AG10" s="24">
        <f t="shared" si="10"/>
        <v>1.2999999999999972</v>
      </c>
      <c r="AH10" s="24">
        <f t="shared" si="11"/>
        <v>3.6000000000000014</v>
      </c>
      <c r="AI10" s="24">
        <f t="shared" si="12"/>
        <v>4.7000000000000011</v>
      </c>
      <c r="AJ10" s="24">
        <f t="shared" si="13"/>
        <v>0.29999999999999893</v>
      </c>
      <c r="AK10" s="24">
        <f t="shared" si="14"/>
        <v>3.1999999999999993</v>
      </c>
      <c r="AL10" s="24">
        <f t="shared" si="15"/>
        <v>2.1739006543438055</v>
      </c>
      <c r="AM10" s="25">
        <f t="shared" si="16"/>
        <v>1.3677417861671497</v>
      </c>
    </row>
    <row r="11" spans="3:42" x14ac:dyDescent="0.3">
      <c r="C11" s="26" t="s">
        <v>89</v>
      </c>
      <c r="D11" s="65">
        <f>SUM(D9:D10)</f>
        <v>9.9</v>
      </c>
      <c r="E11" s="66">
        <f>+E9+E10</f>
        <v>29.299999999999997</v>
      </c>
      <c r="F11" s="66">
        <f>+F9+F10</f>
        <v>34.400000000000006</v>
      </c>
      <c r="G11" s="66">
        <f>+G9+G10</f>
        <v>10.200000000000001</v>
      </c>
      <c r="H11" s="66">
        <f>+H9+H10</f>
        <v>0.69999999999999929</v>
      </c>
      <c r="I11" s="139">
        <f>+I9+I10</f>
        <v>3.5999999999999996</v>
      </c>
      <c r="J11" s="65">
        <f>Calculation!M17</f>
        <v>4.5680847788002072</v>
      </c>
      <c r="K11" s="66">
        <f>Calculation!N17</f>
        <v>1.5315656609331381</v>
      </c>
      <c r="L11" s="129">
        <f>Calculation!O17</f>
        <v>-2.8952838489764936</v>
      </c>
      <c r="M11" s="129">
        <f>Calculation!P17</f>
        <v>-1.9932407660139582</v>
      </c>
      <c r="N11" s="129">
        <f>Calculation!Q17</f>
        <v>1.9409354741981204</v>
      </c>
      <c r="O11" s="129">
        <f>Calculation!R17</f>
        <v>0.35825254890097469</v>
      </c>
      <c r="P11" s="65">
        <f t="shared" ref="P11:W11" si="18">SUM(P9:P10)</f>
        <v>9.9</v>
      </c>
      <c r="Q11" s="66">
        <f t="shared" si="18"/>
        <v>43.800000000000004</v>
      </c>
      <c r="R11" s="66">
        <f t="shared" si="18"/>
        <v>36.099999999999994</v>
      </c>
      <c r="S11" s="91">
        <f t="shared" si="18"/>
        <v>26.5</v>
      </c>
      <c r="T11" s="65">
        <f t="shared" si="18"/>
        <v>5.3000000000000007</v>
      </c>
      <c r="U11" s="66">
        <f t="shared" si="18"/>
        <v>37.799999999999997</v>
      </c>
      <c r="V11" s="66">
        <f t="shared" si="18"/>
        <v>44.5</v>
      </c>
      <c r="W11" s="91">
        <f t="shared" si="18"/>
        <v>17.699999999999996</v>
      </c>
      <c r="X11" s="108">
        <f t="shared" si="8"/>
        <v>1</v>
      </c>
      <c r="Y11" s="109">
        <f t="shared" si="0"/>
        <v>0.66894977168949754</v>
      </c>
      <c r="Z11" s="109">
        <f t="shared" si="1"/>
        <v>0.95290858725761807</v>
      </c>
      <c r="AA11" s="109">
        <f t="shared" si="2"/>
        <v>0.38490566037735852</v>
      </c>
      <c r="AB11" s="109">
        <f t="shared" si="3"/>
        <v>0.13207547169811307</v>
      </c>
      <c r="AC11" s="109">
        <f t="shared" si="4"/>
        <v>9.5238095238095233E-2</v>
      </c>
      <c r="AD11" s="109">
        <f t="shared" si="5"/>
        <v>0.10265359053483612</v>
      </c>
      <c r="AE11" s="110">
        <f t="shared" si="6"/>
        <v>8.6529133386053017E-2</v>
      </c>
      <c r="AF11" s="27">
        <f t="shared" si="9"/>
        <v>0</v>
      </c>
      <c r="AG11" s="28">
        <f t="shared" si="10"/>
        <v>-14.500000000000007</v>
      </c>
      <c r="AH11" s="28">
        <f t="shared" si="11"/>
        <v>-1.6999999999999886</v>
      </c>
      <c r="AI11" s="28">
        <f t="shared" si="12"/>
        <v>-16.299999999999997</v>
      </c>
      <c r="AJ11" s="28">
        <f t="shared" si="13"/>
        <v>-4.6000000000000014</v>
      </c>
      <c r="AK11" s="28">
        <f t="shared" si="14"/>
        <v>-34.199999999999996</v>
      </c>
      <c r="AL11" s="28">
        <f t="shared" si="15"/>
        <v>-39.931915221199795</v>
      </c>
      <c r="AM11" s="29">
        <f t="shared" si="16"/>
        <v>-16.168434339066856</v>
      </c>
    </row>
    <row r="12" spans="3:42" x14ac:dyDescent="0.3">
      <c r="C12" s="30" t="s">
        <v>90</v>
      </c>
      <c r="D12" s="67">
        <f t="shared" si="17"/>
        <v>-0.4</v>
      </c>
      <c r="E12" s="68">
        <v>-0.5</v>
      </c>
      <c r="F12" s="68">
        <v>-0.6</v>
      </c>
      <c r="G12" s="68">
        <v>-0.5</v>
      </c>
      <c r="H12" s="68">
        <v>-0.4</v>
      </c>
      <c r="I12" s="140">
        <v>-0.7</v>
      </c>
      <c r="J12" s="67">
        <f>Calculation!M18</f>
        <v>-0.55000000000000004</v>
      </c>
      <c r="K12" s="68">
        <f>Calculation!N18</f>
        <v>-0.53750000000000009</v>
      </c>
      <c r="L12" s="130">
        <f>Calculation!O18</f>
        <v>-0.546875</v>
      </c>
      <c r="M12" s="130">
        <f>Calculation!P18</f>
        <v>-0.58359375000000002</v>
      </c>
      <c r="N12" s="130">
        <f>Calculation!Q18</f>
        <v>-0.55449218750000007</v>
      </c>
      <c r="O12" s="130">
        <f>Calculation!R18</f>
        <v>-0.55561523437500004</v>
      </c>
      <c r="P12" s="67">
        <v>-0.4</v>
      </c>
      <c r="Q12" s="68">
        <v>-0.5</v>
      </c>
      <c r="R12" s="68">
        <v>-0.6</v>
      </c>
      <c r="S12" s="92">
        <v>-0.6</v>
      </c>
      <c r="T12" s="67">
        <v>-0.4</v>
      </c>
      <c r="U12" s="68">
        <v>-0.5</v>
      </c>
      <c r="V12" s="68">
        <v>-0.5</v>
      </c>
      <c r="W12" s="92">
        <v>-0.5</v>
      </c>
      <c r="X12" s="111">
        <f t="shared" si="8"/>
        <v>1</v>
      </c>
      <c r="Y12" s="112">
        <f t="shared" si="0"/>
        <v>1</v>
      </c>
      <c r="Z12" s="112">
        <f t="shared" si="1"/>
        <v>1</v>
      </c>
      <c r="AA12" s="112">
        <f t="shared" si="2"/>
        <v>0.83333333333333337</v>
      </c>
      <c r="AB12" s="112">
        <f t="shared" si="3"/>
        <v>1</v>
      </c>
      <c r="AC12" s="112">
        <f t="shared" si="4"/>
        <v>1.4</v>
      </c>
      <c r="AD12" s="112">
        <f t="shared" si="5"/>
        <v>1.1000000000000001</v>
      </c>
      <c r="AE12" s="113">
        <f t="shared" si="6"/>
        <v>1.0750000000000002</v>
      </c>
      <c r="AF12" s="31">
        <f t="shared" si="9"/>
        <v>0</v>
      </c>
      <c r="AG12" s="32">
        <f t="shared" si="10"/>
        <v>0</v>
      </c>
      <c r="AH12" s="32">
        <f t="shared" si="11"/>
        <v>0</v>
      </c>
      <c r="AI12" s="32">
        <f t="shared" si="12"/>
        <v>9.9999999999999978E-2</v>
      </c>
      <c r="AJ12" s="32">
        <f t="shared" si="13"/>
        <v>0</v>
      </c>
      <c r="AK12" s="32">
        <f t="shared" si="14"/>
        <v>-0.19999999999999996</v>
      </c>
      <c r="AL12" s="32">
        <f t="shared" si="15"/>
        <v>-5.0000000000000044E-2</v>
      </c>
      <c r="AM12" s="33">
        <f t="shared" si="16"/>
        <v>-3.7500000000000089E-2</v>
      </c>
    </row>
    <row r="13" spans="3:42" x14ac:dyDescent="0.3">
      <c r="C13" s="26" t="s">
        <v>91</v>
      </c>
      <c r="D13" s="65">
        <f t="shared" si="17"/>
        <v>9.5</v>
      </c>
      <c r="E13" s="66">
        <f>+E11+E12</f>
        <v>28.799999999999997</v>
      </c>
      <c r="F13" s="66">
        <f>+F11+F12</f>
        <v>33.800000000000004</v>
      </c>
      <c r="G13" s="66">
        <f>+G11+G12</f>
        <v>9.7000000000000011</v>
      </c>
      <c r="H13" s="66">
        <f>+H11+H12</f>
        <v>0.29999999999999927</v>
      </c>
      <c r="I13" s="139">
        <f>+I11+I12</f>
        <v>2.8999999999999995</v>
      </c>
      <c r="J13" s="65">
        <f>Calculation!M19</f>
        <v>4.0180847788002074</v>
      </c>
      <c r="K13" s="66">
        <f>Calculation!N19</f>
        <v>0.99406566093313797</v>
      </c>
      <c r="L13" s="129">
        <f>Calculation!O19</f>
        <v>-3.4421588489764936</v>
      </c>
      <c r="M13" s="129">
        <f>Calculation!P19</f>
        <v>-2.5768345160139581</v>
      </c>
      <c r="N13" s="129">
        <f>Calculation!Q19</f>
        <v>1.3864432866981202</v>
      </c>
      <c r="O13" s="129">
        <f>Calculation!R19</f>
        <v>-0.19736268547402536</v>
      </c>
      <c r="P13" s="65">
        <f>+P11+P12</f>
        <v>9.5</v>
      </c>
      <c r="Q13" s="66">
        <f t="shared" ref="Q13:W13" si="19">+Q11+Q12</f>
        <v>43.300000000000004</v>
      </c>
      <c r="R13" s="66">
        <f t="shared" si="19"/>
        <v>35.499999999999993</v>
      </c>
      <c r="S13" s="91">
        <f t="shared" si="19"/>
        <v>25.9</v>
      </c>
      <c r="T13" s="65">
        <f t="shared" si="19"/>
        <v>4.9000000000000004</v>
      </c>
      <c r="U13" s="66">
        <f t="shared" si="19"/>
        <v>37.299999999999997</v>
      </c>
      <c r="V13" s="66">
        <f t="shared" si="19"/>
        <v>44</v>
      </c>
      <c r="W13" s="91">
        <f t="shared" si="19"/>
        <v>17.199999999999996</v>
      </c>
      <c r="X13" s="108">
        <f t="shared" si="8"/>
        <v>1</v>
      </c>
      <c r="Y13" s="109">
        <f t="shared" si="0"/>
        <v>0.66512702078521924</v>
      </c>
      <c r="Z13" s="109">
        <f t="shared" si="1"/>
        <v>0.95211267605633831</v>
      </c>
      <c r="AA13" s="109">
        <f t="shared" si="2"/>
        <v>0.3745173745173746</v>
      </c>
      <c r="AB13" s="109">
        <f t="shared" si="3"/>
        <v>6.1224489795918213E-2</v>
      </c>
      <c r="AC13" s="109">
        <f t="shared" si="4"/>
        <v>7.7747989276139406E-2</v>
      </c>
      <c r="AD13" s="109">
        <f t="shared" si="5"/>
        <v>9.1320108609095618E-2</v>
      </c>
      <c r="AE13" s="110">
        <f t="shared" si="6"/>
        <v>5.7794515170531295E-2</v>
      </c>
      <c r="AF13" s="27">
        <f t="shared" si="9"/>
        <v>0</v>
      </c>
      <c r="AG13" s="28">
        <f t="shared" si="10"/>
        <v>-14.500000000000007</v>
      </c>
      <c r="AH13" s="28">
        <f t="shared" si="11"/>
        <v>-1.6999999999999886</v>
      </c>
      <c r="AI13" s="28">
        <f t="shared" si="12"/>
        <v>-16.199999999999996</v>
      </c>
      <c r="AJ13" s="28">
        <f t="shared" si="13"/>
        <v>-4.6000000000000014</v>
      </c>
      <c r="AK13" s="28">
        <f t="shared" si="14"/>
        <v>-34.4</v>
      </c>
      <c r="AL13" s="28">
        <f t="shared" si="15"/>
        <v>-39.981915221199792</v>
      </c>
      <c r="AM13" s="29">
        <f t="shared" si="16"/>
        <v>-16.205934339066857</v>
      </c>
    </row>
    <row r="14" spans="3:42" x14ac:dyDescent="0.3">
      <c r="C14" s="34" t="s">
        <v>92</v>
      </c>
      <c r="D14" s="69">
        <f t="shared" si="17"/>
        <v>3</v>
      </c>
      <c r="E14" s="70">
        <v>3</v>
      </c>
      <c r="F14" s="70">
        <v>2.9</v>
      </c>
      <c r="G14" s="70">
        <v>2.9</v>
      </c>
      <c r="H14" s="70">
        <v>2.9</v>
      </c>
      <c r="I14" s="141">
        <v>2.9</v>
      </c>
      <c r="J14" s="69">
        <f t="shared" ref="J14:K17" si="20">AVERAGE(F14:I14)</f>
        <v>2.9</v>
      </c>
      <c r="K14" s="70">
        <f t="shared" si="20"/>
        <v>2.9</v>
      </c>
      <c r="L14" s="131">
        <f>Calculation!O20</f>
        <v>2.9</v>
      </c>
      <c r="M14" s="131">
        <f>Calculation!P20</f>
        <v>2.9</v>
      </c>
      <c r="N14" s="131">
        <f>Calculation!Q20</f>
        <v>2.9</v>
      </c>
      <c r="O14" s="131">
        <f>Calculation!R20</f>
        <v>2.9</v>
      </c>
      <c r="P14" s="69">
        <v>3</v>
      </c>
      <c r="Q14" s="70">
        <v>2.9</v>
      </c>
      <c r="R14" s="70">
        <v>2.9</v>
      </c>
      <c r="S14" s="93">
        <v>2.9</v>
      </c>
      <c r="T14" s="69">
        <v>2.9</v>
      </c>
      <c r="U14" s="70">
        <v>2.9</v>
      </c>
      <c r="V14" s="70">
        <v>2.9</v>
      </c>
      <c r="W14" s="93">
        <v>2.9</v>
      </c>
      <c r="X14" s="114">
        <f t="shared" si="8"/>
        <v>1</v>
      </c>
      <c r="Y14" s="115">
        <f t="shared" si="0"/>
        <v>1.0344827586206897</v>
      </c>
      <c r="Z14" s="115">
        <f t="shared" si="1"/>
        <v>1</v>
      </c>
      <c r="AA14" s="115">
        <f t="shared" si="2"/>
        <v>1</v>
      </c>
      <c r="AB14" s="115">
        <f t="shared" si="3"/>
        <v>1</v>
      </c>
      <c r="AC14" s="115">
        <f t="shared" si="4"/>
        <v>1</v>
      </c>
      <c r="AD14" s="115">
        <f t="shared" si="5"/>
        <v>1</v>
      </c>
      <c r="AE14" s="116">
        <f t="shared" si="6"/>
        <v>1</v>
      </c>
      <c r="AF14" s="35">
        <f t="shared" si="9"/>
        <v>0</v>
      </c>
      <c r="AG14" s="36">
        <f t="shared" si="10"/>
        <v>0.10000000000000009</v>
      </c>
      <c r="AH14" s="36">
        <f t="shared" si="11"/>
        <v>0</v>
      </c>
      <c r="AI14" s="36">
        <f t="shared" si="12"/>
        <v>0</v>
      </c>
      <c r="AJ14" s="36">
        <f t="shared" si="13"/>
        <v>0</v>
      </c>
      <c r="AK14" s="36">
        <f t="shared" si="14"/>
        <v>0</v>
      </c>
      <c r="AL14" s="36">
        <f t="shared" si="15"/>
        <v>0</v>
      </c>
      <c r="AM14" s="37">
        <f t="shared" si="16"/>
        <v>0</v>
      </c>
    </row>
    <row r="15" spans="3:42" x14ac:dyDescent="0.3">
      <c r="C15" s="38" t="s">
        <v>93</v>
      </c>
      <c r="D15" s="71">
        <f t="shared" si="17"/>
        <v>1.3</v>
      </c>
      <c r="E15" s="72">
        <v>3.7</v>
      </c>
      <c r="F15" s="72">
        <v>5.4</v>
      </c>
      <c r="G15" s="72">
        <v>3.7</v>
      </c>
      <c r="H15" s="72">
        <v>1.2</v>
      </c>
      <c r="I15" s="142">
        <v>0.3</v>
      </c>
      <c r="J15" s="69">
        <f t="shared" si="20"/>
        <v>2.6500000000000004</v>
      </c>
      <c r="K15" s="70">
        <f t="shared" si="20"/>
        <v>1.9625000000000001</v>
      </c>
      <c r="L15" s="132">
        <f>Calculation!O21</f>
        <v>1.5281250000000002</v>
      </c>
      <c r="M15" s="132">
        <f>Calculation!P21</f>
        <v>1.6101562500000002</v>
      </c>
      <c r="N15" s="132">
        <f>Calculation!Q21</f>
        <v>1.9376953125000003</v>
      </c>
      <c r="O15" s="132">
        <f>Calculation!R21</f>
        <v>1.7596191406250004</v>
      </c>
      <c r="P15" s="71">
        <v>1.3</v>
      </c>
      <c r="Q15" s="72">
        <v>1.6</v>
      </c>
      <c r="R15" s="72">
        <v>0</v>
      </c>
      <c r="S15" s="94">
        <v>0</v>
      </c>
      <c r="T15" s="71">
        <v>1</v>
      </c>
      <c r="U15" s="72">
        <v>0</v>
      </c>
      <c r="V15" s="72">
        <v>0</v>
      </c>
      <c r="W15" s="94">
        <v>0</v>
      </c>
      <c r="X15" s="117">
        <f t="shared" si="8"/>
        <v>1</v>
      </c>
      <c r="Y15" s="118">
        <f t="shared" si="0"/>
        <v>2.3125</v>
      </c>
      <c r="Z15" s="118" t="e">
        <f t="shared" si="1"/>
        <v>#DIV/0!</v>
      </c>
      <c r="AA15" s="118" t="e">
        <f t="shared" si="2"/>
        <v>#DIV/0!</v>
      </c>
      <c r="AB15" s="118">
        <f t="shared" si="3"/>
        <v>1.2</v>
      </c>
      <c r="AC15" s="118" t="e">
        <f t="shared" si="4"/>
        <v>#DIV/0!</v>
      </c>
      <c r="AD15" s="118" t="e">
        <f t="shared" si="5"/>
        <v>#DIV/0!</v>
      </c>
      <c r="AE15" s="119" t="e">
        <f t="shared" si="6"/>
        <v>#DIV/0!</v>
      </c>
      <c r="AF15" s="39">
        <f t="shared" si="9"/>
        <v>0</v>
      </c>
      <c r="AG15" s="40">
        <f t="shared" si="10"/>
        <v>2.1</v>
      </c>
      <c r="AH15" s="40">
        <f t="shared" si="11"/>
        <v>5.4</v>
      </c>
      <c r="AI15" s="40">
        <f t="shared" si="12"/>
        <v>3.7</v>
      </c>
      <c r="AJ15" s="40">
        <f t="shared" si="13"/>
        <v>0.19999999999999996</v>
      </c>
      <c r="AK15" s="40">
        <f t="shared" si="14"/>
        <v>0.3</v>
      </c>
      <c r="AL15" s="40">
        <f t="shared" si="15"/>
        <v>2.6500000000000004</v>
      </c>
      <c r="AM15" s="41">
        <f t="shared" si="16"/>
        <v>1.9625000000000001</v>
      </c>
    </row>
    <row r="16" spans="3:42" x14ac:dyDescent="0.3">
      <c r="C16" s="38" t="s">
        <v>94</v>
      </c>
      <c r="D16" s="71">
        <f t="shared" si="17"/>
        <v>0.2</v>
      </c>
      <c r="E16" s="72">
        <v>0</v>
      </c>
      <c r="F16" s="72">
        <v>0</v>
      </c>
      <c r="G16" s="72">
        <v>0</v>
      </c>
      <c r="H16" s="72">
        <v>0.1</v>
      </c>
      <c r="I16" s="142">
        <v>0</v>
      </c>
      <c r="J16" s="69">
        <f t="shared" si="20"/>
        <v>2.5000000000000001E-2</v>
      </c>
      <c r="K16" s="70">
        <f t="shared" si="20"/>
        <v>3.125E-2</v>
      </c>
      <c r="L16" s="132">
        <f>Calculation!O22</f>
        <v>3.90625E-2</v>
      </c>
      <c r="M16" s="132">
        <f>Calculation!P22</f>
        <v>2.3828124999999999E-2</v>
      </c>
      <c r="N16" s="132">
        <f>Calculation!Q22</f>
        <v>2.978515625E-2</v>
      </c>
      <c r="O16" s="132">
        <f>Calculation!R22</f>
        <v>3.0981445312500001E-2</v>
      </c>
      <c r="P16" s="71">
        <v>0.2</v>
      </c>
      <c r="Q16" s="72">
        <v>0.2</v>
      </c>
      <c r="R16" s="72">
        <v>0.2</v>
      </c>
      <c r="S16" s="94">
        <v>0.2</v>
      </c>
      <c r="T16" s="71">
        <v>-0.2</v>
      </c>
      <c r="U16" s="72">
        <v>0</v>
      </c>
      <c r="V16" s="72">
        <v>0</v>
      </c>
      <c r="W16" s="94">
        <v>0</v>
      </c>
      <c r="X16" s="117">
        <f t="shared" si="8"/>
        <v>1</v>
      </c>
      <c r="Y16" s="118">
        <f t="shared" si="0"/>
        <v>0</v>
      </c>
      <c r="Z16" s="118">
        <f t="shared" si="1"/>
        <v>0</v>
      </c>
      <c r="AA16" s="118">
        <f t="shared" si="2"/>
        <v>0</v>
      </c>
      <c r="AB16" s="118">
        <f t="shared" si="3"/>
        <v>-0.5</v>
      </c>
      <c r="AC16" s="118" t="e">
        <f t="shared" si="4"/>
        <v>#DIV/0!</v>
      </c>
      <c r="AD16" s="118" t="e">
        <f t="shared" si="5"/>
        <v>#DIV/0!</v>
      </c>
      <c r="AE16" s="119" t="e">
        <f t="shared" si="6"/>
        <v>#DIV/0!</v>
      </c>
      <c r="AF16" s="39">
        <f t="shared" si="9"/>
        <v>0</v>
      </c>
      <c r="AG16" s="40">
        <f t="shared" si="10"/>
        <v>-0.2</v>
      </c>
      <c r="AH16" s="40">
        <f t="shared" si="11"/>
        <v>-0.2</v>
      </c>
      <c r="AI16" s="40">
        <f t="shared" si="12"/>
        <v>-0.2</v>
      </c>
      <c r="AJ16" s="40">
        <f t="shared" si="13"/>
        <v>0.30000000000000004</v>
      </c>
      <c r="AK16" s="40">
        <f t="shared" si="14"/>
        <v>0</v>
      </c>
      <c r="AL16" s="40">
        <f t="shared" si="15"/>
        <v>2.5000000000000001E-2</v>
      </c>
      <c r="AM16" s="41">
        <f t="shared" si="16"/>
        <v>3.125E-2</v>
      </c>
    </row>
    <row r="17" spans="3:39" x14ac:dyDescent="0.3">
      <c r="C17" s="22" t="s">
        <v>95</v>
      </c>
      <c r="D17" s="73">
        <f t="shared" si="17"/>
        <v>-1.1000000000000001</v>
      </c>
      <c r="E17" s="74">
        <v>-1.1000000000000001</v>
      </c>
      <c r="F17" s="74">
        <v>-1.1000000000000001</v>
      </c>
      <c r="G17" s="74">
        <v>-1.1000000000000001</v>
      </c>
      <c r="H17" s="74">
        <v>-1</v>
      </c>
      <c r="I17" s="143">
        <v>-1.1000000000000001</v>
      </c>
      <c r="J17" s="73">
        <f t="shared" si="20"/>
        <v>-1.0750000000000002</v>
      </c>
      <c r="K17" s="74">
        <f t="shared" si="20"/>
        <v>-1.0687500000000001</v>
      </c>
      <c r="L17" s="133">
        <f>Calculation!O23</f>
        <v>-1.0609375000000001</v>
      </c>
      <c r="M17" s="133">
        <f>Calculation!P23</f>
        <v>-1.076171875</v>
      </c>
      <c r="N17" s="133">
        <f>Calculation!Q23</f>
        <v>-1.0702148437500001</v>
      </c>
      <c r="O17" s="133">
        <f>Calculation!R23</f>
        <v>-1.0690185546875002</v>
      </c>
      <c r="P17" s="73">
        <v>-1.1000000000000001</v>
      </c>
      <c r="Q17" s="74">
        <v>-1.1000000000000001</v>
      </c>
      <c r="R17" s="74">
        <v>-1.1000000000000001</v>
      </c>
      <c r="S17" s="90">
        <v>-1.1000000000000001</v>
      </c>
      <c r="T17" s="73">
        <v>-1.1000000000000001</v>
      </c>
      <c r="U17" s="74">
        <v>-1.1000000000000001</v>
      </c>
      <c r="V17" s="74">
        <v>-1.1000000000000001</v>
      </c>
      <c r="W17" s="90">
        <v>-1.1000000000000001</v>
      </c>
      <c r="X17" s="105">
        <f t="shared" si="8"/>
        <v>1</v>
      </c>
      <c r="Y17" s="106">
        <f t="shared" si="0"/>
        <v>1</v>
      </c>
      <c r="Z17" s="106">
        <f t="shared" si="1"/>
        <v>1</v>
      </c>
      <c r="AA17" s="106">
        <f t="shared" si="2"/>
        <v>1</v>
      </c>
      <c r="AB17" s="106">
        <f t="shared" si="3"/>
        <v>0.90909090909090906</v>
      </c>
      <c r="AC17" s="106">
        <f t="shared" si="4"/>
        <v>1</v>
      </c>
      <c r="AD17" s="106">
        <f t="shared" si="5"/>
        <v>0.9772727272727274</v>
      </c>
      <c r="AE17" s="107">
        <f t="shared" si="6"/>
        <v>0.97159090909090906</v>
      </c>
      <c r="AF17" s="23">
        <f t="shared" si="9"/>
        <v>0</v>
      </c>
      <c r="AG17" s="24">
        <f t="shared" si="10"/>
        <v>0</v>
      </c>
      <c r="AH17" s="24">
        <f t="shared" si="11"/>
        <v>0</v>
      </c>
      <c r="AI17" s="24">
        <f t="shared" si="12"/>
        <v>0</v>
      </c>
      <c r="AJ17" s="24">
        <f t="shared" si="13"/>
        <v>0.10000000000000009</v>
      </c>
      <c r="AK17" s="24">
        <f t="shared" si="14"/>
        <v>0</v>
      </c>
      <c r="AL17" s="24">
        <f t="shared" si="15"/>
        <v>2.4999999999999911E-2</v>
      </c>
      <c r="AM17" s="25">
        <f t="shared" si="16"/>
        <v>3.125E-2</v>
      </c>
    </row>
    <row r="18" spans="3:39" x14ac:dyDescent="0.3">
      <c r="C18" s="26" t="s">
        <v>96</v>
      </c>
      <c r="D18" s="65">
        <f t="shared" si="17"/>
        <v>12.9</v>
      </c>
      <c r="E18" s="66">
        <f>SUM(E13:E17)</f>
        <v>34.4</v>
      </c>
      <c r="F18" s="66">
        <f>SUM(F13:F17)</f>
        <v>41</v>
      </c>
      <c r="G18" s="66">
        <f>SUM(G13:G17)</f>
        <v>15.200000000000001</v>
      </c>
      <c r="H18" s="66">
        <f>SUM(H13:H17)</f>
        <v>3.4999999999999991</v>
      </c>
      <c r="I18" s="139">
        <f>SUM(I13:I17)</f>
        <v>4.9999999999999982</v>
      </c>
      <c r="J18" s="65">
        <f>Calculation!M24</f>
        <v>8.5180847788002083</v>
      </c>
      <c r="K18" s="66">
        <f>Calculation!N24</f>
        <v>4.8190656609331377</v>
      </c>
      <c r="L18" s="129">
        <f>Calculation!O24</f>
        <v>-3.5908848976493601E-2</v>
      </c>
      <c r="M18" s="129">
        <f>Calculation!P24</f>
        <v>0.8809779839860421</v>
      </c>
      <c r="N18" s="129">
        <f>Calculation!Q24</f>
        <v>5.1837089116981208</v>
      </c>
      <c r="O18" s="129">
        <f>Calculation!R24</f>
        <v>3.4242193457759749</v>
      </c>
      <c r="P18" s="65">
        <f>SUM(P13:P17)</f>
        <v>12.9</v>
      </c>
      <c r="Q18" s="66">
        <f t="shared" ref="Q18:W18" si="21">SUM(Q13:Q17)</f>
        <v>46.900000000000006</v>
      </c>
      <c r="R18" s="66">
        <f t="shared" si="21"/>
        <v>37.499999999999993</v>
      </c>
      <c r="S18" s="91">
        <f t="shared" si="21"/>
        <v>27.899999999999995</v>
      </c>
      <c r="T18" s="65">
        <f t="shared" si="21"/>
        <v>7.5000000000000018</v>
      </c>
      <c r="U18" s="66">
        <f t="shared" si="21"/>
        <v>39.099999999999994</v>
      </c>
      <c r="V18" s="66">
        <f t="shared" si="21"/>
        <v>45.8</v>
      </c>
      <c r="W18" s="91">
        <f t="shared" si="21"/>
        <v>18.999999999999993</v>
      </c>
      <c r="X18" s="108">
        <f t="shared" si="8"/>
        <v>1</v>
      </c>
      <c r="Y18" s="109">
        <f t="shared" si="0"/>
        <v>0.73347547974413629</v>
      </c>
      <c r="Z18" s="109">
        <f t="shared" si="1"/>
        <v>1.0933333333333335</v>
      </c>
      <c r="AA18" s="109">
        <f t="shared" si="2"/>
        <v>0.54480286738351269</v>
      </c>
      <c r="AB18" s="109">
        <f t="shared" si="3"/>
        <v>0.46666666666666645</v>
      </c>
      <c r="AC18" s="109">
        <f t="shared" si="4"/>
        <v>0.12787723785166238</v>
      </c>
      <c r="AD18" s="109">
        <f t="shared" si="5"/>
        <v>0.18598438381659846</v>
      </c>
      <c r="AE18" s="110">
        <f t="shared" si="6"/>
        <v>0.25363503478595473</v>
      </c>
      <c r="AF18" s="27">
        <f t="shared" si="9"/>
        <v>0</v>
      </c>
      <c r="AG18" s="28">
        <f t="shared" si="10"/>
        <v>-12.500000000000007</v>
      </c>
      <c r="AH18" s="28">
        <f t="shared" si="11"/>
        <v>3.5000000000000071</v>
      </c>
      <c r="AI18" s="28">
        <f t="shared" si="12"/>
        <v>-12.699999999999994</v>
      </c>
      <c r="AJ18" s="28">
        <f t="shared" si="13"/>
        <v>-4.0000000000000027</v>
      </c>
      <c r="AK18" s="28">
        <f t="shared" si="14"/>
        <v>-34.099999999999994</v>
      </c>
      <c r="AL18" s="28">
        <f t="shared" si="15"/>
        <v>-37.281915221199789</v>
      </c>
      <c r="AM18" s="29">
        <f t="shared" si="16"/>
        <v>-14.180934339066855</v>
      </c>
    </row>
    <row r="19" spans="3:39" x14ac:dyDescent="0.3">
      <c r="C19" s="30" t="s">
        <v>97</v>
      </c>
      <c r="D19" s="67">
        <f t="shared" si="17"/>
        <v>-3.9</v>
      </c>
      <c r="E19" s="68">
        <v>-3.8</v>
      </c>
      <c r="F19" s="68">
        <v>-4.5</v>
      </c>
      <c r="G19" s="68">
        <v>-5.0999999999999996</v>
      </c>
      <c r="H19" s="68">
        <v>-4.0999999999999996</v>
      </c>
      <c r="I19" s="140">
        <v>-4.4000000000000004</v>
      </c>
      <c r="J19" s="67">
        <f>Calculation!M25</f>
        <v>-4.5250000000000004</v>
      </c>
      <c r="K19" s="68">
        <f>Calculation!N25</f>
        <v>-4.53125</v>
      </c>
      <c r="L19" s="130">
        <f>Calculation!O25</f>
        <v>-4.3890624999999996</v>
      </c>
      <c r="M19" s="130">
        <f>Calculation!P25</f>
        <v>-4.4613281249999996</v>
      </c>
      <c r="N19" s="130">
        <f>Calculation!Q25</f>
        <v>-4.4766601562500004</v>
      </c>
      <c r="O19" s="130">
        <f>Calculation!R25</f>
        <v>-4.4645751953125004</v>
      </c>
      <c r="P19" s="67">
        <v>-3.9</v>
      </c>
      <c r="Q19" s="68">
        <v>-4.2</v>
      </c>
      <c r="R19" s="68">
        <v>-4.2</v>
      </c>
      <c r="S19" s="92">
        <v>-4.2</v>
      </c>
      <c r="T19" s="67">
        <v>-4.5</v>
      </c>
      <c r="U19" s="68">
        <v>-4.0999999999999996</v>
      </c>
      <c r="V19" s="68">
        <v>-4.0999999999999996</v>
      </c>
      <c r="W19" s="92">
        <v>-4.2</v>
      </c>
      <c r="X19" s="111">
        <f t="shared" si="8"/>
        <v>1</v>
      </c>
      <c r="Y19" s="112">
        <f t="shared" si="0"/>
        <v>0.90476190476190466</v>
      </c>
      <c r="Z19" s="112">
        <f t="shared" si="1"/>
        <v>1.0714285714285714</v>
      </c>
      <c r="AA19" s="112">
        <f t="shared" si="2"/>
        <v>1.2142857142857142</v>
      </c>
      <c r="AB19" s="112">
        <f t="shared" si="3"/>
        <v>0.91111111111111098</v>
      </c>
      <c r="AC19" s="112">
        <f t="shared" si="4"/>
        <v>1.0731707317073174</v>
      </c>
      <c r="AD19" s="112">
        <f t="shared" si="5"/>
        <v>1.1036585365853659</v>
      </c>
      <c r="AE19" s="113">
        <f t="shared" si="6"/>
        <v>1.0788690476190477</v>
      </c>
      <c r="AF19" s="31">
        <f t="shared" si="9"/>
        <v>0</v>
      </c>
      <c r="AG19" s="32">
        <f t="shared" si="10"/>
        <v>0.40000000000000036</v>
      </c>
      <c r="AH19" s="32">
        <f t="shared" si="11"/>
        <v>-0.29999999999999982</v>
      </c>
      <c r="AI19" s="32">
        <f t="shared" si="12"/>
        <v>-0.89999999999999947</v>
      </c>
      <c r="AJ19" s="32">
        <f t="shared" si="13"/>
        <v>0.40000000000000036</v>
      </c>
      <c r="AK19" s="32">
        <f t="shared" si="14"/>
        <v>-0.30000000000000071</v>
      </c>
      <c r="AL19" s="32">
        <f t="shared" si="15"/>
        <v>-0.42500000000000071</v>
      </c>
      <c r="AM19" s="33">
        <f t="shared" si="16"/>
        <v>-0.33124999999999982</v>
      </c>
    </row>
    <row r="20" spans="3:39" x14ac:dyDescent="0.3">
      <c r="C20" s="26" t="s">
        <v>98</v>
      </c>
      <c r="D20" s="65">
        <f t="shared" si="17"/>
        <v>9</v>
      </c>
      <c r="E20" s="66">
        <f>+E18+E19</f>
        <v>30.599999999999998</v>
      </c>
      <c r="F20" s="66">
        <f>+F18+F19</f>
        <v>36.5</v>
      </c>
      <c r="G20" s="66">
        <f>+G18+G19</f>
        <v>10.100000000000001</v>
      </c>
      <c r="H20" s="66">
        <f>+H18+H19</f>
        <v>-0.60000000000000053</v>
      </c>
      <c r="I20" s="139">
        <f>+I18+I19</f>
        <v>0.59999999999999787</v>
      </c>
      <c r="J20" s="65">
        <f>Calculation!M26</f>
        <v>3.993084778800208</v>
      </c>
      <c r="K20" s="66">
        <f>Calculation!N26</f>
        <v>0.28781566093313771</v>
      </c>
      <c r="L20" s="129">
        <f>Calculation!O26</f>
        <v>-4.4249713489764932</v>
      </c>
      <c r="M20" s="129">
        <f>Calculation!P26</f>
        <v>-3.5803501410139575</v>
      </c>
      <c r="N20" s="129">
        <f>Calculation!Q26</f>
        <v>0.7070487554481204</v>
      </c>
      <c r="O20" s="129">
        <f>Calculation!R26</f>
        <v>-1.0403558495365255</v>
      </c>
      <c r="P20" s="65">
        <f>SUM(P18:P19)</f>
        <v>9</v>
      </c>
      <c r="Q20" s="66">
        <f t="shared" ref="Q20:W20" si="22">SUM(Q18:Q19)</f>
        <v>42.7</v>
      </c>
      <c r="R20" s="66">
        <f t="shared" si="22"/>
        <v>33.29999999999999</v>
      </c>
      <c r="S20" s="91">
        <f t="shared" si="22"/>
        <v>23.699999999999996</v>
      </c>
      <c r="T20" s="65">
        <f t="shared" si="22"/>
        <v>3.0000000000000018</v>
      </c>
      <c r="U20" s="66">
        <f t="shared" si="22"/>
        <v>34.999999999999993</v>
      </c>
      <c r="V20" s="66">
        <f t="shared" si="22"/>
        <v>41.699999999999996</v>
      </c>
      <c r="W20" s="91">
        <f t="shared" si="22"/>
        <v>14.799999999999994</v>
      </c>
      <c r="X20" s="108">
        <f t="shared" si="8"/>
        <v>1</v>
      </c>
      <c r="Y20" s="109">
        <f t="shared" si="0"/>
        <v>0.71662763466042145</v>
      </c>
      <c r="Z20" s="109">
        <f t="shared" si="1"/>
        <v>1.0960960960960964</v>
      </c>
      <c r="AA20" s="109">
        <f t="shared" si="2"/>
        <v>0.42616033755274274</v>
      </c>
      <c r="AB20" s="109">
        <f t="shared" si="3"/>
        <v>-0.20000000000000007</v>
      </c>
      <c r="AC20" s="109">
        <f t="shared" si="4"/>
        <v>1.7142857142857085E-2</v>
      </c>
      <c r="AD20" s="109">
        <f t="shared" si="5"/>
        <v>9.5757428748206433E-2</v>
      </c>
      <c r="AE20" s="110">
        <f t="shared" si="6"/>
        <v>1.9447004117103907E-2</v>
      </c>
      <c r="AF20" s="27">
        <f t="shared" si="9"/>
        <v>0</v>
      </c>
      <c r="AG20" s="28">
        <f t="shared" si="10"/>
        <v>-12.100000000000005</v>
      </c>
      <c r="AH20" s="28">
        <f t="shared" si="11"/>
        <v>3.2000000000000099</v>
      </c>
      <c r="AI20" s="28">
        <f t="shared" si="12"/>
        <v>-13.599999999999994</v>
      </c>
      <c r="AJ20" s="28">
        <f t="shared" si="13"/>
        <v>-3.6000000000000023</v>
      </c>
      <c r="AK20" s="28">
        <f t="shared" si="14"/>
        <v>-34.399999999999991</v>
      </c>
      <c r="AL20" s="28">
        <f t="shared" si="15"/>
        <v>-37.706915221199786</v>
      </c>
      <c r="AM20" s="29">
        <f t="shared" si="16"/>
        <v>-14.512184339066856</v>
      </c>
    </row>
    <row r="21" spans="3:39" x14ac:dyDescent="0.3">
      <c r="C21" s="30" t="s">
        <v>99</v>
      </c>
      <c r="D21" s="67">
        <f t="shared" si="17"/>
        <v>0</v>
      </c>
      <c r="E21" s="68">
        <v>-1.1000000000000001</v>
      </c>
      <c r="F21" s="68">
        <v>-1.4</v>
      </c>
      <c r="G21" s="68">
        <v>-14.3</v>
      </c>
      <c r="H21" s="68">
        <v>-8</v>
      </c>
      <c r="I21" s="140">
        <v>-1.3</v>
      </c>
      <c r="J21" s="67">
        <f>Calculation!M27</f>
        <v>0</v>
      </c>
      <c r="K21" s="68">
        <f>Calculation!N27</f>
        <v>0</v>
      </c>
      <c r="L21" s="130">
        <f>Calculation!O27</f>
        <v>0</v>
      </c>
      <c r="M21" s="130">
        <f>Calculation!P27</f>
        <v>0</v>
      </c>
      <c r="N21" s="130">
        <f>Calculation!Q27</f>
        <v>0</v>
      </c>
      <c r="O21" s="130">
        <f>Calculation!R27</f>
        <v>0</v>
      </c>
      <c r="P21" s="67">
        <v>0</v>
      </c>
      <c r="Q21" s="68">
        <v>0</v>
      </c>
      <c r="R21" s="68">
        <v>0</v>
      </c>
      <c r="S21" s="92">
        <v>0</v>
      </c>
      <c r="T21" s="67">
        <v>-8.1999999999999993</v>
      </c>
      <c r="U21" s="68">
        <v>-2</v>
      </c>
      <c r="V21" s="68">
        <v>-4.7</v>
      </c>
      <c r="W21" s="92">
        <v>-4.7</v>
      </c>
      <c r="X21" s="111" t="e">
        <f t="shared" si="8"/>
        <v>#DIV/0!</v>
      </c>
      <c r="Y21" s="112" t="e">
        <f t="shared" si="0"/>
        <v>#DIV/0!</v>
      </c>
      <c r="Z21" s="112" t="e">
        <f t="shared" si="1"/>
        <v>#DIV/0!</v>
      </c>
      <c r="AA21" s="112" t="e">
        <f t="shared" si="2"/>
        <v>#DIV/0!</v>
      </c>
      <c r="AB21" s="112">
        <f t="shared" si="3"/>
        <v>0.97560975609756106</v>
      </c>
      <c r="AC21" s="112">
        <f t="shared" si="4"/>
        <v>0.65</v>
      </c>
      <c r="AD21" s="112">
        <f t="shared" si="5"/>
        <v>0</v>
      </c>
      <c r="AE21" s="113">
        <f t="shared" si="6"/>
        <v>0</v>
      </c>
      <c r="AF21" s="31">
        <f t="shared" si="9"/>
        <v>0</v>
      </c>
      <c r="AG21" s="32">
        <f t="shared" si="10"/>
        <v>-1.1000000000000001</v>
      </c>
      <c r="AH21" s="32">
        <f t="shared" si="11"/>
        <v>-1.4</v>
      </c>
      <c r="AI21" s="32">
        <f t="shared" si="12"/>
        <v>-14.3</v>
      </c>
      <c r="AJ21" s="32">
        <f t="shared" si="13"/>
        <v>0.19999999999999929</v>
      </c>
      <c r="AK21" s="32">
        <f t="shared" si="14"/>
        <v>0.7</v>
      </c>
      <c r="AL21" s="32">
        <f t="shared" si="15"/>
        <v>4.7</v>
      </c>
      <c r="AM21" s="33">
        <f t="shared" si="16"/>
        <v>4.7</v>
      </c>
    </row>
    <row r="22" spans="3:39" x14ac:dyDescent="0.3">
      <c r="C22" s="26" t="s">
        <v>100</v>
      </c>
      <c r="D22" s="65">
        <f t="shared" si="17"/>
        <v>9</v>
      </c>
      <c r="E22" s="66">
        <f>+E20+E21</f>
        <v>29.499999999999996</v>
      </c>
      <c r="F22" s="66">
        <f>+F20+F21</f>
        <v>35.1</v>
      </c>
      <c r="G22" s="66">
        <f>+G20+G21</f>
        <v>-4.1999999999999993</v>
      </c>
      <c r="H22" s="66">
        <f>+H20+H21</f>
        <v>-8.6000000000000014</v>
      </c>
      <c r="I22" s="139">
        <f>+I20+I21</f>
        <v>-0.70000000000000218</v>
      </c>
      <c r="J22" s="65">
        <f>Calculation!M28</f>
        <v>3.993084778800208</v>
      </c>
      <c r="K22" s="66">
        <f>Calculation!N28</f>
        <v>0.28781566093313771</v>
      </c>
      <c r="L22" s="129">
        <f>Calculation!O28</f>
        <v>-4.4249713489764932</v>
      </c>
      <c r="M22" s="129">
        <f>Calculation!P28</f>
        <v>-3.5803501410139575</v>
      </c>
      <c r="N22" s="129">
        <f>Calculation!Q28</f>
        <v>0.7070487554481204</v>
      </c>
      <c r="O22" s="129">
        <f>Calculation!R28</f>
        <v>-1.0403558495365255</v>
      </c>
      <c r="P22" s="65">
        <f t="shared" ref="P22:W22" si="23">SUM(P20:P21)</f>
        <v>9</v>
      </c>
      <c r="Q22" s="66">
        <f t="shared" si="23"/>
        <v>42.7</v>
      </c>
      <c r="R22" s="66">
        <f t="shared" si="23"/>
        <v>33.29999999999999</v>
      </c>
      <c r="S22" s="91">
        <f t="shared" si="23"/>
        <v>23.699999999999996</v>
      </c>
      <c r="T22" s="65">
        <f t="shared" si="23"/>
        <v>-5.1999999999999975</v>
      </c>
      <c r="U22" s="66">
        <f t="shared" si="23"/>
        <v>32.999999999999993</v>
      </c>
      <c r="V22" s="66">
        <f t="shared" si="23"/>
        <v>36.999999999999993</v>
      </c>
      <c r="W22" s="91">
        <f t="shared" si="23"/>
        <v>10.099999999999994</v>
      </c>
      <c r="X22" s="108">
        <f t="shared" si="8"/>
        <v>1</v>
      </c>
      <c r="Y22" s="109">
        <f t="shared" si="0"/>
        <v>0.69086651053864157</v>
      </c>
      <c r="Z22" s="109">
        <f t="shared" si="1"/>
        <v>1.0540540540540544</v>
      </c>
      <c r="AA22" s="109">
        <f t="shared" si="2"/>
        <v>-0.17721518987341772</v>
      </c>
      <c r="AB22" s="109">
        <f t="shared" si="3"/>
        <v>1.6538461538461549</v>
      </c>
      <c r="AC22" s="109">
        <f t="shared" si="4"/>
        <v>-2.1212121212121283E-2</v>
      </c>
      <c r="AD22" s="109">
        <f t="shared" si="5"/>
        <v>0.10792121023784348</v>
      </c>
      <c r="AE22" s="110">
        <f t="shared" si="6"/>
        <v>2.8496600092389888E-2</v>
      </c>
      <c r="AF22" s="27">
        <f t="shared" si="9"/>
        <v>0</v>
      </c>
      <c r="AG22" s="28">
        <f t="shared" si="10"/>
        <v>-13.200000000000006</v>
      </c>
      <c r="AH22" s="28">
        <f t="shared" si="11"/>
        <v>1.8000000000000114</v>
      </c>
      <c r="AI22" s="28">
        <f t="shared" si="12"/>
        <v>-27.899999999999995</v>
      </c>
      <c r="AJ22" s="28">
        <f t="shared" si="13"/>
        <v>-3.4000000000000039</v>
      </c>
      <c r="AK22" s="28">
        <f t="shared" si="14"/>
        <v>-33.699999999999996</v>
      </c>
      <c r="AL22" s="28">
        <f t="shared" si="15"/>
        <v>-33.006915221199783</v>
      </c>
      <c r="AM22" s="29">
        <f t="shared" si="16"/>
        <v>-9.8121843390668566</v>
      </c>
    </row>
    <row r="23" spans="3:39" x14ac:dyDescent="0.3">
      <c r="F23" s="2"/>
      <c r="G23" s="2"/>
      <c r="H23" s="2"/>
      <c r="I23" s="2"/>
      <c r="J23" s="42"/>
      <c r="K23" s="42"/>
      <c r="L23" s="42"/>
      <c r="M23" s="42"/>
      <c r="N23" s="42"/>
      <c r="O23" s="42"/>
      <c r="S23" s="42"/>
      <c r="T23" s="42"/>
      <c r="U23" s="42"/>
    </row>
    <row r="25" spans="3:39" x14ac:dyDescent="0.3">
      <c r="C25" s="170" t="s">
        <v>111</v>
      </c>
      <c r="D25" s="171">
        <f t="shared" ref="D25:I25" si="24">D6/D8</f>
        <v>0.9262828234160444</v>
      </c>
      <c r="E25" s="171">
        <f t="shared" si="24"/>
        <v>0.94100185528756952</v>
      </c>
      <c r="F25" s="171">
        <f t="shared" si="24"/>
        <v>0.94267751479289941</v>
      </c>
      <c r="G25" s="171">
        <f t="shared" si="24"/>
        <v>0.87306501547987614</v>
      </c>
      <c r="H25" s="171">
        <f t="shared" si="24"/>
        <v>0.84390243902439033</v>
      </c>
      <c r="I25" s="171">
        <f t="shared" si="24"/>
        <v>0.90561667631731335</v>
      </c>
      <c r="J25" s="171">
        <f t="shared" ref="J25:O25" si="25">J6/J8</f>
        <v>0.89131541140361992</v>
      </c>
      <c r="K25" s="171">
        <f t="shared" si="25"/>
        <v>0.87847488555630016</v>
      </c>
      <c r="L25" s="171">
        <f t="shared" si="25"/>
        <v>0.87982735307540594</v>
      </c>
      <c r="M25" s="171">
        <f t="shared" si="25"/>
        <v>0.88880858158815979</v>
      </c>
      <c r="N25" s="171">
        <f t="shared" si="25"/>
        <v>0.88460655790587162</v>
      </c>
      <c r="O25" s="172">
        <f t="shared" si="25"/>
        <v>0.88292934453143435</v>
      </c>
    </row>
    <row r="26" spans="3:39" x14ac:dyDescent="0.3">
      <c r="C26" s="30" t="s">
        <v>135</v>
      </c>
      <c r="D26" s="173">
        <f>-(D10/D7)*1000</f>
        <v>4755.2447552447547</v>
      </c>
      <c r="E26" s="173">
        <f t="shared" ref="E26:O26" si="26">-(E10/E7)*1000</f>
        <v>6518.2186234817818</v>
      </c>
      <c r="F26" s="173">
        <f t="shared" si="26"/>
        <v>7389.3805309734516</v>
      </c>
      <c r="G26" s="173">
        <f t="shared" si="26"/>
        <v>6651.7857142857138</v>
      </c>
      <c r="H26" s="173">
        <f t="shared" si="26"/>
        <v>4835.1648351648355</v>
      </c>
      <c r="I26" s="173">
        <f t="shared" si="26"/>
        <v>6951.2195121951227</v>
      </c>
      <c r="J26" s="173">
        <f t="shared" si="26"/>
        <v>6913.0496728280968</v>
      </c>
      <c r="K26" s="173">
        <f t="shared" si="26"/>
        <v>6622.7209625360229</v>
      </c>
      <c r="L26" s="173">
        <f t="shared" si="26"/>
        <v>4835.1648351648346</v>
      </c>
      <c r="M26" s="173">
        <f t="shared" si="26"/>
        <v>6951.2195121951227</v>
      </c>
      <c r="N26" s="173">
        <f t="shared" si="26"/>
        <v>6913.0496728280968</v>
      </c>
      <c r="O26" s="174">
        <f t="shared" si="26"/>
        <v>6622.7209625360229</v>
      </c>
    </row>
    <row r="27" spans="3:39" x14ac:dyDescent="0.3">
      <c r="C27" s="175" t="s">
        <v>141</v>
      </c>
      <c r="D27" s="176"/>
      <c r="E27" s="176"/>
      <c r="F27" s="176"/>
      <c r="G27" s="177"/>
      <c r="H27" s="178">
        <f t="shared" ref="H27:O27" si="27">AVERAGE(D12:G12)</f>
        <v>-0.5</v>
      </c>
      <c r="I27" s="178">
        <f t="shared" si="27"/>
        <v>-0.5</v>
      </c>
      <c r="J27" s="178">
        <f t="shared" si="27"/>
        <v>-0.55000000000000004</v>
      </c>
      <c r="K27" s="178">
        <f t="shared" si="27"/>
        <v>-0.53750000000000009</v>
      </c>
      <c r="L27" s="178">
        <f t="shared" si="27"/>
        <v>-0.546875</v>
      </c>
      <c r="M27" s="178">
        <f t="shared" si="27"/>
        <v>-0.58359375000000002</v>
      </c>
      <c r="N27" s="178">
        <f t="shared" si="27"/>
        <v>-0.55449218750000007</v>
      </c>
      <c r="O27" s="179">
        <f t="shared" si="27"/>
        <v>-0.55561523437500004</v>
      </c>
    </row>
    <row r="29" spans="3:39" x14ac:dyDescent="0.3">
      <c r="D29" s="44"/>
      <c r="E29" s="44"/>
      <c r="F29" s="44"/>
      <c r="G29" s="44"/>
      <c r="H29" s="44"/>
      <c r="I29" s="44"/>
    </row>
    <row r="30" spans="3:39" x14ac:dyDescent="0.3">
      <c r="D30" s="42"/>
    </row>
  </sheetData>
  <mergeCells count="1">
    <mergeCell ref="C3:C4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Assumptions &amp; Input</vt:lpstr>
      <vt:lpstr>주요재무 지표</vt:lpstr>
      <vt:lpstr>Calculation</vt:lpstr>
      <vt:lpstr>예산대비 실적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Admin</cp:lastModifiedBy>
  <dcterms:created xsi:type="dcterms:W3CDTF">2020-08-27T04:41:47Z</dcterms:created>
  <dcterms:modified xsi:type="dcterms:W3CDTF">2020-09-03T04:10:52Z</dcterms:modified>
</cp:coreProperties>
</file>