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업무\1. Global Solar\21\00. PJT Moore\02. Q&amp;A\KDB생명\"/>
    </mc:Choice>
  </mc:AlternateContent>
  <bookViews>
    <workbookView xWindow="-26928" yWindow="-120" windowWidth="29040" windowHeight="15840" activeTab="2"/>
  </bookViews>
  <sheets>
    <sheet name="펀드별 CapCall" sheetId="1" r:id="rId1"/>
    <sheet name="펀드별 외화지급액" sheetId="2" r:id="rId2"/>
    <sheet name="외화지급액 상세" sheetId="4" r:id="rId3"/>
  </sheets>
  <externalReferences>
    <externalReference r:id="rId4"/>
    <externalReference r:id="rId5"/>
  </externalReferences>
  <definedNames>
    <definedName name="PeriodEndDate">'[2]Validation Checks'!$B$3</definedName>
    <definedName name="PeriodStart">'[2]Validation Checks'!$B$2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4" l="1"/>
  <c r="D109" i="4"/>
  <c r="E101" i="4"/>
  <c r="D101" i="4"/>
  <c r="F101" i="4" s="1"/>
  <c r="C101" i="4"/>
  <c r="C100" i="4"/>
  <c r="F94" i="4"/>
  <c r="E93" i="4"/>
  <c r="D93" i="4"/>
  <c r="F85" i="4"/>
  <c r="F109" i="4" s="1"/>
  <c r="E85" i="4"/>
  <c r="D85" i="4"/>
  <c r="F74" i="4"/>
  <c r="E74" i="4"/>
  <c r="E94" i="4" s="1"/>
  <c r="D74" i="4"/>
  <c r="D94" i="4" s="1"/>
  <c r="E73" i="4"/>
  <c r="D73" i="4"/>
  <c r="E66" i="4"/>
  <c r="E72" i="4" s="1"/>
  <c r="F65" i="4"/>
  <c r="E65" i="4"/>
  <c r="D65" i="4"/>
  <c r="F64" i="4"/>
  <c r="E64" i="4"/>
  <c r="D64" i="4"/>
  <c r="E63" i="4"/>
  <c r="E91" i="4" s="1"/>
  <c r="E46" i="4"/>
  <c r="D46" i="4"/>
  <c r="F39" i="4"/>
  <c r="F73" i="4" s="1"/>
  <c r="E39" i="4"/>
  <c r="D39" i="4"/>
  <c r="F34" i="4"/>
  <c r="E30" i="4"/>
  <c r="D30" i="4"/>
  <c r="D63" i="4" s="1"/>
  <c r="F29" i="4"/>
  <c r="F28" i="4"/>
  <c r="F30" i="4" s="1"/>
  <c r="F63" i="4" s="1"/>
  <c r="F27" i="4"/>
  <c r="F26" i="4"/>
  <c r="D91" i="4" l="1"/>
  <c r="D71" i="4"/>
  <c r="D66" i="4"/>
  <c r="F91" i="4"/>
  <c r="F71" i="4"/>
  <c r="E92" i="4"/>
  <c r="E71" i="4"/>
  <c r="E75" i="4" s="1"/>
  <c r="E44" i="4" s="1"/>
  <c r="F93" i="4"/>
  <c r="E84" i="4" l="1"/>
  <c r="E77" i="4"/>
  <c r="D92" i="4"/>
  <c r="D72" i="4"/>
  <c r="F66" i="4"/>
  <c r="D75" i="4"/>
  <c r="F75" i="4" l="1"/>
  <c r="D44" i="4"/>
  <c r="F92" i="4"/>
  <c r="F72" i="4"/>
  <c r="E86" i="4"/>
  <c r="E107" i="4" s="1"/>
  <c r="E95" i="4"/>
  <c r="E96" i="4" s="1"/>
  <c r="E78" i="4" l="1"/>
  <c r="E79" i="4" s="1"/>
  <c r="E106" i="4" s="1"/>
  <c r="E108" i="4"/>
  <c r="E100" i="4"/>
  <c r="E102" i="4" s="1"/>
  <c r="D84" i="4"/>
  <c r="F44" i="4"/>
  <c r="D77" i="4"/>
  <c r="G46" i="4"/>
  <c r="E110" i="4" l="1"/>
  <c r="F77" i="4"/>
  <c r="D86" i="4"/>
  <c r="F84" i="4"/>
  <c r="F95" i="4" s="1"/>
  <c r="F96" i="4" s="1"/>
  <c r="F108" i="4" s="1"/>
  <c r="D95" i="4"/>
  <c r="D96" i="4" s="1"/>
  <c r="D108" i="4" l="1"/>
  <c r="D100" i="4"/>
  <c r="D78" i="4"/>
  <c r="D107" i="4"/>
  <c r="F86" i="4"/>
  <c r="F107" i="4" s="1"/>
  <c r="F100" i="4" l="1"/>
  <c r="F102" i="4" s="1"/>
  <c r="D102" i="4"/>
  <c r="F78" i="4"/>
  <c r="D79" i="4"/>
  <c r="D106" i="4" l="1"/>
  <c r="D110" i="4" s="1"/>
  <c r="F79" i="4"/>
  <c r="F106" i="4" s="1"/>
  <c r="F110" i="4" s="1"/>
  <c r="E14" i="1" l="1"/>
  <c r="E22" i="1" l="1"/>
  <c r="F3" i="2"/>
  <c r="E3" i="2"/>
  <c r="D3" i="2"/>
  <c r="C3" i="2"/>
  <c r="C27" i="1"/>
  <c r="C34" i="1"/>
  <c r="D32" i="1"/>
  <c r="C32" i="1"/>
  <c r="D25" i="1"/>
  <c r="C25" i="1"/>
  <c r="D26" i="1"/>
  <c r="C26" i="1"/>
  <c r="A33" i="1"/>
  <c r="D20" i="1"/>
  <c r="D22" i="1" s="1"/>
  <c r="C20" i="1"/>
  <c r="C14" i="1"/>
  <c r="D14" i="1"/>
  <c r="A15" i="1"/>
  <c r="D9" i="1"/>
  <c r="C9" i="1"/>
  <c r="D8" i="1"/>
  <c r="C8" i="1"/>
  <c r="E34" i="1" l="1"/>
  <c r="C33" i="1"/>
  <c r="D33" i="1"/>
  <c r="E9" i="1"/>
  <c r="D15" i="1"/>
  <c r="D17" i="1" s="1"/>
  <c r="C15" i="1"/>
  <c r="D29" i="1"/>
  <c r="E26" i="1"/>
  <c r="C22" i="1"/>
  <c r="E27" i="1"/>
  <c r="D11" i="1"/>
  <c r="E33" i="1" l="1"/>
  <c r="E35" i="1" s="1"/>
  <c r="C35" i="1" s="1"/>
  <c r="D36" i="1"/>
  <c r="E15" i="1"/>
  <c r="E28" i="1"/>
  <c r="E10" i="1"/>
  <c r="E36" i="1" l="1"/>
  <c r="E16" i="1"/>
  <c r="C10" i="1"/>
  <c r="C36" i="1"/>
  <c r="E29" i="1"/>
  <c r="C28" i="1"/>
  <c r="E11" i="1"/>
  <c r="C29" i="1" l="1"/>
  <c r="C11" i="1"/>
  <c r="E17" i="1"/>
  <c r="C16" i="1"/>
  <c r="C17" i="1" s="1"/>
</calcChain>
</file>

<file path=xl/sharedStrings.xml><?xml version="1.0" encoding="utf-8"?>
<sst xmlns="http://schemas.openxmlformats.org/spreadsheetml/2006/main" count="139" uniqueCount="96">
  <si>
    <t>Debt</t>
  </si>
  <si>
    <t>Equity</t>
  </si>
  <si>
    <t>USD</t>
  </si>
  <si>
    <t>AUD</t>
  </si>
  <si>
    <t>Hanwha US AUS PPP 1</t>
  </si>
  <si>
    <t>Shinhan AIM 9</t>
  </si>
  <si>
    <t>Hanwha GIS 3</t>
  </si>
  <si>
    <t>Hanwha US AUS PPP 2</t>
  </si>
  <si>
    <t>Shinhan AIM 10</t>
  </si>
  <si>
    <t xml:space="preserve">Total </t>
  </si>
  <si>
    <t>1) Hanwha US AUS PPP 1</t>
    <phoneticPr fontId="2" type="noConversion"/>
  </si>
  <si>
    <t>USD</t>
    <phoneticPr fontId="2" type="noConversion"/>
  </si>
  <si>
    <t>AUD</t>
    <phoneticPr fontId="2" type="noConversion"/>
  </si>
  <si>
    <t>총액인수수수료</t>
  </si>
  <si>
    <t>총액인수수수료</t>
    <phoneticPr fontId="2" type="noConversion"/>
  </si>
  <si>
    <t>USD Debt</t>
    <phoneticPr fontId="2" type="noConversion"/>
  </si>
  <si>
    <t>AUD Debt</t>
    <phoneticPr fontId="2" type="noConversion"/>
  </si>
  <si>
    <t>USD Equity</t>
    <phoneticPr fontId="2" type="noConversion"/>
  </si>
  <si>
    <t>AUD Equity</t>
    <phoneticPr fontId="2" type="noConversion"/>
  </si>
  <si>
    <t>2) Shinhan AIM Infra 9</t>
    <phoneticPr fontId="2" type="noConversion"/>
  </si>
  <si>
    <t>Total</t>
  </si>
  <si>
    <t>Total</t>
    <phoneticPr fontId="2" type="noConversion"/>
  </si>
  <si>
    <t>예비비</t>
  </si>
  <si>
    <t>예비비</t>
    <phoneticPr fontId="2" type="noConversion"/>
  </si>
  <si>
    <t>USD 환율</t>
    <phoneticPr fontId="2" type="noConversion"/>
  </si>
  <si>
    <t>AUD 환율</t>
    <phoneticPr fontId="2" type="noConversion"/>
  </si>
  <si>
    <t>KRW</t>
  </si>
  <si>
    <t>KRW</t>
    <phoneticPr fontId="2" type="noConversion"/>
  </si>
  <si>
    <t>SPA 매매대금(대출)</t>
  </si>
  <si>
    <t>SPA 매매대금(대출)</t>
    <phoneticPr fontId="2" type="noConversion"/>
  </si>
  <si>
    <t>SPA 매매대금(지분)</t>
    <phoneticPr fontId="2" type="noConversion"/>
  </si>
  <si>
    <r>
      <t xml:space="preserve">USD 313 </t>
    </r>
    <r>
      <rPr>
        <b/>
        <u/>
        <sz val="10"/>
        <color theme="1"/>
        <rFont val="맑은 고딕"/>
        <family val="3"/>
        <charset val="129"/>
      </rPr>
      <t>기준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각</t>
    </r>
    <r>
      <rPr>
        <b/>
        <u/>
        <sz val="10"/>
        <color theme="1"/>
        <rFont val="Arial"/>
        <family val="2"/>
      </rPr>
      <t xml:space="preserve"> PJT </t>
    </r>
    <r>
      <rPr>
        <b/>
        <u/>
        <sz val="10"/>
        <color theme="1"/>
        <rFont val="맑은 고딕"/>
        <family val="2"/>
        <charset val="129"/>
      </rPr>
      <t>펀드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총액인수수수료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모수</t>
    </r>
    <phoneticPr fontId="2" type="noConversion"/>
  </si>
  <si>
    <t>3) Hanwha GIS 3</t>
    <phoneticPr fontId="2" type="noConversion"/>
  </si>
  <si>
    <t>4) Hanwha US AUS PPP 2</t>
    <phoneticPr fontId="2" type="noConversion"/>
  </si>
  <si>
    <t>Debt 관련 용역비용</t>
  </si>
  <si>
    <t>Debt 관련 용역비용</t>
    <phoneticPr fontId="2" type="noConversion"/>
  </si>
  <si>
    <t>5) Shinhan AIM Infra 10</t>
    <phoneticPr fontId="2" type="noConversion"/>
  </si>
  <si>
    <t>&lt;- 5월 14일 환 거래 기준</t>
    <phoneticPr fontId="2" type="noConversion"/>
  </si>
  <si>
    <t>PJT Moore - 펀드별 Capital Call</t>
    <phoneticPr fontId="2" type="noConversion"/>
  </si>
  <si>
    <r>
      <t xml:space="preserve">* </t>
    </r>
    <r>
      <rPr>
        <sz val="10"/>
        <color rgb="FF000000"/>
        <rFont val="돋움"/>
        <family val="3"/>
        <charset val="129"/>
      </rPr>
      <t>이연매매대금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AUD 12.5mn) </t>
    </r>
    <r>
      <rPr>
        <sz val="10"/>
        <color rgb="FF000000"/>
        <rFont val="돋움"/>
        <family val="3"/>
        <charset val="129"/>
      </rPr>
      <t>미포함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phoneticPr fontId="2" type="noConversion"/>
  </si>
  <si>
    <t>펀드별 외화지급액</t>
    <phoneticPr fontId="2" type="noConversion"/>
  </si>
  <si>
    <t>PROJECT MOORE COMPLETION CASHFLOW - WORKED EXAMPLE</t>
  </si>
  <si>
    <t>Key Principles</t>
  </si>
  <si>
    <t>1. The Locked Box / Valuation Date is 30 June 2020 and this example is based on an assumed Completion Date (see below)</t>
  </si>
  <si>
    <t>2. A daily interest rate will accrue on Equity Value from Locked Box Date to Completion Date, representing a time value of money adjustment (overall the "Adjustment Amount").</t>
  </si>
  <si>
    <t>3. All AGIP operating costs &amp; distributions (s.t. point 4 below) &amp; Moore seller costs post 30.6.2020 are funded via asset income, treated as Leakage and deducted from Consideration.</t>
  </si>
  <si>
    <t>4. Sellers have not valued the opening cash balance in AGIP at 30 June 2020. Extraction of this amount is not "Leakage" and should not reduce consideration.</t>
  </si>
  <si>
    <t>5. Equity Value is calculated as the Preferred Bidder's portfolio valuation (at 30 June 2020).</t>
  </si>
  <si>
    <t>6. There is a Deferred Consideration amount of AUD 12.5m. This model allows user to select if conditions for release are met and the date of release.</t>
  </si>
  <si>
    <t>7. There is no time value of money adjustment to Leakage or Deferred Consideration</t>
  </si>
  <si>
    <t>Assumptions</t>
  </si>
  <si>
    <t>FX USD:AUD</t>
  </si>
  <si>
    <t>Locked Box Date</t>
  </si>
  <si>
    <t>Completion Date</t>
  </si>
  <si>
    <t>Deferred Consideration Released?</t>
  </si>
  <si>
    <t>(1=Yes, 0=No)</t>
  </si>
  <si>
    <t>Deferred Consideration Release Date</t>
  </si>
  <si>
    <t>USD Fund (USD)</t>
  </si>
  <si>
    <t>AUD Fund (AUD)</t>
  </si>
  <si>
    <t>Total (USD)</t>
  </si>
  <si>
    <t>Equity Value</t>
  </si>
  <si>
    <t>Mundaring</t>
  </si>
  <si>
    <t>NGR</t>
  </si>
  <si>
    <t>NRAH</t>
  </si>
  <si>
    <t>Denver</t>
  </si>
  <si>
    <t>See SPA Schedule 1 tab</t>
  </si>
  <si>
    <t>Deferred Consideration Maximum Amount</t>
  </si>
  <si>
    <t>Forecast Pre Completion Leakage</t>
  </si>
  <si>
    <t>Total Leakage</t>
  </si>
  <si>
    <t>See Leakage Schedule tab</t>
  </si>
  <si>
    <t>Debt Facility</t>
  </si>
  <si>
    <t>Debt Facility Size</t>
  </si>
  <si>
    <t>See SPA Waiver Letter</t>
  </si>
  <si>
    <t>Max Available (FA Schedule 1)</t>
  </si>
  <si>
    <t>Other</t>
  </si>
  <si>
    <t>Ticker (p.a.)</t>
  </si>
  <si>
    <t>Seller Transaction Costs on Completion Date</t>
  </si>
  <si>
    <t>Completion Mechanics</t>
  </si>
  <si>
    <t>Adjustment Amount</t>
  </si>
  <si>
    <t>Interest Rate</t>
  </si>
  <si>
    <t>Days to Completion</t>
  </si>
  <si>
    <t>Total Adjustment Amount</t>
  </si>
  <si>
    <t>Total Purchase Price</t>
  </si>
  <si>
    <t>Pre Completion Leakage</t>
  </si>
  <si>
    <t>Deferred Consideration Reduction</t>
  </si>
  <si>
    <t xml:space="preserve">Debt </t>
  </si>
  <si>
    <t>Total Funding</t>
  </si>
  <si>
    <t>Completion Distribution</t>
  </si>
  <si>
    <t>Completion Drawdown</t>
  </si>
  <si>
    <t>Seller Completion Costs</t>
  </si>
  <si>
    <t>SPA Consideration</t>
  </si>
  <si>
    <t xml:space="preserve">Adjustment Amount </t>
  </si>
  <si>
    <t>Pre-Completion Leakage</t>
  </si>
  <si>
    <t>SPA Consideration by payment dates:</t>
  </si>
  <si>
    <t>Check: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</si>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</sst>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0.000000%"/>
    <numFmt numFmtId="182" formatCode="#,##0.000_);\(#,##0.000\)"/>
    <numFmt numFmtId="183" formatCode="dd/mm/yy;@"/>
    <numFmt numFmtId="184" formatCode="#,##0_);\(#,##0\)"/>
    <numFmt numFmtId="185" formatCode="#,##0.00_);\(#,##0.00\)"/>
    <numFmt numFmtId="186" formatCode="0.000%"/>
    <numFmt numFmtId="187" formatCode="_-* #,##0_-;\-* #,##0_-;_-* &quot;-&quot;??_-;_-@_-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Times New Roman"/>
      <family val="1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1"/>
      <name val="맑은 고딕"/>
      <family val="3"/>
      <charset val="129"/>
    </font>
    <font>
      <b/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u/>
      <sz val="16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rgb="FF000000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/>
      <right style="dotted">
        <color auto="1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24" fillId="0" borderId="0"/>
    <xf numFmtId="0" fontId="27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09">
    <xf numFmtId="0" fontId="0" fillId="0" borderId="0" xfId="0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0" xfId="0" applyFont="1">
      <alignment vertical="center"/>
    </xf>
    <xf numFmtId="176" fontId="6" fillId="0" borderId="2" xfId="1" applyNumberFormat="1" applyFont="1" applyBorder="1" applyAlignment="1">
      <alignment horizontal="left" vertical="center"/>
    </xf>
    <xf numFmtId="176" fontId="6" fillId="0" borderId="10" xfId="1" applyNumberFormat="1" applyFont="1" applyBorder="1" applyAlignment="1">
      <alignment horizontal="left" vertical="center"/>
    </xf>
    <xf numFmtId="41" fontId="7" fillId="3" borderId="8" xfId="1" applyFont="1" applyFill="1" applyBorder="1" applyAlignment="1">
      <alignment horizontal="left" vertical="center"/>
    </xf>
    <xf numFmtId="176" fontId="6" fillId="0" borderId="8" xfId="1" applyNumberFormat="1" applyFont="1" applyBorder="1" applyAlignment="1">
      <alignment horizontal="left" vertical="center"/>
    </xf>
    <xf numFmtId="176" fontId="6" fillId="0" borderId="11" xfId="1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justify" vertical="center"/>
    </xf>
    <xf numFmtId="0" fontId="7" fillId="3" borderId="8" xfId="0" applyFont="1" applyFill="1" applyBorder="1" applyAlignment="1">
      <alignment horizontal="justify" vertical="center"/>
    </xf>
    <xf numFmtId="176" fontId="6" fillId="0" borderId="12" xfId="1" applyNumberFormat="1" applyFont="1" applyBorder="1" applyAlignment="1">
      <alignment horizontal="justify" vertical="center"/>
    </xf>
    <xf numFmtId="176" fontId="6" fillId="0" borderId="11" xfId="1" applyNumberFormat="1" applyFont="1" applyBorder="1" applyAlignment="1">
      <alignment horizontal="justify" vertical="center"/>
    </xf>
    <xf numFmtId="176" fontId="6" fillId="0" borderId="0" xfId="1" applyNumberFormat="1" applyFont="1" applyAlignment="1">
      <alignment horizontal="justify" vertical="center"/>
    </xf>
    <xf numFmtId="176" fontId="6" fillId="0" borderId="8" xfId="1" applyNumberFormat="1" applyFont="1" applyBorder="1" applyAlignment="1">
      <alignment horizontal="justify" vertical="center"/>
    </xf>
    <xf numFmtId="177" fontId="6" fillId="0" borderId="0" xfId="0" applyNumberFormat="1" applyFont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9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 indent="1"/>
    </xf>
    <xf numFmtId="10" fontId="14" fillId="0" borderId="0" xfId="0" applyNumberFormat="1" applyFont="1">
      <alignment vertical="center"/>
    </xf>
    <xf numFmtId="0" fontId="17" fillId="0" borderId="0" xfId="0" applyFont="1">
      <alignment vertical="center"/>
    </xf>
    <xf numFmtId="0" fontId="14" fillId="0" borderId="14" xfId="0" applyFont="1" applyBorder="1">
      <alignment vertical="center"/>
    </xf>
    <xf numFmtId="43" fontId="14" fillId="0" borderId="14" xfId="0" applyNumberFormat="1" applyFont="1" applyBorder="1">
      <alignment vertical="center"/>
    </xf>
    <xf numFmtId="0" fontId="15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center" vertical="center"/>
    </xf>
    <xf numFmtId="0" fontId="16" fillId="5" borderId="14" xfId="0" applyFont="1" applyFill="1" applyBorder="1">
      <alignment vertical="center"/>
    </xf>
    <xf numFmtId="176" fontId="14" fillId="0" borderId="14" xfId="1" applyNumberFormat="1" applyFont="1" applyBorder="1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0" fontId="20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2" fontId="20" fillId="4" borderId="0" xfId="0" applyNumberFormat="1" applyFont="1" applyFill="1">
      <alignment vertical="center"/>
    </xf>
    <xf numFmtId="43" fontId="0" fillId="0" borderId="0" xfId="0" applyNumberFormat="1">
      <alignment vertical="center"/>
    </xf>
    <xf numFmtId="0" fontId="21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10" fillId="0" borderId="16" xfId="1" applyNumberFormat="1" applyFont="1" applyBorder="1">
      <alignment vertical="center"/>
    </xf>
    <xf numFmtId="0" fontId="22" fillId="5" borderId="16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176" fontId="14" fillId="0" borderId="19" xfId="1" applyNumberFormat="1" applyFont="1" applyBorder="1">
      <alignment vertical="center"/>
    </xf>
    <xf numFmtId="176" fontId="14" fillId="0" borderId="19" xfId="0" applyNumberFormat="1" applyFont="1" applyBorder="1">
      <alignment vertical="center"/>
    </xf>
    <xf numFmtId="0" fontId="16" fillId="5" borderId="17" xfId="0" applyFont="1" applyFill="1" applyBorder="1" applyAlignment="1">
      <alignment horizontal="center" vertical="center"/>
    </xf>
    <xf numFmtId="176" fontId="14" fillId="0" borderId="17" xfId="1" applyNumberFormat="1" applyFont="1" applyBorder="1">
      <alignment vertical="center"/>
    </xf>
    <xf numFmtId="176" fontId="14" fillId="0" borderId="17" xfId="0" applyNumberFormat="1" applyFont="1" applyBorder="1">
      <alignment vertical="center"/>
    </xf>
    <xf numFmtId="176" fontId="14" fillId="0" borderId="18" xfId="1" applyNumberFormat="1" applyFont="1" applyFill="1" applyBorder="1">
      <alignment vertical="center"/>
    </xf>
    <xf numFmtId="176" fontId="14" fillId="0" borderId="15" xfId="1" applyNumberFormat="1" applyFont="1" applyFill="1" applyBorder="1">
      <alignment vertical="center"/>
    </xf>
    <xf numFmtId="176" fontId="14" fillId="0" borderId="0" xfId="1" applyNumberFormat="1" applyFont="1" applyFill="1">
      <alignment vertical="center"/>
    </xf>
    <xf numFmtId="176" fontId="14" fillId="0" borderId="18" xfId="0" applyNumberFormat="1" applyFont="1" applyFill="1" applyBorder="1">
      <alignment vertical="center"/>
    </xf>
    <xf numFmtId="176" fontId="14" fillId="0" borderId="15" xfId="0" applyNumberFormat="1" applyFont="1" applyFill="1" applyBorder="1">
      <alignment vertical="center"/>
    </xf>
    <xf numFmtId="43" fontId="14" fillId="0" borderId="0" xfId="0" applyNumberFormat="1" applyFont="1" applyFill="1">
      <alignment vertical="center"/>
    </xf>
    <xf numFmtId="43" fontId="14" fillId="0" borderId="18" xfId="0" applyNumberFormat="1" applyFont="1" applyFill="1" applyBorder="1">
      <alignment vertical="center"/>
    </xf>
    <xf numFmtId="43" fontId="14" fillId="0" borderId="15" xfId="0" applyNumberFormat="1" applyFont="1" applyFill="1" applyBorder="1">
      <alignment vertical="center"/>
    </xf>
    <xf numFmtId="0" fontId="10" fillId="6" borderId="0" xfId="4" applyFont="1" applyFill="1"/>
    <xf numFmtId="0" fontId="25" fillId="6" borderId="0" xfId="4" applyFont="1" applyFill="1" applyAlignment="1">
      <alignment vertical="center"/>
    </xf>
    <xf numFmtId="0" fontId="10" fillId="0" borderId="0" xfId="4" applyFont="1"/>
    <xf numFmtId="0" fontId="10" fillId="7" borderId="0" xfId="4" applyFont="1" applyFill="1"/>
    <xf numFmtId="0" fontId="26" fillId="7" borderId="0" xfId="4" applyFont="1" applyFill="1"/>
    <xf numFmtId="182" fontId="27" fillId="8" borderId="20" xfId="5" applyNumberFormat="1" applyFont="1" applyFill="1" applyBorder="1" applyAlignment="1">
      <alignment horizontal="center" vertical="center"/>
    </xf>
    <xf numFmtId="183" fontId="27" fillId="8" borderId="20" xfId="5" applyNumberFormat="1" applyFont="1" applyFill="1" applyBorder="1" applyAlignment="1">
      <alignment horizontal="center" vertical="center"/>
    </xf>
    <xf numFmtId="184" fontId="27" fillId="8" borderId="20" xfId="5" applyNumberFormat="1" applyFont="1" applyFill="1" applyBorder="1" applyAlignment="1">
      <alignment horizontal="center" vertical="center"/>
    </xf>
    <xf numFmtId="185" fontId="28" fillId="6" borderId="20" xfId="5" applyNumberFormat="1" applyFont="1" applyFill="1" applyBorder="1" applyAlignment="1">
      <alignment horizontal="center" vertical="center"/>
    </xf>
    <xf numFmtId="0" fontId="29" fillId="0" borderId="0" xfId="4" applyFont="1"/>
    <xf numFmtId="0" fontId="30" fillId="0" borderId="0" xfId="4" applyFont="1"/>
    <xf numFmtId="0" fontId="31" fillId="0" borderId="0" xfId="4" applyFont="1"/>
    <xf numFmtId="0" fontId="11" fillId="0" borderId="0" xfId="4" applyFont="1"/>
    <xf numFmtId="185" fontId="27" fillId="8" borderId="20" xfId="5" applyNumberFormat="1" applyFont="1" applyFill="1" applyBorder="1" applyAlignment="1">
      <alignment horizontal="right" vertical="center"/>
    </xf>
    <xf numFmtId="185" fontId="27" fillId="0" borderId="20" xfId="5" applyNumberFormat="1" applyFont="1" applyFill="1" applyBorder="1" applyAlignment="1">
      <alignment horizontal="right" vertical="center"/>
    </xf>
    <xf numFmtId="185" fontId="27" fillId="8" borderId="21" xfId="5" applyNumberFormat="1" applyFont="1" applyFill="1" applyBorder="1" applyAlignment="1">
      <alignment horizontal="right" vertical="center"/>
    </xf>
    <xf numFmtId="0" fontId="10" fillId="0" borderId="22" xfId="4" applyFont="1" applyBorder="1"/>
    <xf numFmtId="185" fontId="27" fillId="0" borderId="23" xfId="5" applyNumberFormat="1" applyFont="1" applyFill="1" applyBorder="1" applyAlignment="1">
      <alignment horizontal="right" vertical="center"/>
    </xf>
    <xf numFmtId="185" fontId="28" fillId="0" borderId="23" xfId="5" applyNumberFormat="1" applyFont="1" applyFill="1" applyBorder="1" applyAlignment="1">
      <alignment horizontal="right" vertical="center"/>
    </xf>
    <xf numFmtId="0" fontId="10" fillId="0" borderId="0" xfId="4" applyFont="1" applyBorder="1"/>
    <xf numFmtId="185" fontId="27" fillId="0" borderId="0" xfId="5" applyNumberFormat="1" applyFont="1" applyFill="1" applyBorder="1" applyAlignment="1">
      <alignment horizontal="right" vertical="center"/>
    </xf>
    <xf numFmtId="185" fontId="28" fillId="0" borderId="0" xfId="5" applyNumberFormat="1" applyFont="1" applyFill="1" applyBorder="1" applyAlignment="1">
      <alignment horizontal="right" vertical="center"/>
    </xf>
    <xf numFmtId="0" fontId="10" fillId="0" borderId="0" xfId="4" applyFont="1" applyAlignment="1">
      <alignment horizontal="center"/>
    </xf>
    <xf numFmtId="0" fontId="22" fillId="0" borderId="0" xfId="4" applyFont="1" applyAlignment="1">
      <alignment horizontal="center"/>
    </xf>
    <xf numFmtId="0" fontId="22" fillId="0" borderId="0" xfId="4" applyFont="1"/>
    <xf numFmtId="186" fontId="27" fillId="8" borderId="20" xfId="6" applyNumberFormat="1" applyFont="1" applyFill="1" applyBorder="1" applyAlignment="1">
      <alignment horizontal="center" vertical="center"/>
    </xf>
    <xf numFmtId="185" fontId="28" fillId="0" borderId="20" xfId="5" applyNumberFormat="1" applyFont="1" applyFill="1" applyBorder="1" applyAlignment="1">
      <alignment horizontal="right" vertical="center"/>
    </xf>
    <xf numFmtId="0" fontId="32" fillId="0" borderId="0" xfId="4" applyFont="1"/>
    <xf numFmtId="185" fontId="33" fillId="0" borderId="0" xfId="5" applyNumberFormat="1" applyFont="1" applyFill="1" applyBorder="1" applyAlignment="1">
      <alignment horizontal="right" vertical="center"/>
    </xf>
    <xf numFmtId="10" fontId="27" fillId="8" borderId="20" xfId="6" applyNumberFormat="1" applyFont="1" applyFill="1" applyBorder="1" applyAlignment="1">
      <alignment horizontal="center" vertical="center"/>
    </xf>
    <xf numFmtId="14" fontId="10" fillId="0" borderId="0" xfId="4" applyNumberFormat="1" applyFont="1"/>
    <xf numFmtId="10" fontId="27" fillId="0" borderId="20" xfId="6" applyNumberFormat="1" applyFont="1" applyFill="1" applyBorder="1" applyAlignment="1">
      <alignment horizontal="right" vertical="center"/>
    </xf>
    <xf numFmtId="1" fontId="27" fillId="0" borderId="20" xfId="6" applyNumberFormat="1" applyFont="1" applyFill="1" applyBorder="1" applyAlignment="1">
      <alignment horizontal="right" vertical="center"/>
    </xf>
    <xf numFmtId="187" fontId="10" fillId="0" borderId="0" xfId="7" applyNumberFormat="1" applyFont="1"/>
    <xf numFmtId="185" fontId="27" fillId="0" borderId="21" xfId="5" applyNumberFormat="1" applyFont="1" applyFill="1" applyBorder="1" applyAlignment="1">
      <alignment horizontal="right" vertical="center"/>
    </xf>
    <xf numFmtId="183" fontId="10" fillId="0" borderId="20" xfId="4" applyNumberFormat="1" applyFont="1" applyBorder="1" applyAlignment="1">
      <alignment horizontal="left"/>
    </xf>
    <xf numFmtId="183" fontId="10" fillId="0" borderId="21" xfId="4" applyNumberFormat="1" applyFont="1" applyBorder="1" applyAlignment="1">
      <alignment horizontal="left"/>
    </xf>
    <xf numFmtId="0" fontId="10" fillId="0" borderId="24" xfId="4" applyFont="1" applyBorder="1"/>
    <xf numFmtId="185" fontId="32" fillId="0" borderId="0" xfId="4" applyNumberFormat="1" applyFont="1"/>
    <xf numFmtId="0" fontId="32" fillId="0" borderId="22" xfId="4" applyFont="1" applyBorder="1"/>
    <xf numFmtId="185" fontId="32" fillId="0" borderId="22" xfId="4" applyNumberFormat="1" applyFont="1" applyBorder="1"/>
    <xf numFmtId="0" fontId="32" fillId="0" borderId="0" xfId="4" applyFont="1" applyBorder="1"/>
    <xf numFmtId="185" fontId="32" fillId="0" borderId="0" xfId="4" applyNumberFormat="1" applyFont="1" applyBorder="1"/>
  </cellXfs>
  <cellStyles count="8">
    <cellStyle name="Normal 2" xfId="5"/>
    <cellStyle name="백분율 2" xfId="3"/>
    <cellStyle name="백분율 3" xfId="6"/>
    <cellStyle name="쉼표 [0]" xfId="1" builtinId="6"/>
    <cellStyle name="쉼표 [0] 2" xfId="2"/>
    <cellStyle name="쉼표 2" xfId="7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Moore%20Completion%20Modelling%20V19%2012%20May%202021%20Buy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rastructure/Infrastructure%20Finance_u/AGIP/Legal%20Entities%20and%20Committees/AGIP%20LP/Management%20Accounts/AGIP%20LP%20-%20Q4%202020%20-%20Man%20Accs%20-%20v2%20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ion Mechanics"/>
      <sheetName val="Legal Extracts"/>
      <sheetName val="Leakage Schedule"/>
    </sheetNames>
    <sheetDataSet>
      <sheetData sheetId="0"/>
      <sheetData sheetId="1">
        <row r="74">
          <cell r="O74">
            <v>103850896.5</v>
          </cell>
          <cell r="P74">
            <v>161489774.09999999</v>
          </cell>
        </row>
      </sheetData>
      <sheetData sheetId="2">
        <row r="174">
          <cell r="D174">
            <v>4440983.0363592086</v>
          </cell>
          <cell r="E174">
            <v>3620665.1271347147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 Review Q1"/>
      <sheetName val="NB Review Q4"/>
      <sheetName val="NB Review Q2"/>
      <sheetName val="NB Review"/>
      <sheetName val="Validation Checks"/>
      <sheetName val="Sheet1"/>
      <sheetName val="Cons workings"/>
      <sheetName val="A-Accounts CONS"/>
      <sheetName val="C1-TB cons"/>
      <sheetName val="C2 - GL Fund"/>
      <sheetName val="C3 - GL CONS"/>
      <sheetName val="A-Accounts AUD comm"/>
      <sheetName val="C1-TB AUD comm"/>
      <sheetName val="A-Accounts USD comm (AUD)"/>
      <sheetName val="C1-TB USD comm (AUD)"/>
      <sheetName val="E1-Investments"/>
      <sheetName val="G1-Debtors"/>
      <sheetName val="LC Fee Recalc"/>
      <sheetName val="H1-Bank"/>
      <sheetName val="I1-LP Creditors FX working"/>
      <sheetName val="I2 - LC Fees"/>
      <sheetName val="I1-Creditors"/>
      <sheetName val="L1-Income"/>
      <sheetName val="M1-Fund Expenses"/>
      <sheetName val="M1-Expenses"/>
      <sheetName val="M3 - GPS"/>
      <sheetName val="M4 - Management Fee"/>
      <sheetName val="Valuation sheet Q3"/>
      <sheetName val="N1-Equity"/>
      <sheetName val="N2 - Calls &amp; Dists"/>
      <sheetName val="Valuation Q4 2020"/>
      <sheetName val="Investor Accounts Checks"/>
      <sheetName val="Oct 2020 Dist  COPY"/>
      <sheetName val="Cap Accs"/>
      <sheetName val="Cap accs workings"/>
      <sheetName val="Investment Summary"/>
      <sheetName val="Capital Accounts table"/>
      <sheetName val="Fund Summary Table"/>
      <sheetName val="Commitments table"/>
      <sheetName val="Cumulative draw-downs"/>
      <sheetName val="Net Assets-Liabilities "/>
      <sheetName val="Capital Statements-USD Comm"/>
      <sheetName val="AUD Actuals"/>
      <sheetName val="USD Actuals"/>
      <sheetName val="USD - Trial Balance"/>
      <sheetName val="USD only consolidated tb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44105</v>
          </cell>
        </row>
        <row r="3">
          <cell r="B3">
            <v>44196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showGridLines="0" topLeftCell="A4" zoomScale="85" zoomScaleNormal="85" workbookViewId="0">
      <selection activeCell="I21" sqref="I21"/>
    </sheetView>
  </sheetViews>
  <sheetFormatPr defaultRowHeight="17.399999999999999" x14ac:dyDescent="0.4"/>
  <cols>
    <col min="1" max="1" width="7.09765625" customWidth="1"/>
    <col min="2" max="2" width="21.59765625" customWidth="1"/>
    <col min="3" max="3" width="22.296875" customWidth="1"/>
    <col min="4" max="5" width="18.69921875" customWidth="1"/>
    <col min="6" max="6" width="4.19921875" customWidth="1"/>
  </cols>
  <sheetData>
    <row r="2" spans="1:6" ht="25.2" x14ac:dyDescent="0.4">
      <c r="B2" s="29" t="s">
        <v>38</v>
      </c>
    </row>
    <row r="3" spans="1:6" x14ac:dyDescent="0.4">
      <c r="B3" s="10"/>
    </row>
    <row r="4" spans="1:6" x14ac:dyDescent="0.4">
      <c r="A4" s="38"/>
      <c r="B4" s="38"/>
      <c r="C4" s="42" t="s">
        <v>24</v>
      </c>
      <c r="D4" s="42" t="s">
        <v>25</v>
      </c>
      <c r="E4" s="38"/>
      <c r="F4" s="37"/>
    </row>
    <row r="5" spans="1:6" x14ac:dyDescent="0.4">
      <c r="A5" s="38"/>
      <c r="B5" s="38"/>
      <c r="C5" s="43">
        <v>1128</v>
      </c>
      <c r="D5" s="43">
        <v>873</v>
      </c>
      <c r="E5" s="36" t="s">
        <v>37</v>
      </c>
      <c r="F5" s="37"/>
    </row>
    <row r="6" spans="1:6" x14ac:dyDescent="0.4">
      <c r="A6" s="38"/>
      <c r="B6" s="38"/>
      <c r="C6" s="38"/>
      <c r="D6" s="38"/>
      <c r="E6" s="38"/>
      <c r="F6" s="37"/>
    </row>
    <row r="7" spans="1:6" x14ac:dyDescent="0.4">
      <c r="A7" s="26"/>
      <c r="B7" s="32" t="s">
        <v>10</v>
      </c>
      <c r="C7" s="52" t="s">
        <v>11</v>
      </c>
      <c r="D7" s="55" t="s">
        <v>12</v>
      </c>
      <c r="E7" s="33" t="s">
        <v>27</v>
      </c>
      <c r="F7" s="26"/>
    </row>
    <row r="8" spans="1:6" x14ac:dyDescent="0.4">
      <c r="A8" s="26"/>
      <c r="B8" s="27" t="s">
        <v>30</v>
      </c>
      <c r="C8" s="58">
        <f>'펀드별 외화지급액'!E6</f>
        <v>15296457.640000001</v>
      </c>
      <c r="D8" s="59">
        <f>'펀드별 외화지급액'!F6</f>
        <v>20013278.760000002</v>
      </c>
      <c r="E8" s="60">
        <v>34725996572</v>
      </c>
      <c r="F8" s="26"/>
    </row>
    <row r="9" spans="1:6" x14ac:dyDescent="0.4">
      <c r="A9" s="28">
        <v>1.7999999999999999E-2</v>
      </c>
      <c r="B9" s="27" t="s">
        <v>14</v>
      </c>
      <c r="C9" s="58">
        <f>'펀드별 CapCall'!C41*$A$9</f>
        <v>267765.44291999994</v>
      </c>
      <c r="D9" s="59">
        <f>'펀드별 CapCall'!C42*$A$9</f>
        <v>414398.89980000001</v>
      </c>
      <c r="E9" s="60">
        <f>C9*$C$5+D9*$D$5</f>
        <v>663809659.13915992</v>
      </c>
      <c r="F9" s="26"/>
    </row>
    <row r="10" spans="1:6" x14ac:dyDescent="0.4">
      <c r="A10" s="28"/>
      <c r="B10" s="27" t="s">
        <v>23</v>
      </c>
      <c r="C10" s="58">
        <f>E10/$C$5</f>
        <v>9037.0291319502157</v>
      </c>
      <c r="D10" s="59"/>
      <c r="E10" s="60">
        <f>35400000000-SUM(E8:E9)</f>
        <v>10193768.860839844</v>
      </c>
      <c r="F10" s="26"/>
    </row>
    <row r="11" spans="1:6" x14ac:dyDescent="0.4">
      <c r="A11" s="26"/>
      <c r="B11" s="30" t="s">
        <v>21</v>
      </c>
      <c r="C11" s="53">
        <f>SUM(C8:C10)</f>
        <v>15573260.112051951</v>
      </c>
      <c r="D11" s="56">
        <f>SUM(D8:D9)</f>
        <v>20427677.6598</v>
      </c>
      <c r="E11" s="35">
        <f>SUM(E8:E10)</f>
        <v>35400000000</v>
      </c>
      <c r="F11" s="26"/>
    </row>
    <row r="12" spans="1:6" x14ac:dyDescent="0.4">
      <c r="A12" s="26"/>
      <c r="B12" s="26"/>
      <c r="C12" s="26"/>
      <c r="D12" s="26"/>
      <c r="E12" s="26"/>
      <c r="F12" s="26"/>
    </row>
    <row r="13" spans="1:6" x14ac:dyDescent="0.4">
      <c r="A13" s="26"/>
      <c r="B13" s="34" t="s">
        <v>19</v>
      </c>
      <c r="C13" s="52" t="s">
        <v>11</v>
      </c>
      <c r="D13" s="55" t="s">
        <v>12</v>
      </c>
      <c r="E13" s="33" t="s">
        <v>27</v>
      </c>
      <c r="F13" s="26"/>
    </row>
    <row r="14" spans="1:6" x14ac:dyDescent="0.4">
      <c r="A14" s="26"/>
      <c r="B14" s="27" t="s">
        <v>30</v>
      </c>
      <c r="C14" s="58">
        <f>'펀드별 외화지급액'!E7</f>
        <v>15296457.640000001</v>
      </c>
      <c r="D14" s="59">
        <f>'펀드별 외화지급액'!F7</f>
        <v>20013278.760000002</v>
      </c>
      <c r="E14" s="60">
        <f>E8</f>
        <v>34725996572</v>
      </c>
      <c r="F14" s="26"/>
    </row>
    <row r="15" spans="1:6" x14ac:dyDescent="0.4">
      <c r="A15" s="28">
        <f>A9</f>
        <v>1.7999999999999999E-2</v>
      </c>
      <c r="B15" s="27" t="s">
        <v>14</v>
      </c>
      <c r="C15" s="58">
        <f>C9</f>
        <v>267765.44291999994</v>
      </c>
      <c r="D15" s="59">
        <f>D9</f>
        <v>414398.89980000001</v>
      </c>
      <c r="E15" s="60">
        <f>C15*$C$5+D15*$D$5</f>
        <v>663809659.13915992</v>
      </c>
      <c r="F15" s="26"/>
    </row>
    <row r="16" spans="1:6" x14ac:dyDescent="0.4">
      <c r="A16" s="26"/>
      <c r="B16" s="27" t="s">
        <v>23</v>
      </c>
      <c r="C16" s="58">
        <f>E16/$C$5</f>
        <v>9037.0291319502157</v>
      </c>
      <c r="D16" s="59"/>
      <c r="E16" s="60">
        <f>E10</f>
        <v>10193768.860839844</v>
      </c>
      <c r="F16" s="26"/>
    </row>
    <row r="17" spans="1:6" x14ac:dyDescent="0.4">
      <c r="A17" s="26"/>
      <c r="B17" s="30" t="s">
        <v>21</v>
      </c>
      <c r="C17" s="53">
        <f t="shared" ref="C17:D17" si="0">SUM(C14:C16)</f>
        <v>15573260.112051951</v>
      </c>
      <c r="D17" s="56">
        <f t="shared" si="0"/>
        <v>20427677.6598</v>
      </c>
      <c r="E17" s="35">
        <f>SUM(E14:E16)</f>
        <v>35400000000</v>
      </c>
      <c r="F17" s="26"/>
    </row>
    <row r="18" spans="1:6" x14ac:dyDescent="0.4">
      <c r="A18" s="38"/>
      <c r="B18" s="38"/>
      <c r="C18" s="38"/>
      <c r="D18" s="38"/>
      <c r="E18" s="38"/>
    </row>
    <row r="19" spans="1:6" x14ac:dyDescent="0.4">
      <c r="A19" s="38"/>
      <c r="B19" s="34" t="s">
        <v>32</v>
      </c>
      <c r="C19" s="52" t="s">
        <v>2</v>
      </c>
      <c r="D19" s="55" t="s">
        <v>3</v>
      </c>
      <c r="E19" s="33" t="s">
        <v>26</v>
      </c>
    </row>
    <row r="20" spans="1:6" x14ac:dyDescent="0.4">
      <c r="A20" s="38"/>
      <c r="B20" s="27" t="s">
        <v>30</v>
      </c>
      <c r="C20" s="58">
        <f>'펀드별 외화지급액'!E8</f>
        <v>20058849.52</v>
      </c>
      <c r="D20" s="59">
        <f>'펀드별 외화지급액'!F8</f>
        <v>26244203.510000002</v>
      </c>
      <c r="E20" s="60">
        <v>45537571922</v>
      </c>
    </row>
    <row r="21" spans="1:6" x14ac:dyDescent="0.4">
      <c r="A21" s="38"/>
      <c r="B21" s="27" t="s">
        <v>22</v>
      </c>
      <c r="C21" s="58"/>
      <c r="D21" s="59"/>
      <c r="E21" s="60"/>
    </row>
    <row r="22" spans="1:6" x14ac:dyDescent="0.4">
      <c r="A22" s="38"/>
      <c r="B22" s="30" t="s">
        <v>20</v>
      </c>
      <c r="C22" s="53">
        <f t="shared" ref="C22:D22" si="1">SUM(C20:C21)</f>
        <v>20058849.52</v>
      </c>
      <c r="D22" s="56">
        <f t="shared" si="1"/>
        <v>26244203.510000002</v>
      </c>
      <c r="E22" s="35">
        <f>SUM(E20:E21)</f>
        <v>45537571922</v>
      </c>
    </row>
    <row r="23" spans="1:6" x14ac:dyDescent="0.4">
      <c r="A23" s="38"/>
      <c r="B23" s="30"/>
      <c r="C23" s="30"/>
      <c r="D23" s="30"/>
      <c r="E23" s="31"/>
    </row>
    <row r="24" spans="1:6" x14ac:dyDescent="0.4">
      <c r="A24" s="38"/>
      <c r="B24" s="32" t="s">
        <v>33</v>
      </c>
      <c r="C24" s="52" t="s">
        <v>11</v>
      </c>
      <c r="D24" s="55" t="s">
        <v>12</v>
      </c>
      <c r="E24" s="33" t="s">
        <v>27</v>
      </c>
    </row>
    <row r="25" spans="1:6" x14ac:dyDescent="0.4">
      <c r="A25" s="38"/>
      <c r="B25" s="27" t="s">
        <v>29</v>
      </c>
      <c r="C25" s="61">
        <f>'펀드별 외화지급액'!C9</f>
        <v>51917788.560000002</v>
      </c>
      <c r="D25" s="62">
        <f>'펀드별 외화지급액'!D9</f>
        <v>80739609.620000005</v>
      </c>
      <c r="E25" s="63">
        <v>129048944693</v>
      </c>
    </row>
    <row r="26" spans="1:6" x14ac:dyDescent="0.4">
      <c r="A26" s="41">
        <v>1.2999999999999999E-2</v>
      </c>
      <c r="B26" s="27" t="s">
        <v>14</v>
      </c>
      <c r="C26" s="64">
        <f>'펀드별 CapCall'!C39*'펀드별 CapCall'!A26</f>
        <v>656376.39339999994</v>
      </c>
      <c r="D26" s="65">
        <f>'펀드별 CapCall'!C40*'펀드별 CapCall'!A26</f>
        <v>1015820.60892</v>
      </c>
      <c r="E26" s="63">
        <f>C26*$C$5+D26*$D$5</f>
        <v>1627203963.34236</v>
      </c>
    </row>
    <row r="27" spans="1:6" x14ac:dyDescent="0.4">
      <c r="A27" s="41"/>
      <c r="B27" s="27" t="s">
        <v>35</v>
      </c>
      <c r="C27" s="64">
        <f>(180000+11250+10550+10000)*1.2/2</f>
        <v>127080</v>
      </c>
      <c r="D27" s="65"/>
      <c r="E27" s="63">
        <f>C27*$C$5+D27*$D$5</f>
        <v>143346240</v>
      </c>
    </row>
    <row r="28" spans="1:6" x14ac:dyDescent="0.4">
      <c r="A28" s="38"/>
      <c r="B28" s="27" t="s">
        <v>23</v>
      </c>
      <c r="C28" s="64">
        <f>E28/$C$5</f>
        <v>71369.772746133473</v>
      </c>
      <c r="D28" s="65"/>
      <c r="E28" s="63">
        <f>130900000000-SUM(E25:E27)</f>
        <v>80505103.65763855</v>
      </c>
    </row>
    <row r="29" spans="1:6" x14ac:dyDescent="0.4">
      <c r="A29" s="38"/>
      <c r="B29" s="30" t="s">
        <v>21</v>
      </c>
      <c r="C29" s="54">
        <f>SUM(C25:C28)</f>
        <v>52772614.726146132</v>
      </c>
      <c r="D29" s="57">
        <f t="shared" ref="D29" si="2">SUM(D25:D28)</f>
        <v>81755430.228919998</v>
      </c>
      <c r="E29" s="31">
        <f>SUM(E25:E28)</f>
        <v>130900000000</v>
      </c>
    </row>
    <row r="30" spans="1:6" x14ac:dyDescent="0.4">
      <c r="A30" s="38"/>
      <c r="B30" s="38"/>
      <c r="C30" s="38"/>
      <c r="D30" s="38"/>
      <c r="E30" s="38"/>
    </row>
    <row r="31" spans="1:6" x14ac:dyDescent="0.4">
      <c r="A31" s="38"/>
      <c r="B31" s="32" t="s">
        <v>36</v>
      </c>
      <c r="C31" s="52" t="s">
        <v>2</v>
      </c>
      <c r="D31" s="55" t="s">
        <v>3</v>
      </c>
      <c r="E31" s="33" t="s">
        <v>26</v>
      </c>
    </row>
    <row r="32" spans="1:6" x14ac:dyDescent="0.4">
      <c r="A32" s="38"/>
      <c r="B32" s="27" t="s">
        <v>28</v>
      </c>
      <c r="C32" s="61">
        <f>'펀드별 외화지급액'!C10</f>
        <v>51917788.57</v>
      </c>
      <c r="D32" s="62">
        <f>'펀드별 외화지급액'!D10</f>
        <v>80739609.620000005</v>
      </c>
      <c r="E32" s="63">
        <v>129048944704</v>
      </c>
    </row>
    <row r="33" spans="1:6" x14ac:dyDescent="0.4">
      <c r="A33" s="41">
        <f>A26</f>
        <v>1.2999999999999999E-2</v>
      </c>
      <c r="B33" s="27" t="s">
        <v>13</v>
      </c>
      <c r="C33" s="64">
        <f>C26</f>
        <v>656376.39339999994</v>
      </c>
      <c r="D33" s="65">
        <f>D26</f>
        <v>1015820.60892</v>
      </c>
      <c r="E33" s="63">
        <f>C33*$C$5+D33*$D$5</f>
        <v>1627203963.34236</v>
      </c>
    </row>
    <row r="34" spans="1:6" x14ac:dyDescent="0.4">
      <c r="A34" s="41"/>
      <c r="B34" s="27" t="s">
        <v>34</v>
      </c>
      <c r="C34" s="64">
        <f>(180000+11250+10550+10000)*1.2/2</f>
        <v>127080</v>
      </c>
      <c r="D34" s="65"/>
      <c r="E34" s="63">
        <f>C34*$C$5+D34*$D$5</f>
        <v>143346240</v>
      </c>
      <c r="F34" s="23"/>
    </row>
    <row r="35" spans="1:6" x14ac:dyDescent="0.4">
      <c r="A35" s="38"/>
      <c r="B35" s="27" t="s">
        <v>22</v>
      </c>
      <c r="C35" s="64">
        <f>E35/$C$5</f>
        <v>71369.762994360412</v>
      </c>
      <c r="D35" s="65"/>
      <c r="E35" s="63">
        <f>130900000000-SUM(E32:E34)</f>
        <v>80505092.65763855</v>
      </c>
      <c r="F35" s="23"/>
    </row>
    <row r="36" spans="1:6" x14ac:dyDescent="0.4">
      <c r="A36" s="38"/>
      <c r="B36" s="30" t="s">
        <v>20</v>
      </c>
      <c r="C36" s="54">
        <f>SUM(C32:C35)</f>
        <v>52772614.726394363</v>
      </c>
      <c r="D36" s="57">
        <f t="shared" ref="D36" si="3">SUM(D32:D35)</f>
        <v>81755430.228919998</v>
      </c>
      <c r="E36" s="31">
        <f>SUM(E32:E35)</f>
        <v>130900000000</v>
      </c>
      <c r="F36" s="23"/>
    </row>
    <row r="37" spans="1:6" s="37" customFormat="1" x14ac:dyDescent="0.4">
      <c r="A37" s="38"/>
      <c r="B37" s="23"/>
      <c r="C37" s="23"/>
      <c r="D37" s="23"/>
      <c r="E37" s="23"/>
      <c r="F37" s="23"/>
    </row>
    <row r="38" spans="1:6" x14ac:dyDescent="0.4">
      <c r="B38" s="24" t="s">
        <v>31</v>
      </c>
      <c r="C38" s="25"/>
    </row>
    <row r="39" spans="1:6" x14ac:dyDescent="0.4">
      <c r="B39" s="51" t="s">
        <v>15</v>
      </c>
      <c r="C39" s="50">
        <v>50490491.799999997</v>
      </c>
    </row>
    <row r="40" spans="1:6" x14ac:dyDescent="0.4">
      <c r="B40" s="51" t="s">
        <v>16</v>
      </c>
      <c r="C40" s="50">
        <v>78140046.840000004</v>
      </c>
    </row>
    <row r="41" spans="1:6" x14ac:dyDescent="0.4">
      <c r="B41" s="51" t="s">
        <v>17</v>
      </c>
      <c r="C41" s="50">
        <v>14875857.939999999</v>
      </c>
    </row>
    <row r="42" spans="1:6" x14ac:dyDescent="0.4">
      <c r="B42" s="51" t="s">
        <v>18</v>
      </c>
      <c r="C42" s="50">
        <v>23022161.100000001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showGridLines="0" workbookViewId="0">
      <selection activeCell="B3" sqref="B3"/>
    </sheetView>
  </sheetViews>
  <sheetFormatPr defaultRowHeight="17.399999999999999" x14ac:dyDescent="0.4"/>
  <cols>
    <col min="1" max="1" width="10.69921875" bestFit="1" customWidth="1"/>
    <col min="2" max="2" width="20.09765625" customWidth="1"/>
    <col min="3" max="6" width="18.5" customWidth="1"/>
  </cols>
  <sheetData>
    <row r="2" spans="1:6" s="37" customFormat="1" x14ac:dyDescent="0.4">
      <c r="B2" s="10" t="s">
        <v>40</v>
      </c>
    </row>
    <row r="3" spans="1:6" x14ac:dyDescent="0.4">
      <c r="C3" s="45" t="b">
        <f>SUM(C9:C10)=C11</f>
        <v>1</v>
      </c>
      <c r="D3" s="45" t="b">
        <f>SUM(D9:D10)=D11</f>
        <v>1</v>
      </c>
      <c r="E3" s="45" t="b">
        <f>SUM(E6:E8)=E11</f>
        <v>1</v>
      </c>
      <c r="F3" s="45" t="b">
        <f>SUM(F6:F8)=F11</f>
        <v>1</v>
      </c>
    </row>
    <row r="4" spans="1:6" x14ac:dyDescent="0.25">
      <c r="A4" s="1"/>
      <c r="B4" s="2"/>
      <c r="C4" s="46" t="s">
        <v>0</v>
      </c>
      <c r="D4" s="47"/>
      <c r="E4" s="48" t="s">
        <v>1</v>
      </c>
      <c r="F4" s="47"/>
    </row>
    <row r="5" spans="1:6" ht="18" thickBot="1" x14ac:dyDescent="0.3">
      <c r="A5" s="1"/>
      <c r="B5" s="3"/>
      <c r="C5" s="4" t="s">
        <v>2</v>
      </c>
      <c r="D5" s="5" t="s">
        <v>3</v>
      </c>
      <c r="E5" s="6" t="s">
        <v>2</v>
      </c>
      <c r="F5" s="5" t="s">
        <v>3</v>
      </c>
    </row>
    <row r="6" spans="1:6" x14ac:dyDescent="0.4">
      <c r="A6" s="22">
        <v>0.30199259000000001</v>
      </c>
      <c r="B6" s="7" t="s">
        <v>4</v>
      </c>
      <c r="C6" s="8"/>
      <c r="D6" s="13"/>
      <c r="E6" s="20">
        <v>15296457.640000001</v>
      </c>
      <c r="F6" s="21">
        <v>20013278.760000002</v>
      </c>
    </row>
    <row r="7" spans="1:6" x14ac:dyDescent="0.4">
      <c r="A7" s="22">
        <v>0.30199259000000001</v>
      </c>
      <c r="B7" s="7" t="s">
        <v>5</v>
      </c>
      <c r="C7" s="8"/>
      <c r="D7" s="13"/>
      <c r="E7" s="20">
        <v>15296457.640000001</v>
      </c>
      <c r="F7" s="21">
        <v>20013278.760000002</v>
      </c>
    </row>
    <row r="8" spans="1:6" x14ac:dyDescent="0.4">
      <c r="A8" s="22">
        <v>0.39601481999999999</v>
      </c>
      <c r="B8" s="7" t="s">
        <v>6</v>
      </c>
      <c r="C8" s="8"/>
      <c r="D8" s="13"/>
      <c r="E8" s="20">
        <v>20058849.52</v>
      </c>
      <c r="F8" s="21">
        <v>26244203.510000002</v>
      </c>
    </row>
    <row r="9" spans="1:6" x14ac:dyDescent="0.25">
      <c r="A9" s="1"/>
      <c r="B9" s="7" t="s">
        <v>7</v>
      </c>
      <c r="C9" s="11">
        <v>51917788.560000002</v>
      </c>
      <c r="D9" s="14">
        <v>80739609.620000005</v>
      </c>
      <c r="E9" s="16"/>
      <c r="F9" s="17"/>
    </row>
    <row r="10" spans="1:6" ht="18" thickBot="1" x14ac:dyDescent="0.3">
      <c r="A10" s="1"/>
      <c r="B10" s="7" t="s">
        <v>8</v>
      </c>
      <c r="C10" s="11">
        <v>51917788.57</v>
      </c>
      <c r="D10" s="14">
        <v>80739609.620000005</v>
      </c>
      <c r="E10" s="16"/>
      <c r="F10" s="17"/>
    </row>
    <row r="11" spans="1:6" x14ac:dyDescent="0.25">
      <c r="A11" s="1"/>
      <c r="B11" s="9" t="s">
        <v>9</v>
      </c>
      <c r="C11" s="12">
        <v>103835577.13</v>
      </c>
      <c r="D11" s="15">
        <v>161479219.24000001</v>
      </c>
      <c r="E11" s="18">
        <v>50651764.799999997</v>
      </c>
      <c r="F11" s="19">
        <v>66270761.030000001</v>
      </c>
    </row>
    <row r="12" spans="1:6" x14ac:dyDescent="0.4">
      <c r="B12" s="49" t="s">
        <v>39</v>
      </c>
      <c r="C12" s="49"/>
    </row>
    <row r="14" spans="1:6" x14ac:dyDescent="0.4">
      <c r="D14" s="40"/>
      <c r="E14" s="40"/>
    </row>
    <row r="15" spans="1:6" x14ac:dyDescent="0.4">
      <c r="D15" s="39"/>
      <c r="E15" s="44"/>
    </row>
    <row r="16" spans="1:6" x14ac:dyDescent="0.4">
      <c r="D16" s="44"/>
      <c r="E16" s="44"/>
    </row>
    <row r="17" spans="4:5" x14ac:dyDescent="0.4">
      <c r="D17" s="39"/>
      <c r="E17" s="44"/>
    </row>
    <row r="18" spans="4:5" x14ac:dyDescent="0.4">
      <c r="D18" s="44"/>
      <c r="E18" s="44"/>
    </row>
    <row r="19" spans="4:5" x14ac:dyDescent="0.4">
      <c r="E19" s="44"/>
    </row>
  </sheetData>
  <mergeCells count="3">
    <mergeCell ref="C4:D4"/>
    <mergeCell ref="E4:F4"/>
    <mergeCell ref="B12:C1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1"/>
  <sheetViews>
    <sheetView showGridLines="0" tabSelected="1" topLeftCell="A70" zoomScale="85" zoomScaleNormal="85" workbookViewId="0"/>
  </sheetViews>
  <sheetFormatPr defaultColWidth="9.09765625" defaultRowHeight="13.2" x14ac:dyDescent="0.25"/>
  <cols>
    <col min="1" max="2" width="9.09765625" style="68"/>
    <col min="3" max="3" width="41.69921875" style="68" customWidth="1"/>
    <col min="4" max="4" width="25.09765625" style="68" customWidth="1"/>
    <col min="5" max="5" width="25.69921875" style="68" customWidth="1"/>
    <col min="6" max="6" width="30.3984375" style="68" customWidth="1"/>
    <col min="7" max="7" width="21.09765625" style="68" customWidth="1"/>
    <col min="8" max="8" width="20.8984375" style="68" customWidth="1"/>
    <col min="9" max="9" width="14.59765625" style="68" bestFit="1" customWidth="1"/>
    <col min="10" max="11" width="15.8984375" style="68" customWidth="1"/>
    <col min="12" max="12" width="16" style="68" customWidth="1"/>
    <col min="13" max="13" width="18.09765625" style="68" bestFit="1" customWidth="1"/>
    <col min="14" max="14" width="20.8984375" style="68" customWidth="1"/>
    <col min="15" max="15" width="9.09765625" style="68"/>
    <col min="16" max="16" width="24.296875" style="68" customWidth="1"/>
    <col min="17" max="16384" width="9.09765625" style="68"/>
  </cols>
  <sheetData>
    <row r="2" spans="1:16" ht="21" customHeight="1" x14ac:dyDescent="0.25">
      <c r="A2" s="66"/>
      <c r="B2" s="66"/>
      <c r="C2" s="67" t="s">
        <v>41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ht="21" customHeight="1" x14ac:dyDescent="0.25"/>
    <row r="4" spans="1:16" ht="12.75" customHeight="1" x14ac:dyDescent="0.25">
      <c r="A4" s="69"/>
      <c r="B4" s="69"/>
      <c r="C4" s="70" t="s">
        <v>42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16" ht="12.75" customHeight="1" x14ac:dyDescent="0.25"/>
    <row r="6" spans="1:16" ht="21" customHeight="1" x14ac:dyDescent="0.25">
      <c r="C6" s="68" t="s">
        <v>43</v>
      </c>
    </row>
    <row r="7" spans="1:16" ht="21" customHeight="1" x14ac:dyDescent="0.25">
      <c r="C7" s="68" t="s">
        <v>44</v>
      </c>
    </row>
    <row r="8" spans="1:16" ht="21" customHeight="1" x14ac:dyDescent="0.25">
      <c r="C8" s="68" t="s">
        <v>45</v>
      </c>
    </row>
    <row r="9" spans="1:16" ht="21" customHeight="1" x14ac:dyDescent="0.25">
      <c r="C9" s="68" t="s">
        <v>46</v>
      </c>
    </row>
    <row r="10" spans="1:16" ht="21" customHeight="1" x14ac:dyDescent="0.25">
      <c r="C10" s="68" t="s">
        <v>47</v>
      </c>
    </row>
    <row r="11" spans="1:16" ht="21" customHeight="1" x14ac:dyDescent="0.25">
      <c r="C11" s="68" t="s">
        <v>48</v>
      </c>
    </row>
    <row r="12" spans="1:16" ht="21" customHeight="1" x14ac:dyDescent="0.25">
      <c r="C12" s="68" t="s">
        <v>49</v>
      </c>
    </row>
    <row r="13" spans="1:16" ht="18.75" customHeight="1" x14ac:dyDescent="0.25"/>
    <row r="14" spans="1:16" ht="15" x14ac:dyDescent="0.25">
      <c r="A14" s="69"/>
      <c r="B14" s="69"/>
      <c r="C14" s="70" t="s">
        <v>50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</row>
    <row r="16" spans="1:16" x14ac:dyDescent="0.25">
      <c r="C16" s="68" t="s">
        <v>51</v>
      </c>
      <c r="D16" s="71">
        <v>0.77700000000000002</v>
      </c>
    </row>
    <row r="17" spans="3:11" x14ac:dyDescent="0.25">
      <c r="C17" s="68" t="s">
        <v>52</v>
      </c>
      <c r="D17" s="72">
        <v>44012</v>
      </c>
    </row>
    <row r="18" spans="3:11" x14ac:dyDescent="0.25">
      <c r="C18" s="68" t="s">
        <v>53</v>
      </c>
      <c r="D18" s="72">
        <v>44341</v>
      </c>
    </row>
    <row r="19" spans="3:11" x14ac:dyDescent="0.25">
      <c r="C19" s="68" t="s">
        <v>54</v>
      </c>
      <c r="D19" s="73">
        <v>1</v>
      </c>
      <c r="E19" s="68" t="s">
        <v>55</v>
      </c>
    </row>
    <row r="20" spans="3:11" x14ac:dyDescent="0.25">
      <c r="C20" s="68" t="s">
        <v>56</v>
      </c>
      <c r="D20" s="72">
        <v>44469</v>
      </c>
    </row>
    <row r="22" spans="3:11" x14ac:dyDescent="0.25">
      <c r="D22" s="74" t="s">
        <v>57</v>
      </c>
      <c r="E22" s="74" t="s">
        <v>58</v>
      </c>
      <c r="F22" s="74" t="s">
        <v>59</v>
      </c>
      <c r="H22" s="75"/>
    </row>
    <row r="24" spans="3:11" s="77" customFormat="1" ht="13.8" x14ac:dyDescent="0.25">
      <c r="C24" s="76" t="s">
        <v>60</v>
      </c>
      <c r="G24" s="68"/>
      <c r="I24" s="68"/>
      <c r="J24" s="68"/>
      <c r="K24" s="68"/>
    </row>
    <row r="25" spans="3:11" x14ac:dyDescent="0.25">
      <c r="C25" s="78"/>
    </row>
    <row r="26" spans="3:11" x14ac:dyDescent="0.25">
      <c r="C26" s="68" t="s">
        <v>61</v>
      </c>
      <c r="E26" s="79">
        <v>26739142.857142862</v>
      </c>
      <c r="F26" s="80">
        <f t="shared" ref="F26:F29" si="0">D26+E26*$D$16</f>
        <v>20776314.000000004</v>
      </c>
    </row>
    <row r="27" spans="3:11" x14ac:dyDescent="0.25">
      <c r="C27" s="68" t="s">
        <v>62</v>
      </c>
      <c r="E27" s="79">
        <v>63941428.57142859</v>
      </c>
      <c r="F27" s="80">
        <f t="shared" si="0"/>
        <v>49682490.000000015</v>
      </c>
    </row>
    <row r="28" spans="3:11" x14ac:dyDescent="0.25">
      <c r="C28" s="68" t="s">
        <v>63</v>
      </c>
      <c r="E28" s="79">
        <v>141833714.2857143</v>
      </c>
      <c r="F28" s="80">
        <f t="shared" si="0"/>
        <v>110204796.00000001</v>
      </c>
    </row>
    <row r="29" spans="3:11" x14ac:dyDescent="0.25">
      <c r="C29" s="68" t="s">
        <v>64</v>
      </c>
      <c r="D29" s="81">
        <v>150240000</v>
      </c>
      <c r="F29" s="80">
        <f t="shared" si="0"/>
        <v>150240000</v>
      </c>
    </row>
    <row r="30" spans="3:11" ht="13.8" thickBot="1" x14ac:dyDescent="0.3">
      <c r="C30" s="82" t="s">
        <v>60</v>
      </c>
      <c r="D30" s="83">
        <f>D29</f>
        <v>150240000</v>
      </c>
      <c r="E30" s="83">
        <f>SUM(E26:E28)</f>
        <v>232514285.71428573</v>
      </c>
      <c r="F30" s="84">
        <f>SUM(F26:F29)</f>
        <v>330903600</v>
      </c>
      <c r="G30" s="68" t="s">
        <v>65</v>
      </c>
    </row>
    <row r="31" spans="3:11" ht="13.8" thickTop="1" x14ac:dyDescent="0.25">
      <c r="C31" s="85"/>
      <c r="D31" s="86"/>
      <c r="E31" s="86"/>
      <c r="F31" s="87"/>
    </row>
    <row r="32" spans="3:11" ht="13.8" x14ac:dyDescent="0.25">
      <c r="C32" s="76" t="s">
        <v>66</v>
      </c>
      <c r="D32" s="86"/>
      <c r="E32" s="86"/>
      <c r="F32" s="87"/>
    </row>
    <row r="33" spans="2:7" x14ac:dyDescent="0.25">
      <c r="C33" s="85"/>
      <c r="D33" s="86"/>
      <c r="E33" s="86"/>
      <c r="F33" s="87"/>
    </row>
    <row r="34" spans="2:7" x14ac:dyDescent="0.25">
      <c r="C34" s="85" t="s">
        <v>66</v>
      </c>
      <c r="D34" s="79">
        <v>0</v>
      </c>
      <c r="E34" s="79">
        <v>12500000</v>
      </c>
      <c r="F34" s="80">
        <f t="shared" ref="F34" si="1">D34+E34*$D$16</f>
        <v>9712500</v>
      </c>
    </row>
    <row r="35" spans="2:7" x14ac:dyDescent="0.25">
      <c r="C35" s="85"/>
      <c r="D35" s="86"/>
      <c r="E35" s="86"/>
      <c r="F35" s="87"/>
    </row>
    <row r="36" spans="2:7" x14ac:dyDescent="0.25">
      <c r="D36" s="86"/>
      <c r="E36" s="86"/>
      <c r="F36" s="87"/>
    </row>
    <row r="37" spans="2:7" ht="13.8" x14ac:dyDescent="0.25">
      <c r="C37" s="76" t="s">
        <v>67</v>
      </c>
      <c r="F37" s="88"/>
    </row>
    <row r="38" spans="2:7" ht="13.8" x14ac:dyDescent="0.25">
      <c r="C38" s="76"/>
      <c r="F38" s="89"/>
    </row>
    <row r="39" spans="2:7" ht="13.8" thickBot="1" x14ac:dyDescent="0.3">
      <c r="C39" s="82" t="s">
        <v>68</v>
      </c>
      <c r="D39" s="83">
        <f>'[1]Leakage Schedule'!E174</f>
        <v>3620665.1271347147</v>
      </c>
      <c r="E39" s="83">
        <f>'[1]Leakage Schedule'!D174</f>
        <v>4440983.0363592086</v>
      </c>
      <c r="F39" s="84">
        <f t="shared" ref="F39" si="2">D39+E39*$D$16</f>
        <v>7071308.9463858195</v>
      </c>
      <c r="G39" s="68" t="s">
        <v>69</v>
      </c>
    </row>
    <row r="40" spans="2:7" ht="13.8" thickTop="1" x14ac:dyDescent="0.25">
      <c r="C40" s="90"/>
      <c r="D40" s="87"/>
      <c r="E40" s="87"/>
      <c r="F40" s="88"/>
    </row>
    <row r="41" spans="2:7" x14ac:dyDescent="0.25">
      <c r="C41" s="90"/>
      <c r="E41" s="87"/>
      <c r="F41" s="88"/>
    </row>
    <row r="42" spans="2:7" ht="13.8" x14ac:dyDescent="0.25">
      <c r="C42" s="76" t="s">
        <v>70</v>
      </c>
      <c r="F42" s="88"/>
    </row>
    <row r="43" spans="2:7" x14ac:dyDescent="0.25">
      <c r="C43" s="78"/>
      <c r="F43" s="88"/>
    </row>
    <row r="44" spans="2:7" x14ac:dyDescent="0.25">
      <c r="B44" s="91">
        <v>0.67213000000000001</v>
      </c>
      <c r="C44" s="68" t="s">
        <v>71</v>
      </c>
      <c r="D44" s="79">
        <f>$B$44*D75</f>
        <v>103835577.13167945</v>
      </c>
      <c r="E44" s="79">
        <f>$B$44*E75</f>
        <v>161479219.23683694</v>
      </c>
      <c r="F44" s="92">
        <f t="shared" ref="F44" si="3">D44+E44*$D$16</f>
        <v>229304930.47870177</v>
      </c>
      <c r="G44" s="68" t="s">
        <v>72</v>
      </c>
    </row>
    <row r="46" spans="2:7" x14ac:dyDescent="0.25">
      <c r="C46" s="93" t="s">
        <v>73</v>
      </c>
      <c r="D46" s="94">
        <f>'[1]Legal Extracts'!O74</f>
        <v>103850896.5</v>
      </c>
      <c r="E46" s="94">
        <f>'[1]Legal Extracts'!P74</f>
        <v>161489774.09999999</v>
      </c>
      <c r="F46" s="87"/>
      <c r="G46" s="68" t="str">
        <f>IF(AND(D46&gt;=D44,E46&gt;=E44),"OK","Limited Exceeded")</f>
        <v>OK</v>
      </c>
    </row>
    <row r="47" spans="2:7" x14ac:dyDescent="0.25">
      <c r="D47" s="86"/>
      <c r="E47" s="86"/>
      <c r="F47" s="88"/>
    </row>
    <row r="48" spans="2:7" ht="13.8" x14ac:dyDescent="0.25">
      <c r="C48" s="76" t="s">
        <v>74</v>
      </c>
      <c r="D48" s="86"/>
      <c r="E48" s="86"/>
      <c r="F48" s="88"/>
    </row>
    <row r="49" spans="1:16" x14ac:dyDescent="0.25">
      <c r="C49" s="78"/>
      <c r="D49" s="86"/>
      <c r="E49" s="86"/>
      <c r="F49" s="88"/>
    </row>
    <row r="50" spans="1:16" x14ac:dyDescent="0.25">
      <c r="C50" s="68" t="s">
        <v>75</v>
      </c>
      <c r="D50" s="95">
        <v>5.8099999999999999E-2</v>
      </c>
      <c r="E50" s="88"/>
      <c r="F50" s="88"/>
    </row>
    <row r="51" spans="1:16" x14ac:dyDescent="0.25">
      <c r="E51" s="88"/>
      <c r="F51" s="88"/>
    </row>
    <row r="52" spans="1:16" x14ac:dyDescent="0.25">
      <c r="C52" s="68" t="s">
        <v>76</v>
      </c>
      <c r="D52" s="79">
        <v>606000</v>
      </c>
      <c r="E52" s="79">
        <v>0</v>
      </c>
      <c r="F52" s="96"/>
      <c r="G52" s="96"/>
    </row>
    <row r="53" spans="1:16" x14ac:dyDescent="0.25">
      <c r="G53" s="96"/>
    </row>
    <row r="55" spans="1:16" ht="15" x14ac:dyDescent="0.25">
      <c r="A55" s="69"/>
      <c r="B55" s="69"/>
      <c r="C55" s="70" t="s">
        <v>77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</row>
    <row r="58" spans="1:16" x14ac:dyDescent="0.25">
      <c r="D58" s="74" t="s">
        <v>57</v>
      </c>
      <c r="E58" s="74" t="s">
        <v>58</v>
      </c>
      <c r="F58" s="74" t="s">
        <v>59</v>
      </c>
    </row>
    <row r="61" spans="1:16" ht="13.8" x14ac:dyDescent="0.25">
      <c r="C61" s="76" t="s">
        <v>78</v>
      </c>
    </row>
    <row r="63" spans="1:16" x14ac:dyDescent="0.25">
      <c r="C63" s="68" t="s">
        <v>60</v>
      </c>
      <c r="D63" s="80">
        <f>D30</f>
        <v>150240000</v>
      </c>
      <c r="E63" s="80">
        <f>E30</f>
        <v>232514285.71428573</v>
      </c>
      <c r="F63" s="80">
        <f>F30</f>
        <v>330903600</v>
      </c>
    </row>
    <row r="64" spans="1:16" x14ac:dyDescent="0.25">
      <c r="C64" s="68" t="s">
        <v>79</v>
      </c>
      <c r="D64" s="97">
        <f>$D$50</f>
        <v>5.8099999999999999E-2</v>
      </c>
      <c r="E64" s="97">
        <f>$D$50</f>
        <v>5.8099999999999999E-2</v>
      </c>
      <c r="F64" s="97">
        <f>$D$50</f>
        <v>5.8099999999999999E-2</v>
      </c>
    </row>
    <row r="65" spans="3:7" x14ac:dyDescent="0.25">
      <c r="C65" s="68" t="s">
        <v>80</v>
      </c>
      <c r="D65" s="98">
        <f>$D$18-$D$17</f>
        <v>329</v>
      </c>
      <c r="E65" s="98">
        <f t="shared" ref="E65:F65" si="4">$D$18-$D$17</f>
        <v>329</v>
      </c>
      <c r="F65" s="98">
        <f t="shared" si="4"/>
        <v>329</v>
      </c>
    </row>
    <row r="66" spans="3:7" ht="13.8" thickBot="1" x14ac:dyDescent="0.3">
      <c r="C66" s="82" t="s">
        <v>81</v>
      </c>
      <c r="D66" s="83">
        <f>D63*D64*D65/365</f>
        <v>7868007.0575342467</v>
      </c>
      <c r="E66" s="83">
        <f>E63*E64*E65/365</f>
        <v>12176677.589041095</v>
      </c>
      <c r="F66" s="84">
        <f t="shared" ref="F66" si="5">D66+E66*$D$16</f>
        <v>17329285.544219177</v>
      </c>
    </row>
    <row r="67" spans="3:7" ht="13.8" thickTop="1" x14ac:dyDescent="0.25">
      <c r="D67" s="86"/>
    </row>
    <row r="68" spans="3:7" ht="13.5" customHeight="1" x14ac:dyDescent="0.25"/>
    <row r="69" spans="3:7" ht="13.8" x14ac:dyDescent="0.25">
      <c r="C69" s="76" t="s">
        <v>82</v>
      </c>
    </row>
    <row r="71" spans="3:7" x14ac:dyDescent="0.25">
      <c r="C71" s="68" t="s">
        <v>60</v>
      </c>
      <c r="D71" s="80">
        <f>D63</f>
        <v>150240000</v>
      </c>
      <c r="E71" s="80">
        <f t="shared" ref="E71:F71" si="6">E63</f>
        <v>232514285.71428573</v>
      </c>
      <c r="F71" s="80">
        <f t="shared" si="6"/>
        <v>330903600</v>
      </c>
    </row>
    <row r="72" spans="3:7" x14ac:dyDescent="0.25">
      <c r="C72" s="68" t="s">
        <v>81</v>
      </c>
      <c r="D72" s="80">
        <f>D66</f>
        <v>7868007.0575342467</v>
      </c>
      <c r="E72" s="80">
        <f t="shared" ref="E72:F72" si="7">E66</f>
        <v>12176677.589041095</v>
      </c>
      <c r="F72" s="80">
        <f t="shared" si="7"/>
        <v>17329285.544219177</v>
      </c>
    </row>
    <row r="73" spans="3:7" x14ac:dyDescent="0.25">
      <c r="C73" s="68" t="s">
        <v>83</v>
      </c>
      <c r="D73" s="80">
        <f>-D39</f>
        <v>-3620665.1271347147</v>
      </c>
      <c r="E73" s="80">
        <f>-E39</f>
        <v>-4440983.0363592086</v>
      </c>
      <c r="F73" s="80">
        <f>-F39</f>
        <v>-7071308.9463858195</v>
      </c>
    </row>
    <row r="74" spans="3:7" x14ac:dyDescent="0.25">
      <c r="C74" s="68" t="s">
        <v>84</v>
      </c>
      <c r="D74" s="80">
        <f>IF($D$19=0,-D34,0)</f>
        <v>0</v>
      </c>
      <c r="E74" s="80">
        <f>IF($D$19=0,-E34,0)</f>
        <v>0</v>
      </c>
      <c r="F74" s="80">
        <f>IF($D$19=0,-F34,0)</f>
        <v>0</v>
      </c>
    </row>
    <row r="75" spans="3:7" ht="13.8" thickBot="1" x14ac:dyDescent="0.3">
      <c r="C75" s="82" t="s">
        <v>82</v>
      </c>
      <c r="D75" s="83">
        <f>SUM(D71:D74)</f>
        <v>154487341.93039954</v>
      </c>
      <c r="E75" s="83">
        <f>SUM(E71:E74)</f>
        <v>240249980.26696759</v>
      </c>
      <c r="F75" s="84">
        <f t="shared" ref="F75:F79" si="8">D75+E75*$D$16</f>
        <v>341161576.5978334</v>
      </c>
      <c r="G75" s="99"/>
    </row>
    <row r="76" spans="3:7" ht="13.8" thickTop="1" x14ac:dyDescent="0.25">
      <c r="C76" s="90"/>
      <c r="D76" s="87"/>
      <c r="E76" s="87"/>
    </row>
    <row r="77" spans="3:7" x14ac:dyDescent="0.25">
      <c r="C77" s="68" t="s">
        <v>85</v>
      </c>
      <c r="D77" s="80">
        <f>D44</f>
        <v>103835577.13167945</v>
      </c>
      <c r="E77" s="80">
        <f>E44</f>
        <v>161479219.23683694</v>
      </c>
      <c r="F77" s="80">
        <f t="shared" si="8"/>
        <v>229304930.47870177</v>
      </c>
    </row>
    <row r="78" spans="3:7" x14ac:dyDescent="0.25">
      <c r="C78" s="68" t="s">
        <v>1</v>
      </c>
      <c r="D78" s="80">
        <f>D96</f>
        <v>50651764.798720092</v>
      </c>
      <c r="E78" s="80">
        <f>E96</f>
        <v>78770761.030130655</v>
      </c>
      <c r="F78" s="80">
        <f t="shared" si="8"/>
        <v>111856646.11913161</v>
      </c>
    </row>
    <row r="79" spans="3:7" ht="13.8" thickBot="1" x14ac:dyDescent="0.3">
      <c r="C79" s="82" t="s">
        <v>86</v>
      </c>
      <c r="D79" s="83">
        <f>SUM(D77:D78)</f>
        <v>154487341.93039954</v>
      </c>
      <c r="E79" s="83">
        <f>SUM(E77:E78)</f>
        <v>240249980.26696759</v>
      </c>
      <c r="F79" s="84">
        <f t="shared" si="8"/>
        <v>341161576.5978334</v>
      </c>
    </row>
    <row r="80" spans="3:7" ht="13.8" thickTop="1" x14ac:dyDescent="0.25">
      <c r="C80" s="85"/>
      <c r="D80" s="86"/>
      <c r="E80" s="86"/>
      <c r="F80" s="87"/>
    </row>
    <row r="82" spans="3:6" ht="13.8" x14ac:dyDescent="0.25">
      <c r="C82" s="76" t="s">
        <v>87</v>
      </c>
    </row>
    <row r="84" spans="3:6" x14ac:dyDescent="0.25">
      <c r="C84" s="68" t="s">
        <v>88</v>
      </c>
      <c r="D84" s="80">
        <f>D44</f>
        <v>103835577.13167945</v>
      </c>
      <c r="E84" s="80">
        <f>E44</f>
        <v>161479219.23683694</v>
      </c>
      <c r="F84" s="80">
        <f t="shared" ref="F84:F86" si="9">D84+E84*$D$16</f>
        <v>229304930.47870177</v>
      </c>
    </row>
    <row r="85" spans="3:6" x14ac:dyDescent="0.25">
      <c r="C85" s="68" t="s">
        <v>89</v>
      </c>
      <c r="D85" s="100">
        <f>-D52</f>
        <v>-606000</v>
      </c>
      <c r="E85" s="100">
        <f>E52</f>
        <v>0</v>
      </c>
      <c r="F85" s="100">
        <f t="shared" si="9"/>
        <v>-606000</v>
      </c>
    </row>
    <row r="86" spans="3:6" ht="13.8" thickBot="1" x14ac:dyDescent="0.3">
      <c r="C86" s="82" t="s">
        <v>87</v>
      </c>
      <c r="D86" s="83">
        <f>D84+D85</f>
        <v>103229577.13167945</v>
      </c>
      <c r="E86" s="83">
        <f>E84+E85</f>
        <v>161479219.23683694</v>
      </c>
      <c r="F86" s="84">
        <f t="shared" si="9"/>
        <v>228698930.47870177</v>
      </c>
    </row>
    <row r="87" spans="3:6" ht="13.8" thickTop="1" x14ac:dyDescent="0.25"/>
    <row r="89" spans="3:6" ht="15.75" customHeight="1" x14ac:dyDescent="0.25">
      <c r="C89" s="76" t="s">
        <v>90</v>
      </c>
    </row>
    <row r="90" spans="3:6" ht="14.25" customHeight="1" x14ac:dyDescent="0.25"/>
    <row r="91" spans="3:6" x14ac:dyDescent="0.25">
      <c r="C91" s="68" t="s">
        <v>60</v>
      </c>
      <c r="D91" s="80">
        <f>D63</f>
        <v>150240000</v>
      </c>
      <c r="E91" s="80">
        <f>E63</f>
        <v>232514285.71428573</v>
      </c>
      <c r="F91" s="80">
        <f>F63</f>
        <v>330903600</v>
      </c>
    </row>
    <row r="92" spans="3:6" ht="14.25" customHeight="1" x14ac:dyDescent="0.25">
      <c r="C92" s="68" t="s">
        <v>91</v>
      </c>
      <c r="D92" s="80">
        <f>D66</f>
        <v>7868007.0575342467</v>
      </c>
      <c r="E92" s="80">
        <f>E66</f>
        <v>12176677.589041095</v>
      </c>
      <c r="F92" s="80">
        <f>F66</f>
        <v>17329285.544219177</v>
      </c>
    </row>
    <row r="93" spans="3:6" x14ac:dyDescent="0.25">
      <c r="C93" s="68" t="s">
        <v>92</v>
      </c>
      <c r="D93" s="80">
        <f>-D39</f>
        <v>-3620665.1271347147</v>
      </c>
      <c r="E93" s="80">
        <f>-E39</f>
        <v>-4440983.0363592086</v>
      </c>
      <c r="F93" s="80">
        <f>-F39</f>
        <v>-7071308.9463858195</v>
      </c>
    </row>
    <row r="94" spans="3:6" x14ac:dyDescent="0.25">
      <c r="C94" s="68" t="s">
        <v>84</v>
      </c>
      <c r="D94" s="80">
        <f>D74</f>
        <v>0</v>
      </c>
      <c r="E94" s="80">
        <f>E74</f>
        <v>0</v>
      </c>
      <c r="F94" s="80">
        <f>F74</f>
        <v>0</v>
      </c>
    </row>
    <row r="95" spans="3:6" ht="14.25" customHeight="1" x14ac:dyDescent="0.25">
      <c r="C95" s="68" t="s">
        <v>88</v>
      </c>
      <c r="D95" s="80">
        <f>-D84</f>
        <v>-103835577.13167945</v>
      </c>
      <c r="E95" s="80">
        <f>-E84</f>
        <v>-161479219.23683694</v>
      </c>
      <c r="F95" s="80">
        <f>-F84</f>
        <v>-229304930.47870177</v>
      </c>
    </row>
    <row r="96" spans="3:6" ht="13.8" thickBot="1" x14ac:dyDescent="0.3">
      <c r="C96" s="82" t="s">
        <v>90</v>
      </c>
      <c r="D96" s="83">
        <f>SUM(D91:D95)</f>
        <v>50651764.798720092</v>
      </c>
      <c r="E96" s="83">
        <f>SUM(E91:E95)</f>
        <v>78770761.030130655</v>
      </c>
      <c r="F96" s="84">
        <f>SUM(F91:F95)</f>
        <v>111856646.11913162</v>
      </c>
    </row>
    <row r="97" spans="3:6" ht="13.8" thickTop="1" x14ac:dyDescent="0.25">
      <c r="C97" s="85"/>
      <c r="D97" s="86"/>
      <c r="E97" s="86"/>
      <c r="F97" s="87"/>
    </row>
    <row r="98" spans="3:6" x14ac:dyDescent="0.25">
      <c r="C98" s="85" t="s">
        <v>93</v>
      </c>
      <c r="D98" s="86"/>
      <c r="E98" s="86"/>
      <c r="F98" s="87"/>
    </row>
    <row r="99" spans="3:6" x14ac:dyDescent="0.25">
      <c r="C99" s="85"/>
      <c r="D99" s="86"/>
      <c r="E99" s="86"/>
      <c r="F99" s="87"/>
    </row>
    <row r="100" spans="3:6" x14ac:dyDescent="0.25">
      <c r="C100" s="101">
        <f>D18</f>
        <v>44341</v>
      </c>
      <c r="D100" s="80">
        <f>D96-D34-D94</f>
        <v>50651764.798720092</v>
      </c>
      <c r="E100" s="80">
        <f>E96-E34-E94</f>
        <v>66270761.030130655</v>
      </c>
      <c r="F100" s="80">
        <f>D100+E100*$D$16</f>
        <v>102144146.11913161</v>
      </c>
    </row>
    <row r="101" spans="3:6" x14ac:dyDescent="0.25">
      <c r="C101" s="102">
        <f>IF(D19=0,"N/A",D20)</f>
        <v>44469</v>
      </c>
      <c r="D101" s="80">
        <f>IF(D19=0,0,D34)</f>
        <v>0</v>
      </c>
      <c r="E101" s="80">
        <f>IF(D19=0,0,E34)</f>
        <v>12500000</v>
      </c>
      <c r="F101" s="80">
        <f>D101+E101*$D$16</f>
        <v>9712500</v>
      </c>
    </row>
    <row r="102" spans="3:6" ht="15" customHeight="1" thickBot="1" x14ac:dyDescent="0.3">
      <c r="C102" s="103" t="s">
        <v>20</v>
      </c>
      <c r="D102" s="83">
        <f>D100+D101</f>
        <v>50651764.798720092</v>
      </c>
      <c r="E102" s="83">
        <f>E100+E101</f>
        <v>78770761.030130655</v>
      </c>
      <c r="F102" s="84">
        <f>F100+F101</f>
        <v>111856646.11913161</v>
      </c>
    </row>
    <row r="103" spans="3:6" ht="15" customHeight="1" thickTop="1" x14ac:dyDescent="0.25">
      <c r="C103" s="85"/>
      <c r="D103" s="86"/>
      <c r="E103" s="86"/>
      <c r="F103" s="87"/>
    </row>
    <row r="104" spans="3:6" x14ac:dyDescent="0.25">
      <c r="C104" s="68" t="s">
        <v>94</v>
      </c>
    </row>
    <row r="106" spans="3:6" x14ac:dyDescent="0.25">
      <c r="C106" s="93" t="s">
        <v>86</v>
      </c>
      <c r="D106" s="104">
        <f>D79</f>
        <v>154487341.93039954</v>
      </c>
      <c r="E106" s="104">
        <f>E79</f>
        <v>240249980.26696759</v>
      </c>
      <c r="F106" s="104">
        <f>F79</f>
        <v>341161576.5978334</v>
      </c>
    </row>
    <row r="107" spans="3:6" x14ac:dyDescent="0.25">
      <c r="C107" s="93" t="s">
        <v>87</v>
      </c>
      <c r="D107" s="104">
        <f>-D86</f>
        <v>-103229577.13167945</v>
      </c>
      <c r="E107" s="104">
        <f>-E86</f>
        <v>-161479219.23683694</v>
      </c>
      <c r="F107" s="104">
        <f>-F86</f>
        <v>-228698930.47870177</v>
      </c>
    </row>
    <row r="108" spans="3:6" x14ac:dyDescent="0.25">
      <c r="C108" s="93" t="s">
        <v>90</v>
      </c>
      <c r="D108" s="104">
        <f>-D96</f>
        <v>-50651764.798720092</v>
      </c>
      <c r="E108" s="104">
        <f t="shared" ref="E108:F108" si="10">-E96</f>
        <v>-78770761.030130655</v>
      </c>
      <c r="F108" s="104">
        <f t="shared" si="10"/>
        <v>-111856646.11913162</v>
      </c>
    </row>
    <row r="109" spans="3:6" x14ac:dyDescent="0.25">
      <c r="C109" s="93" t="s">
        <v>89</v>
      </c>
      <c r="D109" s="104">
        <f>D85</f>
        <v>-606000</v>
      </c>
      <c r="E109" s="104">
        <f>E85</f>
        <v>0</v>
      </c>
      <c r="F109" s="104">
        <f>F85</f>
        <v>-606000</v>
      </c>
    </row>
    <row r="110" spans="3:6" ht="13.8" thickBot="1" x14ac:dyDescent="0.3">
      <c r="C110" s="105" t="s">
        <v>95</v>
      </c>
      <c r="D110" s="106">
        <f>SUM(D106:D109)</f>
        <v>0</v>
      </c>
      <c r="E110" s="106">
        <f>SUM(E106:E109)</f>
        <v>0</v>
      </c>
      <c r="F110" s="106">
        <f>SUM(F106:F109)</f>
        <v>0</v>
      </c>
    </row>
    <row r="111" spans="3:6" ht="13.8" thickTop="1" x14ac:dyDescent="0.25">
      <c r="C111" s="107"/>
      <c r="D111" s="108"/>
      <c r="E111" s="108"/>
      <c r="F111" s="108"/>
    </row>
  </sheetData>
  <phoneticPr fontId="2" type="noConversion"/>
  <dataValidations count="1">
    <dataValidation type="whole" allowBlank="1" showInputMessage="1" showErrorMessage="1" sqref="D19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펀드별 CapCall</vt:lpstr>
      <vt:lpstr>펀드별 외화지급액</vt:lpstr>
      <vt:lpstr>외화지급액 상세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 Bang</dc:creator>
  <cp:lastModifiedBy>Windows User</cp:lastModifiedBy>
  <dcterms:created xsi:type="dcterms:W3CDTF">2021-05-14T01:06:24Z</dcterms:created>
  <dcterms:modified xsi:type="dcterms:W3CDTF">2021-07-27T23:37:33Z</dcterms:modified>
</cp:coreProperties>
</file>