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teca\Dropbox\2021\"/>
    </mc:Choice>
  </mc:AlternateContent>
  <xr:revisionPtr revIDLastSave="0" documentId="13_ncr:1_{6E354A0E-217F-4130-8F16-596896DFE43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LIFE GOALS" sheetId="66" r:id="rId1"/>
    <sheet name="SNAPSHOT" sheetId="10" r:id="rId2"/>
    <sheet name="BS" sheetId="3" r:id="rId3"/>
    <sheet name="IS" sheetId="54" r:id="rId4"/>
    <sheet name="CF" sheetId="51" r:id="rId5"/>
    <sheet name="Stock Invesmtent" sheetId="58" r:id="rId6"/>
    <sheet name="LBS" sheetId="64" r:id="rId7"/>
    <sheet name="경조사 입출" sheetId="47" r:id="rId8"/>
    <sheet name="NAV Analysis" sheetId="50" r:id="rId9"/>
    <sheet name="Sheet1" sheetId="67" r:id="rId10"/>
  </sheets>
  <definedNames>
    <definedName name="_xlnm._FilterDatabase" localSheetId="5" hidden="1">'Stock Invesmtent'!$B$8:$N$17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58" l="1"/>
  <c r="H16" i="58"/>
  <c r="H13" i="58"/>
  <c r="H11" i="58"/>
  <c r="H15" i="58"/>
  <c r="H10" i="58"/>
  <c r="H12" i="58"/>
  <c r="H14" i="58"/>
  <c r="M16" i="58"/>
  <c r="J16" i="58"/>
  <c r="K16" i="58"/>
  <c r="E17" i="58"/>
  <c r="F16" i="58"/>
  <c r="D17" i="58"/>
  <c r="G4" i="3"/>
  <c r="D8" i="3"/>
  <c r="U20" i="10"/>
  <c r="V20" i="10" s="1"/>
  <c r="F19" i="10"/>
  <c r="F22" i="10" s="1"/>
  <c r="E19" i="10"/>
  <c r="E22" i="10" s="1"/>
  <c r="T22" i="10"/>
  <c r="S22" i="10"/>
  <c r="B59" i="64"/>
  <c r="I58" i="64"/>
  <c r="I57" i="64"/>
  <c r="J55" i="64"/>
  <c r="J54" i="64"/>
  <c r="J53" i="64"/>
  <c r="B58" i="64"/>
  <c r="B57" i="64"/>
  <c r="B56" i="64"/>
  <c r="B54" i="64"/>
  <c r="B53" i="64"/>
  <c r="H47" i="64"/>
  <c r="I56" i="64" s="1"/>
  <c r="I42" i="64"/>
  <c r="I49" i="64"/>
  <c r="I48" i="64"/>
  <c r="I47" i="64" s="1"/>
  <c r="H43" i="64"/>
  <c r="I54" i="64" s="1"/>
  <c r="I44" i="64"/>
  <c r="H44" i="64" s="1"/>
  <c r="F30" i="47"/>
  <c r="F29" i="47"/>
  <c r="F36" i="47"/>
  <c r="F35" i="47"/>
  <c r="F34" i="47"/>
  <c r="F33" i="47"/>
  <c r="I33" i="64"/>
  <c r="H33" i="64" s="1"/>
  <c r="I35" i="64"/>
  <c r="H35" i="64" s="1"/>
  <c r="I34" i="64"/>
  <c r="I30" i="64"/>
  <c r="H30" i="64" s="1"/>
  <c r="I29" i="64"/>
  <c r="H29" i="64"/>
  <c r="I28" i="64"/>
  <c r="H28" i="64" s="1"/>
  <c r="I27" i="64"/>
  <c r="H27" i="64" s="1"/>
  <c r="I26" i="64"/>
  <c r="H26" i="64" s="1"/>
  <c r="I25" i="64"/>
  <c r="H25" i="64" s="1"/>
  <c r="I24" i="64"/>
  <c r="H24" i="64" s="1"/>
  <c r="I23" i="64"/>
  <c r="H23" i="64" s="1"/>
  <c r="I22" i="64"/>
  <c r="H22" i="64" s="1"/>
  <c r="H16" i="64"/>
  <c r="N53" i="64"/>
  <c r="H18" i="64"/>
  <c r="H17" i="64"/>
  <c r="I19" i="64"/>
  <c r="H19" i="64" s="1"/>
  <c r="D5" i="3"/>
  <c r="G5" i="3"/>
  <c r="M212" i="3"/>
  <c r="M211" i="3"/>
  <c r="M226" i="3"/>
  <c r="M218" i="3"/>
  <c r="P212" i="3"/>
  <c r="P211" i="3"/>
  <c r="P226" i="3"/>
  <c r="P218" i="3"/>
  <c r="M228" i="3"/>
  <c r="P208" i="3"/>
  <c r="G17" i="58"/>
  <c r="F14" i="58"/>
  <c r="F12" i="58"/>
  <c r="F10" i="58"/>
  <c r="F15" i="58"/>
  <c r="F11" i="58"/>
  <c r="F13" i="58"/>
  <c r="F9" i="58"/>
  <c r="M50" i="58"/>
  <c r="M49" i="58"/>
  <c r="J50" i="58"/>
  <c r="K50" i="58"/>
  <c r="N50" i="58"/>
  <c r="J49" i="58"/>
  <c r="K49" i="58"/>
  <c r="N49" i="58"/>
  <c r="M45" i="58"/>
  <c r="J45" i="58"/>
  <c r="K45" i="58"/>
  <c r="N45" i="58"/>
  <c r="M51" i="58"/>
  <c r="J51" i="58"/>
  <c r="K51" i="58"/>
  <c r="N51" i="58"/>
  <c r="D52" i="58"/>
  <c r="N43" i="58"/>
  <c r="N47" i="58"/>
  <c r="N44" i="58"/>
  <c r="N46" i="58"/>
  <c r="N48" i="58"/>
  <c r="J43" i="58"/>
  <c r="K43" i="58"/>
  <c r="M43" i="58"/>
  <c r="M47" i="58"/>
  <c r="J47" i="58"/>
  <c r="K47" i="58"/>
  <c r="J44" i="58"/>
  <c r="K44" i="58"/>
  <c r="M44" i="58"/>
  <c r="M46" i="58"/>
  <c r="M48" i="58"/>
  <c r="J46" i="58"/>
  <c r="K46" i="58"/>
  <c r="J48" i="58"/>
  <c r="K48" i="58"/>
  <c r="M14" i="58"/>
  <c r="M12" i="58"/>
  <c r="M10" i="58"/>
  <c r="M15" i="58"/>
  <c r="M11" i="58"/>
  <c r="N13" i="58"/>
  <c r="M13" i="58"/>
  <c r="N14" i="58"/>
  <c r="K14" i="58"/>
  <c r="K12" i="58"/>
  <c r="K10" i="58"/>
  <c r="K15" i="58"/>
  <c r="K11" i="58"/>
  <c r="K13" i="58"/>
  <c r="K9" i="58"/>
  <c r="J14" i="58"/>
  <c r="J10" i="58"/>
  <c r="J12" i="58"/>
  <c r="J15" i="58"/>
  <c r="J11" i="58"/>
  <c r="J13" i="58"/>
  <c r="J9" i="58"/>
  <c r="M9" i="58"/>
  <c r="F32" i="47"/>
  <c r="E3" i="47"/>
  <c r="D3" i="47"/>
  <c r="C3" i="47"/>
  <c r="F31" i="47"/>
  <c r="F28" i="47"/>
  <c r="F27" i="47"/>
  <c r="G13" i="54"/>
  <c r="G11" i="3"/>
  <c r="G19" i="3"/>
  <c r="F26" i="47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K13" i="54"/>
  <c r="K14" i="54"/>
  <c r="K15" i="54"/>
  <c r="G11" i="54"/>
  <c r="G10" i="54"/>
  <c r="G9" i="54"/>
  <c r="N10" i="54"/>
  <c r="N6" i="54"/>
  <c r="N7" i="54"/>
  <c r="N9" i="54"/>
  <c r="N12" i="54"/>
  <c r="N13" i="54"/>
  <c r="K6" i="54"/>
  <c r="K8" i="54"/>
  <c r="G5" i="54"/>
  <c r="G4" i="54"/>
  <c r="G24" i="54"/>
  <c r="G17" i="54"/>
  <c r="R22" i="10"/>
  <c r="Q22" i="10"/>
  <c r="P22" i="10"/>
  <c r="O22" i="10"/>
  <c r="N22" i="10"/>
  <c r="M22" i="10"/>
  <c r="L22" i="10"/>
  <c r="K22" i="10"/>
  <c r="J22" i="10"/>
  <c r="I22" i="10"/>
  <c r="H22" i="10"/>
  <c r="G22" i="10"/>
  <c r="D22" i="10"/>
  <c r="I12" i="10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W12" i="10" s="1"/>
  <c r="X12" i="10" s="1"/>
  <c r="Y12" i="10" s="1"/>
  <c r="Z12" i="10" s="1"/>
  <c r="AA12" i="10" s="1"/>
  <c r="AB12" i="10" s="1"/>
  <c r="E12" i="10"/>
  <c r="F12" i="10" s="1"/>
  <c r="G12" i="10" s="1"/>
  <c r="F29" i="51"/>
  <c r="G29" i="51"/>
  <c r="F32" i="51"/>
  <c r="F35" i="51"/>
  <c r="N16" i="51"/>
  <c r="N7" i="51"/>
  <c r="N10" i="51"/>
  <c r="Y11" i="51"/>
  <c r="Z11" i="51"/>
  <c r="N13" i="51"/>
  <c r="N19" i="51"/>
  <c r="N21" i="51"/>
  <c r="N22" i="51"/>
  <c r="O21" i="51"/>
  <c r="O22" i="51"/>
  <c r="AG22" i="51"/>
  <c r="Q21" i="51"/>
  <c r="Q22" i="51"/>
  <c r="R8" i="51"/>
  <c r="R21" i="51"/>
  <c r="S21" i="51"/>
  <c r="S22" i="51"/>
  <c r="T21" i="51"/>
  <c r="T22" i="51"/>
  <c r="U21" i="51"/>
  <c r="AM21" i="51"/>
  <c r="U22" i="51"/>
  <c r="AM22" i="51"/>
  <c r="U27" i="51"/>
  <c r="V21" i="51"/>
  <c r="V22" i="51"/>
  <c r="AN22" i="51"/>
  <c r="X21" i="51"/>
  <c r="X22" i="51"/>
  <c r="AP22" i="51"/>
  <c r="Y8" i="51"/>
  <c r="Z8" i="51"/>
  <c r="N29" i="51"/>
  <c r="O7" i="51"/>
  <c r="Q7" i="51"/>
  <c r="R7" i="51"/>
  <c r="AJ7" i="51"/>
  <c r="S7" i="51"/>
  <c r="AK7" i="51"/>
  <c r="T7" i="51"/>
  <c r="V7" i="51"/>
  <c r="W7" i="51"/>
  <c r="X7" i="51"/>
  <c r="AP7" i="51"/>
  <c r="Y7" i="51"/>
  <c r="Z7" i="51"/>
  <c r="AR7" i="51"/>
  <c r="AQ8" i="51"/>
  <c r="R19" i="51"/>
  <c r="AJ19" i="51"/>
  <c r="X19" i="51"/>
  <c r="AP19" i="51"/>
  <c r="AL22" i="51"/>
  <c r="Z24" i="51"/>
  <c r="AR24" i="51"/>
  <c r="Z25" i="51"/>
  <c r="AR25" i="51"/>
  <c r="Z26" i="51"/>
  <c r="AR26" i="51"/>
  <c r="Z27" i="51"/>
  <c r="AR27" i="51"/>
  <c r="AS27" i="51"/>
  <c r="AQ27" i="51"/>
  <c r="AP27" i="51"/>
  <c r="AO27" i="51"/>
  <c r="AN27" i="51"/>
  <c r="AM27" i="51"/>
  <c r="AL27" i="51"/>
  <c r="AK27" i="51"/>
  <c r="AJ27" i="51"/>
  <c r="AI27" i="51"/>
  <c r="AH27" i="51"/>
  <c r="AG27" i="51"/>
  <c r="AF27" i="51"/>
  <c r="AS26" i="51"/>
  <c r="AQ26" i="51"/>
  <c r="AP26" i="51"/>
  <c r="AO26" i="51"/>
  <c r="AN26" i="51"/>
  <c r="AM26" i="51"/>
  <c r="AL26" i="51"/>
  <c r="AK26" i="51"/>
  <c r="AJ26" i="51"/>
  <c r="AI26" i="51"/>
  <c r="AH26" i="51"/>
  <c r="AG26" i="51"/>
  <c r="AF26" i="51"/>
  <c r="AS25" i="51"/>
  <c r="AQ25" i="51"/>
  <c r="AP25" i="51"/>
  <c r="AO25" i="51"/>
  <c r="AN25" i="51"/>
  <c r="AM25" i="51"/>
  <c r="AL25" i="51"/>
  <c r="AK25" i="51"/>
  <c r="AJ25" i="51"/>
  <c r="AI25" i="51"/>
  <c r="AH25" i="51"/>
  <c r="AG25" i="51"/>
  <c r="AF25" i="51"/>
  <c r="AS24" i="51"/>
  <c r="AQ24" i="51"/>
  <c r="AP24" i="51"/>
  <c r="AO24" i="51"/>
  <c r="AN24" i="51"/>
  <c r="AM24" i="51"/>
  <c r="AL24" i="51"/>
  <c r="AK24" i="51"/>
  <c r="AJ24" i="51"/>
  <c r="AI24" i="51"/>
  <c r="AH24" i="51"/>
  <c r="AG24" i="51"/>
  <c r="AF24" i="51"/>
  <c r="AS23" i="51"/>
  <c r="AR23" i="51"/>
  <c r="AQ23" i="51"/>
  <c r="AP23" i="51"/>
  <c r="AO23" i="51"/>
  <c r="AN23" i="51"/>
  <c r="AM23" i="51"/>
  <c r="AL23" i="51"/>
  <c r="AK23" i="51"/>
  <c r="AJ23" i="51"/>
  <c r="AI23" i="51"/>
  <c r="AH23" i="51"/>
  <c r="AG23" i="51"/>
  <c r="AF23" i="51"/>
  <c r="AS21" i="51"/>
  <c r="AN21" i="51"/>
  <c r="AS20" i="51"/>
  <c r="AR20" i="51"/>
  <c r="AQ20" i="51"/>
  <c r="AP20" i="51"/>
  <c r="AO20" i="51"/>
  <c r="AN20" i="51"/>
  <c r="AM20" i="51"/>
  <c r="AL20" i="51"/>
  <c r="AK20" i="51"/>
  <c r="AJ20" i="51"/>
  <c r="AI20" i="51"/>
  <c r="AH20" i="51"/>
  <c r="AG20" i="51"/>
  <c r="AF20" i="51"/>
  <c r="AS19" i="51"/>
  <c r="AS18" i="51"/>
  <c r="AR18" i="51"/>
  <c r="AQ18" i="51"/>
  <c r="AP18" i="51"/>
  <c r="AO18" i="51"/>
  <c r="AN18" i="51"/>
  <c r="AM18" i="51"/>
  <c r="AL18" i="51"/>
  <c r="AK18" i="51"/>
  <c r="AJ18" i="51"/>
  <c r="AI18" i="51"/>
  <c r="AH18" i="51"/>
  <c r="AG18" i="51"/>
  <c r="AF18" i="51"/>
  <c r="AQ17" i="51"/>
  <c r="AP17" i="51"/>
  <c r="AO17" i="51"/>
  <c r="AN17" i="51"/>
  <c r="AM17" i="51"/>
  <c r="AL17" i="51"/>
  <c r="AI17" i="51"/>
  <c r="AH17" i="51"/>
  <c r="AF17" i="51"/>
  <c r="AS16" i="51"/>
  <c r="AS15" i="51"/>
  <c r="AR15" i="51"/>
  <c r="AQ15" i="51"/>
  <c r="AP15" i="51"/>
  <c r="AO15" i="51"/>
  <c r="AN15" i="51"/>
  <c r="AM15" i="51"/>
  <c r="AL15" i="51"/>
  <c r="AK15" i="51"/>
  <c r="AJ15" i="51"/>
  <c r="AI15" i="51"/>
  <c r="AH15" i="51"/>
  <c r="AG15" i="51"/>
  <c r="AF15" i="51"/>
  <c r="AS13" i="51"/>
  <c r="AS12" i="51"/>
  <c r="AR12" i="51"/>
  <c r="AQ12" i="51"/>
  <c r="AP12" i="51"/>
  <c r="AO12" i="51"/>
  <c r="AN12" i="51"/>
  <c r="AM12" i="51"/>
  <c r="AL12" i="51"/>
  <c r="AK12" i="51"/>
  <c r="AJ12" i="51"/>
  <c r="AI12" i="51"/>
  <c r="AH12" i="51"/>
  <c r="AG12" i="51"/>
  <c r="AF12" i="51"/>
  <c r="AP11" i="51"/>
  <c r="AO11" i="51"/>
  <c r="AN11" i="51"/>
  <c r="AM11" i="51"/>
  <c r="AL11" i="51"/>
  <c r="AK11" i="51"/>
  <c r="AJ11" i="51"/>
  <c r="AI11" i="51"/>
  <c r="AH11" i="51"/>
  <c r="AG11" i="51"/>
  <c r="AF11" i="51"/>
  <c r="AS10" i="51"/>
  <c r="AF10" i="51"/>
  <c r="AS9" i="51"/>
  <c r="AR9" i="51"/>
  <c r="AQ9" i="51"/>
  <c r="AP9" i="51"/>
  <c r="AO9" i="51"/>
  <c r="AN9" i="51"/>
  <c r="AM9" i="51"/>
  <c r="AL9" i="51"/>
  <c r="AK9" i="51"/>
  <c r="AJ9" i="51"/>
  <c r="AI9" i="51"/>
  <c r="AH9" i="51"/>
  <c r="AG9" i="51"/>
  <c r="AF9" i="51"/>
  <c r="AP8" i="51"/>
  <c r="AO8" i="51"/>
  <c r="AN8" i="51"/>
  <c r="AM8" i="51"/>
  <c r="AL8" i="51"/>
  <c r="AK8" i="51"/>
  <c r="AJ8" i="51"/>
  <c r="AI8" i="51"/>
  <c r="AH8" i="51"/>
  <c r="AG8" i="51"/>
  <c r="AF8" i="51"/>
  <c r="AS7" i="51"/>
  <c r="AQ7" i="51"/>
  <c r="AO7" i="51"/>
  <c r="AN7" i="51"/>
  <c r="AL7" i="51"/>
  <c r="AI7" i="51"/>
  <c r="AG7" i="51"/>
  <c r="AF7" i="51"/>
  <c r="AS6" i="51"/>
  <c r="AR6" i="51"/>
  <c r="AQ6" i="51"/>
  <c r="AP6" i="51"/>
  <c r="AO6" i="51"/>
  <c r="AN6" i="51"/>
  <c r="AM6" i="51"/>
  <c r="AL6" i="51"/>
  <c r="AK6" i="51"/>
  <c r="AJ6" i="51"/>
  <c r="AI6" i="51"/>
  <c r="AH6" i="51"/>
  <c r="AG6" i="51"/>
  <c r="AF6" i="51"/>
  <c r="AS4" i="51"/>
  <c r="AS3" i="51"/>
  <c r="AL21" i="51"/>
  <c r="AP21" i="51"/>
  <c r="AR11" i="51"/>
  <c r="AG21" i="51"/>
  <c r="G2" i="51"/>
  <c r="D5" i="51"/>
  <c r="D20" i="51"/>
  <c r="D22" i="51"/>
  <c r="G5" i="51"/>
  <c r="G20" i="51"/>
  <c r="G12" i="51"/>
  <c r="D21" i="51"/>
  <c r="D15" i="51"/>
  <c r="D12" i="51"/>
  <c r="D23" i="51"/>
  <c r="G1" i="3"/>
  <c r="AI22" i="51"/>
  <c r="AI21" i="51"/>
  <c r="AK21" i="51"/>
  <c r="AK22" i="51"/>
  <c r="AR8" i="51"/>
  <c r="AA8" i="51"/>
  <c r="AS8" i="51"/>
  <c r="D43" i="51"/>
  <c r="D41" i="51"/>
  <c r="D4" i="3"/>
  <c r="D11" i="3"/>
  <c r="D19" i="3" s="1"/>
  <c r="D22" i="3" s="1"/>
  <c r="D22" i="58" s="1"/>
  <c r="D24" i="58" s="1"/>
  <c r="N12" i="58"/>
  <c r="N11" i="58"/>
  <c r="I11" i="58"/>
  <c r="N16" i="58"/>
  <c r="N10" i="58"/>
  <c r="N15" i="58"/>
  <c r="H17" i="58"/>
  <c r="M17" i="58"/>
  <c r="N9" i="58"/>
  <c r="F17" i="58"/>
  <c r="D19" i="58"/>
  <c r="K17" i="58"/>
  <c r="U22" i="10"/>
  <c r="F3" i="47"/>
  <c r="G32" i="51"/>
  <c r="G37" i="51"/>
  <c r="S17" i="51"/>
  <c r="AK17" i="51"/>
  <c r="G35" i="51"/>
  <c r="S19" i="51"/>
  <c r="AK19" i="51"/>
  <c r="O19" i="51"/>
  <c r="AG19" i="51"/>
  <c r="U19" i="51"/>
  <c r="AM19" i="51"/>
  <c r="Y19" i="51"/>
  <c r="T19" i="51"/>
  <c r="AL19" i="51"/>
  <c r="V19" i="51"/>
  <c r="AN19" i="51"/>
  <c r="W19" i="51"/>
  <c r="AO19" i="51"/>
  <c r="P19" i="51"/>
  <c r="AH19" i="51"/>
  <c r="Q19" i="51"/>
  <c r="AI19" i="51"/>
  <c r="N14" i="51"/>
  <c r="AF13" i="51"/>
  <c r="O13" i="51"/>
  <c r="D42" i="51"/>
  <c r="AF19" i="51"/>
  <c r="M229" i="3"/>
  <c r="O10" i="51"/>
  <c r="R22" i="51"/>
  <c r="AJ22" i="51"/>
  <c r="AJ21" i="51"/>
  <c r="D44" i="51"/>
  <c r="AQ11" i="51"/>
  <c r="AF22" i="51"/>
  <c r="O17" i="51"/>
  <c r="O16" i="51"/>
  <c r="R17" i="51"/>
  <c r="AJ17" i="51"/>
  <c r="AF16" i="51"/>
  <c r="AF21" i="51"/>
  <c r="P7" i="51"/>
  <c r="AH7" i="51"/>
  <c r="U7" i="51"/>
  <c r="AM7" i="51"/>
  <c r="P21" i="51"/>
  <c r="W21" i="51"/>
  <c r="Y21" i="51"/>
  <c r="N17" i="58"/>
  <c r="D23" i="58"/>
  <c r="I9" i="58"/>
  <c r="I10" i="58"/>
  <c r="I13" i="58"/>
  <c r="I14" i="58"/>
  <c r="I16" i="58"/>
  <c r="I12" i="58"/>
  <c r="I15" i="58"/>
  <c r="J17" i="58"/>
  <c r="S4" i="51"/>
  <c r="AK4" i="51" s="1"/>
  <c r="O4" i="51"/>
  <c r="AG4" i="51"/>
  <c r="T4" i="51"/>
  <c r="AL4" i="51" s="1"/>
  <c r="R4" i="51"/>
  <c r="AJ4" i="51" s="1"/>
  <c r="P4" i="51"/>
  <c r="AH4" i="51" s="1"/>
  <c r="Y4" i="51"/>
  <c r="AQ4" i="51" s="1"/>
  <c r="W4" i="51"/>
  <c r="AO4" i="51" s="1"/>
  <c r="X4" i="51"/>
  <c r="AP4" i="51" s="1"/>
  <c r="U4" i="51"/>
  <c r="AM4" i="51" s="1"/>
  <c r="N4" i="51"/>
  <c r="R5" i="51" s="1"/>
  <c r="AJ5" i="51" s="1"/>
  <c r="V4" i="51"/>
  <c r="AN4" i="51" s="1"/>
  <c r="Q4" i="51"/>
  <c r="AI4" i="51" s="1"/>
  <c r="P16" i="51"/>
  <c r="AG16" i="51"/>
  <c r="Z21" i="51"/>
  <c r="AR21" i="51"/>
  <c r="AQ21" i="51"/>
  <c r="Y22" i="51"/>
  <c r="AQ22" i="51"/>
  <c r="Z17" i="51"/>
  <c r="AG17" i="51"/>
  <c r="O14" i="51"/>
  <c r="AG14" i="51"/>
  <c r="P13" i="51"/>
  <c r="AG13" i="51"/>
  <c r="W22" i="51"/>
  <c r="AO22" i="51"/>
  <c r="AO21" i="51"/>
  <c r="Z19" i="51"/>
  <c r="AR19" i="51"/>
  <c r="AQ19" i="51"/>
  <c r="AH21" i="51"/>
  <c r="P22" i="51"/>
  <c r="P10" i="51"/>
  <c r="AG10" i="51"/>
  <c r="AF14" i="51"/>
  <c r="D20" i="58"/>
  <c r="L17" i="58"/>
  <c r="I17" i="58"/>
  <c r="P14" i="51"/>
  <c r="Q13" i="51"/>
  <c r="AH13" i="51"/>
  <c r="AR17" i="51"/>
  <c r="Q16" i="51"/>
  <c r="AH16" i="51"/>
  <c r="Q10" i="51"/>
  <c r="AH10" i="51"/>
  <c r="AH22" i="51"/>
  <c r="Z22" i="51"/>
  <c r="Q14" i="51"/>
  <c r="AI14" i="51"/>
  <c r="AI13" i="51"/>
  <c r="R13" i="51"/>
  <c r="AI16" i="51"/>
  <c r="R16" i="51"/>
  <c r="R10" i="51"/>
  <c r="AI10" i="51"/>
  <c r="AR22" i="51"/>
  <c r="AA22" i="51"/>
  <c r="AS22" i="51"/>
  <c r="AH14" i="51"/>
  <c r="AJ16" i="51"/>
  <c r="S16" i="51"/>
  <c r="S13" i="51"/>
  <c r="R14" i="51"/>
  <c r="AJ13" i="51"/>
  <c r="S10" i="51"/>
  <c r="AJ10" i="51"/>
  <c r="S14" i="51"/>
  <c r="AK14" i="51"/>
  <c r="AK13" i="51"/>
  <c r="AK16" i="51"/>
  <c r="T16" i="51"/>
  <c r="T10" i="51"/>
  <c r="AK10" i="51"/>
  <c r="AJ14" i="51"/>
  <c r="AL10" i="51"/>
  <c r="U10" i="51"/>
  <c r="AL16" i="51"/>
  <c r="U16" i="51"/>
  <c r="T13" i="51"/>
  <c r="AL13" i="51"/>
  <c r="T14" i="51"/>
  <c r="V16" i="51"/>
  <c r="AM16" i="51"/>
  <c r="AM10" i="51"/>
  <c r="V10" i="51"/>
  <c r="AL14" i="51"/>
  <c r="W10" i="51"/>
  <c r="AN10" i="51"/>
  <c r="U13" i="51"/>
  <c r="W16" i="51"/>
  <c r="AN16" i="51"/>
  <c r="U14" i="51"/>
  <c r="AM14" i="51"/>
  <c r="V13" i="51"/>
  <c r="AM13" i="51"/>
  <c r="AO16" i="51"/>
  <c r="X16" i="51"/>
  <c r="X10" i="51"/>
  <c r="AO10" i="51"/>
  <c r="V14" i="51"/>
  <c r="AN14" i="51"/>
  <c r="W13" i="51"/>
  <c r="AN13" i="51"/>
  <c r="Y16" i="51"/>
  <c r="AP16" i="51"/>
  <c r="Y10" i="51"/>
  <c r="AP10" i="51"/>
  <c r="AQ10" i="51"/>
  <c r="Z10" i="51"/>
  <c r="AQ16" i="51"/>
  <c r="Z16" i="51"/>
  <c r="W14" i="51"/>
  <c r="AO14" i="51"/>
  <c r="AO13" i="51"/>
  <c r="X13" i="51"/>
  <c r="AP13" i="51"/>
  <c r="X14" i="51"/>
  <c r="AP14" i="51"/>
  <c r="AR16" i="51"/>
  <c r="AA17" i="51"/>
  <c r="AS17" i="51"/>
  <c r="AR10" i="51"/>
  <c r="AA11" i="51"/>
  <c r="AS11" i="51"/>
  <c r="Y13" i="51"/>
  <c r="Y14" i="51"/>
  <c r="Z13" i="51"/>
  <c r="AQ13" i="51"/>
  <c r="AQ14" i="51"/>
  <c r="Z14" i="51"/>
  <c r="AR13" i="51"/>
  <c r="AR14" i="51"/>
  <c r="AA14" i="51"/>
  <c r="AS14" i="51"/>
  <c r="W20" i="10" l="1"/>
  <c r="V22" i="10"/>
  <c r="T5" i="51"/>
  <c r="AL5" i="51" s="1"/>
  <c r="N5" i="51"/>
  <c r="O5" i="51"/>
  <c r="AG5" i="51" s="1"/>
  <c r="W5" i="51"/>
  <c r="AO5" i="51" s="1"/>
  <c r="Z4" i="51"/>
  <c r="P5" i="51"/>
  <c r="AH5" i="51" s="1"/>
  <c r="S5" i="51"/>
  <c r="AK5" i="51" s="1"/>
  <c r="V5" i="51"/>
  <c r="AN5" i="51" s="1"/>
  <c r="AF4" i="51"/>
  <c r="X5" i="51"/>
  <c r="AP5" i="51" s="1"/>
  <c r="U5" i="51"/>
  <c r="AM5" i="51" s="1"/>
  <c r="N3" i="51"/>
  <c r="Q5" i="51"/>
  <c r="AI5" i="51" s="1"/>
  <c r="Y5" i="51"/>
  <c r="AQ5" i="51" s="1"/>
  <c r="D21" i="3"/>
  <c r="D43" i="58"/>
  <c r="D48" i="58" s="1"/>
  <c r="I32" i="64"/>
  <c r="H21" i="64"/>
  <c r="I21" i="64"/>
  <c r="H34" i="64"/>
  <c r="H32" i="64" s="1"/>
  <c r="N55" i="64" s="1"/>
  <c r="H42" i="64"/>
  <c r="I53" i="64" s="1"/>
  <c r="I61" i="64" s="1"/>
  <c r="X20" i="10" l="1"/>
  <c r="W22" i="10"/>
  <c r="AR4" i="51"/>
  <c r="O3" i="51"/>
  <c r="AF3" i="51"/>
  <c r="Z5" i="51"/>
  <c r="Z3" i="51" s="1"/>
  <c r="AR3" i="51" s="1"/>
  <c r="AF5" i="51"/>
  <c r="I38" i="64"/>
  <c r="N54" i="64"/>
  <c r="N61" i="64" s="1"/>
  <c r="I63" i="64" s="1"/>
  <c r="I64" i="64" s="1"/>
  <c r="H38" i="64"/>
  <c r="Y20" i="10" l="1"/>
  <c r="X22" i="10"/>
  <c r="P3" i="51"/>
  <c r="AG3" i="51"/>
  <c r="AG1" i="51" s="1"/>
  <c r="O1" i="51"/>
  <c r="AR5" i="51"/>
  <c r="AA5" i="51"/>
  <c r="AS5" i="51" s="1"/>
  <c r="Z20" i="10" l="1"/>
  <c r="Y22" i="10"/>
  <c r="AH3" i="51"/>
  <c r="AH1" i="51" s="1"/>
  <c r="Q3" i="51"/>
  <c r="P1" i="51"/>
  <c r="AA20" i="10" l="1"/>
  <c r="Z22" i="10"/>
  <c r="Q1" i="51"/>
  <c r="AI3" i="51"/>
  <c r="AI1" i="51" s="1"/>
  <c r="R3" i="51"/>
  <c r="AB20" i="10" l="1"/>
  <c r="AB22" i="10" s="1"/>
  <c r="AA22" i="10"/>
  <c r="AJ3" i="51"/>
  <c r="AJ1" i="51" s="1"/>
  <c r="S3" i="51"/>
  <c r="R1" i="51"/>
  <c r="AK3" i="51" l="1"/>
  <c r="AK1" i="51" s="1"/>
  <c r="S1" i="51"/>
  <c r="S29" i="51"/>
  <c r="T3" i="51"/>
  <c r="T1" i="51" l="1"/>
  <c r="U3" i="51"/>
  <c r="AL3" i="51"/>
  <c r="AL1" i="51" s="1"/>
  <c r="V3" i="51" l="1"/>
  <c r="AM3" i="51"/>
  <c r="AM1" i="51" s="1"/>
  <c r="U1" i="51"/>
  <c r="W3" i="51" l="1"/>
  <c r="V1" i="51"/>
  <c r="AN3" i="51"/>
  <c r="AN1" i="51" s="1"/>
  <c r="V29" i="51"/>
  <c r="AO3" i="51" l="1"/>
  <c r="AO1" i="51" s="1"/>
  <c r="W1" i="51"/>
  <c r="X3" i="51"/>
  <c r="Y3" i="51" l="1"/>
  <c r="X1" i="51"/>
  <c r="AP3" i="51"/>
  <c r="AP1" i="51" s="1"/>
  <c r="AQ3" i="51" l="1"/>
  <c r="AQ1" i="51" s="1"/>
  <c r="Y1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Sungsoo Kim</author>
  </authors>
  <commentList>
    <comment ref="E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E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2022.4.6
@ 2.35% (CD91 + 1.25%)</t>
        </r>
      </text>
    </comment>
    <comment ref="B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E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Expires on 2018.05.02</t>
        </r>
      </text>
    </comment>
    <comment ref="B15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2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2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2021.4.6
@ 2.35% (CD91 + 1.25%)</t>
        </r>
      </text>
    </comment>
    <comment ref="K3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K3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2021.04.03</t>
        </r>
      </text>
    </comment>
    <comment ref="N5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5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2021.4.6
@ 2.35% (CD91 + 1.25%)</t>
        </r>
      </text>
    </comment>
    <comment ref="K5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K6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2021.04.03</t>
        </r>
      </text>
    </comment>
    <comment ref="N74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2021.4.6
@ 2.35% (CD91 + 1.25%)</t>
        </r>
      </text>
    </comment>
    <comment ref="K76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K84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97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98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2021.4.6
@ 2.35% (CD91 + 1.25%)</t>
        </r>
      </text>
    </comment>
    <comment ref="K99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K107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120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121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2021.4.6
@ 2.35% (CD91 + 1.25%)</t>
        </r>
      </text>
    </comment>
    <comment ref="K122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K130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143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144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2021.4.6
@ 2.35% (CD91 + 1.25%)</t>
        </r>
      </text>
    </comment>
    <comment ref="K145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K153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166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167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2021.4.6
@ 2.35% (CD91 + 1.25%)</t>
        </r>
      </text>
    </comment>
    <comment ref="K168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N168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176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189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190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2022.4.6
@ 2.35% (CD91 + 1.25%)</t>
        </r>
      </text>
    </comment>
    <comment ref="K191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N191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199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212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213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2022.4.6
@ 2.35% (CD91 + 1.25%)</t>
        </r>
      </text>
    </comment>
    <comment ref="K214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N214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222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235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236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2022.4.6
@ 2.35% (CD91 + 1.25%)</t>
        </r>
      </text>
    </comment>
    <comment ref="K237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N237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245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258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259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2022.4.6
@ 2.35% (CD91 + 1.25%)</t>
        </r>
      </text>
    </comment>
    <comment ref="K260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N260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268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281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282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2022.4.6
@ 2.35% (CD91 + 1.25%)</t>
        </r>
      </text>
    </comment>
    <comment ref="K283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N283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291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304" authorId="0" shapeId="0" xr:uid="{BF8DDE0B-A553-4CA8-B480-038600BD969D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305" authorId="0" shapeId="0" xr:uid="{648F297D-A684-4FCB-B3D7-FE969AA20E34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2022.4.6
@ 2.35% (CD91 + 1.25%)</t>
        </r>
      </text>
    </comment>
    <comment ref="K306" authorId="0" shapeId="0" xr:uid="{A6FF062E-9528-4FEE-8743-A9FE133A717B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N306" authorId="0" shapeId="0" xr:uid="{C15F3007-6F9B-4755-B937-BA4DF55851F7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314" authorId="0" shapeId="0" xr:uid="{B1FADF6F-25B2-44A0-97F2-12A22B1A6814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327" authorId="0" shapeId="0" xr:uid="{C78C177C-C081-4FFC-95E6-CFD77E5B54A1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328" authorId="0" shapeId="0" xr:uid="{2F9912DF-5D8B-48CF-A66C-5F3AD8011CCE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2022.4.6
@ 2.35% (CD91 + 1.25%)</t>
        </r>
      </text>
    </comment>
    <comment ref="K329" authorId="0" shapeId="0" xr:uid="{30CA1559-DEEE-4A7A-858E-853F1B35223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N329" authorId="0" shapeId="0" xr:uid="{D15F8C61-4CC4-4E70-9CD4-9FBB78A45E44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337" authorId="0" shapeId="0" xr:uid="{91648F96-1A2F-4F3E-88F0-F79F92165CA5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  <comment ref="N350" authorId="0" shapeId="0" xr:uid="{C4D09CFF-A3F1-4EF2-8CCF-833D7BCE6D66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2022.3.25
(</t>
        </r>
        <r>
          <rPr>
            <sz val="9"/>
            <color indexed="81"/>
            <rFont val="돋움"/>
            <family val="3"/>
            <charset val="129"/>
          </rPr>
          <t>주택도시보증</t>
        </r>
        <r>
          <rPr>
            <sz val="9"/>
            <color indexed="81"/>
            <rFont val="Tahoma"/>
            <family val="2"/>
          </rPr>
          <t>) @ 2.61%</t>
        </r>
      </text>
    </comment>
    <comment ref="N351" authorId="0" shapeId="0" xr:uid="{07C6EB85-72D0-4347-847F-B56967CAAB7E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2022.4.6
@ 2.35% (CD91 + 1.25%)</t>
        </r>
      </text>
    </comment>
    <comment ref="K352" authorId="0" shapeId="0" xr:uid="{362F24E1-724E-415A-A297-2E4E83EB4B8B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Withdrawal from 5/1</t>
        </r>
      </text>
    </comment>
    <comment ref="N352" authorId="0" shapeId="0" xr:uid="{E8C3124F-2581-4510-B232-5457BA064D7B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만기일시상환</t>
        </r>
        <r>
          <rPr>
            <sz val="9"/>
            <color indexed="81"/>
            <rFont val="Tahoma"/>
            <family val="2"/>
          </rPr>
          <t>: 2022.05.12
@ 3.85</t>
        </r>
      </text>
    </comment>
    <comment ref="K360" authorId="0" shapeId="0" xr:uid="{4A407544-4F7B-449E-9938-BD7CF120E706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Revolving @ 3.39%
Maturity: 2022.04.03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Sungsoo Kim</author>
  </authors>
  <commentList>
    <comment ref="B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Sungsoo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전기
상하수도
가스
인터넷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관리비
주차비용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<sst xmlns="http://schemas.openxmlformats.org/spreadsheetml/2006/main" count="1187" uniqueCount="613">
  <si>
    <t>Item</t>
  </si>
  <si>
    <t>KRW</t>
  </si>
  <si>
    <t>Fixed Cost</t>
  </si>
  <si>
    <t>Income</t>
  </si>
  <si>
    <t>Mobile Service</t>
  </si>
  <si>
    <t>Variable Cost</t>
  </si>
  <si>
    <t>Asset</t>
  </si>
  <si>
    <t>Liability</t>
  </si>
  <si>
    <t>Total Asset</t>
  </si>
  <si>
    <t>Total Liability</t>
  </si>
  <si>
    <t>Net Balance</t>
  </si>
  <si>
    <t>Investment Return</t>
  </si>
  <si>
    <t>Expenses</t>
  </si>
  <si>
    <t>Public transportation (Subway)</t>
  </si>
  <si>
    <t>Annual Salary</t>
  </si>
  <si>
    <t>Monthly Salary</t>
  </si>
  <si>
    <t>Monthly Uses &amp; Sources Flow</t>
  </si>
  <si>
    <t>Illiquid Asset</t>
  </si>
  <si>
    <t>Liquid Asset</t>
  </si>
  <si>
    <t>Short-Term Liability</t>
  </si>
  <si>
    <t>Long-Term Liability</t>
  </si>
  <si>
    <t>HK</t>
  </si>
  <si>
    <t>SEOUL</t>
  </si>
  <si>
    <t xml:space="preserve">Started full-time professional at Goldman Sachs Operations in SLC </t>
  </si>
  <si>
    <t>Spent a full-year in HK. Planning to move back home for life in Seoul</t>
  </si>
  <si>
    <t>Plan &amp; Decision is important</t>
  </si>
  <si>
    <t>Plan to cherish mylife. Healthy mentality</t>
  </si>
  <si>
    <t>Prep for Grad School</t>
  </si>
  <si>
    <t>Relocated to HK office. Asia Settements</t>
    <phoneticPr fontId="10" type="noConversion"/>
  </si>
  <si>
    <t>KRW</t>
    <phoneticPr fontId="10" type="noConversion"/>
  </si>
  <si>
    <t>Monthly Tax Rate</t>
    <phoneticPr fontId="10" type="noConversion"/>
  </si>
  <si>
    <t>Actual deposit per month</t>
    <phoneticPr fontId="10" type="noConversion"/>
  </si>
  <si>
    <t>Housing Loan Analysis</t>
    <phoneticPr fontId="10" type="noConversion"/>
  </si>
  <si>
    <t>Cash</t>
    <phoneticPr fontId="1" type="noConversion"/>
  </si>
  <si>
    <t>Interest rate</t>
    <phoneticPr fontId="10" type="noConversion"/>
  </si>
  <si>
    <t>Key house deposit</t>
    <phoneticPr fontId="10" type="noConversion"/>
  </si>
  <si>
    <t>Loan received</t>
    <phoneticPr fontId="10" type="noConversion"/>
  </si>
  <si>
    <t>Key House Deposit from myself</t>
    <phoneticPr fontId="1" type="noConversion"/>
  </si>
  <si>
    <t>KRW</t>
    <phoneticPr fontId="1" type="noConversion"/>
  </si>
  <si>
    <t>Stock Investment</t>
    <phoneticPr fontId="1" type="noConversion"/>
  </si>
  <si>
    <t>Shinhan Card</t>
    <phoneticPr fontId="1" type="noConversion"/>
  </si>
  <si>
    <t>Liquid Balance</t>
    <phoneticPr fontId="1" type="noConversion"/>
  </si>
  <si>
    <t>Housing Interest</t>
    <phoneticPr fontId="10" type="noConversion"/>
  </si>
  <si>
    <t>Moving to Front office</t>
    <phoneticPr fontId="10" type="noConversion"/>
  </si>
  <si>
    <t>CFA Lv1</t>
    <phoneticPr fontId="10" type="noConversion"/>
  </si>
  <si>
    <t xml:space="preserve">Engagement fund </t>
    <phoneticPr fontId="10" type="noConversion"/>
  </si>
  <si>
    <t>Cash bond analyst</t>
    <phoneticPr fontId="10" type="noConversion"/>
  </si>
  <si>
    <t>Workout is mandatory</t>
    <phoneticPr fontId="10" type="noConversion"/>
  </si>
  <si>
    <t>Associate</t>
    <phoneticPr fontId="10" type="noConversion"/>
  </si>
  <si>
    <t>Goldman Sachs - Operations</t>
  </si>
  <si>
    <t>SEOUL</t>
    <phoneticPr fontId="10" type="noConversion"/>
  </si>
  <si>
    <t>A/R</t>
    <phoneticPr fontId="1" type="noConversion"/>
  </si>
  <si>
    <t>Hyundai Card</t>
    <phoneticPr fontId="1" type="noConversion"/>
  </si>
  <si>
    <t>Balance Sheet</t>
    <phoneticPr fontId="1" type="noConversion"/>
  </si>
  <si>
    <t>Marriage prep</t>
    <phoneticPr fontId="10" type="noConversion"/>
  </si>
  <si>
    <t>CFA Lv 1</t>
    <phoneticPr fontId="10" type="noConversion"/>
  </si>
  <si>
    <t>Shinhan real estate fund</t>
    <phoneticPr fontId="1" type="noConversion"/>
  </si>
  <si>
    <t>Bonus 50,000,000 Reach from Sales Revenue 200,000,000</t>
    <phoneticPr fontId="10" type="noConversion"/>
  </si>
  <si>
    <t>Investment Target 15%</t>
    <phoneticPr fontId="10" type="noConversion"/>
  </si>
  <si>
    <t>Key House Deposit from myself</t>
  </si>
  <si>
    <t>Shinhan real estate fund</t>
  </si>
  <si>
    <t>Stock Investment</t>
  </si>
  <si>
    <t>Shinhan Card</t>
  </si>
  <si>
    <t>Hyundai Card</t>
  </si>
  <si>
    <t>A/R</t>
  </si>
  <si>
    <t>Cash</t>
  </si>
  <si>
    <t>Liquid Balance</t>
  </si>
  <si>
    <t>KDB Life Insurance</t>
    <phoneticPr fontId="10" type="noConversion"/>
  </si>
  <si>
    <t>Re-transition into Investment Bank</t>
    <phoneticPr fontId="10" type="noConversion"/>
  </si>
  <si>
    <t>Transition to Buy-Side Life at Insurance house</t>
    <phoneticPr fontId="10" type="noConversion"/>
  </si>
  <si>
    <t>합계</t>
    <phoneticPr fontId="10" type="noConversion"/>
  </si>
  <si>
    <t>이윤호</t>
    <phoneticPr fontId="10" type="noConversion"/>
  </si>
  <si>
    <t>이지은</t>
    <phoneticPr fontId="10" type="noConversion"/>
  </si>
  <si>
    <t>배영우</t>
    <phoneticPr fontId="10" type="noConversion"/>
  </si>
  <si>
    <t>권노흠</t>
    <phoneticPr fontId="10" type="noConversion"/>
  </si>
  <si>
    <t>나드리</t>
    <phoneticPr fontId="10" type="noConversion"/>
  </si>
  <si>
    <t>박준환</t>
    <phoneticPr fontId="10" type="noConversion"/>
  </si>
  <si>
    <t>허홍</t>
    <phoneticPr fontId="10" type="noConversion"/>
  </si>
  <si>
    <t>결혼식</t>
    <phoneticPr fontId="10" type="noConversion"/>
  </si>
  <si>
    <t>돌잔치</t>
    <phoneticPr fontId="10" type="noConversion"/>
  </si>
  <si>
    <t>김성우</t>
    <phoneticPr fontId="10" type="noConversion"/>
  </si>
  <si>
    <t>박성철</t>
    <phoneticPr fontId="10" type="noConversion"/>
  </si>
  <si>
    <t>이름</t>
    <phoneticPr fontId="10" type="noConversion"/>
  </si>
  <si>
    <t>부고</t>
    <phoneticPr fontId="10" type="noConversion"/>
  </si>
  <si>
    <t>Stock Trading Strategy</t>
    <phoneticPr fontId="1" type="noConversion"/>
  </si>
  <si>
    <t>이관석</t>
    <phoneticPr fontId="10" type="noConversion"/>
  </si>
  <si>
    <t>Kakaobank Savings 2</t>
  </si>
  <si>
    <t>Kakaobank Savings 2</t>
    <phoneticPr fontId="1" type="noConversion"/>
  </si>
  <si>
    <t>Year</t>
    <phoneticPr fontId="10" type="noConversion"/>
  </si>
  <si>
    <t>Age (Korean)</t>
    <phoneticPr fontId="10" type="noConversion"/>
  </si>
  <si>
    <t>NAV_Current</t>
    <phoneticPr fontId="10" type="noConversion"/>
  </si>
  <si>
    <t>NAV_Goal</t>
    <phoneticPr fontId="10" type="noConversion"/>
  </si>
  <si>
    <t>NAV_Discrepancy</t>
    <phoneticPr fontId="10" type="noConversion"/>
  </si>
  <si>
    <t>Work</t>
    <phoneticPr fontId="10" type="noConversion"/>
  </si>
  <si>
    <t>Position</t>
    <phoneticPr fontId="10" type="noConversion"/>
  </si>
  <si>
    <t>Country</t>
    <phoneticPr fontId="10" type="noConversion"/>
  </si>
  <si>
    <t>SLC, HK</t>
    <phoneticPr fontId="10" type="noConversion"/>
  </si>
  <si>
    <r>
      <rPr>
        <b/>
        <sz val="10"/>
        <color theme="0"/>
        <rFont val="돋움"/>
        <family val="3"/>
        <charset val="129"/>
      </rPr>
      <t>사원</t>
    </r>
    <r>
      <rPr>
        <b/>
        <sz val="10"/>
        <color theme="0"/>
        <rFont val="Times New Roman"/>
        <family val="1"/>
      </rPr>
      <t>4</t>
    </r>
    <phoneticPr fontId="10" type="noConversion"/>
  </si>
  <si>
    <r>
      <rPr>
        <b/>
        <sz val="10"/>
        <color theme="0"/>
        <rFont val="돋움"/>
        <family val="3"/>
        <charset val="129"/>
      </rPr>
      <t>대리</t>
    </r>
    <r>
      <rPr>
        <b/>
        <sz val="10"/>
        <color theme="0"/>
        <rFont val="Times New Roman"/>
        <family val="1"/>
      </rPr>
      <t>1</t>
    </r>
    <phoneticPr fontId="10" type="noConversion"/>
  </si>
  <si>
    <r>
      <rPr>
        <b/>
        <sz val="10"/>
        <color theme="0"/>
        <rFont val="돋움"/>
        <family val="3"/>
        <charset val="129"/>
      </rPr>
      <t>대리</t>
    </r>
    <r>
      <rPr>
        <b/>
        <sz val="10"/>
        <color theme="0"/>
        <rFont val="Times New Roman"/>
        <family val="1"/>
      </rPr>
      <t>2</t>
    </r>
    <phoneticPr fontId="10" type="noConversion"/>
  </si>
  <si>
    <t>&lt;Career Imgage Training&gt;</t>
    <phoneticPr fontId="10" type="noConversion"/>
  </si>
  <si>
    <t>Settled down  in Seoul at Goldman Sachs</t>
    <phoneticPr fontId="10" type="noConversion"/>
  </si>
  <si>
    <t>CFA Lv1 (Failed in June and December) : Wasted money and time</t>
    <phoneticPr fontId="10" type="noConversion"/>
  </si>
  <si>
    <t>Prep for Grad School : Delayed)</t>
    <phoneticPr fontId="10" type="noConversion"/>
  </si>
  <si>
    <t>Engagement fund : 80% done</t>
    <phoneticPr fontId="10" type="noConversion"/>
  </si>
  <si>
    <t>Cash bond analyst: 100% done</t>
    <phoneticPr fontId="10" type="noConversion"/>
  </si>
  <si>
    <t xml:space="preserve">Workout is mandatory: 85% done </t>
    <phoneticPr fontId="10" type="noConversion"/>
  </si>
  <si>
    <t>Re-transition into Investment Bank: Cancelled and moved to KDB Life Insurance (Career transition)</t>
    <phoneticPr fontId="10" type="noConversion"/>
  </si>
  <si>
    <t>Bonus 50,000,000 Reach from Sales Revenue 200,000,000: Cancelled with no sales position</t>
    <phoneticPr fontId="10" type="noConversion"/>
  </si>
  <si>
    <t xml:space="preserve">Investment Target 15% : -40% recorded as of 12/22. </t>
    <phoneticPr fontId="10" type="noConversion"/>
  </si>
  <si>
    <t>Transition to Buy-Side Life at Insurance house: 100% done</t>
    <phoneticPr fontId="10" type="noConversion"/>
  </si>
  <si>
    <t>Promotion to Assistant Manager</t>
    <phoneticPr fontId="10" type="noConversion"/>
  </si>
  <si>
    <t>Transition to Alternative Investment Portfolio Manager at KDB Life Insurance</t>
    <phoneticPr fontId="10" type="noConversion"/>
  </si>
  <si>
    <t>Heavy in-depth knowledge toward non-traditional assets, market, credit markets</t>
    <phoneticPr fontId="10" type="noConversion"/>
  </si>
  <si>
    <t xml:space="preserve">NAV reach +$150k </t>
    <phoneticPr fontId="10" type="noConversion"/>
  </si>
  <si>
    <t>Healthy life style: wake up at 4am and sleep at 10:30pm</t>
    <phoneticPr fontId="10" type="noConversion"/>
  </si>
  <si>
    <t>Dates</t>
    <phoneticPr fontId="10" type="noConversion"/>
  </si>
  <si>
    <t>NAV</t>
    <phoneticPr fontId="10" type="noConversion"/>
  </si>
  <si>
    <r>
      <t>1. Net Asset Value</t>
    </r>
    <r>
      <rPr>
        <sz val="11"/>
        <color rgb="FF000000"/>
        <rFont val="바탕"/>
        <family val="1"/>
        <charset val="129"/>
      </rPr>
      <t>는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순자산의</t>
    </r>
    <r>
      <rPr>
        <sz val="11"/>
        <color rgb="FF000000"/>
        <rFont val="Times New Roman"/>
        <family val="1"/>
      </rPr>
      <t xml:space="preserve"> +80%</t>
    </r>
    <r>
      <rPr>
        <sz val="11"/>
        <color rgb="FF000000"/>
        <rFont val="바탕"/>
        <family val="1"/>
        <charset val="129"/>
      </rPr>
      <t>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주식으로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배분했음</t>
    </r>
    <r>
      <rPr>
        <sz val="11"/>
        <color rgb="FF000000"/>
        <rFont val="Times New Roman"/>
        <family val="1"/>
      </rPr>
      <t>.</t>
    </r>
    <phoneticPr fontId="10" type="noConversion"/>
  </si>
  <si>
    <r>
      <t xml:space="preserve">2. </t>
    </r>
    <r>
      <rPr>
        <sz val="11"/>
        <color rgb="FF000000"/>
        <rFont val="바탕"/>
        <family val="1"/>
        <charset val="129"/>
      </rPr>
      <t>그래프의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변동은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주식가치의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대부분인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대주전자재료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주가그래프와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유사함</t>
    </r>
    <phoneticPr fontId="10" type="noConversion"/>
  </si>
  <si>
    <r>
      <t xml:space="preserve">   </t>
    </r>
    <r>
      <rPr>
        <sz val="11"/>
        <color rgb="FF000000"/>
        <rFont val="바탕"/>
        <family val="1"/>
        <charset val="129"/>
      </rPr>
      <t>대주전자재료는</t>
    </r>
    <r>
      <rPr>
        <sz val="11"/>
        <color rgb="FF000000"/>
        <rFont val="Times New Roman"/>
        <family val="1"/>
      </rPr>
      <t xml:space="preserve"> 18'1</t>
    </r>
    <r>
      <rPr>
        <sz val="11"/>
        <color rgb="FF000000"/>
        <rFont val="바탕"/>
        <family val="1"/>
        <charset val="129"/>
      </rPr>
      <t>월부터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상승세</t>
    </r>
    <r>
      <rPr>
        <sz val="11"/>
        <color rgb="FF000000"/>
        <rFont val="Times New Roman"/>
        <family val="1"/>
      </rPr>
      <t xml:space="preserve"> 18'07.21</t>
    </r>
    <r>
      <rPr>
        <sz val="11"/>
        <color rgb="FF000000"/>
        <rFont val="바탕"/>
        <family val="1"/>
        <charset val="129"/>
      </rPr>
      <t>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기점으로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고점을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찍고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하향세</t>
    </r>
    <phoneticPr fontId="10" type="noConversion"/>
  </si>
  <si>
    <r>
      <t xml:space="preserve">3. </t>
    </r>
    <r>
      <rPr>
        <sz val="11"/>
        <color rgb="FF000000"/>
        <rFont val="바탕"/>
        <family val="1"/>
        <charset val="129"/>
      </rPr>
      <t>주식장을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매일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모니터한다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하지만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정말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매크로적으로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내가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어떤장에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있었는지에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대한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리뷰는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정작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놓치고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있었음</t>
    </r>
    <r>
      <rPr>
        <sz val="11"/>
        <color rgb="FF000000"/>
        <rFont val="Times New Roman"/>
        <family val="1"/>
      </rPr>
      <t>.</t>
    </r>
    <phoneticPr fontId="10" type="noConversion"/>
  </si>
  <si>
    <r>
      <t xml:space="preserve">4. </t>
    </r>
    <r>
      <rPr>
        <sz val="11"/>
        <color rgb="FF000000"/>
        <rFont val="바탕"/>
        <family val="1"/>
        <charset val="129"/>
      </rPr>
      <t>매크로적으로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미국의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위기는</t>
    </r>
    <r>
      <rPr>
        <sz val="11"/>
        <color rgb="FF000000"/>
        <rFont val="Times New Roman"/>
        <family val="1"/>
      </rPr>
      <t xml:space="preserve"> 18</t>
    </r>
    <r>
      <rPr>
        <sz val="11"/>
        <color rgb="FF000000"/>
        <rFont val="바탕"/>
        <family val="1"/>
        <charset val="129"/>
      </rPr>
      <t>년말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혹은</t>
    </r>
    <r>
      <rPr>
        <sz val="11"/>
        <color rgb="FF000000"/>
        <rFont val="Times New Roman"/>
        <family val="1"/>
      </rPr>
      <t xml:space="preserve"> 19</t>
    </r>
    <r>
      <rPr>
        <sz val="11"/>
        <color rgb="FF000000"/>
        <rFont val="바탕"/>
        <family val="1"/>
        <charset val="129"/>
      </rPr>
      <t>년으로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점쳤지만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미중무역전쟁에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따른</t>
    </r>
    <r>
      <rPr>
        <sz val="11"/>
        <color rgb="FF000000"/>
        <rFont val="Times New Roman"/>
        <family val="1"/>
      </rPr>
      <t xml:space="preserve"> emerging market</t>
    </r>
    <r>
      <rPr>
        <sz val="11"/>
        <color rgb="FF000000"/>
        <rFont val="바탕"/>
        <family val="1"/>
        <charset val="129"/>
      </rPr>
      <t>의</t>
    </r>
    <r>
      <rPr>
        <sz val="11"/>
        <color rgb="FF000000"/>
        <rFont val="Times New Roman"/>
        <family val="1"/>
      </rPr>
      <t xml:space="preserve"> sell-off</t>
    </r>
    <r>
      <rPr>
        <sz val="11"/>
        <color rgb="FF000000"/>
        <rFont val="바탕"/>
        <family val="1"/>
        <charset val="129"/>
      </rPr>
      <t>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예측하지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못했음</t>
    </r>
    <r>
      <rPr>
        <sz val="11"/>
        <color rgb="FF000000"/>
        <rFont val="Times New Roman"/>
        <family val="1"/>
      </rPr>
      <t xml:space="preserve">. </t>
    </r>
    <phoneticPr fontId="10" type="noConversion"/>
  </si>
  <si>
    <r>
      <t xml:space="preserve">5. </t>
    </r>
    <r>
      <rPr>
        <sz val="11"/>
        <color rgb="FF000000"/>
        <rFont val="바탕"/>
        <family val="1"/>
        <charset val="129"/>
      </rPr>
      <t>순자산의</t>
    </r>
    <r>
      <rPr>
        <sz val="11"/>
        <color rgb="FF000000"/>
        <rFont val="Times New Roman"/>
        <family val="1"/>
      </rPr>
      <t xml:space="preserve"> -15%</t>
    </r>
    <r>
      <rPr>
        <sz val="11"/>
        <color rgb="FF000000"/>
        <rFont val="바탕"/>
        <family val="1"/>
        <charset val="129"/>
      </rPr>
      <t>이상의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하락이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보인다면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전량매도를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하여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리스크를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헷지해야함</t>
    </r>
    <r>
      <rPr>
        <sz val="11"/>
        <color rgb="FF000000"/>
        <rFont val="Times New Roman"/>
        <family val="1"/>
      </rPr>
      <t>.</t>
    </r>
    <phoneticPr fontId="10" type="noConversion"/>
  </si>
  <si>
    <r>
      <t xml:space="preserve">6. </t>
    </r>
    <r>
      <rPr>
        <sz val="11"/>
        <color rgb="FF000000"/>
        <rFont val="바탕"/>
        <family val="1"/>
        <charset val="129"/>
      </rPr>
      <t>매도후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최소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바탕"/>
        <family val="1"/>
        <charset val="129"/>
      </rPr>
      <t>주는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관망장을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유지해야함</t>
    </r>
    <r>
      <rPr>
        <sz val="11"/>
        <color rgb="FF000000"/>
        <rFont val="Times New Roman"/>
        <family val="1"/>
      </rPr>
      <t xml:space="preserve"> (</t>
    </r>
    <r>
      <rPr>
        <sz val="11"/>
        <color rgb="FF000000"/>
        <rFont val="바탕"/>
        <family val="1"/>
        <charset val="129"/>
      </rPr>
      <t>주식가치의</t>
    </r>
    <r>
      <rPr>
        <sz val="11"/>
        <color rgb="FF000000"/>
        <rFont val="Times New Roman"/>
        <family val="1"/>
      </rPr>
      <t xml:space="preserve"> -50%</t>
    </r>
    <r>
      <rPr>
        <sz val="11"/>
        <color rgb="FF000000"/>
        <rFont val="바탕"/>
        <family val="1"/>
        <charset val="129"/>
      </rPr>
      <t>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잃어봤기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떄문에</t>
    </r>
    <r>
      <rPr>
        <sz val="11"/>
        <color rgb="FF000000"/>
        <rFont val="Times New Roman"/>
        <family val="1"/>
      </rPr>
      <t>)</t>
    </r>
    <phoneticPr fontId="10" type="noConversion"/>
  </si>
  <si>
    <r>
      <t>5. Savings / spending</t>
    </r>
    <r>
      <rPr>
        <sz val="11"/>
        <color rgb="FF000000"/>
        <rFont val="바탕"/>
        <family val="1"/>
        <charset val="129"/>
      </rPr>
      <t>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정확히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체크하지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못했음</t>
    </r>
    <r>
      <rPr>
        <sz val="11"/>
        <color rgb="FF000000"/>
        <rFont val="Times New Roman"/>
        <family val="1"/>
      </rPr>
      <t xml:space="preserve">. </t>
    </r>
    <r>
      <rPr>
        <sz val="11"/>
        <color rgb="FF000000"/>
        <rFont val="바탕"/>
        <family val="1"/>
        <charset val="129"/>
      </rPr>
      <t>이는</t>
    </r>
    <r>
      <rPr>
        <sz val="11"/>
        <color rgb="FF000000"/>
        <rFont val="Times New Roman"/>
        <family val="1"/>
      </rPr>
      <t xml:space="preserve"> 2018</t>
    </r>
    <r>
      <rPr>
        <sz val="11"/>
        <color rgb="FF000000"/>
        <rFont val="바탕"/>
        <family val="1"/>
        <charset val="129"/>
      </rPr>
      <t>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저금을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얼만큼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했는지에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대한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기록이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없었기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떄문에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비효율적인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재정시스템을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운영하게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됨</t>
    </r>
    <r>
      <rPr>
        <sz val="11"/>
        <color rgb="FF000000"/>
        <rFont val="Times New Roman"/>
        <family val="1"/>
      </rPr>
      <t>.</t>
    </r>
    <phoneticPr fontId="10" type="noConversion"/>
  </si>
  <si>
    <r>
      <t xml:space="preserve">7. </t>
    </r>
    <r>
      <rPr>
        <sz val="11"/>
        <color rgb="FF000000"/>
        <rFont val="바탕"/>
        <family val="1"/>
        <charset val="129"/>
      </rPr>
      <t>목표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주가가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도달했을때는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정확히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매도해야함</t>
    </r>
    <r>
      <rPr>
        <sz val="11"/>
        <color rgb="FF000000"/>
        <rFont val="Times New Roman"/>
        <family val="1"/>
      </rPr>
      <t>.</t>
    </r>
    <phoneticPr fontId="10" type="noConversion"/>
  </si>
  <si>
    <t>One off expense savings (Clothes, Trip, and Etc)</t>
    <phoneticPr fontId="10" type="noConversion"/>
  </si>
  <si>
    <t>Max Savings (Income - Expenses)</t>
    <phoneticPr fontId="10" type="noConversion"/>
  </si>
  <si>
    <t>Promotion to Assistant Manager : 100% done</t>
    <phoneticPr fontId="10" type="noConversion"/>
  </si>
  <si>
    <t>Serious marriage prep (targeting 2020 March)</t>
    <phoneticPr fontId="10" type="noConversion"/>
  </si>
  <si>
    <t>2019 Target Savings</t>
    <phoneticPr fontId="1" type="noConversion"/>
  </si>
  <si>
    <t>가격</t>
  </si>
  <si>
    <t>1st Trade</t>
    <phoneticPr fontId="10" type="noConversion"/>
  </si>
  <si>
    <t>CASHFLOW</t>
    <phoneticPr fontId="10" type="noConversion"/>
  </si>
  <si>
    <t>SUM</t>
    <phoneticPr fontId="10" type="noConversion"/>
  </si>
  <si>
    <t>JAN</t>
    <phoneticPr fontId="10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</si>
  <si>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</si>
  <si>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</si>
  <si>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</si>
  <si>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</si>
  <si>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</si>
  <si>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</si>
  <si>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</si>
  <si>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</si>
  <si>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</si>
  <si>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</si>
  <si>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</si>
  <si>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Kakaobank Savings 1</t>
    <phoneticPr fontId="1" type="noConversion"/>
  </si>
  <si>
    <r>
      <rPr>
        <b/>
        <sz val="11"/>
        <color rgb="FF000000"/>
        <rFont val="바탕"/>
        <family val="1"/>
        <charset val="129"/>
      </rPr>
      <t>대주전자재료</t>
    </r>
    <phoneticPr fontId="1" type="noConversion"/>
  </si>
  <si>
    <r>
      <rPr>
        <b/>
        <sz val="11"/>
        <color rgb="FF000000"/>
        <rFont val="바탕"/>
        <family val="1"/>
        <charset val="129"/>
      </rPr>
      <t>가격</t>
    </r>
    <phoneticPr fontId="1" type="noConversion"/>
  </si>
  <si>
    <r>
      <rPr>
        <b/>
        <sz val="11"/>
        <color rgb="FF000000"/>
        <rFont val="바탕"/>
        <family val="1"/>
        <charset val="129"/>
      </rPr>
      <t>수익율</t>
    </r>
    <phoneticPr fontId="1" type="noConversion"/>
  </si>
  <si>
    <t xml:space="preserve">Kakao Checking #1 </t>
    <phoneticPr fontId="10" type="noConversion"/>
  </si>
  <si>
    <r>
      <rPr>
        <sz val="11"/>
        <color rgb="FF000000"/>
        <rFont val="바탕"/>
        <family val="1"/>
        <charset val="129"/>
      </rPr>
      <t>신한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주택청약예금</t>
    </r>
    <phoneticPr fontId="10" type="noConversion"/>
  </si>
  <si>
    <r>
      <rPr>
        <sz val="11"/>
        <color rgb="FF000000"/>
        <rFont val="바탕"/>
        <family val="1"/>
        <charset val="129"/>
      </rPr>
      <t>월급정기예금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바탕"/>
        <family val="1"/>
        <charset val="129"/>
      </rPr>
      <t>적금</t>
    </r>
    <phoneticPr fontId="10" type="noConversion"/>
  </si>
  <si>
    <t>Kakao Savings #1</t>
    <phoneticPr fontId="10" type="noConversion"/>
  </si>
  <si>
    <t>Kakao Savings #2</t>
    <phoneticPr fontId="10" type="noConversion"/>
  </si>
  <si>
    <t>Return %</t>
    <phoneticPr fontId="10" type="noConversion"/>
  </si>
  <si>
    <t>Flights</t>
    <phoneticPr fontId="10" type="noConversion"/>
  </si>
  <si>
    <t>여행비용</t>
    <phoneticPr fontId="10" type="noConversion"/>
  </si>
  <si>
    <t>One off expense savings</t>
    <phoneticPr fontId="10" type="noConversion"/>
  </si>
  <si>
    <t>CFA Registeration Fees</t>
    <phoneticPr fontId="10" type="noConversion"/>
  </si>
  <si>
    <t>2019 Year End Balance</t>
    <phoneticPr fontId="10" type="noConversion"/>
  </si>
  <si>
    <t>NAV Change</t>
    <phoneticPr fontId="10" type="noConversion"/>
  </si>
  <si>
    <r>
      <rPr>
        <sz val="11"/>
        <color rgb="FF000000"/>
        <rFont val="바탕"/>
        <family val="1"/>
        <charset val="129"/>
      </rPr>
      <t>원금</t>
    </r>
    <r>
      <rPr>
        <sz val="11"/>
        <color rgb="FF000000"/>
        <rFont val="Times New Roman"/>
        <family val="1"/>
      </rPr>
      <t>_Kakao Savings # 1</t>
    </r>
    <phoneticPr fontId="10" type="noConversion"/>
  </si>
  <si>
    <r>
      <rPr>
        <sz val="11"/>
        <color rgb="FF000000"/>
        <rFont val="바탕"/>
        <family val="1"/>
        <charset val="129"/>
      </rPr>
      <t>이자</t>
    </r>
    <r>
      <rPr>
        <sz val="11"/>
        <color rgb="FF000000"/>
        <rFont val="Times New Roman"/>
        <family val="1"/>
      </rPr>
      <t>_Kakao Savings#1</t>
    </r>
    <phoneticPr fontId="10" type="noConversion"/>
  </si>
  <si>
    <r>
      <rPr>
        <sz val="11"/>
        <color rgb="FF000000"/>
        <rFont val="바탕"/>
        <family val="1"/>
        <charset val="129"/>
      </rPr>
      <t>원금</t>
    </r>
    <r>
      <rPr>
        <sz val="11"/>
        <color rgb="FF000000"/>
        <rFont val="Times New Roman"/>
        <family val="1"/>
      </rPr>
      <t>_Kakao Savings # 2</t>
    </r>
    <phoneticPr fontId="10" type="noConversion"/>
  </si>
  <si>
    <r>
      <rPr>
        <sz val="11"/>
        <color rgb="FF000000"/>
        <rFont val="바탕"/>
        <family val="1"/>
        <charset val="129"/>
      </rPr>
      <t>이자</t>
    </r>
    <r>
      <rPr>
        <sz val="11"/>
        <color rgb="FF000000"/>
        <rFont val="Times New Roman"/>
        <family val="1"/>
      </rPr>
      <t>_Kakao Savings #2</t>
    </r>
    <phoneticPr fontId="10" type="noConversion"/>
  </si>
  <si>
    <r>
      <rPr>
        <sz val="11"/>
        <color rgb="FF000000"/>
        <rFont val="바탕"/>
        <family val="1"/>
        <charset val="129"/>
      </rPr>
      <t>원금</t>
    </r>
    <r>
      <rPr>
        <sz val="11"/>
        <color rgb="FF000000"/>
        <rFont val="Times New Roman"/>
        <family val="1"/>
      </rPr>
      <t>_Kakao Checking #1</t>
    </r>
    <phoneticPr fontId="10" type="noConversion"/>
  </si>
  <si>
    <r>
      <rPr>
        <sz val="11"/>
        <color rgb="FF000000"/>
        <rFont val="바탕"/>
        <family val="1"/>
        <charset val="129"/>
      </rPr>
      <t>이자</t>
    </r>
    <r>
      <rPr>
        <sz val="11"/>
        <color rgb="FF000000"/>
        <rFont val="Times New Roman"/>
        <family val="1"/>
      </rPr>
      <t>_Kakao Checking #1</t>
    </r>
    <phoneticPr fontId="10" type="noConversion"/>
  </si>
  <si>
    <r>
      <rPr>
        <sz val="11"/>
        <color rgb="FF000000"/>
        <rFont val="바탕"/>
        <family val="1"/>
        <charset val="129"/>
      </rPr>
      <t>원금</t>
    </r>
    <r>
      <rPr>
        <sz val="11"/>
        <color rgb="FF000000"/>
        <rFont val="Times New Roman"/>
        <family val="1"/>
      </rPr>
      <t>_Stock Investment</t>
    </r>
    <phoneticPr fontId="10" type="noConversion"/>
  </si>
  <si>
    <r>
      <rPr>
        <sz val="11"/>
        <color rgb="FF000000"/>
        <rFont val="바탕"/>
        <family val="1"/>
        <charset val="129"/>
      </rPr>
      <t>처분익</t>
    </r>
    <r>
      <rPr>
        <sz val="11"/>
        <color rgb="FF000000"/>
        <rFont val="Times New Roman"/>
        <family val="1"/>
      </rPr>
      <t>_Stock Investment</t>
    </r>
    <phoneticPr fontId="10" type="noConversion"/>
  </si>
  <si>
    <t>원금_전세 Deposit</t>
    <phoneticPr fontId="10" type="noConversion"/>
  </si>
  <si>
    <r>
      <rPr>
        <sz val="11"/>
        <color rgb="FF000000"/>
        <rFont val="바탕"/>
        <family val="1"/>
        <charset val="129"/>
      </rPr>
      <t>원금</t>
    </r>
    <r>
      <rPr>
        <sz val="11"/>
        <color rgb="FF000000"/>
        <rFont val="Times New Roman"/>
        <family val="1"/>
      </rPr>
      <t>_</t>
    </r>
    <r>
      <rPr>
        <sz val="11"/>
        <color rgb="FF000000"/>
        <rFont val="바탕"/>
        <family val="1"/>
        <charset val="129"/>
      </rPr>
      <t>신한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주택청약예금</t>
    </r>
    <phoneticPr fontId="10" type="noConversion"/>
  </si>
  <si>
    <r>
      <rPr>
        <sz val="11"/>
        <color rgb="FF000000"/>
        <rFont val="바탕"/>
        <family val="1"/>
        <charset val="129"/>
      </rPr>
      <t>이자</t>
    </r>
    <r>
      <rPr>
        <sz val="11"/>
        <color rgb="FF000000"/>
        <rFont val="Times New Roman"/>
        <family val="1"/>
      </rPr>
      <t>_</t>
    </r>
    <r>
      <rPr>
        <sz val="11"/>
        <color rgb="FF000000"/>
        <rFont val="바탕"/>
        <family val="1"/>
        <charset val="129"/>
      </rPr>
      <t>신한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주택청약예금</t>
    </r>
    <phoneticPr fontId="10" type="noConversion"/>
  </si>
  <si>
    <r>
      <rPr>
        <sz val="11"/>
        <color rgb="FF000000"/>
        <rFont val="바탕"/>
        <family val="1"/>
        <charset val="129"/>
      </rPr>
      <t>원금</t>
    </r>
    <r>
      <rPr>
        <sz val="11"/>
        <color rgb="FF000000"/>
        <rFont val="Times New Roman"/>
        <family val="1"/>
      </rPr>
      <t>_</t>
    </r>
    <r>
      <rPr>
        <sz val="11"/>
        <color rgb="FF000000"/>
        <rFont val="바탕"/>
        <family val="1"/>
        <charset val="129"/>
      </rPr>
      <t>월급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정기적금</t>
    </r>
    <phoneticPr fontId="10" type="noConversion"/>
  </si>
  <si>
    <r>
      <rPr>
        <sz val="11"/>
        <color rgb="FF000000"/>
        <rFont val="바탕"/>
        <family val="1"/>
        <charset val="129"/>
      </rPr>
      <t>이자</t>
    </r>
    <r>
      <rPr>
        <sz val="11"/>
        <color rgb="FF000000"/>
        <rFont val="Times New Roman"/>
        <family val="1"/>
      </rPr>
      <t>_</t>
    </r>
    <r>
      <rPr>
        <sz val="11"/>
        <color rgb="FF000000"/>
        <rFont val="바탕"/>
        <family val="1"/>
        <charset val="129"/>
      </rPr>
      <t>월급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정기적금</t>
    </r>
    <phoneticPr fontId="10" type="noConversion"/>
  </si>
  <si>
    <t>처분익</t>
  </si>
  <si>
    <t>처분익</t>
    <phoneticPr fontId="1" type="noConversion"/>
  </si>
  <si>
    <r>
      <t>QV S&amp;P500 VIX S/T</t>
    </r>
    <r>
      <rPr>
        <b/>
        <sz val="11"/>
        <color rgb="FF000000"/>
        <rFont val="바탕"/>
        <family val="1"/>
        <charset val="129"/>
      </rPr>
      <t>선물</t>
    </r>
    <r>
      <rPr>
        <b/>
        <sz val="11"/>
        <color rgb="FF000000"/>
        <rFont val="Times New Roman"/>
        <family val="1"/>
      </rPr>
      <t xml:space="preserve"> ETN</t>
    </r>
    <phoneticPr fontId="1" type="noConversion"/>
  </si>
  <si>
    <t>2nd Trade</t>
    <phoneticPr fontId="10" type="noConversion"/>
  </si>
  <si>
    <t>3rd Trade</t>
    <phoneticPr fontId="1" type="noConversion"/>
  </si>
  <si>
    <t>매수</t>
    <phoneticPr fontId="1" type="noConversion"/>
  </si>
  <si>
    <t>매도</t>
    <phoneticPr fontId="1" type="noConversion"/>
  </si>
  <si>
    <t>수익율</t>
  </si>
  <si>
    <t>이자율</t>
    <phoneticPr fontId="1" type="noConversion"/>
  </si>
  <si>
    <t>Fixed Income Rates Assumption</t>
    <phoneticPr fontId="1" type="noConversion"/>
  </si>
  <si>
    <r>
      <rPr>
        <b/>
        <sz val="11"/>
        <color theme="0"/>
        <rFont val="바탕"/>
        <family val="1"/>
        <charset val="129"/>
      </rPr>
      <t>만기</t>
    </r>
    <r>
      <rPr>
        <b/>
        <sz val="11"/>
        <color theme="0"/>
        <rFont val="Times New Roman"/>
        <family val="1"/>
      </rPr>
      <t>(</t>
    </r>
    <r>
      <rPr>
        <b/>
        <sz val="11"/>
        <color theme="0"/>
        <rFont val="바탕"/>
        <family val="1"/>
        <charset val="129"/>
      </rPr>
      <t>개월</t>
    </r>
    <r>
      <rPr>
        <b/>
        <sz val="11"/>
        <color theme="0"/>
        <rFont val="Times New Roman"/>
        <family val="1"/>
      </rPr>
      <t>)</t>
    </r>
    <phoneticPr fontId="1" type="noConversion"/>
  </si>
  <si>
    <t>DONE</t>
    <phoneticPr fontId="1" type="noConversion"/>
  </si>
  <si>
    <t>원금</t>
    <phoneticPr fontId="1" type="noConversion"/>
  </si>
  <si>
    <t>Kakaobank Checking 1</t>
    <phoneticPr fontId="1" type="noConversion"/>
  </si>
  <si>
    <r>
      <t>Kakaobank KDB</t>
    </r>
    <r>
      <rPr>
        <sz val="11"/>
        <color rgb="FF000000"/>
        <rFont val="바탕"/>
        <family val="1"/>
        <charset val="129"/>
      </rPr>
      <t>생명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적금</t>
    </r>
    <phoneticPr fontId="1" type="noConversion"/>
  </si>
  <si>
    <t>Kakaobank Savings 1</t>
  </si>
  <si>
    <r>
      <t xml:space="preserve">Stock Investment </t>
    </r>
    <r>
      <rPr>
        <b/>
        <sz val="11"/>
        <color rgb="FF000000"/>
        <rFont val="바탕"/>
        <family val="1"/>
        <charset val="129"/>
      </rPr>
      <t>원금</t>
    </r>
    <phoneticPr fontId="1" type="noConversion"/>
  </si>
  <si>
    <t>엔터메이트</t>
  </si>
  <si>
    <r>
      <rPr>
        <sz val="11"/>
        <color rgb="FF000000"/>
        <rFont val="바탕"/>
        <family val="1"/>
        <charset val="129"/>
      </rPr>
      <t>신한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작심</t>
    </r>
    <r>
      <rPr>
        <sz val="11"/>
        <color rgb="FF000000"/>
        <rFont val="Times New Roman"/>
        <family val="1"/>
      </rPr>
      <t>3</t>
    </r>
    <r>
      <rPr>
        <sz val="11"/>
        <color rgb="FF000000"/>
        <rFont val="바탕"/>
        <family val="1"/>
        <charset val="129"/>
      </rPr>
      <t>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적금</t>
    </r>
    <phoneticPr fontId="1" type="noConversion"/>
  </si>
  <si>
    <t>카카오적금</t>
    <phoneticPr fontId="1" type="noConversion"/>
  </si>
  <si>
    <t>NAV Change</t>
  </si>
  <si>
    <t>JAN</t>
  </si>
  <si>
    <t>SUM</t>
  </si>
  <si>
    <t>Return %</t>
  </si>
  <si>
    <t>2019 Year End Balance</t>
  </si>
  <si>
    <t>원금_월급 정기적금</t>
  </si>
  <si>
    <t>이자_월급 정기적금</t>
  </si>
  <si>
    <t>원금_Kakao Savings # 1</t>
  </si>
  <si>
    <t>이자_Kakao Savings#1</t>
  </si>
  <si>
    <t>원금_Kakao Savings # 2</t>
  </si>
  <si>
    <t>이자_Kakao Savings #2</t>
  </si>
  <si>
    <t>원금_Kakao Checking #1</t>
  </si>
  <si>
    <t>이자_Kakao Checking #1</t>
  </si>
  <si>
    <t>원금_Stock Investment</t>
  </si>
  <si>
    <t>처분익_Stock Investment</t>
  </si>
  <si>
    <t>원금_전세 Deposit</t>
  </si>
  <si>
    <t>원금_신한 주택청약예금</t>
  </si>
  <si>
    <t>이자_신한 주택청약예금</t>
  </si>
  <si>
    <t>One off expense savings</t>
  </si>
  <si>
    <t>Flights</t>
  </si>
  <si>
    <t>여행비용</t>
  </si>
  <si>
    <t>CFA Registeration Fees</t>
  </si>
  <si>
    <r>
      <t>CASHFLOW 1</t>
    </r>
    <r>
      <rPr>
        <b/>
        <sz val="11"/>
        <color rgb="FFFFFF00"/>
        <rFont val="바탕"/>
        <family val="1"/>
        <charset val="129"/>
      </rPr>
      <t>월</t>
    </r>
    <r>
      <rPr>
        <b/>
        <sz val="11"/>
        <color rgb="FFFFFF00"/>
        <rFont val="Times New Roman"/>
        <family val="1"/>
      </rPr>
      <t xml:space="preserve"> </t>
    </r>
    <r>
      <rPr>
        <b/>
        <sz val="11"/>
        <color rgb="FFFFFF00"/>
        <rFont val="바탕"/>
        <family val="1"/>
        <charset val="129"/>
      </rPr>
      <t>고정</t>
    </r>
    <phoneticPr fontId="1" type="noConversion"/>
  </si>
  <si>
    <r>
      <t xml:space="preserve">CASHFLOW </t>
    </r>
    <r>
      <rPr>
        <b/>
        <sz val="11"/>
        <color rgb="FFFFFF00"/>
        <rFont val="바탕"/>
        <family val="1"/>
        <charset val="129"/>
      </rPr>
      <t>계획대비</t>
    </r>
    <r>
      <rPr>
        <b/>
        <sz val="11"/>
        <color rgb="FFFFFF00"/>
        <rFont val="Times New Roman"/>
        <family val="1"/>
      </rPr>
      <t xml:space="preserve"> </t>
    </r>
    <r>
      <rPr>
        <b/>
        <sz val="11"/>
        <color rgb="FFFFFF00"/>
        <rFont val="바탕"/>
        <family val="1"/>
        <charset val="129"/>
      </rPr>
      <t>차이</t>
    </r>
    <phoneticPr fontId="10" type="noConversion"/>
  </si>
  <si>
    <r>
      <t xml:space="preserve">CASH FLOW </t>
    </r>
    <r>
      <rPr>
        <b/>
        <sz val="11"/>
        <color rgb="FF000000"/>
        <rFont val="바탕"/>
        <family val="1"/>
        <charset val="129"/>
      </rPr>
      <t>월말</t>
    </r>
    <r>
      <rPr>
        <b/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바탕"/>
        <family val="1"/>
        <charset val="129"/>
      </rPr>
      <t>확정</t>
    </r>
    <phoneticPr fontId="1" type="noConversion"/>
  </si>
  <si>
    <r>
      <t xml:space="preserve">CASH FLOW </t>
    </r>
    <r>
      <rPr>
        <b/>
        <sz val="11"/>
        <color rgb="FF000000"/>
        <rFont val="바탕"/>
        <family val="1"/>
        <charset val="129"/>
      </rPr>
      <t>계획대비차</t>
    </r>
    <phoneticPr fontId="1" type="noConversion"/>
  </si>
  <si>
    <t xml:space="preserve">CFA lv 1, Lv2 (Jun) </t>
    <phoneticPr fontId="10" type="noConversion"/>
  </si>
  <si>
    <t>CFA Lv 1: Registered for Dec, 2018 test and studied for 4 months: 100% done</t>
    <phoneticPr fontId="10" type="noConversion"/>
  </si>
  <si>
    <t>CFA II</t>
    <phoneticPr fontId="10" type="noConversion"/>
  </si>
  <si>
    <t>CFA I</t>
    <phoneticPr fontId="10" type="noConversion"/>
  </si>
  <si>
    <t>CFA III</t>
    <phoneticPr fontId="10" type="noConversion"/>
  </si>
  <si>
    <t>Healthy body (68kg) by April 30</t>
    <phoneticPr fontId="10" type="noConversion"/>
  </si>
  <si>
    <t>Balance Sheet</t>
  </si>
  <si>
    <t>GMAT score 730</t>
  </si>
  <si>
    <t>Shinhan Debit</t>
  </si>
  <si>
    <t>[지출]</t>
  </si>
  <si>
    <t>합계</t>
  </si>
  <si>
    <t xml:space="preserve">Mertiz </t>
    <phoneticPr fontId="10" type="noConversion"/>
  </si>
  <si>
    <t>Item</t>
    <phoneticPr fontId="10" type="noConversion"/>
  </si>
  <si>
    <t>Full-Time Work (Sungsoo)</t>
    <phoneticPr fontId="10" type="noConversion"/>
  </si>
  <si>
    <t xml:space="preserve">Scneario </t>
    <phoneticPr fontId="10" type="noConversion"/>
  </si>
  <si>
    <t>Annual Interest</t>
    <phoneticPr fontId="10" type="noConversion"/>
  </si>
  <si>
    <t>Sungsoo Variable Cost</t>
    <phoneticPr fontId="10" type="noConversion"/>
  </si>
  <si>
    <t>Monthly Fixed Cost</t>
    <phoneticPr fontId="10" type="noConversion"/>
  </si>
  <si>
    <t>윤윤구</t>
    <phoneticPr fontId="10" type="noConversion"/>
  </si>
  <si>
    <r>
      <rPr>
        <sz val="10"/>
        <color rgb="FF000000"/>
        <rFont val="Arial"/>
        <family val="2"/>
      </rPr>
      <t>전세보증금</t>
    </r>
  </si>
  <si>
    <r>
      <rPr>
        <sz val="10"/>
        <color rgb="FF000000"/>
        <rFont val="돋움"/>
        <family val="3"/>
        <charset val="129"/>
      </rPr>
      <t>대출</t>
    </r>
    <r>
      <rPr>
        <sz val="10"/>
        <color rgb="FF000000"/>
        <rFont val="Times New Roman"/>
        <family val="1"/>
      </rPr>
      <t xml:space="preserve"> (80%)</t>
    </r>
    <phoneticPr fontId="10" type="noConversion"/>
  </si>
  <si>
    <r>
      <rPr>
        <sz val="10"/>
        <color rgb="FF000000"/>
        <rFont val="Arial"/>
        <family val="2"/>
      </rPr>
      <t>고유자금</t>
    </r>
  </si>
  <si>
    <r>
      <rPr>
        <sz val="10"/>
        <color rgb="FF000000"/>
        <rFont val="바탕"/>
        <family val="1"/>
        <charset val="129"/>
      </rPr>
      <t>이자비용</t>
    </r>
    <phoneticPr fontId="10" type="noConversion"/>
  </si>
  <si>
    <t>관리비</t>
    <phoneticPr fontId="10" type="noConversion"/>
  </si>
  <si>
    <t>보증비용</t>
    <phoneticPr fontId="10" type="noConversion"/>
  </si>
  <si>
    <t>허용민</t>
    <phoneticPr fontId="10" type="noConversion"/>
  </si>
  <si>
    <t>정상원</t>
    <phoneticPr fontId="10" type="noConversion"/>
  </si>
  <si>
    <t>-</t>
    <phoneticPr fontId="10" type="noConversion"/>
  </si>
  <si>
    <t>2018_회고록</t>
    <phoneticPr fontId="10" type="noConversion"/>
  </si>
  <si>
    <t>2019_회고록</t>
    <phoneticPr fontId="10" type="noConversion"/>
  </si>
  <si>
    <r>
      <t xml:space="preserve">1. </t>
    </r>
    <r>
      <rPr>
        <sz val="11"/>
        <color rgb="FF000000"/>
        <rFont val="바탕"/>
        <family val="1"/>
        <charset val="129"/>
      </rPr>
      <t>글로벌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주식경기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좋았음</t>
    </r>
    <r>
      <rPr>
        <sz val="11"/>
        <color rgb="FF000000"/>
        <rFont val="Times New Roman"/>
        <family val="1"/>
      </rPr>
      <t xml:space="preserve">. </t>
    </r>
    <r>
      <rPr>
        <sz val="11"/>
        <color rgb="FF000000"/>
        <rFont val="바탕"/>
        <family val="1"/>
        <charset val="129"/>
      </rPr>
      <t>이에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따라</t>
    </r>
    <r>
      <rPr>
        <sz val="11"/>
        <color rgb="FF000000"/>
        <rFont val="Times New Roman"/>
        <family val="1"/>
      </rPr>
      <t xml:space="preserve"> 2018</t>
    </r>
    <r>
      <rPr>
        <sz val="11"/>
        <color rgb="FF000000"/>
        <rFont val="바탕"/>
        <family val="1"/>
        <charset val="129"/>
      </rPr>
      <t>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하락폭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대부분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회복</t>
    </r>
    <phoneticPr fontId="10" type="noConversion"/>
  </si>
  <si>
    <r>
      <t xml:space="preserve">2. Success Trade: VIX S&amp;P Short-Term 30% + </t>
    </r>
    <r>
      <rPr>
        <sz val="11"/>
        <color rgb="FF000000"/>
        <rFont val="바탕"/>
        <family val="1"/>
        <charset val="129"/>
      </rPr>
      <t>아모레퍼시픽</t>
    </r>
    <r>
      <rPr>
        <sz val="11"/>
        <color rgb="FF000000"/>
        <rFont val="Times New Roman"/>
        <family val="1"/>
      </rPr>
      <t xml:space="preserve"> 25% </t>
    </r>
    <phoneticPr fontId="10" type="noConversion"/>
  </si>
  <si>
    <r>
      <t xml:space="preserve">3. Bad Trade: </t>
    </r>
    <r>
      <rPr>
        <sz val="11"/>
        <color rgb="FF000000"/>
        <rFont val="바탕"/>
        <family val="1"/>
        <charset val="129"/>
      </rPr>
      <t>신라젠</t>
    </r>
    <r>
      <rPr>
        <sz val="11"/>
        <color rgb="FF000000"/>
        <rFont val="Times New Roman"/>
        <family val="1"/>
      </rPr>
      <t xml:space="preserve"> + VIX S&amp;P Short Term </t>
    </r>
    <r>
      <rPr>
        <sz val="11"/>
        <color rgb="FF000000"/>
        <rFont val="바탕"/>
        <family val="1"/>
        <charset val="129"/>
      </rPr>
      <t>재진입</t>
    </r>
    <phoneticPr fontId="10" type="noConversion"/>
  </si>
  <si>
    <r>
      <t xml:space="preserve">4. 2019.01 </t>
    </r>
    <r>
      <rPr>
        <sz val="11"/>
        <color rgb="FF000000"/>
        <rFont val="바탕"/>
        <family val="1"/>
        <charset val="129"/>
      </rPr>
      <t>부터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매월</t>
    </r>
    <r>
      <rPr>
        <sz val="11"/>
        <color rgb="FF000000"/>
        <rFont val="Times New Roman"/>
        <family val="1"/>
      </rPr>
      <t xml:space="preserve"> 260</t>
    </r>
    <r>
      <rPr>
        <sz val="11"/>
        <color rgb="FF000000"/>
        <rFont val="바탕"/>
        <family val="1"/>
        <charset val="129"/>
      </rPr>
      <t>만원씩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적금가입</t>
    </r>
    <r>
      <rPr>
        <sz val="11"/>
        <color rgb="FF000000"/>
        <rFont val="Times New Roman"/>
        <family val="1"/>
      </rPr>
      <t xml:space="preserve"> --&gt; 2,600</t>
    </r>
    <r>
      <rPr>
        <sz val="11"/>
        <color rgb="FF000000"/>
        <rFont val="바탕"/>
        <family val="1"/>
        <charset val="129"/>
      </rPr>
      <t>만원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적립</t>
    </r>
    <phoneticPr fontId="10" type="noConversion"/>
  </si>
  <si>
    <r>
      <t>2018_</t>
    </r>
    <r>
      <rPr>
        <b/>
        <u/>
        <sz val="11"/>
        <color rgb="FF000000"/>
        <rFont val="바탕"/>
        <family val="1"/>
        <charset val="129"/>
      </rPr>
      <t>교훈</t>
    </r>
    <phoneticPr fontId="10" type="noConversion"/>
  </si>
  <si>
    <r>
      <t>2019_</t>
    </r>
    <r>
      <rPr>
        <b/>
        <u/>
        <sz val="11"/>
        <color rgb="FF000000"/>
        <rFont val="바탕"/>
        <family val="1"/>
        <charset val="129"/>
      </rPr>
      <t>교훈</t>
    </r>
    <phoneticPr fontId="10" type="noConversion"/>
  </si>
  <si>
    <r>
      <t xml:space="preserve">1. </t>
    </r>
    <r>
      <rPr>
        <sz val="11"/>
        <color rgb="FF000000"/>
        <rFont val="바탕"/>
        <family val="1"/>
        <charset val="129"/>
      </rPr>
      <t>적금의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프로그램은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이자율보다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고정적립에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있다</t>
    </r>
    <r>
      <rPr>
        <sz val="11"/>
        <color rgb="FF000000"/>
        <rFont val="Times New Roman"/>
        <family val="1"/>
      </rPr>
      <t xml:space="preserve">. Human Capital </t>
    </r>
    <r>
      <rPr>
        <sz val="11"/>
        <color rgb="FF000000"/>
        <rFont val="바탕"/>
        <family val="1"/>
        <charset val="129"/>
      </rPr>
      <t>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얻을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수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있는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이익을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안전하게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적립가능</t>
    </r>
    <phoneticPr fontId="10" type="noConversion"/>
  </si>
  <si>
    <r>
      <t xml:space="preserve">2. </t>
    </r>
    <r>
      <rPr>
        <sz val="11"/>
        <color rgb="FF000000"/>
        <rFont val="바탕"/>
        <family val="1"/>
        <charset val="129"/>
      </rPr>
      <t>주식의</t>
    </r>
    <r>
      <rPr>
        <sz val="11"/>
        <color rgb="FF000000"/>
        <rFont val="Times New Roman"/>
        <family val="1"/>
      </rPr>
      <t xml:space="preserve"> Proportion </t>
    </r>
    <r>
      <rPr>
        <sz val="11"/>
        <color rgb="FF000000"/>
        <rFont val="바탕"/>
        <family val="1"/>
        <charset val="129"/>
      </rPr>
      <t>자체가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커지면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생각보다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멍청한</t>
    </r>
    <r>
      <rPr>
        <sz val="11"/>
        <color rgb="FF000000"/>
        <rFont val="Times New Roman"/>
        <family val="1"/>
      </rPr>
      <t xml:space="preserve"> Trading </t>
    </r>
    <r>
      <rPr>
        <sz val="11"/>
        <color rgb="FF000000"/>
        <rFont val="바탕"/>
        <family val="1"/>
        <charset val="129"/>
      </rPr>
      <t>할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확률이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높음</t>
    </r>
    <r>
      <rPr>
        <sz val="11"/>
        <color rgb="FF000000"/>
        <rFont val="Times New Roman"/>
        <family val="1"/>
      </rPr>
      <t xml:space="preserve">. </t>
    </r>
    <r>
      <rPr>
        <sz val="11"/>
        <color rgb="FF000000"/>
        <rFont val="바탕"/>
        <family val="1"/>
        <charset val="129"/>
      </rPr>
      <t>자기자본에</t>
    </r>
    <r>
      <rPr>
        <sz val="11"/>
        <color rgb="FF000000"/>
        <rFont val="Times New Roman"/>
        <family val="1"/>
      </rPr>
      <t xml:space="preserve"> Max 20% </t>
    </r>
    <r>
      <rPr>
        <sz val="11"/>
        <color rgb="FF000000"/>
        <rFont val="바탕"/>
        <family val="1"/>
        <charset val="129"/>
      </rPr>
      <t>까지만</t>
    </r>
    <r>
      <rPr>
        <sz val="11"/>
        <color rgb="FF000000"/>
        <rFont val="Times New Roman"/>
        <family val="1"/>
      </rPr>
      <t xml:space="preserve"> Liquid Stock</t>
    </r>
    <r>
      <rPr>
        <sz val="11"/>
        <color rgb="FF000000"/>
        <rFont val="바탕"/>
        <family val="1"/>
        <charset val="129"/>
      </rPr>
      <t>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배분하는게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옳다고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판단</t>
    </r>
    <phoneticPr fontId="10" type="noConversion"/>
  </si>
  <si>
    <r>
      <t xml:space="preserve">3. </t>
    </r>
    <r>
      <rPr>
        <sz val="11"/>
        <color rgb="FF000000"/>
        <rFont val="바탕"/>
        <family val="1"/>
        <charset val="129"/>
      </rPr>
      <t>글로벌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경기흐름에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따라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주식의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가치는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좌지우지한다</t>
    </r>
    <r>
      <rPr>
        <sz val="11"/>
        <color rgb="FF000000"/>
        <rFont val="Times New Roman"/>
        <family val="1"/>
      </rPr>
      <t>.</t>
    </r>
    <phoneticPr fontId="10" type="noConversion"/>
  </si>
  <si>
    <t>-</t>
  </si>
  <si>
    <t>Completed: Passed CFA Lv I on Jan 23. Taking it to the next level, CFA lv II</t>
    <phoneticPr fontId="10" type="noConversion"/>
  </si>
  <si>
    <t>Completed: studying the markets, credits. Should read more research</t>
    <phoneticPr fontId="10" type="noConversion"/>
  </si>
  <si>
    <t xml:space="preserve">Completed: 2020 Sep Target. </t>
    <phoneticPr fontId="10" type="noConversion"/>
  </si>
  <si>
    <t>Completed: Learned true meaning of early bird style and successfully adopted it to my life</t>
    <phoneticPr fontId="10" type="noConversion"/>
  </si>
  <si>
    <t>Marriage prep : proposed with Tiffany ring : quite big investments</t>
    <phoneticPr fontId="10" type="noConversion"/>
  </si>
  <si>
    <t>Completed: Transitioned to Global Investments specialty in fixed income &amp; alternative</t>
    <phoneticPr fontId="10" type="noConversion"/>
  </si>
  <si>
    <t>Failed: Reached 95K. Stock Investments were barely covered for principal amount</t>
    <phoneticPr fontId="10" type="noConversion"/>
  </si>
  <si>
    <t>Failed: Reached 76Kg and now 74Kg</t>
    <phoneticPr fontId="10" type="noConversion"/>
  </si>
  <si>
    <t xml:space="preserve">Failed: </t>
    <phoneticPr fontId="10" type="noConversion"/>
  </si>
  <si>
    <t>적용이자율</t>
    <phoneticPr fontId="10" type="noConversion"/>
  </si>
  <si>
    <t>신한은행(상담)</t>
    <phoneticPr fontId="10" type="noConversion"/>
  </si>
  <si>
    <t>HUG보증</t>
    <phoneticPr fontId="10" type="noConversion"/>
  </si>
  <si>
    <r>
      <rPr>
        <b/>
        <sz val="10"/>
        <color theme="0"/>
        <rFont val="바탕"/>
        <family val="1"/>
        <charset val="129"/>
      </rPr>
      <t>연간</t>
    </r>
    <r>
      <rPr>
        <b/>
        <sz val="10"/>
        <color theme="0"/>
        <rFont val="Times New Roman"/>
        <family val="1"/>
      </rPr>
      <t xml:space="preserve"> </t>
    </r>
    <r>
      <rPr>
        <b/>
        <sz val="10"/>
        <color theme="0"/>
        <rFont val="바탕"/>
        <family val="1"/>
        <charset val="129"/>
      </rPr>
      <t>비용</t>
    </r>
    <phoneticPr fontId="10" type="noConversion"/>
  </si>
  <si>
    <r>
      <rPr>
        <b/>
        <sz val="10"/>
        <color theme="0"/>
        <rFont val="바탕"/>
        <family val="1"/>
        <charset val="129"/>
      </rPr>
      <t>월간</t>
    </r>
    <r>
      <rPr>
        <b/>
        <sz val="10"/>
        <color theme="0"/>
        <rFont val="Times New Roman"/>
        <family val="1"/>
      </rPr>
      <t xml:space="preserve"> </t>
    </r>
    <r>
      <rPr>
        <b/>
        <sz val="10"/>
        <color theme="0"/>
        <rFont val="바탕"/>
        <family val="1"/>
        <charset val="129"/>
      </rPr>
      <t>비용</t>
    </r>
    <phoneticPr fontId="10" type="noConversion"/>
  </si>
  <si>
    <t>김재우</t>
    <phoneticPr fontId="10" type="noConversion"/>
  </si>
  <si>
    <t>김내영</t>
    <phoneticPr fontId="10" type="noConversion"/>
  </si>
  <si>
    <t>전세보증금</t>
    <phoneticPr fontId="1" type="noConversion"/>
  </si>
  <si>
    <t>Kakao Safebox</t>
    <phoneticPr fontId="1" type="noConversion"/>
  </si>
  <si>
    <t>Kakao Checking 1</t>
    <phoneticPr fontId="1" type="noConversion"/>
  </si>
  <si>
    <t>1. Housing_2020.03 ~ 2022.02 (24 Month)</t>
    <phoneticPr fontId="10" type="noConversion"/>
  </si>
  <si>
    <t xml:space="preserve">All-In Maintenance </t>
    <phoneticPr fontId="10" type="noConversion"/>
  </si>
  <si>
    <t xml:space="preserve">신한 전세자금대출 </t>
    <phoneticPr fontId="1" type="noConversion"/>
  </si>
  <si>
    <t>Shinhan Real Estate Deposit</t>
    <phoneticPr fontId="1" type="noConversion"/>
  </si>
  <si>
    <t>Shinhan Fund</t>
    <phoneticPr fontId="1" type="noConversion"/>
  </si>
  <si>
    <t>Quantity</t>
    <phoneticPr fontId="1" type="noConversion"/>
  </si>
  <si>
    <t>Holding</t>
    <phoneticPr fontId="10" type="noConversion"/>
  </si>
  <si>
    <t>2. Risk Constraint</t>
    <phoneticPr fontId="10" type="noConversion"/>
  </si>
  <si>
    <t>3. Time Horizon</t>
    <phoneticPr fontId="10" type="noConversion"/>
  </si>
  <si>
    <t>4. Liquidity needs</t>
    <phoneticPr fontId="10" type="noConversion"/>
  </si>
  <si>
    <t>신형민</t>
    <phoneticPr fontId="10" type="noConversion"/>
  </si>
  <si>
    <t>한상민</t>
    <phoneticPr fontId="10" type="noConversion"/>
  </si>
  <si>
    <t>이상민</t>
    <phoneticPr fontId="10" type="noConversion"/>
  </si>
  <si>
    <t>윤호준</t>
    <phoneticPr fontId="10" type="noConversion"/>
  </si>
  <si>
    <t>안준위</t>
    <phoneticPr fontId="10" type="noConversion"/>
  </si>
  <si>
    <t>변찬울</t>
    <phoneticPr fontId="10" type="noConversion"/>
  </si>
  <si>
    <t>이민준</t>
    <phoneticPr fontId="10" type="noConversion"/>
  </si>
  <si>
    <t>Shinhan Revolving Credit</t>
    <phoneticPr fontId="1" type="noConversion"/>
  </si>
  <si>
    <t>Stock Investment (Korea)</t>
    <phoneticPr fontId="1" type="noConversion"/>
  </si>
  <si>
    <t>Current 
Return</t>
    <phoneticPr fontId="10" type="noConversion"/>
  </si>
  <si>
    <t>Target 
Return (%)</t>
    <phoneticPr fontId="10" type="noConversion"/>
  </si>
  <si>
    <t>Target 
Price</t>
    <phoneticPr fontId="1" type="noConversion"/>
  </si>
  <si>
    <t>Target
Return</t>
    <phoneticPr fontId="10" type="noConversion"/>
  </si>
  <si>
    <t>Market 
Price</t>
    <phoneticPr fontId="10" type="noConversion"/>
  </si>
  <si>
    <t>Buy 
Value</t>
    <phoneticPr fontId="10" type="noConversion"/>
  </si>
  <si>
    <t>Buy 
Price</t>
    <phoneticPr fontId="1" type="noConversion"/>
  </si>
  <si>
    <t>&lt;Current Holdings&gt;</t>
    <phoneticPr fontId="10" type="noConversion"/>
  </si>
  <si>
    <t>김성식</t>
    <phoneticPr fontId="10" type="noConversion"/>
  </si>
  <si>
    <t>천병진</t>
    <phoneticPr fontId="10" type="noConversion"/>
  </si>
  <si>
    <t>이광주</t>
    <phoneticPr fontId="10" type="noConversion"/>
  </si>
  <si>
    <t>Apple Data, Google Youtube</t>
    <phoneticPr fontId="10" type="noConversion"/>
  </si>
  <si>
    <t>Cleaning Service</t>
    <phoneticPr fontId="10" type="noConversion"/>
  </si>
  <si>
    <t>추상인</t>
    <phoneticPr fontId="10" type="noConversion"/>
  </si>
  <si>
    <t>조용석</t>
    <phoneticPr fontId="10" type="noConversion"/>
  </si>
  <si>
    <r>
      <t>2020_</t>
    </r>
    <r>
      <rPr>
        <b/>
        <u/>
        <sz val="11"/>
        <color rgb="FF000000"/>
        <rFont val="바탕"/>
        <family val="1"/>
        <charset val="129"/>
      </rPr>
      <t>교훈</t>
    </r>
    <phoneticPr fontId="10" type="noConversion"/>
  </si>
  <si>
    <r>
      <t>1. 2020</t>
    </r>
    <r>
      <rPr>
        <sz val="11"/>
        <color rgb="FF000000"/>
        <rFont val="바탕"/>
        <family val="1"/>
        <charset val="129"/>
      </rPr>
      <t>년</t>
    </r>
    <r>
      <rPr>
        <sz val="11"/>
        <color rgb="FF000000"/>
        <rFont val="Times New Roman"/>
        <family val="1"/>
      </rPr>
      <t xml:space="preserve"> 2</t>
    </r>
    <r>
      <rPr>
        <sz val="11"/>
        <color rgb="FF000000"/>
        <rFont val="바탕"/>
        <family val="1"/>
        <charset val="129"/>
      </rPr>
      <t>월</t>
    </r>
    <r>
      <rPr>
        <sz val="11"/>
        <color rgb="FF000000"/>
        <rFont val="Times New Roman"/>
        <family val="1"/>
      </rPr>
      <t xml:space="preserve"> Corona Virus</t>
    </r>
    <r>
      <rPr>
        <sz val="11"/>
        <color rgb="FF000000"/>
        <rFont val="바탕"/>
        <family val="1"/>
        <charset val="129"/>
      </rPr>
      <t>의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심각성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미처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꺠닫지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못함</t>
    </r>
    <phoneticPr fontId="10" type="noConversion"/>
  </si>
  <si>
    <r>
      <t>2. 2020</t>
    </r>
    <r>
      <rPr>
        <sz val="11"/>
        <color rgb="FF000000"/>
        <rFont val="바탕"/>
        <family val="1"/>
        <charset val="129"/>
      </rPr>
      <t>년</t>
    </r>
    <r>
      <rPr>
        <sz val="11"/>
        <color rgb="FF000000"/>
        <rFont val="Times New Roman"/>
        <family val="1"/>
      </rPr>
      <t xml:space="preserve"> 3</t>
    </r>
    <r>
      <rPr>
        <sz val="11"/>
        <color rgb="FF000000"/>
        <rFont val="바탕"/>
        <family val="1"/>
        <charset val="129"/>
      </rPr>
      <t>월말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이후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소액대출</t>
    </r>
    <r>
      <rPr>
        <sz val="11"/>
        <color rgb="FF000000"/>
        <rFont val="Times New Roman"/>
        <family val="1"/>
      </rPr>
      <t xml:space="preserve"> 650</t>
    </r>
    <r>
      <rPr>
        <sz val="11"/>
        <color rgb="FF000000"/>
        <rFont val="바탕"/>
        <family val="1"/>
        <charset val="129"/>
      </rPr>
      <t>만원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신청하여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주식시장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재진입</t>
    </r>
    <r>
      <rPr>
        <sz val="11"/>
        <color rgb="FF000000"/>
        <rFont val="Times New Roman"/>
        <family val="1"/>
      </rPr>
      <t xml:space="preserve">. </t>
    </r>
    <r>
      <rPr>
        <sz val="11"/>
        <color rgb="FF000000"/>
        <rFont val="바탕"/>
        <family val="1"/>
        <charset val="129"/>
      </rPr>
      <t>클래시스로</t>
    </r>
    <r>
      <rPr>
        <sz val="11"/>
        <color rgb="FF000000"/>
        <rFont val="Times New Roman"/>
        <family val="1"/>
      </rPr>
      <t xml:space="preserve"> Beta Upside </t>
    </r>
    <r>
      <rPr>
        <sz val="11"/>
        <color rgb="FF000000"/>
        <rFont val="바탕"/>
        <family val="1"/>
        <charset val="129"/>
      </rPr>
      <t>먹음</t>
    </r>
    <r>
      <rPr>
        <sz val="11"/>
        <color rgb="FF000000"/>
        <rFont val="Times New Roman"/>
        <family val="1"/>
      </rPr>
      <t xml:space="preserve">. </t>
    </r>
    <phoneticPr fontId="10" type="noConversion"/>
  </si>
  <si>
    <r>
      <t>3. 2020</t>
    </r>
    <r>
      <rPr>
        <sz val="11"/>
        <color rgb="FF000000"/>
        <rFont val="바탕"/>
        <family val="1"/>
        <charset val="129"/>
      </rPr>
      <t>년</t>
    </r>
    <r>
      <rPr>
        <sz val="11"/>
        <color rgb="FF000000"/>
        <rFont val="Times New Roman"/>
        <family val="1"/>
      </rPr>
      <t xml:space="preserve"> 1</t>
    </r>
    <r>
      <rPr>
        <sz val="11"/>
        <color rgb="FF000000"/>
        <rFont val="바탕"/>
        <family val="1"/>
        <charset val="129"/>
      </rPr>
      <t>월부터</t>
    </r>
    <r>
      <rPr>
        <sz val="11"/>
        <color rgb="FF000000"/>
        <rFont val="Times New Roman"/>
        <family val="1"/>
      </rPr>
      <t xml:space="preserve"> 6</t>
    </r>
    <r>
      <rPr>
        <sz val="11"/>
        <color rgb="FF000000"/>
        <rFont val="바탕"/>
        <family val="1"/>
        <charset val="129"/>
      </rPr>
      <t>월말까지는</t>
    </r>
    <r>
      <rPr>
        <sz val="11"/>
        <color rgb="FF000000"/>
        <rFont val="Times New Roman"/>
        <family val="1"/>
      </rPr>
      <t xml:space="preserve"> Seed Money</t>
    </r>
    <r>
      <rPr>
        <sz val="11"/>
        <color rgb="FF000000"/>
        <rFont val="바탕"/>
        <family val="1"/>
        <charset val="129"/>
      </rPr>
      <t>자체가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현금으로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옮겨갔기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때문에</t>
    </r>
    <r>
      <rPr>
        <sz val="11"/>
        <color rgb="FF000000"/>
        <rFont val="Times New Roman"/>
        <family val="1"/>
      </rPr>
      <t xml:space="preserve"> Natural hedge</t>
    </r>
    <r>
      <rPr>
        <sz val="11"/>
        <color rgb="FF000000"/>
        <rFont val="바탕"/>
        <family val="1"/>
        <charset val="129"/>
      </rPr>
      <t>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작용함</t>
    </r>
    <r>
      <rPr>
        <sz val="11"/>
        <color rgb="FF000000"/>
        <rFont val="Times New Roman"/>
        <family val="1"/>
      </rPr>
      <t>.</t>
    </r>
    <phoneticPr fontId="10" type="noConversion"/>
  </si>
  <si>
    <r>
      <t>4. 7</t>
    </r>
    <r>
      <rPr>
        <sz val="11"/>
        <color rgb="FF000000"/>
        <rFont val="바탕"/>
        <family val="1"/>
        <charset val="129"/>
      </rPr>
      <t>월부터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본격적으로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장기투자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종목을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선정했지만</t>
    </r>
    <r>
      <rPr>
        <sz val="11"/>
        <color rgb="FF000000"/>
        <rFont val="Times New Roman"/>
        <family val="1"/>
      </rPr>
      <t xml:space="preserve">, </t>
    </r>
    <r>
      <rPr>
        <sz val="11"/>
        <color rgb="FF000000"/>
        <rFont val="바탕"/>
        <family val="1"/>
        <charset val="129"/>
      </rPr>
      <t>대주전자재료</t>
    </r>
    <r>
      <rPr>
        <sz val="11"/>
        <color rgb="FF000000"/>
        <rFont val="Times New Roman"/>
        <family val="1"/>
      </rPr>
      <t>, HMM</t>
    </r>
    <r>
      <rPr>
        <sz val="11"/>
        <color rgb="FF000000"/>
        <rFont val="바탕"/>
        <family val="1"/>
        <charset val="129"/>
      </rPr>
      <t>등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대형호재를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놓침</t>
    </r>
    <phoneticPr fontId="10" type="noConversion"/>
  </si>
  <si>
    <r>
      <t>5. 8</t>
    </r>
    <r>
      <rPr>
        <sz val="11"/>
        <color rgb="FF000000"/>
        <rFont val="바탕"/>
        <family val="1"/>
        <charset val="129"/>
      </rPr>
      <t>월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메드팩토로</t>
    </r>
    <r>
      <rPr>
        <sz val="11"/>
        <color rgb="FF000000"/>
        <rFont val="Times New Roman"/>
        <family val="1"/>
      </rPr>
      <t xml:space="preserve"> 35% </t>
    </r>
    <r>
      <rPr>
        <sz val="11"/>
        <color rgb="FF000000"/>
        <rFont val="바탕"/>
        <family val="1"/>
        <charset val="129"/>
      </rPr>
      <t>이상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수익거두며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인생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최대</t>
    </r>
    <r>
      <rPr>
        <sz val="11"/>
        <color rgb="FF000000"/>
        <rFont val="Times New Roman"/>
        <family val="1"/>
      </rPr>
      <t xml:space="preserve"> NAV</t>
    </r>
    <r>
      <rPr>
        <sz val="11"/>
        <color rgb="FF000000"/>
        <rFont val="바탕"/>
        <family val="1"/>
        <charset val="129"/>
      </rPr>
      <t>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기록</t>
    </r>
    <r>
      <rPr>
        <sz val="11"/>
        <color rgb="FF000000"/>
        <rFont val="Times New Roman"/>
        <family val="1"/>
      </rPr>
      <t>.</t>
    </r>
    <phoneticPr fontId="10" type="noConversion"/>
  </si>
  <si>
    <r>
      <t xml:space="preserve">6. </t>
    </r>
    <r>
      <rPr>
        <sz val="11"/>
        <color rgb="FF000000"/>
        <rFont val="바탕"/>
        <family val="1"/>
        <charset val="129"/>
      </rPr>
      <t>그때가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고점이었음을</t>
    </r>
    <r>
      <rPr>
        <sz val="11"/>
        <color rgb="FF000000"/>
        <rFont val="Times New Roman"/>
        <family val="1"/>
      </rPr>
      <t xml:space="preserve"> 10</t>
    </r>
    <r>
      <rPr>
        <sz val="11"/>
        <color rgb="FF000000"/>
        <rFont val="바탕"/>
        <family val="1"/>
        <charset val="129"/>
      </rPr>
      <t>월되서야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깨달음</t>
    </r>
    <r>
      <rPr>
        <sz val="11"/>
        <color rgb="FF000000"/>
        <rFont val="Times New Roman"/>
        <family val="1"/>
      </rPr>
      <t xml:space="preserve">. </t>
    </r>
    <r>
      <rPr>
        <sz val="11"/>
        <color rgb="FF000000"/>
        <rFont val="바탕"/>
        <family val="1"/>
        <charset val="129"/>
      </rPr>
      <t>엄청난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기간조정을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받는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도중에</t>
    </r>
    <r>
      <rPr>
        <sz val="11"/>
        <color rgb="FF000000"/>
        <rFont val="Times New Roman"/>
        <family val="1"/>
      </rPr>
      <t xml:space="preserve"> HMM</t>
    </r>
    <r>
      <rPr>
        <sz val="11"/>
        <color rgb="FF000000"/>
        <rFont val="바탕"/>
        <family val="1"/>
        <charset val="129"/>
      </rPr>
      <t>이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날아감</t>
    </r>
    <phoneticPr fontId="10" type="noConversion"/>
  </si>
  <si>
    <r>
      <t xml:space="preserve">7. Tesla </t>
    </r>
    <r>
      <rPr>
        <sz val="11"/>
        <color rgb="FF000000"/>
        <rFont val="바탕"/>
        <family val="1"/>
        <charset val="129"/>
      </rPr>
      <t>대형</t>
    </r>
    <r>
      <rPr>
        <sz val="11"/>
        <color rgb="FF000000"/>
        <rFont val="Times New Roman"/>
        <family val="1"/>
      </rPr>
      <t xml:space="preserve"> Riding </t>
    </r>
    <r>
      <rPr>
        <sz val="11"/>
        <color rgb="FF000000"/>
        <rFont val="바탕"/>
        <family val="1"/>
        <charset val="129"/>
      </rPr>
      <t>기회에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자산배분을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못하여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초과수익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달성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못함</t>
    </r>
    <r>
      <rPr>
        <sz val="11"/>
        <color rgb="FF000000"/>
        <rFont val="Times New Roman"/>
        <family val="1"/>
      </rPr>
      <t>.</t>
    </r>
    <phoneticPr fontId="10" type="noConversion"/>
  </si>
  <si>
    <r>
      <t xml:space="preserve">8. </t>
    </r>
    <r>
      <rPr>
        <sz val="11"/>
        <color rgb="FF000000"/>
        <rFont val="바탕"/>
        <family val="1"/>
        <charset val="129"/>
      </rPr>
      <t>하지만</t>
    </r>
    <r>
      <rPr>
        <sz val="11"/>
        <color rgb="FF000000"/>
        <rFont val="Times New Roman"/>
        <family val="1"/>
      </rPr>
      <t xml:space="preserve"> Velodyne, Luminar Stockpicking</t>
    </r>
    <r>
      <rPr>
        <sz val="11"/>
        <color rgb="FF000000"/>
        <rFont val="바탕"/>
        <family val="1"/>
        <charset val="129"/>
      </rPr>
      <t>에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있어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감각이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향상된걸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느낌</t>
    </r>
    <r>
      <rPr>
        <sz val="11"/>
        <color rgb="FF000000"/>
        <rFont val="Times New Roman"/>
        <family val="1"/>
      </rPr>
      <t>.</t>
    </r>
    <phoneticPr fontId="10" type="noConversion"/>
  </si>
  <si>
    <t>Failed: COVID19. CFA III moved to '21.05</t>
    <phoneticPr fontId="10" type="noConversion"/>
  </si>
  <si>
    <t>Failed: GMAT 400--&gt;560</t>
    <phoneticPr fontId="10" type="noConversion"/>
  </si>
  <si>
    <t>Completed: Married in June</t>
    <phoneticPr fontId="10" type="noConversion"/>
  </si>
  <si>
    <t>Half-Completed: Life-style maintained somewhat (50%)</t>
    <phoneticPr fontId="10" type="noConversion"/>
  </si>
  <si>
    <t>Failed: 76kg</t>
    <phoneticPr fontId="10" type="noConversion"/>
  </si>
  <si>
    <t xml:space="preserve">Completed: Read 2 books </t>
    <phoneticPr fontId="10" type="noConversion"/>
  </si>
  <si>
    <t>Failed: Schedule conflict with GMAT</t>
    <phoneticPr fontId="10" type="noConversion"/>
  </si>
  <si>
    <t>2. CFA Holder ('21.05)</t>
    <phoneticPr fontId="10" type="noConversion"/>
  </si>
  <si>
    <t>3. MBA Application ('21.12: 2nd Apply)</t>
    <phoneticPr fontId="10" type="noConversion"/>
  </si>
  <si>
    <t>4. Infrastructure Investments Deals (1: Renewable, 1: PPP, 1: Blind Fund $50 above)</t>
    <phoneticPr fontId="10" type="noConversion"/>
  </si>
  <si>
    <t>전세보증금</t>
  </si>
  <si>
    <t xml:space="preserve">신한 전세자금대출 </t>
  </si>
  <si>
    <t>Shinhan Real Estate Deposit</t>
  </si>
  <si>
    <t>청약저축담보대출</t>
  </si>
  <si>
    <t>Shinhan Fund</t>
  </si>
  <si>
    <t>Stock Investment (Meritz)</t>
  </si>
  <si>
    <t>Stock Investment (Korea)</t>
  </si>
  <si>
    <t>Kakao Safebox</t>
  </si>
  <si>
    <t>Kakao Checking 1</t>
  </si>
  <si>
    <t>Shinhan Revolving Credit</t>
  </si>
  <si>
    <t>1. Return Objective</t>
    <phoneticPr fontId="10" type="noConversion"/>
  </si>
  <si>
    <t>Invested Capital</t>
    <phoneticPr fontId="10" type="noConversion"/>
  </si>
  <si>
    <t>Ending Capital</t>
    <phoneticPr fontId="10" type="noConversion"/>
  </si>
  <si>
    <t>Sungsoo Other Cost (Reserve)</t>
    <phoneticPr fontId="10" type="noConversion"/>
  </si>
  <si>
    <r>
      <t>Salary from KDB Life Insurance (</t>
    </r>
    <r>
      <rPr>
        <sz val="12"/>
        <color rgb="FF000000"/>
        <rFont val="바탕"/>
        <family val="1"/>
        <charset val="129"/>
      </rPr>
      <t>신한은행</t>
    </r>
    <r>
      <rPr>
        <sz val="12"/>
        <color rgb="FF000000"/>
        <rFont val="Times New Roman"/>
        <family val="1"/>
      </rPr>
      <t>)</t>
    </r>
    <phoneticPr fontId="10" type="noConversion"/>
  </si>
  <si>
    <t>1. GMAT Score 730 ('21.08)</t>
    <phoneticPr fontId="10" type="noConversion"/>
  </si>
  <si>
    <r>
      <rPr>
        <sz val="11"/>
        <color rgb="FF000000"/>
        <rFont val="바탕"/>
        <family val="1"/>
        <charset val="129"/>
      </rPr>
      <t>씨티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바탕"/>
        <family val="1"/>
        <charset val="129"/>
      </rPr>
      <t>신용대출</t>
    </r>
    <phoneticPr fontId="1" type="noConversion"/>
  </si>
  <si>
    <t>신한 청약저축담보대출</t>
  </si>
  <si>
    <t>신한 청약저축담보대출</t>
    <phoneticPr fontId="1" type="noConversion"/>
  </si>
  <si>
    <t>씨티 신용대출</t>
  </si>
  <si>
    <t>황성연</t>
    <phoneticPr fontId="10" type="noConversion"/>
  </si>
  <si>
    <t>변경모</t>
    <phoneticPr fontId="10" type="noConversion"/>
  </si>
  <si>
    <t>한국기업평가</t>
    <phoneticPr fontId="10" type="noConversion"/>
  </si>
  <si>
    <t>빙그레</t>
    <phoneticPr fontId="10" type="noConversion"/>
  </si>
  <si>
    <t>SPC삼립</t>
    <phoneticPr fontId="10" type="noConversion"/>
  </si>
  <si>
    <t>매매 방향</t>
    <phoneticPr fontId="10" type="noConversion"/>
  </si>
  <si>
    <t>HOLD</t>
    <phoneticPr fontId="10" type="noConversion"/>
  </si>
  <si>
    <t>Current 
Return (%)</t>
    <phoneticPr fontId="10" type="noConversion"/>
  </si>
  <si>
    <t>대한제분</t>
    <phoneticPr fontId="10" type="noConversion"/>
  </si>
  <si>
    <t xml:space="preserve">Equity </t>
    <phoneticPr fontId="10" type="noConversion"/>
  </si>
  <si>
    <t>Debt (주택담보대출)</t>
    <phoneticPr fontId="10" type="noConversion"/>
  </si>
  <si>
    <t>주요 가정</t>
    <phoneticPr fontId="10" type="noConversion"/>
  </si>
  <si>
    <t>오피스텔 담보대출 LTV</t>
    <phoneticPr fontId="10" type="noConversion"/>
  </si>
  <si>
    <t>Financing</t>
    <phoneticPr fontId="10" type="noConversion"/>
  </si>
  <si>
    <t>물건 후보</t>
    <phoneticPr fontId="10" type="noConversion"/>
  </si>
  <si>
    <t>매입대금</t>
    <phoneticPr fontId="10" type="noConversion"/>
  </si>
  <si>
    <t>담보대출</t>
    <phoneticPr fontId="10" type="noConversion"/>
  </si>
  <si>
    <t>현재 전세</t>
    <phoneticPr fontId="10" type="noConversion"/>
  </si>
  <si>
    <t>필요 자본</t>
    <phoneticPr fontId="10" type="noConversion"/>
  </si>
  <si>
    <t>GAP 투자 자본</t>
    <phoneticPr fontId="10" type="noConversion"/>
  </si>
  <si>
    <t>Debt (씨티 신용대출)</t>
    <phoneticPr fontId="10" type="noConversion"/>
  </si>
  <si>
    <t>Debt (신한 마이너스통장)</t>
    <phoneticPr fontId="10" type="noConversion"/>
  </si>
  <si>
    <t>Total Assets</t>
    <phoneticPr fontId="10" type="noConversion"/>
  </si>
  <si>
    <t>평</t>
    <phoneticPr fontId="10" type="noConversion"/>
  </si>
  <si>
    <t>평당 가격</t>
    <phoneticPr fontId="10" type="noConversion"/>
  </si>
  <si>
    <t>취득세</t>
    <phoneticPr fontId="10" type="noConversion"/>
  </si>
  <si>
    <t>중개보수</t>
    <phoneticPr fontId="10" type="noConversion"/>
  </si>
  <si>
    <t>용산이안1차</t>
    <phoneticPr fontId="10" type="noConversion"/>
  </si>
  <si>
    <t>KCC웰츠타워</t>
    <phoneticPr fontId="10" type="noConversion"/>
  </si>
  <si>
    <t>용산CJ나인파크</t>
    <phoneticPr fontId="10" type="noConversion"/>
  </si>
  <si>
    <t>용산프리미어</t>
    <phoneticPr fontId="10" type="noConversion"/>
  </si>
  <si>
    <t>용산리브</t>
    <phoneticPr fontId="10" type="noConversion"/>
  </si>
  <si>
    <t>Stock Investment (NH)</t>
  </si>
  <si>
    <t>Stock Investment (NH)</t>
    <phoneticPr fontId="1" type="noConversion"/>
  </si>
  <si>
    <t>Commitment Fee</t>
    <phoneticPr fontId="10" type="noConversion"/>
  </si>
  <si>
    <t>GBP</t>
    <phoneticPr fontId="10" type="noConversion"/>
  </si>
  <si>
    <t>Second Instalment Fee</t>
    <phoneticPr fontId="10" type="noConversion"/>
  </si>
  <si>
    <t>Notes</t>
    <phoneticPr fontId="10" type="noConversion"/>
  </si>
  <si>
    <t>4 weeks after your offer</t>
    <phoneticPr fontId="10" type="noConversion"/>
  </si>
  <si>
    <t>8 weeks after your offer</t>
    <phoneticPr fontId="10" type="noConversion"/>
  </si>
  <si>
    <t>Remaining Tuition</t>
    <phoneticPr fontId="10" type="noConversion"/>
  </si>
  <si>
    <t>Early July 2022</t>
    <phoneticPr fontId="10" type="noConversion"/>
  </si>
  <si>
    <t>KRW/GBP Rate</t>
    <phoneticPr fontId="10" type="noConversion"/>
  </si>
  <si>
    <t>Items</t>
    <phoneticPr fontId="10" type="noConversion"/>
  </si>
  <si>
    <t>Duration of Housing</t>
    <phoneticPr fontId="10" type="noConversion"/>
  </si>
  <si>
    <t>Monthly Housing Budget #1</t>
    <phoneticPr fontId="10" type="noConversion"/>
  </si>
  <si>
    <t>Monthly Housing Budget #2</t>
    <phoneticPr fontId="10" type="noConversion"/>
  </si>
  <si>
    <t>Monthly Housing Budget #3</t>
    <phoneticPr fontId="10" type="noConversion"/>
  </si>
  <si>
    <t>Housing (Budget #2)</t>
    <phoneticPr fontId="10" type="noConversion"/>
  </si>
  <si>
    <t>Housing (Budget #1)</t>
    <phoneticPr fontId="10" type="noConversion"/>
  </si>
  <si>
    <t>Housing (Budget #3)</t>
    <phoneticPr fontId="10" type="noConversion"/>
  </si>
  <si>
    <t>Grocery Shopping</t>
    <phoneticPr fontId="10" type="noConversion"/>
  </si>
  <si>
    <t>Dining</t>
    <phoneticPr fontId="10" type="noConversion"/>
  </si>
  <si>
    <t>Gas &amp; Electricity</t>
    <phoneticPr fontId="10" type="noConversion"/>
  </si>
  <si>
    <t xml:space="preserve">Water </t>
    <phoneticPr fontId="10" type="noConversion"/>
  </si>
  <si>
    <t xml:space="preserve">Internet </t>
    <phoneticPr fontId="10" type="noConversion"/>
  </si>
  <si>
    <t>Cell Phone</t>
    <phoneticPr fontId="10" type="noConversion"/>
  </si>
  <si>
    <t>Travel</t>
    <phoneticPr fontId="10" type="noConversion"/>
  </si>
  <si>
    <t>Additional Dining</t>
    <phoneticPr fontId="10" type="noConversion"/>
  </si>
  <si>
    <t>Social Activities</t>
    <phoneticPr fontId="10" type="noConversion"/>
  </si>
  <si>
    <t>&lt;Key Assumptions&gt;</t>
    <phoneticPr fontId="10" type="noConversion"/>
  </si>
  <si>
    <t>1. Total Tuition</t>
    <phoneticPr fontId="10" type="noConversion"/>
  </si>
  <si>
    <t>2. Fixed Expenses</t>
    <phoneticPr fontId="10" type="noConversion"/>
  </si>
  <si>
    <t>3. Better Life Style Expenses</t>
    <phoneticPr fontId="10" type="noConversion"/>
  </si>
  <si>
    <t>SUM (1~4)</t>
    <phoneticPr fontId="10" type="noConversion"/>
  </si>
  <si>
    <t>Student Loan_Prodigy</t>
    <phoneticPr fontId="10" type="noConversion"/>
  </si>
  <si>
    <t>Questions</t>
    <phoneticPr fontId="10" type="noConversion"/>
  </si>
  <si>
    <t>Optimal leverage for tuition</t>
    <phoneticPr fontId="10" type="noConversion"/>
  </si>
  <si>
    <t>Where to take out leverage from?</t>
    <phoneticPr fontId="10" type="noConversion"/>
  </si>
  <si>
    <t>Minimum capital to keep as of now</t>
    <phoneticPr fontId="10" type="noConversion"/>
  </si>
  <si>
    <t>My target on equity capital</t>
    <phoneticPr fontId="10" type="noConversion"/>
  </si>
  <si>
    <t>How to execute to achieve target of equity capital</t>
    <phoneticPr fontId="10" type="noConversion"/>
  </si>
  <si>
    <t>During 11 months in London, how would you manage checking balance and investment account balance</t>
    <phoneticPr fontId="10" type="noConversion"/>
  </si>
  <si>
    <t>Optimal savings for settlement cost for my potential full-time job</t>
    <phoneticPr fontId="10" type="noConversion"/>
  </si>
  <si>
    <t>이승재</t>
    <phoneticPr fontId="10" type="noConversion"/>
  </si>
  <si>
    <t>김희석 누나</t>
    <phoneticPr fontId="10" type="noConversion"/>
  </si>
  <si>
    <t>김근규 (KDB생명)</t>
    <phoneticPr fontId="10" type="noConversion"/>
  </si>
  <si>
    <t>이유진 (KDB생명)</t>
    <phoneticPr fontId="10" type="noConversion"/>
  </si>
  <si>
    <t>Student Loan_Other lender</t>
    <phoneticPr fontId="10" type="noConversion"/>
  </si>
  <si>
    <t>USD</t>
    <phoneticPr fontId="10" type="noConversion"/>
  </si>
  <si>
    <t>KRW/USD Rate</t>
    <phoneticPr fontId="10" type="noConversion"/>
  </si>
  <si>
    <t>Max Quote, YTM 10.5%, 20Y, No early-redemption penalty, Amortization over 20Y</t>
    <phoneticPr fontId="10" type="noConversion"/>
  </si>
  <si>
    <t xml:space="preserve">Prodigy Monthly Interest </t>
    <phoneticPr fontId="10" type="noConversion"/>
  </si>
  <si>
    <t>Debt Financing Sources</t>
    <phoneticPr fontId="10" type="noConversion"/>
  </si>
  <si>
    <t>Proprietary Capital</t>
    <phoneticPr fontId="10" type="noConversion"/>
  </si>
  <si>
    <t>Equity Financing</t>
    <phoneticPr fontId="10" type="noConversion"/>
  </si>
  <si>
    <t>Contributions from parents</t>
    <phoneticPr fontId="10" type="noConversion"/>
  </si>
  <si>
    <t xml:space="preserve">USES </t>
    <phoneticPr fontId="10" type="noConversion"/>
  </si>
  <si>
    <t>SOURCES</t>
    <phoneticPr fontId="10" type="noConversion"/>
  </si>
  <si>
    <t>USES</t>
    <phoneticPr fontId="10" type="noConversion"/>
  </si>
  <si>
    <t>TOTAL</t>
    <phoneticPr fontId="10" type="noConversion"/>
  </si>
  <si>
    <t>Financial Buffer Ratio</t>
    <phoneticPr fontId="10" type="noConversion"/>
  </si>
  <si>
    <t xml:space="preserve">Scholarship </t>
    <phoneticPr fontId="10" type="noConversion"/>
  </si>
  <si>
    <t>London Business School</t>
    <phoneticPr fontId="10" type="noConversion"/>
  </si>
  <si>
    <t>Masters in Finance</t>
    <phoneticPr fontId="10" type="noConversion"/>
  </si>
  <si>
    <t>LONDON</t>
    <phoneticPr fontId="10" type="noConversion"/>
  </si>
  <si>
    <t>Analyst</t>
    <phoneticPr fontId="10" type="noConversion"/>
  </si>
  <si>
    <t>대리3</t>
    <phoneticPr fontId="10" type="noConversion"/>
  </si>
  <si>
    <t>Sungsoo Kim, CFA, CAIA</t>
    <phoneticPr fontId="10" type="noConversion"/>
  </si>
  <si>
    <t>KKR &amp; Co</t>
    <phoneticPr fontId="10" type="noConversion"/>
  </si>
  <si>
    <t>Director of Infrastructure Private Equity</t>
    <phoneticPr fontId="10" type="noConversion"/>
  </si>
  <si>
    <t>LONDON, HK, SG</t>
    <phoneticPr fontId="10" type="noConversion"/>
  </si>
  <si>
    <t>CAIA, MBA</t>
    <phoneticPr fontId="10" type="noConversion"/>
  </si>
  <si>
    <t>CFA</t>
    <phoneticPr fontId="10" type="noConversion"/>
  </si>
  <si>
    <t>Founding Partner</t>
    <phoneticPr fontId="10" type="noConversion"/>
  </si>
  <si>
    <t xml:space="preserve">[TBD] Capital </t>
    <phoneticPr fontId="10" type="noConversion"/>
  </si>
  <si>
    <t>단위: 억원</t>
    <phoneticPr fontId="10" type="noConversion"/>
  </si>
  <si>
    <t>Succeed ?</t>
    <phoneticPr fontId="10" type="noConversion"/>
  </si>
  <si>
    <t>Goals</t>
    <phoneticPr fontId="10" type="noConversion"/>
  </si>
  <si>
    <t>O</t>
    <phoneticPr fontId="10" type="noConversion"/>
  </si>
  <si>
    <t>Education</t>
    <phoneticPr fontId="10" type="noConversion"/>
  </si>
  <si>
    <t>Work Expeirnece</t>
    <phoneticPr fontId="10" type="noConversion"/>
  </si>
  <si>
    <t>Professional Certification</t>
    <phoneticPr fontId="10" type="noConversion"/>
  </si>
  <si>
    <t>Bachelor in Finance, Marriott School of Business, Brigham Young University</t>
    <phoneticPr fontId="10" type="noConversion"/>
  </si>
  <si>
    <t>Masters in Finance, London Business School</t>
    <phoneticPr fontId="10" type="noConversion"/>
  </si>
  <si>
    <t xml:space="preserve">Founding Partner / [TBD] Capital </t>
    <phoneticPr fontId="10" type="noConversion"/>
  </si>
  <si>
    <t>Portfolio Manager (Infrastructure) / KDB Life Insurance</t>
    <phoneticPr fontId="10" type="noConversion"/>
  </si>
  <si>
    <t>Sales &amp; Trader (Fixed Income) / Meritz Securities</t>
    <phoneticPr fontId="10" type="noConversion"/>
  </si>
  <si>
    <t xml:space="preserve">Operations Analyst / Goldman Sachs </t>
    <phoneticPr fontId="10" type="noConversion"/>
  </si>
  <si>
    <t>Infrastructure Private Equity / KKR, Brookfield, Macquarie, GIC, CPPIB, CDPQ</t>
    <phoneticPr fontId="10" type="noConversion"/>
  </si>
  <si>
    <t>CFA (Chartered Financial Analyst)</t>
    <phoneticPr fontId="10" type="noConversion"/>
  </si>
  <si>
    <t>CAIA (Chartered Alternative Investment Analyst)</t>
    <phoneticPr fontId="10" type="noConversion"/>
  </si>
  <si>
    <t>X</t>
    <phoneticPr fontId="10" type="noConversion"/>
  </si>
  <si>
    <t>Hired to Meritz Securities as Fixed Income Sales Trader</t>
    <phoneticPr fontId="10" type="noConversion"/>
  </si>
  <si>
    <t>△</t>
    <phoneticPr fontId="10" type="noConversion"/>
  </si>
  <si>
    <t>Studied quite hard, but stopped due to change of plan</t>
    <phoneticPr fontId="10" type="noConversion"/>
  </si>
  <si>
    <r>
      <t xml:space="preserve">5. </t>
    </r>
    <r>
      <rPr>
        <sz val="10"/>
        <rFont val="바탕"/>
        <family val="1"/>
        <charset val="129"/>
      </rPr>
      <t>투자자산운용사</t>
    </r>
    <r>
      <rPr>
        <sz val="10"/>
        <rFont val="Times New Roman"/>
        <family val="1"/>
      </rPr>
      <t xml:space="preserve"> ('21.11)</t>
    </r>
    <phoneticPr fontId="10" type="noConversion"/>
  </si>
  <si>
    <r>
      <t>6. Golf ('21.6</t>
    </r>
    <r>
      <rPr>
        <sz val="10"/>
        <rFont val="바탕"/>
        <family val="1"/>
        <charset val="129"/>
      </rPr>
      <t>월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필드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목표</t>
    </r>
    <r>
      <rPr>
        <sz val="10"/>
        <rFont val="Times New Roman"/>
        <family val="1"/>
      </rPr>
      <t>)</t>
    </r>
    <phoneticPr fontId="10" type="noConversion"/>
  </si>
  <si>
    <r>
      <t xml:space="preserve">7. </t>
    </r>
    <r>
      <rPr>
        <sz val="10"/>
        <rFont val="바탕"/>
        <family val="1"/>
        <charset val="129"/>
      </rPr>
      <t>아파텔</t>
    </r>
    <r>
      <rPr>
        <sz val="10"/>
        <rFont val="Times New Roman"/>
        <family val="1"/>
      </rPr>
      <t xml:space="preserve"> </t>
    </r>
    <r>
      <rPr>
        <sz val="10"/>
        <rFont val="바탕"/>
        <family val="1"/>
        <charset val="129"/>
      </rPr>
      <t>매입</t>
    </r>
    <phoneticPr fontId="10" type="noConversion"/>
  </si>
  <si>
    <t>Applied for LBS MiFFT R2 and shortlisted for interview</t>
    <phoneticPr fontId="10" type="noConversion"/>
  </si>
  <si>
    <t>KKR IV ($10m), Korean Solar ($30m), AUS/US PPP ($30m)</t>
    <phoneticPr fontId="10" type="noConversion"/>
  </si>
  <si>
    <t>Failed</t>
    <phoneticPr fontId="10" type="noConversion"/>
  </si>
  <si>
    <t>Lesson (Mar~Oct), 14 Golf Rounding Games, 95~120 score</t>
    <phoneticPr fontId="10" type="noConversion"/>
  </si>
  <si>
    <t>Investment major failure</t>
    <phoneticPr fontId="10" type="noConversion"/>
  </si>
  <si>
    <t>Completed: Sweden Wind Power, Brookfield Infrastructure Debt Fund, Ionisos, Frontera Restructuring, Aircraft E-Notes</t>
    <phoneticPr fontId="10" type="noConversion"/>
  </si>
  <si>
    <r>
      <t xml:space="preserve">Develop skills - English &amp; Excel &amp; Finance / </t>
    </r>
    <r>
      <rPr>
        <sz val="10"/>
        <rFont val="Arial"/>
        <family val="2"/>
      </rPr>
      <t>사회문화</t>
    </r>
  </si>
  <si>
    <r>
      <t xml:space="preserve">Cash Bond </t>
    </r>
    <r>
      <rPr>
        <sz val="10"/>
        <rFont val="돋움"/>
        <family val="3"/>
        <charset val="129"/>
      </rPr>
      <t>거래에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이해</t>
    </r>
    <r>
      <rPr>
        <sz val="10"/>
        <rFont val="Times New Roman"/>
        <family val="1"/>
      </rPr>
      <t xml:space="preserve">. </t>
    </r>
    <r>
      <rPr>
        <sz val="10"/>
        <rFont val="돋움"/>
        <family val="3"/>
        <charset val="129"/>
      </rPr>
      <t>상품에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이해</t>
    </r>
    <phoneticPr fontId="10" type="noConversion"/>
  </si>
  <si>
    <r>
      <t xml:space="preserve">Cash Bond </t>
    </r>
    <r>
      <rPr>
        <sz val="10"/>
        <rFont val="돋움"/>
        <family val="3"/>
        <charset val="129"/>
      </rPr>
      <t>거래에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이해</t>
    </r>
    <r>
      <rPr>
        <sz val="10"/>
        <rFont val="Times New Roman"/>
        <family val="1"/>
      </rPr>
      <t xml:space="preserve">. </t>
    </r>
    <r>
      <rPr>
        <sz val="10"/>
        <rFont val="돋움"/>
        <family val="3"/>
        <charset val="129"/>
      </rPr>
      <t>상품에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이해</t>
    </r>
    <r>
      <rPr>
        <sz val="10"/>
        <rFont val="Times New Roman"/>
        <family val="1"/>
      </rPr>
      <t>: 100% done</t>
    </r>
    <phoneticPr fontId="10" type="noConversion"/>
  </si>
  <si>
    <r>
      <rPr>
        <sz val="10"/>
        <rFont val="돋움"/>
        <family val="3"/>
        <charset val="129"/>
      </rPr>
      <t>상품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다양성에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이해</t>
    </r>
    <phoneticPr fontId="10" type="noConversion"/>
  </si>
  <si>
    <r>
      <rPr>
        <sz val="10"/>
        <rFont val="돋움"/>
        <family val="3"/>
        <charset val="129"/>
      </rPr>
      <t>상품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다양성에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대한</t>
    </r>
    <r>
      <rPr>
        <sz val="10"/>
        <rFont val="Times New Roman"/>
        <family val="1"/>
      </rPr>
      <t xml:space="preserve"> </t>
    </r>
    <r>
      <rPr>
        <sz val="10"/>
        <rFont val="돋움"/>
        <family val="3"/>
        <charset val="129"/>
      </rPr>
      <t>이해</t>
    </r>
    <r>
      <rPr>
        <sz val="10"/>
        <rFont val="Times New Roman"/>
        <family val="1"/>
      </rPr>
      <t>: 100% done</t>
    </r>
    <phoneticPr fontId="10" type="noConversion"/>
  </si>
  <si>
    <r>
      <rPr>
        <sz val="10"/>
        <rFont val="바탕"/>
        <family val="1"/>
        <charset val="129"/>
      </rPr>
      <t>투자자산운용사</t>
    </r>
    <r>
      <rPr>
        <sz val="10"/>
        <rFont val="Times New Roman"/>
        <family val="1"/>
      </rPr>
      <t xml:space="preserve"> Pass (Nov)</t>
    </r>
    <phoneticPr fontId="10" type="noConversion"/>
  </si>
  <si>
    <r>
      <t xml:space="preserve">Failed: GMAT major failure and didn't try out </t>
    </r>
    <r>
      <rPr>
        <sz val="10"/>
        <rFont val="바탕"/>
        <family val="1"/>
        <charset val="129"/>
      </rPr>
      <t>투자자산운용사</t>
    </r>
    <phoneticPr fontId="10" type="noConversion"/>
  </si>
  <si>
    <r>
      <rPr>
        <sz val="10"/>
        <rFont val="바탕"/>
        <family val="1"/>
        <charset val="129"/>
      </rPr>
      <t>투자자산운용사</t>
    </r>
    <r>
      <rPr>
        <sz val="10"/>
        <rFont val="Times New Roman"/>
        <family val="1"/>
      </rPr>
      <t xml:space="preserve"> (Nov)</t>
    </r>
    <phoneticPr fontId="10" type="noConversion"/>
  </si>
  <si>
    <t>CFA Holder (Chartered Financal Analyst) in my business card (June)</t>
    <phoneticPr fontId="10" type="noConversion"/>
  </si>
  <si>
    <t>GMAT Score 730</t>
    <phoneticPr fontId="10" type="noConversion"/>
  </si>
  <si>
    <t>MBA Application to (1) Wharton (2) Harvard (3) MIT (4) Chicago (5) Stanford</t>
    <phoneticPr fontId="10" type="noConversion"/>
  </si>
  <si>
    <t>Infrastructure Investments Deals (5+ Deals) + Asset-Backed Securities (1+ Deals)</t>
    <phoneticPr fontId="10" type="noConversion"/>
  </si>
  <si>
    <t>Losing Weight to 70kg</t>
    <phoneticPr fontId="10" type="noConversion"/>
  </si>
  <si>
    <r>
      <rPr>
        <sz val="10"/>
        <rFont val="바탕"/>
        <family val="1"/>
        <charset val="129"/>
      </rPr>
      <t>신혼생활</t>
    </r>
    <r>
      <rPr>
        <sz val="10"/>
        <rFont val="Times New Roman"/>
        <family val="1"/>
      </rPr>
      <t xml:space="preserve"> 4</t>
    </r>
    <r>
      <rPr>
        <sz val="10"/>
        <rFont val="바탕"/>
        <family val="1"/>
        <charset val="129"/>
      </rPr>
      <t>월</t>
    </r>
    <r>
      <rPr>
        <sz val="10"/>
        <rFont val="Times New Roman"/>
        <family val="1"/>
      </rPr>
      <t xml:space="preserve"> + </t>
    </r>
    <r>
      <rPr>
        <sz val="10"/>
        <rFont val="바탕"/>
        <family val="1"/>
        <charset val="129"/>
      </rPr>
      <t>결혼식</t>
    </r>
    <r>
      <rPr>
        <sz val="10"/>
        <rFont val="Times New Roman"/>
        <family val="1"/>
      </rPr>
      <t xml:space="preserve"> 9</t>
    </r>
    <r>
      <rPr>
        <sz val="10"/>
        <rFont val="바탕"/>
        <family val="1"/>
        <charset val="129"/>
      </rPr>
      <t>월</t>
    </r>
    <phoneticPr fontId="10" type="noConversion"/>
  </si>
  <si>
    <r>
      <t>Healthy life style: wake up at 3:30am and sleep at 09:30pm (300</t>
    </r>
    <r>
      <rPr>
        <sz val="10"/>
        <rFont val="바탕"/>
        <family val="1"/>
        <charset val="129"/>
      </rPr>
      <t>일</t>
    </r>
    <r>
      <rPr>
        <sz val="10"/>
        <rFont val="Times New Roman"/>
        <family val="1"/>
      </rPr>
      <t xml:space="preserve"> out 365</t>
    </r>
    <r>
      <rPr>
        <sz val="10"/>
        <rFont val="바탕"/>
        <family val="1"/>
        <charset val="129"/>
      </rPr>
      <t>일</t>
    </r>
    <r>
      <rPr>
        <sz val="10"/>
        <rFont val="Times New Roman"/>
        <family val="1"/>
      </rPr>
      <t>)</t>
    </r>
    <phoneticPr fontId="10" type="noConversion"/>
  </si>
  <si>
    <r>
      <t>Reading Books 6</t>
    </r>
    <r>
      <rPr>
        <sz val="10"/>
        <rFont val="바탕"/>
        <family val="1"/>
        <charset val="129"/>
      </rPr>
      <t>권</t>
    </r>
    <phoneticPr fontId="10" type="noConversion"/>
  </si>
  <si>
    <t>London Business School, Masters in Finance (July 22 ~ May 23)</t>
    <phoneticPr fontId="10" type="noConversion"/>
  </si>
  <si>
    <r>
      <t xml:space="preserve">3 Infrastructure Deals (1 Digital, 1 Airport, 1 Utility) / </t>
    </r>
    <r>
      <rPr>
        <sz val="10"/>
        <rFont val="Arial Unicode MS"/>
        <family val="1"/>
        <charset val="129"/>
      </rPr>
      <t>기한: 7월</t>
    </r>
    <phoneticPr fontId="10" type="noConversion"/>
  </si>
  <si>
    <r>
      <t>Read 7 Books (Finance 5</t>
    </r>
    <r>
      <rPr>
        <sz val="10"/>
        <color rgb="FF000000"/>
        <rFont val="Arial Unicode MS"/>
        <family val="1"/>
        <charset val="129"/>
      </rPr>
      <t>권, 기타 2권)</t>
    </r>
    <r>
      <rPr>
        <sz val="10"/>
        <color rgb="FF000000"/>
        <rFont val="Times New Roman"/>
        <family val="1"/>
      </rPr>
      <t xml:space="preserve"> / </t>
    </r>
    <r>
      <rPr>
        <sz val="10"/>
        <color rgb="FF000000"/>
        <rFont val="Arial Unicode MS"/>
        <family val="1"/>
        <charset val="129"/>
      </rPr>
      <t>기한: 12월</t>
    </r>
    <phoneticPr fontId="10" type="noConversion"/>
  </si>
  <si>
    <t>Years of career</t>
    <phoneticPr fontId="10" type="noConversion"/>
  </si>
  <si>
    <t>Good Efforts (3.5 month; Mid Feb~May) on study, and NO pass with bare margin</t>
    <phoneticPr fontId="10" type="noConversion"/>
  </si>
  <si>
    <t>투자자산운용사 / 기한: 6월 14일 (발표)</t>
    <phoneticPr fontId="10" type="noConversion"/>
  </si>
  <si>
    <r>
      <t xml:space="preserve">Charter Holder of CFA / </t>
    </r>
    <r>
      <rPr>
        <sz val="10"/>
        <rFont val="Arial Unicode MS"/>
        <family val="1"/>
        <charset val="129"/>
      </rPr>
      <t>기한: 8월 첫째주 (발표)</t>
    </r>
    <phoneticPr fontId="10" type="noConversion"/>
  </si>
  <si>
    <r>
      <t>Personal NAV 1.5</t>
    </r>
    <r>
      <rPr>
        <sz val="10"/>
        <rFont val="Arial Unicode MS"/>
        <family val="1"/>
        <charset val="129"/>
      </rPr>
      <t>억원</t>
    </r>
    <r>
      <rPr>
        <sz val="10"/>
        <rFont val="Times New Roman"/>
        <family val="1"/>
      </rPr>
      <t xml:space="preserve"> / </t>
    </r>
    <r>
      <rPr>
        <sz val="10"/>
        <rFont val="Arial Unicode MS"/>
        <family val="1"/>
        <charset val="129"/>
      </rPr>
      <t>기한: 7월</t>
    </r>
    <r>
      <rPr>
        <sz val="10"/>
        <rFont val="Times New Roman"/>
        <family val="1"/>
      </rPr>
      <t xml:space="preserve"> 15</t>
    </r>
    <r>
      <rPr>
        <sz val="10"/>
        <rFont val="Arial Unicode MS"/>
        <family val="1"/>
        <charset val="129"/>
      </rPr>
      <t>일</t>
    </r>
    <phoneticPr fontId="10" type="noConversion"/>
  </si>
  <si>
    <t>양가 부모님과 각각 2박 3일 여행 / 기한: 6월</t>
    <phoneticPr fontId="10" type="noConversion"/>
  </si>
  <si>
    <r>
      <t>1</t>
    </r>
    <r>
      <rPr>
        <sz val="10"/>
        <color rgb="FF000000"/>
        <rFont val="Arial Unicode MS"/>
        <family val="1"/>
        <charset val="129"/>
      </rPr>
      <t>주일 5번, 새벽 4시</t>
    </r>
    <r>
      <rPr>
        <sz val="10"/>
        <color rgb="FF000000"/>
        <rFont val="Times New Roman"/>
        <family val="1"/>
      </rPr>
      <t>~8</t>
    </r>
    <r>
      <rPr>
        <sz val="10"/>
        <color rgb="FF000000"/>
        <rFont val="Arial Unicode MS"/>
        <family val="1"/>
        <charset val="129"/>
      </rPr>
      <t>시 나만의 시간 확보</t>
    </r>
    <phoneticPr fontId="10" type="noConversion"/>
  </si>
  <si>
    <r>
      <rPr>
        <sz val="10"/>
        <color rgb="FF000000"/>
        <rFont val="Arial Unicode MS"/>
        <family val="1"/>
        <charset val="129"/>
      </rPr>
      <t xml:space="preserve">1주일 5번. 20분을 통해 나의 미래 </t>
    </r>
    <r>
      <rPr>
        <sz val="10"/>
        <color rgb="FF000000"/>
        <rFont val="Times New Roman"/>
        <family val="1"/>
      </rPr>
      <t xml:space="preserve">Visualization </t>
    </r>
    <phoneticPr fontId="10" type="noConversion"/>
  </si>
  <si>
    <r>
      <t>1</t>
    </r>
    <r>
      <rPr>
        <sz val="10"/>
        <color rgb="FF000000"/>
        <rFont val="Arial Unicode MS"/>
        <family val="1"/>
        <charset val="129"/>
      </rPr>
      <t xml:space="preserve">주일 3번. </t>
    </r>
    <r>
      <rPr>
        <sz val="10"/>
        <color rgb="FF000000"/>
        <rFont val="Times New Roman"/>
        <family val="1"/>
      </rPr>
      <t xml:space="preserve">Running &amp; Core </t>
    </r>
    <r>
      <rPr>
        <sz val="10"/>
        <color rgb="FF000000"/>
        <rFont val="Arial Unicode MS"/>
        <family val="1"/>
        <charset val="129"/>
      </rPr>
      <t>운동</t>
    </r>
    <phoneticPr fontId="10" type="noConversion"/>
  </si>
  <si>
    <t>넷마블</t>
    <phoneticPr fontId="10" type="noConversion"/>
  </si>
  <si>
    <t>Fuel Cell Energy</t>
    <phoneticPr fontId="10" type="noConversion"/>
  </si>
  <si>
    <t>Lucid Motors</t>
    <phoneticPr fontId="10" type="noConversion"/>
  </si>
  <si>
    <t>Velodyne</t>
    <phoneticPr fontId="10" type="noConversion"/>
  </si>
  <si>
    <r>
      <t xml:space="preserve">NAV up to </t>
    </r>
    <r>
      <rPr>
        <sz val="11"/>
        <color rgb="FF000000"/>
        <rFont val="맑은 고딕"/>
        <family val="3"/>
        <charset val="129"/>
      </rPr>
      <t>￦150</t>
    </r>
    <r>
      <rPr>
        <sz val="11"/>
        <color rgb="FF000000"/>
        <rFont val="Cambria"/>
        <family val="3"/>
        <charset val="129"/>
        <scheme val="major"/>
      </rPr>
      <t>,000,000</t>
    </r>
    <phoneticPr fontId="10" type="noConversion"/>
  </si>
  <si>
    <t>Up to '21.7.31</t>
    <phoneticPr fontId="10" type="noConversion"/>
  </si>
  <si>
    <t>My Current NAV</t>
    <phoneticPr fontId="10" type="noConversion"/>
  </si>
  <si>
    <t>Return from Investments</t>
    <phoneticPr fontId="10" type="noConversion"/>
  </si>
  <si>
    <t>NAV after return</t>
    <phoneticPr fontId="10" type="noConversion"/>
  </si>
  <si>
    <t>Current 
Position (%)</t>
    <phoneticPr fontId="10" type="noConversion"/>
  </si>
  <si>
    <t>Current 
Value</t>
    <phoneticPr fontId="10" type="noConversion"/>
  </si>
  <si>
    <t>내가 좋아하는 것들</t>
    <phoneticPr fontId="1" type="noConversion"/>
  </si>
  <si>
    <t>내가 하고 싶은것들</t>
    <phoneticPr fontId="1" type="noConversion"/>
  </si>
  <si>
    <t>내가 추구하는 모습들</t>
    <phoneticPr fontId="1" type="noConversion"/>
  </si>
  <si>
    <t>버킷리스트</t>
    <phoneticPr fontId="1" type="noConversion"/>
  </si>
  <si>
    <t>Things that I like</t>
    <phoneticPr fontId="1" type="noConversion"/>
  </si>
  <si>
    <t>Things that I want to do</t>
    <phoneticPr fontId="1" type="noConversion"/>
  </si>
  <si>
    <t>Things I value</t>
    <phoneticPr fontId="1" type="noConversion"/>
  </si>
  <si>
    <t>Bucket List</t>
    <phoneticPr fontId="1" type="noConversion"/>
  </si>
  <si>
    <t>내 가족</t>
    <phoneticPr fontId="1" type="noConversion"/>
  </si>
  <si>
    <t>내 친구들</t>
    <phoneticPr fontId="1" type="noConversion"/>
  </si>
  <si>
    <t>돈</t>
    <phoneticPr fontId="1" type="noConversion"/>
  </si>
  <si>
    <t>명예</t>
    <phoneticPr fontId="1" type="noConversion"/>
  </si>
  <si>
    <t>내 직업</t>
    <phoneticPr fontId="1" type="noConversion"/>
  </si>
  <si>
    <t>금융</t>
    <phoneticPr fontId="1" type="noConversion"/>
  </si>
  <si>
    <t>투자</t>
    <phoneticPr fontId="1" type="noConversion"/>
  </si>
  <si>
    <t>혜안, Insights</t>
    <phoneticPr fontId="1" type="noConversion"/>
  </si>
  <si>
    <t>인테리어</t>
    <phoneticPr fontId="1" type="noConversion"/>
  </si>
  <si>
    <t>건축학</t>
    <phoneticPr fontId="1" type="noConversion"/>
  </si>
  <si>
    <t>적당하게 한산한 도시</t>
    <phoneticPr fontId="1" type="noConversion"/>
  </si>
  <si>
    <t>모던한 집</t>
    <phoneticPr fontId="1" type="noConversion"/>
  </si>
  <si>
    <t xml:space="preserve">해외여행 </t>
    <phoneticPr fontId="1" type="noConversion"/>
  </si>
  <si>
    <t>유적지 탐방</t>
    <phoneticPr fontId="1" type="noConversion"/>
  </si>
  <si>
    <t>수다</t>
    <phoneticPr fontId="1" type="noConversion"/>
  </si>
  <si>
    <t>생각 공유하기</t>
    <phoneticPr fontId="1" type="noConversion"/>
  </si>
  <si>
    <t>골프</t>
    <phoneticPr fontId="1" type="noConversion"/>
  </si>
  <si>
    <t>등산</t>
    <phoneticPr fontId="1" type="noConversion"/>
  </si>
  <si>
    <t>맛있는 음식</t>
    <phoneticPr fontId="1" type="noConversion"/>
  </si>
  <si>
    <t>옛날 추억하기</t>
    <phoneticPr fontId="1" type="noConversion"/>
  </si>
  <si>
    <t>엑셀 모델링</t>
    <phoneticPr fontId="1" type="noConversion"/>
  </si>
  <si>
    <t>영어</t>
    <phoneticPr fontId="1" type="noConversion"/>
  </si>
  <si>
    <t>외국문화</t>
    <phoneticPr fontId="1" type="noConversion"/>
  </si>
  <si>
    <t>정장</t>
    <phoneticPr fontId="1" type="noConversion"/>
  </si>
  <si>
    <t>넥타이</t>
    <phoneticPr fontId="1" type="noConversion"/>
  </si>
  <si>
    <t>계획 세우기</t>
    <phoneticPr fontId="1" type="noConversion"/>
  </si>
  <si>
    <t>나의 장점</t>
    <phoneticPr fontId="1" type="noConversion"/>
  </si>
  <si>
    <t>My Strength</t>
    <phoneticPr fontId="1" type="noConversion"/>
  </si>
  <si>
    <t>나의 단점</t>
    <phoneticPr fontId="1" type="noConversion"/>
  </si>
  <si>
    <t>My Weakness</t>
    <phoneticPr fontId="1" type="noConversion"/>
  </si>
  <si>
    <t>음악듣기</t>
    <phoneticPr fontId="1" type="noConversion"/>
  </si>
  <si>
    <t>누구에게 특정개념을 비유를 통해 쉽게 설명하기</t>
    <phoneticPr fontId="1" type="noConversion"/>
  </si>
  <si>
    <t>나의 생각 전달하기</t>
    <phoneticPr fontId="1" type="noConversion"/>
  </si>
  <si>
    <t>부모님이 행복해하는 모습 보기</t>
    <phoneticPr fontId="1" type="noConversion"/>
  </si>
  <si>
    <t>순대국</t>
    <phoneticPr fontId="1" type="noConversion"/>
  </si>
  <si>
    <t>깔끔하게 정리된 내 공간</t>
    <phoneticPr fontId="1" type="noConversion"/>
  </si>
  <si>
    <t>미래 계획하기</t>
    <phoneticPr fontId="1" type="noConversion"/>
  </si>
  <si>
    <t>건강하고 매력있는 나의 외모</t>
    <phoneticPr fontId="1" type="noConversion"/>
  </si>
  <si>
    <t>순자산 300억원 보유 (경제적 자유)</t>
    <phoneticPr fontId="1" type="noConversion"/>
  </si>
  <si>
    <r>
      <t>1</t>
    </r>
    <r>
      <rPr>
        <sz val="11"/>
        <color rgb="FF000000"/>
        <rFont val="Arial Unicode MS"/>
        <charset val="129"/>
      </rPr>
      <t>주일 3일만 일해도 될 정도의 시간적 여유</t>
    </r>
    <phoneticPr fontId="1" type="noConversion"/>
  </si>
  <si>
    <t>서울 용산구 내 150평 개인저택 소유 (내가 직접 인테리어)</t>
    <phoneticPr fontId="1" type="noConversion"/>
  </si>
  <si>
    <t>리트리버 2마리 키우기</t>
    <phoneticPr fontId="1" type="noConversion"/>
  </si>
  <si>
    <t>효진이와 세계 여행</t>
    <phoneticPr fontId="1" type="noConversion"/>
  </si>
  <si>
    <t>많은 관중들 앞에서 금융/투자/나의 삶 관련 강연</t>
    <phoneticPr fontId="1" type="noConversion"/>
  </si>
  <si>
    <r>
      <rPr>
        <sz val="11"/>
        <color rgb="FF000000"/>
        <rFont val="Arial Unicode MS"/>
        <charset val="129"/>
      </rPr>
      <t xml:space="preserve">바닥에서부터 시작한 자산운용 </t>
    </r>
    <r>
      <rPr>
        <sz val="11"/>
        <color rgb="FF000000"/>
        <rFont val="Arial"/>
        <family val="2"/>
      </rPr>
      <t>CEO</t>
    </r>
    <phoneticPr fontId="1" type="noConversion"/>
  </si>
  <si>
    <t>건축학/인테리어 디자인 공부</t>
    <phoneticPr fontId="1" type="noConversion"/>
  </si>
  <si>
    <t>문화/역사 공부 (책 100권)</t>
    <phoneticPr fontId="1" type="noConversion"/>
  </si>
  <si>
    <t>투자/금융 최고 전문가</t>
    <phoneticPr fontId="1" type="noConversion"/>
  </si>
  <si>
    <t>친구같으면서도 믿음직스러운 아빠되기</t>
    <phoneticPr fontId="1" type="noConversion"/>
  </si>
  <si>
    <t>듬직하고 친구같은 남편되기</t>
    <phoneticPr fontId="1" type="noConversion"/>
  </si>
  <si>
    <t>효진이에게 에르메스 버킨백 사주기</t>
    <phoneticPr fontId="1" type="noConversion"/>
  </si>
  <si>
    <t>효진이에게 개인 작업실 선물해주기</t>
    <phoneticPr fontId="1" type="noConversion"/>
  </si>
  <si>
    <t>부모님과 유럽여행 가기</t>
    <phoneticPr fontId="1" type="noConversion"/>
  </si>
  <si>
    <t>불알친구들과 평일에 골프치기</t>
    <phoneticPr fontId="1" type="noConversion"/>
  </si>
  <si>
    <t>TV에 나오기</t>
    <phoneticPr fontId="1" type="noConversion"/>
  </si>
  <si>
    <t>제주도에 별장짓기</t>
    <phoneticPr fontId="1" type="noConversion"/>
  </si>
  <si>
    <t>금융/투자/경제 혜안을 가진 전문가</t>
    <phoneticPr fontId="1" type="noConversion"/>
  </si>
  <si>
    <r>
      <t>KKR</t>
    </r>
    <r>
      <rPr>
        <sz val="11"/>
        <color rgb="FF000000"/>
        <rFont val="Arial Unicode MS"/>
        <charset val="129"/>
      </rPr>
      <t xml:space="preserve">과 같은 </t>
    </r>
    <r>
      <rPr>
        <sz val="11"/>
        <color rgb="FF000000"/>
        <rFont val="Arial"/>
        <family val="2"/>
      </rPr>
      <t xml:space="preserve">Top-Tier </t>
    </r>
    <r>
      <rPr>
        <sz val="11"/>
        <color rgb="FF000000"/>
        <rFont val="Arial Unicode MS"/>
        <family val="2"/>
        <charset val="129"/>
      </rPr>
      <t>운용사 설립자/파트너</t>
    </r>
    <phoneticPr fontId="1" type="noConversion"/>
  </si>
  <si>
    <t>사회적으로 굉장히 유망받는 투자자</t>
    <phoneticPr fontId="1" type="noConversion"/>
  </si>
  <si>
    <t>가족에게 존경받는 사람</t>
    <phoneticPr fontId="1" type="noConversion"/>
  </si>
  <si>
    <t>주변 사람들이 나로 인해 자랑스럽다고 느낌</t>
    <phoneticPr fontId="1" type="noConversion"/>
  </si>
  <si>
    <t>효진이에게 결혼할떄 그 모습 그대로를 유지</t>
    <phoneticPr fontId="1" type="noConversion"/>
  </si>
  <si>
    <t>친구들과 가끔 만나 옛날 얘기도 주고받고 즐거운 자리를 가지는 나</t>
    <phoneticPr fontId="1" type="noConversion"/>
  </si>
  <si>
    <t>평일에도 가족/친구들과 골프를 칠수 있는 내 모습</t>
    <phoneticPr fontId="1" type="noConversion"/>
  </si>
  <si>
    <t>자식에게 금융/투자/인문/문화에 대하여 가르칠수 있는 내 모습</t>
    <phoneticPr fontId="1" type="noConversion"/>
  </si>
  <si>
    <t>아침 4시에 일어나서 러닝하고 독서하는 습관을 가진 내 모습</t>
    <phoneticPr fontId="1" type="noConversion"/>
  </si>
  <si>
    <t>내 150평 저택에 친구들과 지인을 주말 점심자리에 초대하여 바비큐/와인 파티</t>
    <phoneticPr fontId="1" type="noConversion"/>
  </si>
  <si>
    <t>해외 명품샵가서 아내물품/내 물품 사는 모습</t>
    <phoneticPr fontId="1" type="noConversion"/>
  </si>
  <si>
    <t>투자계약서를 체결하면서 카운터파티들과 딜 세레모니 하는 모습</t>
    <phoneticPr fontId="1" type="noConversion"/>
  </si>
  <si>
    <t>x</t>
  </si>
  <si>
    <r>
      <t>Excel Modeling 101x202</t>
    </r>
    <r>
      <rPr>
        <sz val="10"/>
        <rFont val="Arial Unicode MS"/>
        <family val="1"/>
        <charset val="129"/>
      </rPr>
      <t xml:space="preserve"> / 기한: 1월</t>
    </r>
  </si>
  <si>
    <t>PPT Class / 기한: 2월</t>
  </si>
  <si>
    <r>
      <t>2021_</t>
    </r>
    <r>
      <rPr>
        <b/>
        <u/>
        <sz val="11"/>
        <color rgb="FF000000"/>
        <rFont val="바탕"/>
        <family val="1"/>
        <charset val="129"/>
      </rPr>
      <t>교훈</t>
    </r>
  </si>
  <si>
    <t>1. 3700만원 Additional leverage 때문에 수익률 하락에 x2 타격이 입힘</t>
  </si>
  <si>
    <t>2. GMAT 쓸데없는 비용, CFA 비용등이 누적으로 치면 많이 들었을듯</t>
  </si>
  <si>
    <t>3. 대학원 비용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</si>
</sst>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_-;\-* #,##0_-;_-* &quot;-&quot;_-;_-@_-"/>
    <numFmt numFmtId="165" formatCode="_-&quot;₩&quot;* #,##0.00_-;\-&quot;₩&quot;* #,##0.00_-;_-&quot;₩&quot;* &quot;-&quot;??_-;_-@_-"/>
    <numFmt numFmtId="166" formatCode="_-* #,##0.00_-;\-* #,##0.00_-;_-* &quot;-&quot;??_-;_-@_-"/>
    <numFmt numFmtId="167" formatCode="&quot;₩&quot;#,##0.00"/>
    <numFmt numFmtId="168" formatCode="_-[$$-409]* #,##0_ ;_-[$$-409]* \-#,##0\ ;_-[$$-409]* &quot;-&quot;??_ ;_-@_ "/>
    <numFmt numFmtId="169" formatCode="_(* #,##0_);_(* \(#,##0\);_(* &quot;-&quot;??_);_(@_)"/>
    <numFmt numFmtId="170" formatCode="_-* #,##0_-;\-* #,##0_-;_-* &quot;-&quot;??_-;_-@_-"/>
    <numFmt numFmtId="174" formatCode="0.0%"/>
    <numFmt numFmtId="175" formatCode="#,##0.0"/>
    <numFmt numFmtId="176" formatCode="#,##0.0_);[Red]\(#,##0.0\)"/>
  </numFmts>
  <fonts count="80"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Arial"/>
      <family val="2"/>
    </font>
    <font>
      <u/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u/>
      <sz val="11"/>
      <color rgb="FF000000"/>
      <name val="Times New Roman"/>
      <family val="1"/>
    </font>
    <font>
      <sz val="11"/>
      <color rgb="FF000000"/>
      <name val="Arial"/>
      <family val="2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rgb="FF000000"/>
      <name val="바탕"/>
      <family val="1"/>
      <charset val="129"/>
    </font>
    <font>
      <b/>
      <sz val="11"/>
      <color rgb="FF000000"/>
      <name val="돋움"/>
      <family val="3"/>
      <charset val="129"/>
    </font>
    <font>
      <b/>
      <sz val="11"/>
      <color rgb="FFFF0000"/>
      <name val="Times New Roman"/>
      <family val="1"/>
    </font>
    <font>
      <b/>
      <sz val="11"/>
      <color rgb="FF000000"/>
      <name val="바탕"/>
      <family val="1"/>
      <charset val="129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6"/>
      <color rgb="FF000000"/>
      <name val="Times New Roman"/>
      <family val="1"/>
    </font>
    <font>
      <sz val="10"/>
      <color rgb="FFFF000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u/>
      <sz val="11"/>
      <color rgb="FF000000"/>
      <name val="바탕"/>
      <family val="1"/>
      <charset val="129"/>
    </font>
    <font>
      <b/>
      <u/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222222"/>
      <name val="Times New Roman"/>
      <family val="1"/>
    </font>
    <font>
      <sz val="12"/>
      <color rgb="FF222222"/>
      <name val="Times New Roman"/>
      <family val="1"/>
    </font>
    <font>
      <u/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0"/>
      <name val="바탕"/>
      <family val="1"/>
      <charset val="129"/>
    </font>
    <font>
      <b/>
      <sz val="11"/>
      <color rgb="FFFFFF00"/>
      <name val="Times New Roman"/>
      <family val="1"/>
    </font>
    <font>
      <b/>
      <sz val="11"/>
      <color rgb="FFFFFF00"/>
      <name val="바탕"/>
      <family val="1"/>
      <charset val="129"/>
    </font>
    <font>
      <sz val="10"/>
      <name val="Times New Roman"/>
      <family val="1"/>
    </font>
    <font>
      <sz val="10"/>
      <color rgb="FF000000"/>
      <name val="바탕"/>
      <family val="1"/>
      <charset val="129"/>
    </font>
    <font>
      <b/>
      <sz val="11"/>
      <color rgb="FF000000"/>
      <name val="Arial"/>
      <family val="2"/>
    </font>
    <font>
      <b/>
      <sz val="10"/>
      <color theme="0"/>
      <name val="바탕"/>
      <family val="1"/>
      <charset val="129"/>
    </font>
    <font>
      <b/>
      <sz val="8"/>
      <color theme="0"/>
      <name val="바탕"/>
      <family val="1"/>
      <charset val="129"/>
    </font>
    <font>
      <sz val="10"/>
      <name val="바탕"/>
      <family val="1"/>
      <charset val="129"/>
    </font>
    <font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Cambria"/>
      <family val="3"/>
      <charset val="129"/>
      <scheme val="major"/>
    </font>
    <font>
      <sz val="11"/>
      <color rgb="FF000000"/>
      <name val="Cambria"/>
      <family val="3"/>
      <charset val="129"/>
      <scheme val="major"/>
    </font>
    <font>
      <b/>
      <sz val="11"/>
      <color theme="0"/>
      <name val="Cambria"/>
      <family val="3"/>
      <charset val="129"/>
      <scheme val="major"/>
    </font>
    <font>
      <b/>
      <u/>
      <sz val="11"/>
      <color rgb="FF000000"/>
      <name val="Cambria"/>
      <family val="3"/>
      <charset val="129"/>
      <scheme val="major"/>
    </font>
    <font>
      <b/>
      <sz val="11"/>
      <color theme="0"/>
      <name val="돋움"/>
      <family val="3"/>
      <charset val="129"/>
    </font>
    <font>
      <sz val="12"/>
      <color rgb="FF000000"/>
      <name val="바탕"/>
      <family val="1"/>
      <charset val="129"/>
    </font>
    <font>
      <b/>
      <u/>
      <sz val="11"/>
      <color theme="0"/>
      <name val="Cambria"/>
      <family val="3"/>
      <charset val="129"/>
      <scheme val="major"/>
    </font>
    <font>
      <b/>
      <u val="singleAccounting"/>
      <sz val="11"/>
      <color theme="0"/>
      <name val="Cambria"/>
      <family val="3"/>
      <charset val="129"/>
      <scheme val="major"/>
    </font>
    <font>
      <sz val="11"/>
      <color rgb="FF001E62"/>
      <name val="Montserrat"/>
      <family val="2"/>
    </font>
    <font>
      <u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i/>
      <sz val="11"/>
      <color rgb="FFFF0000"/>
      <name val="Arial"/>
      <family val="2"/>
    </font>
    <font>
      <b/>
      <u/>
      <sz val="11"/>
      <color rgb="FF000000"/>
      <name val="Arial"/>
      <family val="2"/>
    </font>
    <font>
      <b/>
      <sz val="9"/>
      <color theme="0"/>
      <name val="Times New Roman"/>
      <family val="1"/>
    </font>
    <font>
      <sz val="6"/>
      <color rgb="FF000000"/>
      <name val="Arial Unicode MS"/>
      <family val="1"/>
      <charset val="129"/>
    </font>
    <font>
      <b/>
      <i/>
      <u/>
      <sz val="10"/>
      <color theme="0"/>
      <name val="Times New Roman"/>
      <family val="1"/>
    </font>
    <font>
      <sz val="10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10"/>
      <name val="Segoe UI Symbol"/>
      <family val="1"/>
    </font>
    <font>
      <sz val="10"/>
      <name val="Arial Unicode MS"/>
      <family val="1"/>
      <charset val="129"/>
    </font>
    <font>
      <sz val="10"/>
      <color rgb="FF000000"/>
      <name val="Arial Unicode MS"/>
      <family val="1"/>
      <charset val="129"/>
    </font>
    <font>
      <sz val="10"/>
      <color rgb="FF000000"/>
      <name val="굴림"/>
      <family val="1"/>
      <charset val="129"/>
    </font>
    <font>
      <sz val="11"/>
      <color rgb="FF000000"/>
      <name val="Arial Unicode MS"/>
      <charset val="129"/>
    </font>
    <font>
      <sz val="11"/>
      <color rgb="FF000000"/>
      <name val="굴림"/>
      <family val="3"/>
      <charset val="129"/>
    </font>
    <font>
      <sz val="11"/>
      <color rgb="FF000000"/>
      <name val="Arial"/>
      <family val="2"/>
      <charset val="129"/>
    </font>
    <font>
      <sz val="11"/>
      <color rgb="FF000000"/>
      <name val="Arial Unicode MS"/>
      <family val="2"/>
      <charset val="129"/>
    </font>
    <font>
      <sz val="11"/>
      <color theme="0" tint="-0.1499984740745262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99FF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 style="hair">
        <color auto="1"/>
      </top>
      <bottom style="hair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 style="hair">
        <color auto="1"/>
      </top>
      <bottom style="hair">
        <color auto="1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medium">
        <color rgb="FFFFFF00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1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4" fillId="0" borderId="0"/>
    <xf numFmtId="164" fontId="4" fillId="0" borderId="0" applyFont="0" applyFill="0" applyBorder="0" applyAlignment="0" applyProtection="0">
      <alignment vertical="center"/>
    </xf>
    <xf numFmtId="0" fontId="4" fillId="0" borderId="0"/>
    <xf numFmtId="16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</cellStyleXfs>
  <cellXfs count="463">
    <xf numFmtId="0" fontId="0" fillId="0" borderId="0" xfId="0"/>
    <xf numFmtId="0" fontId="3" fillId="0" borderId="0" xfId="0" applyFont="1" applyBorder="1" applyAlignment="1" applyProtection="1">
      <protection locked="0"/>
    </xf>
    <xf numFmtId="0" fontId="2" fillId="0" borderId="0" xfId="0" applyFont="1" applyAlignment="1" applyProtection="1">
      <protection locked="0"/>
    </xf>
    <xf numFmtId="169" fontId="2" fillId="0" borderId="0" xfId="0" applyNumberFormat="1" applyFont="1" applyAlignme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Fill="1" applyBorder="1" applyAlignment="1" applyProtection="1">
      <protection locked="0"/>
    </xf>
    <xf numFmtId="169" fontId="3" fillId="0" borderId="0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1" xfId="0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2" fillId="0" borderId="1" xfId="0" applyFont="1" applyFill="1" applyBorder="1" applyAlignment="1" applyProtection="1">
      <alignment horizontal="left" indent="1"/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3" fillId="3" borderId="3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protection locked="0"/>
    </xf>
    <xf numFmtId="169" fontId="3" fillId="3" borderId="4" xfId="1" applyNumberFormat="1" applyFont="1" applyFill="1" applyBorder="1" applyAlignment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2" fillId="0" borderId="0" xfId="0" applyFont="1" applyFill="1" applyAlignment="1" applyProtection="1">
      <protection locked="0"/>
    </xf>
    <xf numFmtId="2" fontId="2" fillId="0" borderId="0" xfId="0" applyNumberFormat="1" applyFont="1" applyFill="1" applyBorder="1" applyAlignment="1"/>
    <xf numFmtId="169" fontId="3" fillId="3" borderId="5" xfId="1" applyNumberFormat="1" applyFont="1" applyFill="1" applyBorder="1" applyAlignment="1" applyProtection="1">
      <protection locked="0"/>
    </xf>
    <xf numFmtId="0" fontId="3" fillId="4" borderId="0" xfId="0" applyFont="1" applyFill="1" applyBorder="1" applyAlignment="1" applyProtection="1">
      <protection locked="0"/>
    </xf>
    <xf numFmtId="169" fontId="3" fillId="4" borderId="0" xfId="0" applyNumberFormat="1" applyFont="1" applyFill="1" applyBorder="1" applyAlignment="1" applyProtection="1">
      <protection locked="0"/>
    </xf>
    <xf numFmtId="169" fontId="3" fillId="4" borderId="0" xfId="1" applyNumberFormat="1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5" borderId="0" xfId="0" applyFont="1" applyFill="1" applyAlignment="1" applyProtection="1">
      <protection locked="0"/>
    </xf>
    <xf numFmtId="2" fontId="2" fillId="5" borderId="0" xfId="0" applyNumberFormat="1" applyFont="1" applyFill="1" applyBorder="1" applyAlignment="1"/>
    <xf numFmtId="3" fontId="2" fillId="0" borderId="0" xfId="0" applyNumberFormat="1" applyFont="1" applyAlignment="1" applyProtection="1">
      <protection locked="0"/>
    </xf>
    <xf numFmtId="164" fontId="2" fillId="0" borderId="0" xfId="3" applyFont="1" applyAlignment="1" applyProtection="1">
      <protection locked="0"/>
    </xf>
    <xf numFmtId="164" fontId="2" fillId="0" borderId="0" xfId="3" applyNumberFormat="1" applyFont="1" applyAlignment="1" applyProtection="1">
      <protection locked="0"/>
    </xf>
    <xf numFmtId="164" fontId="2" fillId="0" borderId="0" xfId="3" applyFont="1" applyBorder="1" applyAlignment="1" applyProtection="1">
      <protection locked="0"/>
    </xf>
    <xf numFmtId="164" fontId="2" fillId="0" borderId="2" xfId="3" applyFont="1" applyBorder="1" applyAlignment="1" applyProtection="1">
      <protection locked="0"/>
    </xf>
    <xf numFmtId="164" fontId="2" fillId="0" borderId="0" xfId="3" applyNumberFormat="1" applyFont="1" applyBorder="1" applyAlignment="1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164" fontId="3" fillId="0" borderId="2" xfId="0" applyNumberFormat="1" applyFont="1" applyBorder="1" applyAlignment="1" applyProtection="1">
      <protection locked="0"/>
    </xf>
    <xf numFmtId="169" fontId="3" fillId="0" borderId="2" xfId="0" applyNumberFormat="1" applyFont="1" applyBorder="1" applyAlignment="1" applyProtection="1">
      <alignment horizontal="right"/>
      <protection locked="0"/>
    </xf>
    <xf numFmtId="169" fontId="3" fillId="0" borderId="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3" fillId="0" borderId="0" xfId="0" applyNumberFormat="1" applyFont="1" applyBorder="1" applyAlignment="1" applyProtection="1">
      <protection locked="0"/>
    </xf>
    <xf numFmtId="0" fontId="2" fillId="0" borderId="11" xfId="0" applyFont="1" applyBorder="1" applyAlignment="1" applyProtection="1">
      <protection locked="0"/>
    </xf>
    <xf numFmtId="0" fontId="2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protection locked="0"/>
    </xf>
    <xf numFmtId="0" fontId="3" fillId="0" borderId="0" xfId="0" applyFont="1" applyAlignment="1" applyProtection="1">
      <protection locked="0"/>
    </xf>
    <xf numFmtId="164" fontId="3" fillId="0" borderId="0" xfId="3" applyFont="1" applyAlignment="1" applyProtection="1">
      <protection locked="0"/>
    </xf>
    <xf numFmtId="164" fontId="2" fillId="0" borderId="2" xfId="3" applyFont="1" applyBorder="1" applyAlignment="1" applyProtection="1">
      <alignment horizontal="right"/>
      <protection locked="0"/>
    </xf>
    <xf numFmtId="0" fontId="14" fillId="0" borderId="0" xfId="0" applyFont="1" applyAlignment="1" applyProtection="1">
      <protection locked="0"/>
    </xf>
    <xf numFmtId="164" fontId="2" fillId="0" borderId="0" xfId="0" applyNumberFormat="1" applyFont="1" applyAlignment="1" applyProtection="1">
      <protection locked="0"/>
    </xf>
    <xf numFmtId="164" fontId="17" fillId="0" borderId="0" xfId="3" applyFont="1" applyAlignment="1" applyProtection="1">
      <protection locked="0"/>
    </xf>
    <xf numFmtId="0" fontId="17" fillId="0" borderId="0" xfId="0" applyFont="1" applyAlignment="1" applyProtection="1">
      <protection locked="0"/>
    </xf>
    <xf numFmtId="10" fontId="2" fillId="0" borderId="0" xfId="2" applyNumberFormat="1" applyFont="1" applyAlignment="1" applyProtection="1">
      <protection locked="0"/>
    </xf>
    <xf numFmtId="164" fontId="2" fillId="0" borderId="0" xfId="0" applyNumberFormat="1" applyFont="1" applyBorder="1" applyAlignment="1" applyProtection="1">
      <protection locked="0"/>
    </xf>
    <xf numFmtId="0" fontId="18" fillId="0" borderId="0" xfId="0" applyFont="1"/>
    <xf numFmtId="0" fontId="19" fillId="0" borderId="0" xfId="0" applyFont="1"/>
    <xf numFmtId="0" fontId="18" fillId="0" borderId="1" xfId="0" applyFont="1" applyBorder="1"/>
    <xf numFmtId="0" fontId="18" fillId="0" borderId="0" xfId="0" applyFont="1" applyBorder="1"/>
    <xf numFmtId="0" fontId="18" fillId="0" borderId="0" xfId="0" applyFont="1" applyFill="1" applyBorder="1"/>
    <xf numFmtId="0" fontId="18" fillId="0" borderId="2" xfId="0" applyFont="1" applyBorder="1"/>
    <xf numFmtId="0" fontId="18" fillId="0" borderId="3" xfId="0" applyFont="1" applyBorder="1"/>
    <xf numFmtId="0" fontId="21" fillId="0" borderId="0" xfId="0" applyFont="1" applyFill="1"/>
    <xf numFmtId="0" fontId="20" fillId="0" borderId="0" xfId="0" applyFont="1" applyFill="1"/>
    <xf numFmtId="0" fontId="18" fillId="0" borderId="4" xfId="0" applyFont="1" applyBorder="1"/>
    <xf numFmtId="0" fontId="19" fillId="0" borderId="4" xfId="0" applyFont="1" applyBorder="1"/>
    <xf numFmtId="0" fontId="25" fillId="0" borderId="2" xfId="0" applyFont="1" applyBorder="1"/>
    <xf numFmtId="0" fontId="18" fillId="0" borderId="5" xfId="0" applyFont="1" applyBorder="1"/>
    <xf numFmtId="169" fontId="3" fillId="14" borderId="0" xfId="1" applyNumberFormat="1" applyFont="1" applyFill="1" applyBorder="1" applyAlignment="1" applyProtection="1">
      <protection locked="0"/>
    </xf>
    <xf numFmtId="14" fontId="3" fillId="14" borderId="0" xfId="0" applyNumberFormat="1" applyFont="1" applyFill="1" applyBorder="1" applyAlignment="1" applyProtection="1">
      <protection locked="0"/>
    </xf>
    <xf numFmtId="0" fontId="3" fillId="11" borderId="0" xfId="0" applyFont="1" applyFill="1" applyAlignment="1" applyProtection="1">
      <alignment horizontal="center"/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protection locked="0"/>
    </xf>
    <xf numFmtId="0" fontId="32" fillId="0" borderId="0" xfId="0" applyFont="1" applyBorder="1" applyAlignment="1">
      <alignment vertical="center"/>
    </xf>
    <xf numFmtId="0" fontId="32" fillId="0" borderId="1" xfId="0" applyFont="1" applyBorder="1" applyAlignment="1" applyProtection="1">
      <protection locked="0"/>
    </xf>
    <xf numFmtId="167" fontId="31" fillId="0" borderId="0" xfId="0" applyNumberFormat="1" applyFont="1" applyBorder="1" applyAlignment="1" applyProtection="1">
      <protection locked="0"/>
    </xf>
    <xf numFmtId="0" fontId="31" fillId="0" borderId="0" xfId="0" applyFont="1" applyBorder="1" applyAlignment="1" applyProtection="1">
      <protection locked="0"/>
    </xf>
    <xf numFmtId="0" fontId="31" fillId="0" borderId="0" xfId="0" applyFont="1" applyBorder="1" applyAlignment="1"/>
    <xf numFmtId="0" fontId="31" fillId="0" borderId="1" xfId="0" applyFont="1" applyBorder="1" applyAlignment="1" applyProtection="1">
      <alignment horizontal="left" indent="2"/>
      <protection locked="0"/>
    </xf>
    <xf numFmtId="0" fontId="31" fillId="0" borderId="2" xfId="0" applyFont="1" applyBorder="1" applyAlignment="1" applyProtection="1">
      <protection locked="0"/>
    </xf>
    <xf numFmtId="0" fontId="31" fillId="0" borderId="1" xfId="0" applyFont="1" applyBorder="1" applyAlignment="1" applyProtection="1">
      <protection locked="0"/>
    </xf>
    <xf numFmtId="0" fontId="35" fillId="0" borderId="2" xfId="0" applyFont="1" applyBorder="1" applyAlignment="1" applyProtection="1">
      <protection locked="0"/>
    </xf>
    <xf numFmtId="0" fontId="35" fillId="0" borderId="1" xfId="0" applyFont="1" applyBorder="1" applyAlignment="1" applyProtection="1">
      <alignment horizontal="left" indent="1"/>
      <protection locked="0"/>
    </xf>
    <xf numFmtId="0" fontId="32" fillId="0" borderId="0" xfId="0" applyFont="1" applyBorder="1" applyAlignment="1" applyProtection="1">
      <protection locked="0"/>
    </xf>
    <xf numFmtId="167" fontId="31" fillId="0" borderId="0" xfId="0" applyNumberFormat="1" applyFont="1" applyBorder="1" applyAlignment="1"/>
    <xf numFmtId="169" fontId="31" fillId="0" borderId="0" xfId="0" applyNumberFormat="1" applyFont="1" applyBorder="1" applyAlignment="1"/>
    <xf numFmtId="169" fontId="31" fillId="0" borderId="0" xfId="0" applyNumberFormat="1" applyFont="1" applyBorder="1" applyAlignment="1" applyProtection="1">
      <protection locked="0"/>
    </xf>
    <xf numFmtId="169" fontId="31" fillId="0" borderId="0" xfId="1" applyNumberFormat="1" applyFont="1" applyBorder="1" applyAlignment="1" applyProtection="1">
      <alignment horizontal="right"/>
      <protection locked="0"/>
    </xf>
    <xf numFmtId="0" fontId="31" fillId="0" borderId="0" xfId="5" applyFont="1" applyBorder="1"/>
    <xf numFmtId="164" fontId="31" fillId="0" borderId="0" xfId="3" applyFont="1" applyBorder="1" applyAlignment="1"/>
    <xf numFmtId="0" fontId="33" fillId="2" borderId="0" xfId="0" applyFont="1" applyFill="1" applyBorder="1" applyAlignment="1" applyProtection="1">
      <alignment horizontal="center" vertical="center"/>
      <protection locked="0"/>
    </xf>
    <xf numFmtId="168" fontId="31" fillId="0" borderId="0" xfId="0" applyNumberFormat="1" applyFont="1" applyBorder="1" applyAlignment="1" applyProtection="1">
      <protection locked="0"/>
    </xf>
    <xf numFmtId="0" fontId="34" fillId="2" borderId="0" xfId="0" applyFont="1" applyFill="1" applyBorder="1" applyAlignment="1" applyProtection="1">
      <alignment vertical="center"/>
      <protection locked="0"/>
    </xf>
    <xf numFmtId="3" fontId="31" fillId="0" borderId="0" xfId="0" applyNumberFormat="1" applyFont="1" applyBorder="1" applyAlignment="1" applyProtection="1">
      <protection locked="0"/>
    </xf>
    <xf numFmtId="10" fontId="31" fillId="0" borderId="0" xfId="2" applyNumberFormat="1" applyFont="1" applyBorder="1" applyAlignment="1" applyProtection="1">
      <alignment horizontal="right"/>
      <protection locked="0"/>
    </xf>
    <xf numFmtId="10" fontId="37" fillId="0" borderId="0" xfId="5" applyNumberFormat="1" applyFont="1" applyBorder="1"/>
    <xf numFmtId="3" fontId="37" fillId="0" borderId="0" xfId="0" applyNumberFormat="1" applyFont="1" applyBorder="1" applyAlignment="1" applyProtection="1">
      <protection locked="0"/>
    </xf>
    <xf numFmtId="0" fontId="31" fillId="0" borderId="4" xfId="0" applyFont="1" applyBorder="1" applyAlignment="1" applyProtection="1">
      <protection locked="0"/>
    </xf>
    <xf numFmtId="0" fontId="31" fillId="0" borderId="5" xfId="0" applyFont="1" applyBorder="1" applyAlignment="1" applyProtection="1">
      <protection locked="0"/>
    </xf>
    <xf numFmtId="169" fontId="32" fillId="0" borderId="2" xfId="0" applyNumberFormat="1" applyFont="1" applyBorder="1" applyAlignment="1" applyProtection="1">
      <protection locked="0"/>
    </xf>
    <xf numFmtId="169" fontId="31" fillId="0" borderId="2" xfId="1" applyNumberFormat="1" applyFont="1" applyBorder="1" applyAlignment="1" applyProtection="1">
      <alignment horizontal="right"/>
      <protection locked="0"/>
    </xf>
    <xf numFmtId="169" fontId="32" fillId="0" borderId="2" xfId="1" applyNumberFormat="1" applyFont="1" applyBorder="1" applyAlignment="1" applyProtection="1">
      <alignment horizontal="right"/>
      <protection locked="0"/>
    </xf>
    <xf numFmtId="0" fontId="32" fillId="0" borderId="3" xfId="0" applyFont="1" applyBorder="1" applyAlignment="1" applyProtection="1">
      <protection locked="0"/>
    </xf>
    <xf numFmtId="169" fontId="32" fillId="0" borderId="5" xfId="1" applyNumberFormat="1" applyFont="1" applyBorder="1" applyAlignment="1" applyProtection="1">
      <alignment horizontal="right"/>
      <protection locked="0"/>
    </xf>
    <xf numFmtId="0" fontId="31" fillId="0" borderId="7" xfId="0" applyFont="1" applyBorder="1" applyAlignment="1" applyProtection="1">
      <protection locked="0"/>
    </xf>
    <xf numFmtId="0" fontId="31" fillId="16" borderId="0" xfId="0" applyFont="1" applyFill="1" applyBorder="1" applyAlignment="1" applyProtection="1">
      <protection locked="0"/>
    </xf>
    <xf numFmtId="0" fontId="27" fillId="15" borderId="6" xfId="0" applyFont="1" applyFill="1" applyBorder="1" applyAlignment="1" applyProtection="1">
      <protection locked="0"/>
    </xf>
    <xf numFmtId="0" fontId="27" fillId="15" borderId="7" xfId="0" applyFont="1" applyFill="1" applyBorder="1" applyAlignment="1" applyProtection="1">
      <alignment horizontal="center"/>
      <protection locked="0"/>
    </xf>
    <xf numFmtId="0" fontId="28" fillId="15" borderId="7" xfId="0" applyFont="1" applyFill="1" applyBorder="1" applyAlignment="1" applyProtection="1">
      <protection locked="0"/>
    </xf>
    <xf numFmtId="14" fontId="27" fillId="15" borderId="7" xfId="0" applyNumberFormat="1" applyFont="1" applyFill="1" applyBorder="1" applyAlignment="1" applyProtection="1">
      <alignment horizontal="left"/>
      <protection locked="0"/>
    </xf>
    <xf numFmtId="14" fontId="27" fillId="15" borderId="8" xfId="0" applyNumberFormat="1" applyFont="1" applyFill="1" applyBorder="1" applyAlignment="1" applyProtection="1">
      <protection locked="0"/>
    </xf>
    <xf numFmtId="10" fontId="2" fillId="0" borderId="0" xfId="0" applyNumberFormat="1" applyFont="1" applyAlignment="1" applyProtection="1">
      <protection locked="0"/>
    </xf>
    <xf numFmtId="164" fontId="3" fillId="0" borderId="0" xfId="0" applyNumberFormat="1" applyFont="1" applyAlignment="1" applyProtection="1">
      <protection locked="0"/>
    </xf>
    <xf numFmtId="0" fontId="27" fillId="15" borderId="0" xfId="0" applyFont="1" applyFill="1" applyAlignment="1" applyProtection="1">
      <alignment horizontal="center"/>
      <protection locked="0"/>
    </xf>
    <xf numFmtId="0" fontId="28" fillId="15" borderId="0" xfId="0" applyFont="1" applyFill="1" applyAlignment="1" applyProtection="1">
      <alignment horizontal="center"/>
      <protection locked="0"/>
    </xf>
    <xf numFmtId="0" fontId="27" fillId="15" borderId="0" xfId="0" applyFont="1" applyFill="1" applyAlignment="1" applyProtection="1">
      <alignment horizontal="left"/>
      <protection locked="0"/>
    </xf>
    <xf numFmtId="38" fontId="3" fillId="0" borderId="0" xfId="3" applyNumberFormat="1" applyFont="1" applyAlignment="1" applyProtection="1">
      <protection locked="0"/>
    </xf>
    <xf numFmtId="38" fontId="3" fillId="0" borderId="0" xfId="0" applyNumberFormat="1" applyFont="1" applyAlignment="1" applyProtection="1">
      <protection locked="0"/>
    </xf>
    <xf numFmtId="170" fontId="2" fillId="0" borderId="0" xfId="0" applyNumberFormat="1" applyFont="1" applyAlignment="1" applyProtection="1">
      <protection locked="0"/>
    </xf>
    <xf numFmtId="0" fontId="2" fillId="0" borderId="12" xfId="0" applyFont="1" applyBorder="1" applyAlignment="1" applyProtection="1">
      <protection locked="0"/>
    </xf>
    <xf numFmtId="164" fontId="3" fillId="0" borderId="12" xfId="0" applyNumberFormat="1" applyFont="1" applyBorder="1" applyAlignment="1" applyProtection="1">
      <protection locked="0"/>
    </xf>
    <xf numFmtId="10" fontId="2" fillId="0" borderId="12" xfId="2" applyNumberFormat="1" applyFont="1" applyBorder="1" applyAlignment="1" applyProtection="1">
      <protection locked="0"/>
    </xf>
    <xf numFmtId="38" fontId="3" fillId="0" borderId="12" xfId="0" applyNumberFormat="1" applyFont="1" applyBorder="1" applyAlignment="1" applyProtection="1">
      <protection locked="0"/>
    </xf>
    <xf numFmtId="0" fontId="14" fillId="0" borderId="12" xfId="0" applyFont="1" applyBorder="1" applyAlignment="1" applyProtection="1">
      <protection locked="0"/>
    </xf>
    <xf numFmtId="38" fontId="3" fillId="0" borderId="12" xfId="3" applyNumberFormat="1" applyFont="1" applyBorder="1" applyAlignment="1" applyProtection="1">
      <protection locked="0"/>
    </xf>
    <xf numFmtId="164" fontId="2" fillId="0" borderId="12" xfId="3" applyNumberFormat="1" applyFont="1" applyBorder="1" applyAlignment="1" applyProtection="1">
      <protection locked="0"/>
    </xf>
    <xf numFmtId="0" fontId="2" fillId="11" borderId="12" xfId="0" applyFont="1" applyFill="1" applyBorder="1" applyAlignment="1" applyProtection="1">
      <protection locked="0"/>
    </xf>
    <xf numFmtId="164" fontId="2" fillId="11" borderId="12" xfId="3" applyNumberFormat="1" applyFont="1" applyFill="1" applyBorder="1" applyAlignment="1" applyProtection="1">
      <protection locked="0"/>
    </xf>
    <xf numFmtId="38" fontId="3" fillId="11" borderId="12" xfId="0" applyNumberFormat="1" applyFont="1" applyFill="1" applyBorder="1" applyAlignment="1" applyProtection="1">
      <protection locked="0"/>
    </xf>
    <xf numFmtId="10" fontId="3" fillId="11" borderId="12" xfId="2" applyNumberFormat="1" applyFont="1" applyFill="1" applyBorder="1" applyAlignment="1" applyProtection="1">
      <protection locked="0"/>
    </xf>
    <xf numFmtId="164" fontId="2" fillId="0" borderId="2" xfId="0" applyNumberFormat="1" applyFont="1" applyBorder="1" applyAlignment="1" applyProtection="1">
      <protection locked="0"/>
    </xf>
    <xf numFmtId="0" fontId="38" fillId="11" borderId="0" xfId="0" applyFont="1" applyFill="1" applyBorder="1" applyAlignment="1" applyProtection="1">
      <protection locked="0"/>
    </xf>
    <xf numFmtId="169" fontId="38" fillId="11" borderId="0" xfId="0" applyNumberFormat="1" applyFont="1" applyFill="1" applyBorder="1" applyAlignment="1" applyProtection="1">
      <protection locked="0"/>
    </xf>
    <xf numFmtId="169" fontId="38" fillId="11" borderId="0" xfId="1" applyNumberFormat="1" applyFont="1" applyFill="1" applyBorder="1" applyAlignment="1" applyProtection="1">
      <protection locked="0"/>
    </xf>
    <xf numFmtId="164" fontId="38" fillId="11" borderId="0" xfId="3" applyNumberFormat="1" applyFont="1" applyFill="1" applyBorder="1" applyAlignment="1" applyProtection="1">
      <alignment horizontal="right"/>
      <protection locked="0"/>
    </xf>
    <xf numFmtId="9" fontId="2" fillId="0" borderId="0" xfId="2" applyFont="1" applyBorder="1" applyAlignment="1" applyProtection="1">
      <protection locked="0"/>
    </xf>
    <xf numFmtId="0" fontId="3" fillId="0" borderId="7" xfId="0" applyFont="1" applyBorder="1" applyAlignment="1" applyProtection="1">
      <alignment horizontal="right"/>
      <protection locked="0"/>
    </xf>
    <xf numFmtId="164" fontId="3" fillId="0" borderId="7" xfId="3" applyFont="1" applyBorder="1" applyAlignment="1" applyProtection="1">
      <alignment horizontal="righ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14" xfId="0" applyFont="1" applyBorder="1" applyAlignment="1" applyProtection="1">
      <protection locked="0"/>
    </xf>
    <xf numFmtId="0" fontId="2" fillId="0" borderId="13" xfId="0" applyFont="1" applyBorder="1" applyAlignment="1" applyProtection="1">
      <protection locked="0"/>
    </xf>
    <xf numFmtId="0" fontId="17" fillId="0" borderId="8" xfId="0" applyFont="1" applyBorder="1" applyAlignment="1" applyProtection="1">
      <alignment horizontal="right"/>
      <protection locked="0"/>
    </xf>
    <xf numFmtId="164" fontId="16" fillId="0" borderId="12" xfId="3" applyFont="1" applyBorder="1" applyAlignment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164" fontId="3" fillId="0" borderId="0" xfId="3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17" fillId="0" borderId="2" xfId="0" applyFont="1" applyBorder="1" applyAlignment="1" applyProtection="1">
      <alignment horizontal="right"/>
      <protection locked="0"/>
    </xf>
    <xf numFmtId="0" fontId="14" fillId="0" borderId="0" xfId="0" applyFont="1" applyBorder="1" applyAlignment="1" applyProtection="1">
      <protection locked="0"/>
    </xf>
    <xf numFmtId="0" fontId="27" fillId="15" borderId="3" xfId="0" applyFont="1" applyFill="1" applyBorder="1" applyAlignment="1" applyProtection="1">
      <protection locked="0"/>
    </xf>
    <xf numFmtId="0" fontId="27" fillId="15" borderId="4" xfId="0" applyFont="1" applyFill="1" applyBorder="1" applyAlignment="1" applyProtection="1">
      <protection locked="0"/>
    </xf>
    <xf numFmtId="169" fontId="27" fillId="15" borderId="4" xfId="1" applyNumberFormat="1" applyFont="1" applyFill="1" applyBorder="1" applyAlignment="1" applyProtection="1">
      <protection locked="0"/>
    </xf>
    <xf numFmtId="169" fontId="27" fillId="15" borderId="5" xfId="1" applyNumberFormat="1" applyFont="1" applyFill="1" applyBorder="1" applyAlignment="1" applyProtection="1">
      <protection locked="0"/>
    </xf>
    <xf numFmtId="14" fontId="27" fillId="15" borderId="7" xfId="0" applyNumberFormat="1" applyFont="1" applyFill="1" applyBorder="1" applyAlignment="1" applyProtection="1">
      <alignment horizontal="right"/>
      <protection locked="0"/>
    </xf>
    <xf numFmtId="0" fontId="27" fillId="15" borderId="7" xfId="0" applyFont="1" applyFill="1" applyBorder="1" applyAlignment="1" applyProtection="1">
      <alignment horizontal="right"/>
      <protection locked="0"/>
    </xf>
    <xf numFmtId="14" fontId="27" fillId="15" borderId="8" xfId="0" applyNumberFormat="1" applyFont="1" applyFill="1" applyBorder="1" applyAlignment="1" applyProtection="1">
      <alignment horizontal="right"/>
      <protection locked="0"/>
    </xf>
    <xf numFmtId="164" fontId="3" fillId="0" borderId="0" xfId="3" applyNumberFormat="1" applyFont="1" applyAlignment="1" applyProtection="1">
      <protection locked="0"/>
    </xf>
    <xf numFmtId="164" fontId="3" fillId="0" borderId="2" xfId="3" applyNumberFormat="1" applyFont="1" applyBorder="1" applyAlignment="1" applyProtection="1">
      <protection locked="0"/>
    </xf>
    <xf numFmtId="164" fontId="2" fillId="0" borderId="2" xfId="3" applyNumberFormat="1" applyFont="1" applyBorder="1" applyAlignment="1" applyProtection="1">
      <protection locked="0"/>
    </xf>
    <xf numFmtId="164" fontId="2" fillId="0" borderId="13" xfId="3" applyNumberFormat="1" applyFont="1" applyBorder="1" applyAlignment="1" applyProtection="1">
      <protection locked="0"/>
    </xf>
    <xf numFmtId="164" fontId="2" fillId="11" borderId="13" xfId="3" applyNumberFormat="1" applyFont="1" applyFill="1" applyBorder="1" applyAlignment="1" applyProtection="1">
      <protection locked="0"/>
    </xf>
    <xf numFmtId="0" fontId="39" fillId="15" borderId="7" xfId="0" applyFont="1" applyFill="1" applyBorder="1" applyAlignment="1" applyProtection="1">
      <protection locked="0"/>
    </xf>
    <xf numFmtId="0" fontId="3" fillId="11" borderId="0" xfId="0" applyFont="1" applyFill="1" applyAlignment="1" applyProtection="1">
      <protection locked="0"/>
    </xf>
    <xf numFmtId="169" fontId="3" fillId="11" borderId="0" xfId="0" applyNumberFormat="1" applyFont="1" applyFill="1" applyAlignment="1" applyProtection="1">
      <protection locked="0"/>
    </xf>
    <xf numFmtId="0" fontId="14" fillId="0" borderId="1" xfId="0" applyFont="1" applyBorder="1" applyAlignment="1" applyProtection="1">
      <alignment horizontal="left" indent="1"/>
      <protection locked="0"/>
    </xf>
    <xf numFmtId="0" fontId="40" fillId="15" borderId="0" xfId="0" applyFont="1" applyFill="1" applyAlignment="1" applyProtection="1">
      <alignment horizontal="left"/>
      <protection locked="0"/>
    </xf>
    <xf numFmtId="38" fontId="3" fillId="0" borderId="2" xfId="3" applyNumberFormat="1" applyFont="1" applyBorder="1" applyAlignment="1" applyProtection="1">
      <protection locked="0"/>
    </xf>
    <xf numFmtId="38" fontId="2" fillId="0" borderId="0" xfId="3" applyNumberFormat="1" applyFont="1" applyAlignment="1" applyProtection="1">
      <protection locked="0"/>
    </xf>
    <xf numFmtId="38" fontId="2" fillId="0" borderId="2" xfId="3" applyNumberFormat="1" applyFont="1" applyBorder="1" applyAlignment="1" applyProtection="1">
      <protection locked="0"/>
    </xf>
    <xf numFmtId="38" fontId="2" fillId="0" borderId="12" xfId="3" applyNumberFormat="1" applyFont="1" applyBorder="1" applyAlignment="1" applyProtection="1">
      <protection locked="0"/>
    </xf>
    <xf numFmtId="38" fontId="2" fillId="0" borderId="13" xfId="3" applyNumberFormat="1" applyFont="1" applyBorder="1" applyAlignment="1" applyProtection="1">
      <protection locked="0"/>
    </xf>
    <xf numFmtId="38" fontId="2" fillId="11" borderId="12" xfId="3" applyNumberFormat="1" applyFont="1" applyFill="1" applyBorder="1" applyAlignment="1" applyProtection="1">
      <protection locked="0"/>
    </xf>
    <xf numFmtId="38" fontId="2" fillId="11" borderId="13" xfId="3" applyNumberFormat="1" applyFont="1" applyFill="1" applyBorder="1" applyAlignment="1" applyProtection="1">
      <protection locked="0"/>
    </xf>
    <xf numFmtId="38" fontId="2" fillId="0" borderId="0" xfId="0" applyNumberFormat="1" applyFont="1" applyAlignment="1" applyProtection="1">
      <protection locked="0"/>
    </xf>
    <xf numFmtId="38" fontId="2" fillId="0" borderId="2" xfId="0" applyNumberFormat="1" applyFont="1" applyBorder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2" fillId="0" borderId="4" xfId="0" applyFont="1" applyBorder="1" applyAlignment="1" applyProtection="1">
      <protection locked="0"/>
    </xf>
    <xf numFmtId="164" fontId="2" fillId="0" borderId="4" xfId="3" applyFont="1" applyBorder="1" applyAlignment="1" applyProtection="1">
      <protection locked="0"/>
    </xf>
    <xf numFmtId="38" fontId="2" fillId="0" borderId="0" xfId="3" applyNumberFormat="1" applyFont="1" applyAlignment="1" applyProtection="1">
      <protection locked="0"/>
    </xf>
    <xf numFmtId="38" fontId="2" fillId="0" borderId="2" xfId="3" applyNumberFormat="1" applyFont="1" applyBorder="1" applyAlignment="1" applyProtection="1">
      <protection locked="0"/>
    </xf>
    <xf numFmtId="38" fontId="2" fillId="0" borderId="12" xfId="3" applyNumberFormat="1" applyFont="1" applyBorder="1" applyAlignment="1" applyProtection="1">
      <protection locked="0"/>
    </xf>
    <xf numFmtId="38" fontId="2" fillId="0" borderId="13" xfId="3" applyNumberFormat="1" applyFont="1" applyBorder="1" applyAlignment="1" applyProtection="1">
      <protection locked="0"/>
    </xf>
    <xf numFmtId="0" fontId="32" fillId="0" borderId="15" xfId="0" applyFont="1" applyBorder="1" applyAlignment="1" applyProtection="1">
      <protection locked="0"/>
    </xf>
    <xf numFmtId="0" fontId="32" fillId="0" borderId="16" xfId="0" applyFont="1" applyBorder="1" applyAlignment="1" applyProtection="1">
      <protection locked="0"/>
    </xf>
    <xf numFmtId="167" fontId="32" fillId="0" borderId="17" xfId="0" applyNumberFormat="1" applyFont="1" applyBorder="1" applyAlignment="1" applyProtection="1">
      <alignment horizontal="right" vertical="center"/>
      <protection locked="0"/>
    </xf>
    <xf numFmtId="0" fontId="32" fillId="0" borderId="17" xfId="0" applyFont="1" applyBorder="1" applyAlignment="1" applyProtection="1">
      <protection locked="0"/>
    </xf>
    <xf numFmtId="166" fontId="2" fillId="0" borderId="0" xfId="0" applyNumberFormat="1" applyFont="1" applyBorder="1" applyAlignment="1" applyProtection="1">
      <protection locked="0"/>
    </xf>
    <xf numFmtId="0" fontId="21" fillId="17" borderId="0" xfId="0" applyFont="1" applyFill="1" applyAlignment="1">
      <alignment horizontal="left"/>
    </xf>
    <xf numFmtId="0" fontId="43" fillId="0" borderId="0" xfId="0" applyFont="1"/>
    <xf numFmtId="0" fontId="18" fillId="18" borderId="0" xfId="0" applyFont="1" applyFill="1"/>
    <xf numFmtId="0" fontId="19" fillId="0" borderId="6" xfId="0" applyFont="1" applyBorder="1" applyAlignment="1">
      <alignment horizontal="left"/>
    </xf>
    <xf numFmtId="0" fontId="19" fillId="0" borderId="3" xfId="0" applyFont="1" applyBorder="1"/>
    <xf numFmtId="0" fontId="19" fillId="0" borderId="1" xfId="0" applyFont="1" applyBorder="1" applyAlignment="1">
      <alignment horizontal="left"/>
    </xf>
    <xf numFmtId="0" fontId="19" fillId="0" borderId="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21" fillId="5" borderId="4" xfId="0" applyFont="1" applyFill="1" applyBorder="1"/>
    <xf numFmtId="0" fontId="21" fillId="5" borderId="6" xfId="0" applyFont="1" applyFill="1" applyBorder="1"/>
    <xf numFmtId="0" fontId="21" fillId="5" borderId="8" xfId="0" applyFont="1" applyFill="1" applyBorder="1"/>
    <xf numFmtId="0" fontId="21" fillId="5" borderId="7" xfId="0" applyFont="1" applyFill="1" applyBorder="1"/>
    <xf numFmtId="164" fontId="0" fillId="0" borderId="21" xfId="3" applyFont="1" applyBorder="1" applyAlignment="1"/>
    <xf numFmtId="164" fontId="1" fillId="9" borderId="21" xfId="3" applyFont="1" applyFill="1" applyBorder="1" applyAlignment="1"/>
    <xf numFmtId="164" fontId="0" fillId="0" borderId="2" xfId="3" applyFont="1" applyBorder="1" applyAlignment="1"/>
    <xf numFmtId="164" fontId="0" fillId="0" borderId="5" xfId="3" applyFont="1" applyBorder="1" applyAlignment="1"/>
    <xf numFmtId="0" fontId="21" fillId="15" borderId="0" xfId="0" applyFont="1" applyFill="1"/>
    <xf numFmtId="0" fontId="18" fillId="0" borderId="0" xfId="0" applyFont="1" applyFill="1"/>
    <xf numFmtId="0" fontId="18" fillId="0" borderId="0" xfId="0" applyFont="1" applyBorder="1" applyAlignment="1">
      <alignment horizontal="center"/>
    </xf>
    <xf numFmtId="0" fontId="46" fillId="17" borderId="22" xfId="0" applyFont="1" applyFill="1" applyBorder="1" applyAlignment="1">
      <alignment horizontal="center"/>
    </xf>
    <xf numFmtId="0" fontId="46" fillId="17" borderId="23" xfId="0" applyFont="1" applyFill="1" applyBorder="1" applyAlignment="1">
      <alignment horizontal="center"/>
    </xf>
    <xf numFmtId="164" fontId="18" fillId="18" borderId="23" xfId="3" applyFont="1" applyFill="1" applyBorder="1" applyAlignment="1">
      <alignment horizontal="right"/>
    </xf>
    <xf numFmtId="164" fontId="21" fillId="15" borderId="24" xfId="0" applyNumberFormat="1" applyFont="1" applyFill="1" applyBorder="1" applyAlignment="1">
      <alignment horizontal="right"/>
    </xf>
    <xf numFmtId="164" fontId="18" fillId="0" borderId="23" xfId="3" applyFont="1" applyFill="1" applyBorder="1" applyAlignment="1">
      <alignment horizontal="right"/>
    </xf>
    <xf numFmtId="164" fontId="26" fillId="0" borderId="23" xfId="3" applyFont="1" applyFill="1" applyBorder="1" applyAlignment="1">
      <alignment horizontal="right"/>
    </xf>
    <xf numFmtId="10" fontId="18" fillId="0" borderId="23" xfId="0" applyNumberFormat="1" applyFont="1" applyFill="1" applyBorder="1"/>
    <xf numFmtId="164" fontId="21" fillId="15" borderId="23" xfId="0" applyNumberFormat="1" applyFont="1" applyFill="1" applyBorder="1" applyAlignment="1">
      <alignment horizontal="right"/>
    </xf>
    <xf numFmtId="0" fontId="2" fillId="20" borderId="0" xfId="0" applyFont="1" applyFill="1" applyBorder="1" applyAlignment="1" applyProtection="1">
      <protection locked="0"/>
    </xf>
    <xf numFmtId="3" fontId="2" fillId="20" borderId="0" xfId="0" applyNumberFormat="1" applyFont="1" applyFill="1" applyBorder="1" applyAlignment="1" applyProtection="1">
      <protection locked="0"/>
    </xf>
    <xf numFmtId="0" fontId="14" fillId="20" borderId="1" xfId="0" applyFont="1" applyFill="1" applyBorder="1" applyAlignment="1" applyProtection="1">
      <alignment horizontal="left" indent="1"/>
      <protection locked="0"/>
    </xf>
    <xf numFmtId="164" fontId="30" fillId="0" borderId="2" xfId="0" applyNumberFormat="1" applyFont="1" applyBorder="1" applyAlignment="1" applyProtection="1">
      <protection locked="0"/>
    </xf>
    <xf numFmtId="169" fontId="30" fillId="0" borderId="2" xfId="0" applyNumberFormat="1" applyFont="1" applyBorder="1" applyAlignment="1" applyProtection="1">
      <alignment horizontal="right"/>
      <protection locked="0"/>
    </xf>
    <xf numFmtId="169" fontId="30" fillId="0" borderId="0" xfId="0" applyNumberFormat="1" applyFont="1" applyBorder="1" applyAlignment="1" applyProtection="1">
      <protection locked="0"/>
    </xf>
    <xf numFmtId="3" fontId="30" fillId="0" borderId="0" xfId="0" applyNumberFormat="1" applyFont="1" applyBorder="1" applyAlignment="1" applyProtection="1">
      <protection locked="0"/>
    </xf>
    <xf numFmtId="164" fontId="31" fillId="0" borderId="0" xfId="0" applyNumberFormat="1" applyFont="1" applyBorder="1" applyAlignment="1" applyProtection="1">
      <protection locked="0"/>
    </xf>
    <xf numFmtId="164" fontId="2" fillId="0" borderId="0" xfId="0" applyNumberFormat="1" applyFont="1" applyAlignment="1">
      <alignment horizontal="right"/>
    </xf>
    <xf numFmtId="169" fontId="2" fillId="0" borderId="0" xfId="2" applyNumberFormat="1" applyFont="1" applyAlignment="1" applyProtection="1">
      <protection locked="0"/>
    </xf>
    <xf numFmtId="0" fontId="50" fillId="0" borderId="0" xfId="0" applyFont="1"/>
    <xf numFmtId="0" fontId="51" fillId="0" borderId="0" xfId="0" applyFont="1"/>
    <xf numFmtId="0" fontId="51" fillId="0" borderId="0" xfId="0" applyFont="1" applyFill="1" applyAlignment="1" applyProtection="1">
      <protection locked="0"/>
    </xf>
    <xf numFmtId="0" fontId="50" fillId="0" borderId="0" xfId="0" applyFont="1" applyFill="1" applyAlignment="1" applyProtection="1">
      <alignment horizontal="center"/>
      <protection locked="0"/>
    </xf>
    <xf numFmtId="164" fontId="51" fillId="0" borderId="0" xfId="3" applyFont="1" applyAlignment="1"/>
    <xf numFmtId="0" fontId="52" fillId="12" borderId="0" xfId="0" applyFont="1" applyFill="1" applyAlignment="1">
      <alignment horizontal="center" vertical="center"/>
    </xf>
    <xf numFmtId="0" fontId="52" fillId="12" borderId="0" xfId="0" applyFont="1" applyFill="1" applyAlignment="1" applyProtection="1">
      <alignment horizontal="center" vertical="center"/>
      <protection locked="0"/>
    </xf>
    <xf numFmtId="164" fontId="52" fillId="12" borderId="0" xfId="3" applyFont="1" applyFill="1" applyAlignment="1" applyProtection="1">
      <alignment horizontal="center" vertical="center"/>
      <protection locked="0"/>
    </xf>
    <xf numFmtId="164" fontId="52" fillId="12" borderId="0" xfId="3" applyFont="1" applyFill="1" applyAlignment="1" applyProtection="1">
      <alignment horizontal="center" vertical="center" wrapText="1"/>
      <protection locked="0"/>
    </xf>
    <xf numFmtId="164" fontId="52" fillId="12" borderId="0" xfId="3" applyFont="1" applyFill="1" applyAlignment="1">
      <alignment horizontal="center" vertical="center" wrapText="1"/>
    </xf>
    <xf numFmtId="0" fontId="52" fillId="12" borderId="0" xfId="0" applyFont="1" applyFill="1" applyAlignment="1">
      <alignment horizontal="center" vertical="center" wrapText="1"/>
    </xf>
    <xf numFmtId="169" fontId="3" fillId="0" borderId="0" xfId="0" applyNumberFormat="1" applyFont="1" applyAlignment="1" applyProtection="1">
      <protection locked="0"/>
    </xf>
    <xf numFmtId="0" fontId="53" fillId="0" borderId="0" xfId="0" applyFont="1"/>
    <xf numFmtId="38" fontId="51" fillId="0" borderId="25" xfId="3" applyNumberFormat="1" applyFont="1" applyBorder="1" applyAlignment="1"/>
    <xf numFmtId="164" fontId="31" fillId="0" borderId="0" xfId="3" applyFont="1" applyBorder="1" applyAlignment="1" applyProtection="1">
      <protection locked="0"/>
    </xf>
    <xf numFmtId="169" fontId="14" fillId="0" borderId="0" xfId="0" applyNumberFormat="1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38" fontId="52" fillId="19" borderId="25" xfId="3" applyNumberFormat="1" applyFont="1" applyFill="1" applyBorder="1" applyAlignment="1"/>
    <xf numFmtId="165" fontId="31" fillId="0" borderId="0" xfId="1" applyNumberFormat="1" applyFont="1" applyBorder="1" applyAlignment="1" applyProtection="1">
      <alignment horizontal="right"/>
      <protection locked="0"/>
    </xf>
    <xf numFmtId="0" fontId="31" fillId="11" borderId="1" xfId="0" applyFont="1" applyFill="1" applyBorder="1" applyAlignment="1" applyProtection="1">
      <alignment horizontal="left" indent="2"/>
      <protection locked="0"/>
    </xf>
    <xf numFmtId="0" fontId="31" fillId="11" borderId="0" xfId="0" applyFont="1" applyFill="1" applyBorder="1" applyAlignment="1" applyProtection="1">
      <protection locked="0"/>
    </xf>
    <xf numFmtId="0" fontId="31" fillId="11" borderId="2" xfId="0" applyFont="1" applyFill="1" applyBorder="1" applyAlignment="1" applyProtection="1">
      <protection locked="0"/>
    </xf>
    <xf numFmtId="169" fontId="31" fillId="11" borderId="2" xfId="1" applyNumberFormat="1" applyFont="1" applyFill="1" applyBorder="1" applyAlignment="1" applyProtection="1">
      <alignment horizontal="right"/>
      <protection locked="0"/>
    </xf>
    <xf numFmtId="0" fontId="44" fillId="0" borderId="0" xfId="0" applyFont="1" applyAlignment="1">
      <alignment horizontal="center"/>
    </xf>
    <xf numFmtId="0" fontId="15" fillId="9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21" xfId="3" applyFont="1" applyBorder="1" applyAlignment="1">
      <alignment horizontal="center"/>
    </xf>
    <xf numFmtId="164" fontId="0" fillId="0" borderId="20" xfId="3" applyFont="1" applyBorder="1" applyAlignment="1">
      <alignment horizontal="center"/>
    </xf>
    <xf numFmtId="0" fontId="51" fillId="20" borderId="25" xfId="0" applyFont="1" applyFill="1" applyBorder="1"/>
    <xf numFmtId="38" fontId="51" fillId="20" borderId="25" xfId="3" applyNumberFormat="1" applyFont="1" applyFill="1" applyBorder="1" applyAlignment="1"/>
    <xf numFmtId="9" fontId="51" fillId="20" borderId="25" xfId="2" applyFont="1" applyFill="1" applyBorder="1" applyAlignment="1"/>
    <xf numFmtId="0" fontId="52" fillId="12" borderId="33" xfId="0" applyFont="1" applyFill="1" applyBorder="1" applyAlignment="1">
      <alignment horizontal="center" vertical="center" wrapText="1"/>
    </xf>
    <xf numFmtId="9" fontId="51" fillId="20" borderId="34" xfId="2" applyFont="1" applyFill="1" applyBorder="1" applyAlignment="1"/>
    <xf numFmtId="174" fontId="50" fillId="11" borderId="35" xfId="2" applyNumberFormat="1" applyFont="1" applyFill="1" applyBorder="1" applyAlignment="1"/>
    <xf numFmtId="0" fontId="52" fillId="12" borderId="36" xfId="0" applyFont="1" applyFill="1" applyBorder="1" applyAlignment="1">
      <alignment horizontal="center" vertical="center" wrapText="1"/>
    </xf>
    <xf numFmtId="38" fontId="51" fillId="0" borderId="37" xfId="3" applyNumberFormat="1" applyFont="1" applyBorder="1" applyAlignment="1"/>
    <xf numFmtId="38" fontId="50" fillId="11" borderId="38" xfId="3" applyNumberFormat="1" applyFont="1" applyFill="1" applyBorder="1" applyAlignment="1"/>
    <xf numFmtId="164" fontId="51" fillId="0" borderId="0" xfId="0" applyNumberFormat="1" applyFont="1"/>
    <xf numFmtId="0" fontId="51" fillId="0" borderId="26" xfId="0" applyFont="1" applyBorder="1"/>
    <xf numFmtId="0" fontId="51" fillId="0" borderId="27" xfId="0" applyFont="1" applyBorder="1"/>
    <xf numFmtId="0" fontId="51" fillId="0" borderId="28" xfId="0" applyFont="1" applyBorder="1"/>
    <xf numFmtId="0" fontId="51" fillId="0" borderId="29" xfId="0" applyFont="1" applyBorder="1"/>
    <xf numFmtId="0" fontId="51" fillId="0" borderId="0" xfId="0" applyFont="1" applyBorder="1"/>
    <xf numFmtId="0" fontId="51" fillId="0" borderId="18" xfId="0" applyFont="1" applyBorder="1"/>
    <xf numFmtId="0" fontId="51" fillId="0" borderId="30" xfId="0" applyFont="1" applyBorder="1"/>
    <xf numFmtId="0" fontId="51" fillId="0" borderId="19" xfId="0" applyFont="1" applyBorder="1"/>
    <xf numFmtId="0" fontId="51" fillId="0" borderId="31" xfId="0" applyFont="1" applyBorder="1"/>
    <xf numFmtId="3" fontId="51" fillId="0" borderId="0" xfId="0" applyNumberFormat="1" applyFont="1"/>
    <xf numFmtId="164" fontId="51" fillId="0" borderId="40" xfId="0" applyNumberFormat="1" applyFont="1" applyBorder="1"/>
    <xf numFmtId="0" fontId="53" fillId="0" borderId="26" xfId="0" applyFont="1" applyBorder="1"/>
    <xf numFmtId="164" fontId="51" fillId="0" borderId="18" xfId="3" applyFont="1" applyBorder="1" applyAlignment="1"/>
    <xf numFmtId="0" fontId="50" fillId="0" borderId="30" xfId="0" applyFont="1" applyBorder="1"/>
    <xf numFmtId="164" fontId="50" fillId="0" borderId="31" xfId="0" applyNumberFormat="1" applyFont="1" applyBorder="1"/>
    <xf numFmtId="164" fontId="51" fillId="0" borderId="28" xfId="3" applyFont="1" applyBorder="1" applyAlignment="1"/>
    <xf numFmtId="9" fontId="51" fillId="0" borderId="18" xfId="3" applyNumberFormat="1" applyFont="1" applyBorder="1" applyAlignment="1"/>
    <xf numFmtId="10" fontId="51" fillId="0" borderId="18" xfId="0" applyNumberFormat="1" applyFont="1" applyBorder="1"/>
    <xf numFmtId="10" fontId="51" fillId="0" borderId="18" xfId="2" applyNumberFormat="1" applyFont="1" applyBorder="1"/>
    <xf numFmtId="4" fontId="51" fillId="0" borderId="0" xfId="0" applyNumberFormat="1" applyFont="1"/>
    <xf numFmtId="0" fontId="56" fillId="15" borderId="0" xfId="0" applyFont="1" applyFill="1" applyAlignment="1">
      <alignment horizontal="center"/>
    </xf>
    <xf numFmtId="0" fontId="56" fillId="15" borderId="39" xfId="0" applyFont="1" applyFill="1" applyBorder="1" applyAlignment="1">
      <alignment horizontal="center"/>
    </xf>
    <xf numFmtId="164" fontId="57" fillId="15" borderId="0" xfId="3" applyFont="1" applyFill="1" applyAlignment="1">
      <alignment horizontal="center"/>
    </xf>
    <xf numFmtId="0" fontId="52" fillId="12" borderId="39" xfId="0" applyFont="1" applyFill="1" applyBorder="1" applyAlignment="1">
      <alignment horizontal="center" vertical="center" wrapText="1"/>
    </xf>
    <xf numFmtId="38" fontId="51" fillId="0" borderId="42" xfId="3" applyNumberFormat="1" applyFont="1" applyBorder="1" applyAlignment="1"/>
    <xf numFmtId="38" fontId="50" fillId="11" borderId="41" xfId="3" applyNumberFormat="1" applyFont="1" applyFill="1" applyBorder="1" applyAlignment="1"/>
    <xf numFmtId="0" fontId="51" fillId="10" borderId="0" xfId="0" applyFont="1" applyFill="1"/>
    <xf numFmtId="4" fontId="51" fillId="10" borderId="0" xfId="0" applyNumberFormat="1" applyFont="1" applyFill="1"/>
    <xf numFmtId="3" fontId="51" fillId="10" borderId="0" xfId="0" applyNumberFormat="1" applyFont="1" applyFill="1"/>
    <xf numFmtId="164" fontId="51" fillId="10" borderId="0" xfId="3" applyFont="1" applyFill="1" applyAlignment="1"/>
    <xf numFmtId="164" fontId="51" fillId="10" borderId="40" xfId="0" applyNumberFormat="1" applyFont="1" applyFill="1" applyBorder="1"/>
    <xf numFmtId="0" fontId="50" fillId="11" borderId="0" xfId="0" applyFont="1" applyFill="1" applyBorder="1"/>
    <xf numFmtId="38" fontId="50" fillId="11" borderId="0" xfId="3" applyNumberFormat="1" applyFont="1" applyFill="1" applyBorder="1" applyAlignment="1"/>
    <xf numFmtId="9" fontId="50" fillId="11" borderId="0" xfId="2" applyFont="1" applyFill="1" applyBorder="1" applyAlignment="1"/>
    <xf numFmtId="4" fontId="50" fillId="0" borderId="0" xfId="0" applyNumberFormat="1" applyFont="1"/>
    <xf numFmtId="3" fontId="50" fillId="0" borderId="0" xfId="0" applyNumberFormat="1" applyFont="1"/>
    <xf numFmtId="0" fontId="4" fillId="0" borderId="0" xfId="0" applyFont="1"/>
    <xf numFmtId="164" fontId="0" fillId="0" borderId="0" xfId="3" applyFont="1" applyAlignment="1"/>
    <xf numFmtId="164" fontId="4" fillId="0" borderId="0" xfId="3" applyFont="1" applyAlignment="1">
      <alignment horizontal="center"/>
    </xf>
    <xf numFmtId="0" fontId="4" fillId="20" borderId="0" xfId="0" applyFont="1" applyFill="1"/>
    <xf numFmtId="0" fontId="0" fillId="20" borderId="0" xfId="0" applyFill="1"/>
    <xf numFmtId="164" fontId="0" fillId="20" borderId="0" xfId="3" applyFont="1" applyFill="1" applyAlignment="1"/>
    <xf numFmtId="0" fontId="59" fillId="0" borderId="0" xfId="0" applyFont="1"/>
    <xf numFmtId="166" fontId="0" fillId="20" borderId="0" xfId="0" applyNumberFormat="1" applyFill="1"/>
    <xf numFmtId="0" fontId="4" fillId="0" borderId="43" xfId="0" applyFont="1" applyBorder="1"/>
    <xf numFmtId="0" fontId="0" fillId="0" borderId="44" xfId="0" applyBorder="1"/>
    <xf numFmtId="164" fontId="0" fillId="0" borderId="44" xfId="3" applyFont="1" applyBorder="1" applyAlignment="1"/>
    <xf numFmtId="164" fontId="0" fillId="0" borderId="45" xfId="3" applyFont="1" applyBorder="1" applyAlignment="1"/>
    <xf numFmtId="0" fontId="4" fillId="0" borderId="46" xfId="0" applyFont="1" applyBorder="1"/>
    <xf numFmtId="0" fontId="0" fillId="0" borderId="0" xfId="0" applyBorder="1"/>
    <xf numFmtId="164" fontId="0" fillId="0" borderId="0" xfId="3" applyFont="1" applyBorder="1" applyAlignment="1"/>
    <xf numFmtId="164" fontId="0" fillId="0" borderId="47" xfId="3" applyFont="1" applyBorder="1" applyAlignment="1"/>
    <xf numFmtId="0" fontId="4" fillId="0" borderId="46" xfId="0" applyFont="1" applyBorder="1" applyAlignment="1">
      <alignment horizontal="left" vertical="center"/>
    </xf>
    <xf numFmtId="0" fontId="0" fillId="0" borderId="46" xfId="0" applyBorder="1" applyAlignment="1"/>
    <xf numFmtId="0" fontId="58" fillId="0" borderId="46" xfId="0" applyFont="1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58" fillId="0" borderId="48" xfId="0" applyFont="1" applyBorder="1" applyAlignment="1">
      <alignment horizontal="left" vertical="center"/>
    </xf>
    <xf numFmtId="0" fontId="0" fillId="0" borderId="49" xfId="0" applyBorder="1"/>
    <xf numFmtId="164" fontId="0" fillId="0" borderId="49" xfId="3" applyFont="1" applyBorder="1" applyAlignment="1"/>
    <xf numFmtId="164" fontId="0" fillId="0" borderId="50" xfId="3" applyFont="1" applyBorder="1" applyAlignment="1"/>
    <xf numFmtId="0" fontId="61" fillId="15" borderId="0" xfId="0" applyFont="1" applyFill="1"/>
    <xf numFmtId="164" fontId="61" fillId="15" borderId="0" xfId="3" applyFont="1" applyFill="1" applyAlignment="1">
      <alignment horizontal="center"/>
    </xf>
    <xf numFmtId="0" fontId="62" fillId="15" borderId="0" xfId="0" applyFont="1" applyFill="1"/>
    <xf numFmtId="0" fontId="60" fillId="16" borderId="0" xfId="0" applyFont="1" applyFill="1"/>
    <xf numFmtId="164" fontId="60" fillId="16" borderId="0" xfId="3" applyFont="1" applyFill="1" applyAlignment="1"/>
    <xf numFmtId="0" fontId="0" fillId="16" borderId="0" xfId="0" applyFill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60" fillId="16" borderId="0" xfId="0" applyFont="1" applyFill="1" applyAlignment="1">
      <alignment horizontal="left" indent="1"/>
    </xf>
    <xf numFmtId="0" fontId="62" fillId="21" borderId="0" xfId="0" applyFont="1" applyFill="1"/>
    <xf numFmtId="164" fontId="62" fillId="21" borderId="0" xfId="3" applyFont="1" applyFill="1" applyAlignment="1"/>
    <xf numFmtId="166" fontId="62" fillId="21" borderId="0" xfId="0" applyNumberFormat="1" applyFont="1" applyFill="1"/>
    <xf numFmtId="0" fontId="62" fillId="0" borderId="0" xfId="0" applyFont="1" applyFill="1"/>
    <xf numFmtId="164" fontId="62" fillId="0" borderId="0" xfId="3" applyFont="1" applyFill="1" applyAlignment="1"/>
    <xf numFmtId="166" fontId="62" fillId="0" borderId="0" xfId="0" applyNumberFormat="1" applyFont="1" applyFill="1"/>
    <xf numFmtId="0" fontId="0" fillId="0" borderId="0" xfId="0" applyFill="1"/>
    <xf numFmtId="0" fontId="58" fillId="0" borderId="0" xfId="0" applyFont="1" applyBorder="1" applyAlignment="1">
      <alignment horizontal="left" vertical="center"/>
    </xf>
    <xf numFmtId="0" fontId="63" fillId="0" borderId="0" xfId="0" applyFont="1"/>
    <xf numFmtId="0" fontId="0" fillId="0" borderId="47" xfId="0" applyBorder="1"/>
    <xf numFmtId="0" fontId="4" fillId="0" borderId="46" xfId="0" applyFont="1" applyBorder="1" applyAlignment="1">
      <alignment horizontal="left" vertical="center" indent="1"/>
    </xf>
    <xf numFmtId="0" fontId="0" fillId="0" borderId="46" xfId="0" applyBorder="1" applyAlignment="1">
      <alignment horizontal="left" indent="1"/>
    </xf>
    <xf numFmtId="0" fontId="61" fillId="15" borderId="43" xfId="0" applyFont="1" applyFill="1" applyBorder="1"/>
    <xf numFmtId="0" fontId="61" fillId="15" borderId="44" xfId="0" applyFont="1" applyFill="1" applyBorder="1"/>
    <xf numFmtId="0" fontId="61" fillId="15" borderId="45" xfId="0" applyFont="1" applyFill="1" applyBorder="1"/>
    <xf numFmtId="164" fontId="0" fillId="0" borderId="47" xfId="0" applyNumberFormat="1" applyBorder="1"/>
    <xf numFmtId="9" fontId="0" fillId="0" borderId="0" xfId="2" applyFont="1" applyAlignment="1"/>
    <xf numFmtId="0" fontId="64" fillId="0" borderId="48" xfId="0" applyFont="1" applyBorder="1" applyAlignment="1">
      <alignment horizontal="left" vertical="center"/>
    </xf>
    <xf numFmtId="0" fontId="64" fillId="0" borderId="49" xfId="0" applyFont="1" applyBorder="1"/>
    <xf numFmtId="164" fontId="64" fillId="0" borderId="49" xfId="3" applyFont="1" applyBorder="1" applyAlignment="1"/>
    <xf numFmtId="164" fontId="64" fillId="0" borderId="50" xfId="3" applyFont="1" applyBorder="1" applyAlignment="1"/>
    <xf numFmtId="0" fontId="18" fillId="0" borderId="0" xfId="0" applyFont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66" fillId="0" borderId="1" xfId="0" applyFont="1" applyBorder="1"/>
    <xf numFmtId="175" fontId="18" fillId="0" borderId="0" xfId="0" applyNumberFormat="1" applyFont="1" applyBorder="1"/>
    <xf numFmtId="175" fontId="18" fillId="0" borderId="0" xfId="0" applyNumberFormat="1" applyFont="1" applyFill="1" applyBorder="1"/>
    <xf numFmtId="175" fontId="18" fillId="0" borderId="0" xfId="0" applyNumberFormat="1" applyFont="1" applyBorder="1" applyAlignment="1">
      <alignment horizontal="right"/>
    </xf>
    <xf numFmtId="175" fontId="18" fillId="0" borderId="2" xfId="0" applyNumberFormat="1" applyFont="1" applyBorder="1" applyAlignment="1">
      <alignment horizontal="right"/>
    </xf>
    <xf numFmtId="175" fontId="18" fillId="0" borderId="2" xfId="0" applyNumberFormat="1" applyFont="1" applyFill="1" applyBorder="1"/>
    <xf numFmtId="176" fontId="18" fillId="0" borderId="4" xfId="0" applyNumberFormat="1" applyFont="1" applyBorder="1" applyAlignment="1">
      <alignment horizontal="right"/>
    </xf>
    <xf numFmtId="176" fontId="18" fillId="0" borderId="4" xfId="0" applyNumberFormat="1" applyFont="1" applyFill="1" applyBorder="1" applyAlignment="1">
      <alignment horizontal="right"/>
    </xf>
    <xf numFmtId="176" fontId="18" fillId="0" borderId="5" xfId="0" applyNumberFormat="1" applyFont="1" applyBorder="1" applyAlignment="1">
      <alignment horizontal="right"/>
    </xf>
    <xf numFmtId="0" fontId="21" fillId="7" borderId="0" xfId="0" applyFont="1" applyFill="1" applyBorder="1"/>
    <xf numFmtId="0" fontId="21" fillId="5" borderId="52" xfId="0" applyFont="1" applyFill="1" applyBorder="1"/>
    <xf numFmtId="0" fontId="19" fillId="0" borderId="7" xfId="0" applyFont="1" applyBorder="1" applyAlignment="1">
      <alignment horizontal="left"/>
    </xf>
    <xf numFmtId="0" fontId="21" fillId="7" borderId="54" xfId="0" applyFont="1" applyFill="1" applyBorder="1"/>
    <xf numFmtId="0" fontId="67" fillId="7" borderId="54" xfId="0" applyFont="1" applyFill="1" applyBorder="1"/>
    <xf numFmtId="0" fontId="67" fillId="7" borderId="0" xfId="0" applyFont="1" applyFill="1" applyBorder="1"/>
    <xf numFmtId="0" fontId="42" fillId="0" borderId="0" xfId="0" applyFont="1" applyFill="1"/>
    <xf numFmtId="0" fontId="42" fillId="0" borderId="2" xfId="0" applyFont="1" applyFill="1" applyBorder="1"/>
    <xf numFmtId="0" fontId="18" fillId="22" borderId="0" xfId="0" applyFont="1" applyFill="1"/>
    <xf numFmtId="0" fontId="18" fillId="22" borderId="2" xfId="0" applyFont="1" applyFill="1" applyBorder="1"/>
    <xf numFmtId="0" fontId="18" fillId="22" borderId="51" xfId="0" applyFont="1" applyFill="1" applyBorder="1" applyAlignment="1">
      <alignment horizontal="center" vertical="center"/>
    </xf>
    <xf numFmtId="0" fontId="26" fillId="22" borderId="0" xfId="0" applyFont="1" applyFill="1"/>
    <xf numFmtId="0" fontId="42" fillId="22" borderId="0" xfId="0" applyFont="1" applyFill="1"/>
    <xf numFmtId="0" fontId="42" fillId="22" borderId="2" xfId="0" applyFont="1" applyFill="1" applyBorder="1"/>
    <xf numFmtId="0" fontId="18" fillId="22" borderId="4" xfId="0" applyFont="1" applyFill="1" applyBorder="1"/>
    <xf numFmtId="0" fontId="18" fillId="22" borderId="5" xfId="0" applyFont="1" applyFill="1" applyBorder="1"/>
    <xf numFmtId="0" fontId="18" fillId="22" borderId="52" xfId="0" applyFont="1" applyFill="1" applyBorder="1" applyAlignment="1">
      <alignment horizontal="center" vertical="center"/>
    </xf>
    <xf numFmtId="0" fontId="42" fillId="22" borderId="4" xfId="0" applyFont="1" applyFill="1" applyBorder="1"/>
    <xf numFmtId="0" fontId="42" fillId="22" borderId="5" xfId="0" applyFont="1" applyFill="1" applyBorder="1"/>
    <xf numFmtId="0" fontId="42" fillId="22" borderId="51" xfId="0" applyFont="1" applyFill="1" applyBorder="1" applyAlignment="1">
      <alignment horizontal="center" vertical="center"/>
    </xf>
    <xf numFmtId="0" fontId="42" fillId="22" borderId="0" xfId="0" applyFont="1" applyFill="1" applyAlignment="1">
      <alignment horizontal="right"/>
    </xf>
    <xf numFmtId="0" fontId="42" fillId="22" borderId="52" xfId="0" applyFont="1" applyFill="1" applyBorder="1" applyAlignment="1">
      <alignment horizontal="center" vertical="center"/>
    </xf>
    <xf numFmtId="0" fontId="26" fillId="22" borderId="2" xfId="0" applyFont="1" applyFill="1" applyBorder="1"/>
    <xf numFmtId="0" fontId="42" fillId="0" borderId="51" xfId="0" applyFont="1" applyFill="1" applyBorder="1" applyAlignment="1">
      <alignment horizontal="center" vertical="center"/>
    </xf>
    <xf numFmtId="0" fontId="26" fillId="0" borderId="0" xfId="0" applyFont="1" applyFill="1"/>
    <xf numFmtId="0" fontId="26" fillId="0" borderId="2" xfId="0" applyFont="1" applyFill="1" applyBorder="1"/>
    <xf numFmtId="0" fontId="18" fillId="0" borderId="51" xfId="0" applyFont="1" applyFill="1" applyBorder="1" applyAlignment="1">
      <alignment horizontal="center" vertical="center"/>
    </xf>
    <xf numFmtId="0" fontId="18" fillId="23" borderId="7" xfId="0" applyFont="1" applyFill="1" applyBorder="1"/>
    <xf numFmtId="0" fontId="18" fillId="23" borderId="8" xfId="0" applyFont="1" applyFill="1" applyBorder="1"/>
    <xf numFmtId="0" fontId="18" fillId="23" borderId="53" xfId="0" applyFont="1" applyFill="1" applyBorder="1" applyAlignment="1">
      <alignment horizontal="center" vertical="center"/>
    </xf>
    <xf numFmtId="0" fontId="18" fillId="23" borderId="4" xfId="0" applyFont="1" applyFill="1" applyBorder="1"/>
    <xf numFmtId="0" fontId="18" fillId="23" borderId="5" xfId="0" applyFont="1" applyFill="1" applyBorder="1"/>
    <xf numFmtId="0" fontId="18" fillId="23" borderId="52" xfId="0" applyFont="1" applyFill="1" applyBorder="1" applyAlignment="1">
      <alignment horizontal="center" vertical="center"/>
    </xf>
    <xf numFmtId="0" fontId="18" fillId="23" borderId="0" xfId="0" applyFont="1" applyFill="1"/>
    <xf numFmtId="0" fontId="18" fillId="23" borderId="2" xfId="0" applyFont="1" applyFill="1" applyBorder="1"/>
    <xf numFmtId="0" fontId="18" fillId="23" borderId="51" xfId="0" applyFont="1" applyFill="1" applyBorder="1" applyAlignment="1">
      <alignment horizontal="center" vertical="center"/>
    </xf>
    <xf numFmtId="0" fontId="42" fillId="23" borderId="0" xfId="0" applyFont="1" applyFill="1"/>
    <xf numFmtId="0" fontId="42" fillId="23" borderId="2" xfId="0" applyFont="1" applyFill="1" applyBorder="1"/>
    <xf numFmtId="0" fontId="42" fillId="23" borderId="51" xfId="0" applyFont="1" applyFill="1" applyBorder="1" applyAlignment="1">
      <alignment horizontal="center" vertical="center"/>
    </xf>
    <xf numFmtId="0" fontId="42" fillId="23" borderId="4" xfId="0" applyFont="1" applyFill="1" applyBorder="1"/>
    <xf numFmtId="0" fontId="42" fillId="23" borderId="5" xfId="0" applyFont="1" applyFill="1" applyBorder="1"/>
    <xf numFmtId="0" fontId="42" fillId="23" borderId="52" xfId="0" applyFont="1" applyFill="1" applyBorder="1" applyAlignment="1">
      <alignment horizontal="center" vertical="center"/>
    </xf>
    <xf numFmtId="9" fontId="42" fillId="23" borderId="0" xfId="0" applyNumberFormat="1" applyFont="1" applyFill="1" applyAlignment="1">
      <alignment horizontal="right"/>
    </xf>
    <xf numFmtId="9" fontId="42" fillId="23" borderId="4" xfId="0" applyNumberFormat="1" applyFont="1" applyFill="1" applyBorder="1" applyAlignment="1">
      <alignment horizontal="right"/>
    </xf>
    <xf numFmtId="0" fontId="70" fillId="23" borderId="51" xfId="0" applyFont="1" applyFill="1" applyBorder="1" applyAlignment="1">
      <alignment horizontal="center" vertical="center"/>
    </xf>
    <xf numFmtId="0" fontId="42" fillId="23" borderId="55" xfId="0" applyFont="1" applyFill="1" applyBorder="1" applyAlignment="1">
      <alignment horizontal="center" vertical="center"/>
    </xf>
    <xf numFmtId="0" fontId="42" fillId="23" borderId="8" xfId="0" applyFont="1" applyFill="1" applyBorder="1"/>
    <xf numFmtId="0" fontId="71" fillId="23" borderId="51" xfId="0" applyFont="1" applyFill="1" applyBorder="1" applyAlignment="1">
      <alignment horizontal="center" vertical="center"/>
    </xf>
    <xf numFmtId="0" fontId="26" fillId="23" borderId="0" xfId="0" applyFont="1" applyFill="1"/>
    <xf numFmtId="0" fontId="26" fillId="23" borderId="2" xfId="0" applyFont="1" applyFill="1" applyBorder="1"/>
    <xf numFmtId="0" fontId="74" fillId="0" borderId="0" xfId="0" applyFont="1"/>
    <xf numFmtId="0" fontId="26" fillId="0" borderId="0" xfId="0" applyFont="1" applyFill="1" applyBorder="1"/>
    <xf numFmtId="0" fontId="18" fillId="0" borderId="0" xfId="0" applyFont="1" applyFill="1" applyBorder="1" applyAlignment="1">
      <alignment horizontal="center" vertical="center"/>
    </xf>
    <xf numFmtId="164" fontId="51" fillId="0" borderId="31" xfId="3" applyFont="1" applyBorder="1" applyAlignment="1"/>
    <xf numFmtId="164" fontId="51" fillId="0" borderId="31" xfId="0" applyNumberFormat="1" applyFont="1" applyBorder="1"/>
    <xf numFmtId="9" fontId="51" fillId="0" borderId="25" xfId="2" applyNumberFormat="1" applyFont="1" applyBorder="1" applyAlignment="1"/>
    <xf numFmtId="38" fontId="51" fillId="0" borderId="0" xfId="0" applyNumberFormat="1" applyFont="1"/>
    <xf numFmtId="38" fontId="51" fillId="24" borderId="25" xfId="3" applyNumberFormat="1" applyFont="1" applyFill="1" applyBorder="1" applyAlignment="1"/>
    <xf numFmtId="166" fontId="51" fillId="0" borderId="0" xfId="0" applyNumberFormat="1" applyFont="1"/>
    <xf numFmtId="0" fontId="54" fillId="17" borderId="32" xfId="0" applyFont="1" applyFill="1" applyBorder="1" applyAlignment="1">
      <alignment horizontal="center"/>
    </xf>
    <xf numFmtId="0" fontId="54" fillId="17" borderId="8" xfId="0" applyFont="1" applyFill="1" applyBorder="1" applyAlignment="1">
      <alignment horizontal="center"/>
    </xf>
    <xf numFmtId="0" fontId="75" fillId="0" borderId="0" xfId="0" applyFont="1"/>
    <xf numFmtId="0" fontId="76" fillId="0" borderId="0" xfId="0" applyFont="1"/>
    <xf numFmtId="0" fontId="27" fillId="15" borderId="0" xfId="0" applyFont="1" applyFill="1" applyBorder="1" applyAlignment="1" applyProtection="1">
      <protection locked="0"/>
    </xf>
    <xf numFmtId="0" fontId="39" fillId="15" borderId="0" xfId="0" applyFont="1" applyFill="1" applyBorder="1" applyAlignment="1" applyProtection="1">
      <protection locked="0"/>
    </xf>
    <xf numFmtId="0" fontId="77" fillId="0" borderId="0" xfId="0" applyFont="1"/>
    <xf numFmtId="0" fontId="20" fillId="10" borderId="0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167" fontId="36" fillId="8" borderId="6" xfId="0" applyNumberFormat="1" applyFont="1" applyFill="1" applyBorder="1" applyAlignment="1" applyProtection="1">
      <alignment horizontal="center"/>
      <protection locked="0"/>
    </xf>
    <xf numFmtId="167" fontId="36" fillId="8" borderId="7" xfId="0" applyNumberFormat="1" applyFont="1" applyFill="1" applyBorder="1" applyAlignment="1" applyProtection="1">
      <alignment horizontal="center"/>
      <protection locked="0"/>
    </xf>
    <xf numFmtId="167" fontId="36" fillId="8" borderId="8" xfId="0" applyNumberFormat="1" applyFont="1" applyFill="1" applyBorder="1" applyAlignment="1" applyProtection="1">
      <alignment horizontal="center"/>
      <protection locked="0"/>
    </xf>
    <xf numFmtId="167" fontId="36" fillId="8" borderId="0" xfId="0" applyNumberFormat="1" applyFont="1" applyFill="1" applyBorder="1" applyAlignment="1" applyProtection="1">
      <alignment horizontal="center"/>
      <protection locked="0"/>
    </xf>
    <xf numFmtId="0" fontId="4" fillId="0" borderId="44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left" vertical="center"/>
    </xf>
    <xf numFmtId="0" fontId="58" fillId="0" borderId="4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64" fillId="0" borderId="49" xfId="0" applyFont="1" applyBorder="1" applyAlignment="1">
      <alignment horizontal="left" vertical="center"/>
    </xf>
    <xf numFmtId="0" fontId="79" fillId="0" borderId="0" xfId="0" applyFont="1" applyAlignment="1">
      <alignment horizontal="center"/>
    </xf>
    <xf numFmtId="0" fontId="79" fillId="0" borderId="0" xfId="0" applyFont="1" applyFill="1" applyAlignment="1">
      <alignment horizontal="center"/>
    </xf>
    <xf numFmtId="0" fontId="21" fillId="25" borderId="0" xfId="0" applyFont="1" applyFill="1" applyBorder="1" applyAlignment="1">
      <alignment horizontal="center" vertical="center"/>
    </xf>
    <xf numFmtId="0" fontId="21" fillId="25" borderId="0" xfId="0" applyFont="1" applyFill="1" applyBorder="1" applyAlignment="1">
      <alignment horizontal="center" vertical="center"/>
    </xf>
    <xf numFmtId="0" fontId="22" fillId="25" borderId="0" xfId="0" applyFont="1" applyFill="1" applyBorder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0" fontId="65" fillId="8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8" fillId="0" borderId="0" xfId="0" applyFont="1" applyAlignment="1" applyProtection="1">
      <protection locked="0"/>
    </xf>
  </cellXfs>
  <cellStyles count="10">
    <cellStyle name="Comma" xfId="1" builtinId="3"/>
    <cellStyle name="Comma [0]" xfId="3" builtinId="6"/>
    <cellStyle name="Comma [0] 2" xfId="6" xr:uid="{00000000-0005-0000-0000-000000000000}"/>
    <cellStyle name="Normal" xfId="0" builtinId="0"/>
    <cellStyle name="Normal 2" xfId="4" xr:uid="{00000000-0005-0000-0000-000001000000}"/>
    <cellStyle name="Normal 3" xfId="5" xr:uid="{00000000-0005-0000-0000-000002000000}"/>
    <cellStyle name="Percent" xfId="2" builtinId="5"/>
    <cellStyle name="백분율 2" xfId="9" xr:uid="{00000000-0005-0000-0000-000004000000}"/>
    <cellStyle name="쉼표 [0] 2" xfId="8" xr:uid="{00000000-0005-0000-0000-000007000000}"/>
    <cellStyle name="표준 2" xfId="7" xr:uid="{00000000-0005-0000-0000-000009000000}"/>
  </cellStyles>
  <dxfs count="0"/>
  <tableStyles count="0" defaultTableStyle="TableStyleMedium2" defaultPivotStyle="PivotStyleLight16"/>
  <colors>
    <mruColors>
      <color rgb="FF0099FF"/>
      <color rgb="FFFFFF99"/>
      <color rgb="FF00FF99"/>
      <color rgb="FF0066FF"/>
      <color rgb="FF00FF00"/>
      <color rgb="FFFF99FF"/>
      <color rgb="FF808080"/>
      <color rgb="FFF72009"/>
      <color rgb="FFF966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NAV</a:t>
            </a:r>
            <a:r>
              <a:rPr lang="en-US" baseline="0"/>
              <a:t> History (2018~)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'NAV Analysis'!$M$2:$M$61</c:f>
              <c:numCache>
                <c:formatCode>m/d/yyyy</c:formatCode>
                <c:ptCount val="60"/>
                <c:pt idx="0">
                  <c:v>43120</c:v>
                </c:pt>
                <c:pt idx="1">
                  <c:v>43156</c:v>
                </c:pt>
                <c:pt idx="2">
                  <c:v>43187</c:v>
                </c:pt>
                <c:pt idx="3">
                  <c:v>43209</c:v>
                </c:pt>
                <c:pt idx="4">
                  <c:v>43209</c:v>
                </c:pt>
                <c:pt idx="5">
                  <c:v>43227</c:v>
                </c:pt>
                <c:pt idx="6">
                  <c:v>43268</c:v>
                </c:pt>
                <c:pt idx="7">
                  <c:v>43275</c:v>
                </c:pt>
                <c:pt idx="8">
                  <c:v>43282</c:v>
                </c:pt>
                <c:pt idx="9">
                  <c:v>43296</c:v>
                </c:pt>
                <c:pt idx="10">
                  <c:v>43310</c:v>
                </c:pt>
                <c:pt idx="11">
                  <c:v>43359</c:v>
                </c:pt>
                <c:pt idx="12">
                  <c:v>43456</c:v>
                </c:pt>
                <c:pt idx="13">
                  <c:v>43464</c:v>
                </c:pt>
                <c:pt idx="14">
                  <c:v>43464</c:v>
                </c:pt>
                <c:pt idx="15">
                  <c:v>43497</c:v>
                </c:pt>
                <c:pt idx="16">
                  <c:v>43546</c:v>
                </c:pt>
                <c:pt idx="17">
                  <c:v>43646</c:v>
                </c:pt>
                <c:pt idx="18">
                  <c:v>43768</c:v>
                </c:pt>
                <c:pt idx="19">
                  <c:v>43807</c:v>
                </c:pt>
                <c:pt idx="20">
                  <c:v>43821</c:v>
                </c:pt>
                <c:pt idx="21">
                  <c:v>43831</c:v>
                </c:pt>
                <c:pt idx="22">
                  <c:v>43843</c:v>
                </c:pt>
                <c:pt idx="23">
                  <c:v>43850</c:v>
                </c:pt>
                <c:pt idx="24">
                  <c:v>43863</c:v>
                </c:pt>
                <c:pt idx="25">
                  <c:v>43881</c:v>
                </c:pt>
                <c:pt idx="26">
                  <c:v>43890</c:v>
                </c:pt>
                <c:pt idx="27">
                  <c:v>43891</c:v>
                </c:pt>
                <c:pt idx="28">
                  <c:v>43898</c:v>
                </c:pt>
                <c:pt idx="29">
                  <c:v>43912</c:v>
                </c:pt>
                <c:pt idx="30">
                  <c:v>43928</c:v>
                </c:pt>
                <c:pt idx="31">
                  <c:v>43929</c:v>
                </c:pt>
                <c:pt idx="32">
                  <c:v>43933</c:v>
                </c:pt>
                <c:pt idx="33">
                  <c:v>43947</c:v>
                </c:pt>
                <c:pt idx="34">
                  <c:v>43962</c:v>
                </c:pt>
                <c:pt idx="35">
                  <c:v>43975</c:v>
                </c:pt>
                <c:pt idx="36">
                  <c:v>43982</c:v>
                </c:pt>
                <c:pt idx="37">
                  <c:v>43990</c:v>
                </c:pt>
                <c:pt idx="38">
                  <c:v>43993</c:v>
                </c:pt>
                <c:pt idx="39">
                  <c:v>44003</c:v>
                </c:pt>
                <c:pt idx="40">
                  <c:v>44002</c:v>
                </c:pt>
                <c:pt idx="41">
                  <c:v>44010</c:v>
                </c:pt>
                <c:pt idx="42">
                  <c:v>44038</c:v>
                </c:pt>
                <c:pt idx="43">
                  <c:v>44059</c:v>
                </c:pt>
                <c:pt idx="44">
                  <c:v>43831</c:v>
                </c:pt>
                <c:pt idx="45">
                  <c:v>44227</c:v>
                </c:pt>
                <c:pt idx="46">
                  <c:v>44248</c:v>
                </c:pt>
                <c:pt idx="47">
                  <c:v>44262</c:v>
                </c:pt>
                <c:pt idx="48">
                  <c:v>44268</c:v>
                </c:pt>
                <c:pt idx="49">
                  <c:v>44276</c:v>
                </c:pt>
                <c:pt idx="50">
                  <c:v>44291</c:v>
                </c:pt>
                <c:pt idx="51">
                  <c:v>44367</c:v>
                </c:pt>
                <c:pt idx="52">
                  <c:v>44374</c:v>
                </c:pt>
                <c:pt idx="53">
                  <c:v>44556</c:v>
                </c:pt>
                <c:pt idx="54">
                  <c:v>44397</c:v>
                </c:pt>
                <c:pt idx="55">
                  <c:v>44402</c:v>
                </c:pt>
                <c:pt idx="56">
                  <c:v>44465</c:v>
                </c:pt>
                <c:pt idx="57">
                  <c:v>44528</c:v>
                </c:pt>
                <c:pt idx="58">
                  <c:v>44542</c:v>
                </c:pt>
                <c:pt idx="59">
                  <c:v>44556</c:v>
                </c:pt>
              </c:numCache>
            </c:numRef>
          </c:cat>
          <c:val>
            <c:numRef>
              <c:f>'NAV Analysis'!$N$2:$N$61</c:f>
              <c:numCache>
                <c:formatCode>_(* #,##0_);_(* \(#,##0\);_(* "-"??_);_(@_)</c:formatCode>
                <c:ptCount val="60"/>
                <c:pt idx="0">
                  <c:v>79626457</c:v>
                </c:pt>
                <c:pt idx="1">
                  <c:v>84743208</c:v>
                </c:pt>
                <c:pt idx="2">
                  <c:v>81571912</c:v>
                </c:pt>
                <c:pt idx="3">
                  <c:v>77308611</c:v>
                </c:pt>
                <c:pt idx="4">
                  <c:v>67091331.29792878</c:v>
                </c:pt>
                <c:pt idx="5">
                  <c:v>64670500</c:v>
                </c:pt>
                <c:pt idx="6">
                  <c:v>74661908</c:v>
                </c:pt>
                <c:pt idx="7">
                  <c:v>78761327</c:v>
                </c:pt>
                <c:pt idx="8">
                  <c:v>77832486</c:v>
                </c:pt>
                <c:pt idx="9">
                  <c:v>82414535</c:v>
                </c:pt>
                <c:pt idx="10">
                  <c:v>91021684</c:v>
                </c:pt>
                <c:pt idx="11">
                  <c:v>87676736</c:v>
                </c:pt>
                <c:pt idx="12">
                  <c:v>64220872</c:v>
                </c:pt>
                <c:pt idx="13">
                  <c:v>65041409</c:v>
                </c:pt>
                <c:pt idx="14">
                  <c:v>65041409</c:v>
                </c:pt>
                <c:pt idx="15">
                  <c:v>64815409</c:v>
                </c:pt>
                <c:pt idx="16">
                  <c:v>83628440</c:v>
                </c:pt>
                <c:pt idx="17">
                  <c:v>86877830</c:v>
                </c:pt>
                <c:pt idx="18">
                  <c:v>95877830</c:v>
                </c:pt>
                <c:pt idx="19">
                  <c:v>90164208</c:v>
                </c:pt>
                <c:pt idx="20">
                  <c:v>94128004</c:v>
                </c:pt>
                <c:pt idx="21">
                  <c:v>96479416</c:v>
                </c:pt>
                <c:pt idx="22">
                  <c:v>92581242</c:v>
                </c:pt>
                <c:pt idx="23">
                  <c:v>96430989</c:v>
                </c:pt>
                <c:pt idx="24">
                  <c:v>98117550</c:v>
                </c:pt>
                <c:pt idx="25">
                  <c:v>93617550</c:v>
                </c:pt>
                <c:pt idx="26">
                  <c:v>88398030</c:v>
                </c:pt>
                <c:pt idx="27">
                  <c:v>89766485</c:v>
                </c:pt>
                <c:pt idx="28">
                  <c:v>83792444</c:v>
                </c:pt>
                <c:pt idx="29">
                  <c:v>83362444</c:v>
                </c:pt>
                <c:pt idx="30">
                  <c:v>83335316</c:v>
                </c:pt>
                <c:pt idx="31">
                  <c:v>83861327</c:v>
                </c:pt>
                <c:pt idx="32">
                  <c:v>83256437</c:v>
                </c:pt>
                <c:pt idx="33">
                  <c:v>85257930</c:v>
                </c:pt>
                <c:pt idx="34">
                  <c:v>87345190</c:v>
                </c:pt>
                <c:pt idx="35">
                  <c:v>104934315</c:v>
                </c:pt>
                <c:pt idx="36">
                  <c:v>108395626</c:v>
                </c:pt>
                <c:pt idx="37">
                  <c:v>94349605</c:v>
                </c:pt>
                <c:pt idx="38">
                  <c:v>91033462</c:v>
                </c:pt>
                <c:pt idx="39">
                  <c:v>124502655</c:v>
                </c:pt>
                <c:pt idx="40">
                  <c:v>124424055</c:v>
                </c:pt>
                <c:pt idx="41">
                  <c:v>118243883</c:v>
                </c:pt>
                <c:pt idx="42">
                  <c:v>122992028</c:v>
                </c:pt>
                <c:pt idx="43">
                  <c:v>118537954</c:v>
                </c:pt>
                <c:pt idx="44">
                  <c:v>96479416</c:v>
                </c:pt>
                <c:pt idx="45">
                  <c:v>110477184</c:v>
                </c:pt>
                <c:pt idx="46">
                  <c:v>152875375</c:v>
                </c:pt>
                <c:pt idx="47">
                  <c:v>86264663</c:v>
                </c:pt>
                <c:pt idx="48">
                  <c:v>86264663</c:v>
                </c:pt>
                <c:pt idx="49">
                  <c:v>94329780</c:v>
                </c:pt>
                <c:pt idx="50">
                  <c:v>95052453</c:v>
                </c:pt>
                <c:pt idx="51">
                  <c:v>81179756</c:v>
                </c:pt>
                <c:pt idx="52">
                  <c:v>81028018</c:v>
                </c:pt>
                <c:pt idx="53">
                  <c:v>80910907</c:v>
                </c:pt>
                <c:pt idx="54">
                  <c:v>80731386</c:v>
                </c:pt>
                <c:pt idx="55">
                  <c:v>84289672</c:v>
                </c:pt>
                <c:pt idx="56">
                  <c:v>80009769</c:v>
                </c:pt>
                <c:pt idx="57">
                  <c:v>71444423</c:v>
                </c:pt>
                <c:pt idx="58">
                  <c:v>55454351</c:v>
                </c:pt>
                <c:pt idx="59">
                  <c:v>57834773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8-B24B-A0CA-93D25DA4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67264"/>
        <c:axId val="177845888"/>
      </c:lineChart>
      <c:dateAx>
        <c:axId val="185867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7845888"/>
        <c:crosses val="autoZero"/>
        <c:auto val="1"/>
        <c:lblOffset val="100"/>
        <c:baseTimeUnit val="days"/>
      </c:dateAx>
      <c:valAx>
        <c:axId val="177845888"/>
        <c:scaling>
          <c:orientation val="minMax"/>
          <c:min val="5000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8586726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58640</xdr:colOff>
      <xdr:row>88</xdr:row>
      <xdr:rowOff>28451</xdr:rowOff>
    </xdr:from>
    <xdr:to>
      <xdr:col>10</xdr:col>
      <xdr:colOff>584453</xdr:colOff>
      <xdr:row>99</xdr:row>
      <xdr:rowOff>150060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4799C63-22A2-4E49-AD6C-99A6BADAE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005" y="14175147"/>
          <a:ext cx="5024926" cy="195040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38197</xdr:colOff>
      <xdr:row>91</xdr:row>
      <xdr:rowOff>130964</xdr:rowOff>
    </xdr:from>
    <xdr:to>
      <xdr:col>22</xdr:col>
      <xdr:colOff>271250</xdr:colOff>
      <xdr:row>97</xdr:row>
      <xdr:rowOff>79904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23730BA-DFB9-4E80-9B13-E79C712F33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2064"/>
        <a:stretch/>
      </xdr:blipFill>
      <xdr:spPr>
        <a:xfrm>
          <a:off x="6644406" y="14774616"/>
          <a:ext cx="7303087" cy="949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11213</xdr:rowOff>
    </xdr:from>
    <xdr:to>
      <xdr:col>10</xdr:col>
      <xdr:colOff>896471</xdr:colOff>
      <xdr:row>21</xdr:row>
      <xdr:rowOff>179294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20FA4-BBBF-4EB9-B270-EEA6BE838A33}">
  <sheetPr>
    <tabColor theme="1"/>
  </sheetPr>
  <dimension ref="B4:AE39"/>
  <sheetViews>
    <sheetView showGridLines="0" tabSelected="1" zoomScaleNormal="100" workbookViewId="0">
      <selection activeCell="E6" sqref="E6"/>
    </sheetView>
  </sheetViews>
  <sheetFormatPr defaultRowHeight="13.8"/>
  <cols>
    <col min="1" max="1" width="4.3984375" customWidth="1"/>
  </cols>
  <sheetData>
    <row r="4" spans="2:31" ht="14.4">
      <c r="B4" s="435" t="s">
        <v>529</v>
      </c>
      <c r="C4" s="435"/>
      <c r="D4" s="435"/>
      <c r="E4" s="435"/>
      <c r="F4" s="435"/>
      <c r="G4" s="435" t="s">
        <v>530</v>
      </c>
      <c r="H4" s="435"/>
      <c r="I4" s="435"/>
      <c r="J4" s="435"/>
      <c r="K4" s="435"/>
      <c r="L4" s="435" t="s">
        <v>531</v>
      </c>
      <c r="M4" s="435"/>
      <c r="N4" s="435"/>
      <c r="O4" s="435"/>
      <c r="P4" s="435"/>
      <c r="Q4" s="435" t="s">
        <v>532</v>
      </c>
      <c r="R4" s="435"/>
      <c r="S4" s="435"/>
      <c r="T4" s="435"/>
      <c r="U4" s="436" t="s">
        <v>563</v>
      </c>
      <c r="V4" s="436"/>
      <c r="W4" s="436"/>
      <c r="X4" s="436"/>
      <c r="Y4" s="436"/>
      <c r="Z4" s="436" t="s">
        <v>565</v>
      </c>
      <c r="AA4" s="436"/>
      <c r="AB4" s="436"/>
      <c r="AC4" s="436"/>
      <c r="AD4" s="436"/>
      <c r="AE4" s="436"/>
    </row>
    <row r="5" spans="2:31">
      <c r="B5" s="435" t="s">
        <v>533</v>
      </c>
      <c r="C5" s="435"/>
      <c r="D5" s="435"/>
      <c r="E5" s="435"/>
      <c r="F5" s="435"/>
      <c r="G5" s="435" t="s">
        <v>534</v>
      </c>
      <c r="H5" s="435"/>
      <c r="I5" s="435"/>
      <c r="J5" s="435"/>
      <c r="K5" s="435"/>
      <c r="L5" s="435" t="s">
        <v>535</v>
      </c>
      <c r="M5" s="435"/>
      <c r="N5" s="435"/>
      <c r="O5" s="435"/>
      <c r="P5" s="435"/>
      <c r="Q5" s="435" t="s">
        <v>536</v>
      </c>
      <c r="R5" s="435"/>
      <c r="S5" s="435"/>
      <c r="T5" s="435"/>
      <c r="U5" s="435" t="s">
        <v>564</v>
      </c>
      <c r="V5" s="435"/>
      <c r="W5" s="435"/>
      <c r="X5" s="435"/>
      <c r="Y5" s="435"/>
      <c r="Z5" s="435" t="s">
        <v>566</v>
      </c>
      <c r="AA5" s="435"/>
      <c r="AB5" s="435"/>
      <c r="AC5" s="435"/>
      <c r="AD5" s="435"/>
      <c r="AE5" s="435"/>
    </row>
    <row r="7" spans="2:31" ht="14.4">
      <c r="B7" s="433" t="s">
        <v>537</v>
      </c>
      <c r="G7" s="433" t="s">
        <v>574</v>
      </c>
      <c r="L7" s="433" t="s">
        <v>593</v>
      </c>
    </row>
    <row r="8" spans="2:31" ht="14.4">
      <c r="B8" s="433" t="s">
        <v>538</v>
      </c>
      <c r="G8" s="433" t="s">
        <v>575</v>
      </c>
      <c r="L8" s="304" t="s">
        <v>594</v>
      </c>
    </row>
    <row r="9" spans="2:31" ht="14.4">
      <c r="B9" s="434" t="s">
        <v>539</v>
      </c>
      <c r="G9" s="304" t="s">
        <v>576</v>
      </c>
      <c r="L9" s="433" t="s">
        <v>595</v>
      </c>
    </row>
    <row r="10" spans="2:31" ht="14.4">
      <c r="B10" s="434" t="s">
        <v>540</v>
      </c>
      <c r="G10" s="433" t="s">
        <v>577</v>
      </c>
      <c r="L10" s="434" t="s">
        <v>596</v>
      </c>
    </row>
    <row r="11" spans="2:31" ht="14.4">
      <c r="B11" s="434" t="s">
        <v>541</v>
      </c>
      <c r="G11" s="434" t="s">
        <v>578</v>
      </c>
      <c r="L11" s="433" t="s">
        <v>597</v>
      </c>
    </row>
    <row r="12" spans="2:31" ht="14.4">
      <c r="B12" s="434" t="s">
        <v>542</v>
      </c>
      <c r="G12" s="434" t="s">
        <v>579</v>
      </c>
      <c r="L12" s="433" t="s">
        <v>598</v>
      </c>
    </row>
    <row r="13" spans="2:31" ht="14.4">
      <c r="B13" s="434" t="s">
        <v>543</v>
      </c>
      <c r="G13" s="433" t="s">
        <v>580</v>
      </c>
      <c r="L13" s="433" t="s">
        <v>599</v>
      </c>
    </row>
    <row r="14" spans="2:31" ht="14.4">
      <c r="B14" s="434" t="s">
        <v>544</v>
      </c>
      <c r="G14" s="437" t="s">
        <v>581</v>
      </c>
      <c r="L14" s="434" t="s">
        <v>600</v>
      </c>
    </row>
    <row r="15" spans="2:31" ht="14.4">
      <c r="B15" s="434" t="s">
        <v>545</v>
      </c>
      <c r="G15" s="433" t="s">
        <v>582</v>
      </c>
      <c r="L15" s="434" t="s">
        <v>601</v>
      </c>
    </row>
    <row r="16" spans="2:31" ht="14.4">
      <c r="B16" s="434" t="s">
        <v>546</v>
      </c>
      <c r="G16" s="433" t="s">
        <v>583</v>
      </c>
      <c r="L16" s="434" t="s">
        <v>602</v>
      </c>
    </row>
    <row r="17" spans="2:12" ht="14.4">
      <c r="B17" s="434" t="s">
        <v>547</v>
      </c>
      <c r="G17" s="434" t="s">
        <v>584</v>
      </c>
      <c r="L17" s="434" t="s">
        <v>603</v>
      </c>
    </row>
    <row r="18" spans="2:12" ht="14.4">
      <c r="B18" s="434" t="s">
        <v>548</v>
      </c>
      <c r="G18" s="434" t="s">
        <v>586</v>
      </c>
      <c r="L18" s="433" t="s">
        <v>604</v>
      </c>
    </row>
    <row r="19" spans="2:12" ht="14.4">
      <c r="B19" s="433" t="s">
        <v>549</v>
      </c>
      <c r="G19" s="434" t="s">
        <v>585</v>
      </c>
      <c r="L19" s="433" t="s">
        <v>605</v>
      </c>
    </row>
    <row r="20" spans="2:12" ht="14.4">
      <c r="B20" s="433" t="s">
        <v>550</v>
      </c>
      <c r="G20" s="434" t="s">
        <v>587</v>
      </c>
    </row>
    <row r="21" spans="2:12" ht="14.4">
      <c r="B21" s="433" t="s">
        <v>551</v>
      </c>
      <c r="G21" s="434" t="s">
        <v>588</v>
      </c>
    </row>
    <row r="22" spans="2:12" ht="14.4">
      <c r="B22" s="433" t="s">
        <v>552</v>
      </c>
      <c r="G22" s="434" t="s">
        <v>589</v>
      </c>
    </row>
    <row r="23" spans="2:12" ht="14.4">
      <c r="B23" s="434" t="s">
        <v>553</v>
      </c>
      <c r="G23" s="433" t="s">
        <v>590</v>
      </c>
    </row>
    <row r="24" spans="2:12" ht="14.4">
      <c r="B24" s="434" t="s">
        <v>554</v>
      </c>
      <c r="G24" s="434" t="s">
        <v>591</v>
      </c>
    </row>
    <row r="25" spans="2:12" ht="14.4">
      <c r="B25" s="434" t="s">
        <v>555</v>
      </c>
      <c r="G25" s="433" t="s">
        <v>592</v>
      </c>
    </row>
    <row r="26" spans="2:12" ht="14.4">
      <c r="B26" s="434" t="s">
        <v>556</v>
      </c>
    </row>
    <row r="27" spans="2:12" ht="14.4">
      <c r="B27" s="434" t="s">
        <v>557</v>
      </c>
    </row>
    <row r="28" spans="2:12" ht="14.4">
      <c r="B28" s="434" t="s">
        <v>558</v>
      </c>
    </row>
    <row r="29" spans="2:12" ht="14.4">
      <c r="B29" s="434" t="s">
        <v>559</v>
      </c>
    </row>
    <row r="30" spans="2:12" ht="14.4">
      <c r="B30" s="434" t="s">
        <v>560</v>
      </c>
    </row>
    <row r="31" spans="2:12" ht="14.4">
      <c r="B31" s="434" t="s">
        <v>561</v>
      </c>
    </row>
    <row r="32" spans="2:12" ht="14.4">
      <c r="B32" s="434" t="s">
        <v>562</v>
      </c>
    </row>
    <row r="33" spans="2:2" ht="14.4">
      <c r="B33" s="433" t="s">
        <v>567</v>
      </c>
    </row>
    <row r="34" spans="2:2" ht="14.4">
      <c r="B34" s="433" t="s">
        <v>568</v>
      </c>
    </row>
    <row r="35" spans="2:2" ht="14.4">
      <c r="B35" s="433" t="s">
        <v>569</v>
      </c>
    </row>
    <row r="36" spans="2:2" ht="14.4">
      <c r="B36" s="434" t="s">
        <v>570</v>
      </c>
    </row>
    <row r="37" spans="2:2" ht="14.4">
      <c r="B37" s="434" t="s">
        <v>571</v>
      </c>
    </row>
    <row r="38" spans="2:2" ht="14.4">
      <c r="B38" s="434" t="s">
        <v>572</v>
      </c>
    </row>
    <row r="39" spans="2:2" ht="14.4">
      <c r="B39" s="434" t="s">
        <v>573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A302-6F21-4BFF-B85F-5C10745E14F1}">
  <dimension ref="A1:D283"/>
  <sheetViews>
    <sheetView zoomScaleNormal="100" workbookViewId="0">
      <selection sqref="A1:C16"/>
    </sheetView>
  </sheetViews>
  <sheetFormatPr defaultRowHeight="13.8"/>
  <cols>
    <col min="1" max="1" width="33.296875" style="2" bestFit="1" customWidth="1"/>
    <col min="2" max="2" width="8.8984375" style="2"/>
    <col min="3" max="3" width="16.8984375" style="2" bestFit="1" customWidth="1"/>
    <col min="4" max="4" width="11.8984375" style="2" bestFit="1" customWidth="1"/>
  </cols>
  <sheetData>
    <row r="1" spans="1:4">
      <c r="A1" s="111">
        <v>43831</v>
      </c>
      <c r="B1" s="23"/>
      <c r="C1" s="25">
        <v>96479416</v>
      </c>
      <c r="D1" s="3"/>
    </row>
    <row r="2" spans="1:4">
      <c r="A2" s="111">
        <v>44227</v>
      </c>
      <c r="B2" s="23"/>
      <c r="C2" s="25">
        <v>110477184</v>
      </c>
      <c r="D2" s="3"/>
    </row>
    <row r="3" spans="1:4">
      <c r="A3" s="111">
        <v>44248</v>
      </c>
      <c r="B3" s="23"/>
      <c r="C3" s="25">
        <v>152875375</v>
      </c>
      <c r="D3" s="3"/>
    </row>
    <row r="4" spans="1:4">
      <c r="A4" s="111">
        <v>44262</v>
      </c>
      <c r="B4" s="23"/>
      <c r="C4" s="25">
        <v>86264663</v>
      </c>
      <c r="D4" s="3"/>
    </row>
    <row r="5" spans="1:4">
      <c r="A5" s="111">
        <v>44268</v>
      </c>
      <c r="B5" s="23"/>
      <c r="C5" s="25">
        <v>86264663</v>
      </c>
      <c r="D5" s="3"/>
    </row>
    <row r="6" spans="1:4">
      <c r="A6" s="111">
        <v>44276</v>
      </c>
      <c r="B6" s="23"/>
      <c r="C6" s="25">
        <v>94329780</v>
      </c>
    </row>
    <row r="7" spans="1:4">
      <c r="A7" s="111">
        <v>44291</v>
      </c>
      <c r="B7" s="23"/>
      <c r="C7" s="25">
        <v>95052453</v>
      </c>
      <c r="D7" s="3"/>
    </row>
    <row r="8" spans="1:4">
      <c r="A8" s="111">
        <v>44367</v>
      </c>
      <c r="B8" s="23"/>
      <c r="C8" s="25">
        <v>81179756</v>
      </c>
      <c r="D8" s="3"/>
    </row>
    <row r="9" spans="1:4">
      <c r="A9" s="111">
        <v>44374</v>
      </c>
      <c r="B9" s="23"/>
      <c r="C9" s="25">
        <v>81028018</v>
      </c>
      <c r="D9" s="3"/>
    </row>
    <row r="10" spans="1:4">
      <c r="A10" s="111">
        <v>44556</v>
      </c>
      <c r="B10" s="23"/>
      <c r="C10" s="25">
        <v>80910907</v>
      </c>
      <c r="D10" s="3"/>
    </row>
    <row r="11" spans="1:4">
      <c r="A11" s="111">
        <v>44397</v>
      </c>
      <c r="B11" s="23"/>
      <c r="C11" s="25">
        <v>80731386</v>
      </c>
      <c r="D11" s="3"/>
    </row>
    <row r="12" spans="1:4">
      <c r="A12" s="111">
        <v>44402</v>
      </c>
      <c r="B12" s="23"/>
      <c r="C12" s="25">
        <v>84289672</v>
      </c>
      <c r="D12" s="3"/>
    </row>
    <row r="13" spans="1:4">
      <c r="A13" s="111">
        <v>44465</v>
      </c>
      <c r="B13" s="23"/>
      <c r="C13" s="25">
        <v>80009769</v>
      </c>
      <c r="D13" s="3"/>
    </row>
    <row r="14" spans="1:4">
      <c r="A14" s="111">
        <v>44528</v>
      </c>
      <c r="B14" s="23"/>
      <c r="C14" s="25">
        <v>71444423</v>
      </c>
      <c r="D14" s="3"/>
    </row>
    <row r="15" spans="1:4">
      <c r="A15" s="111">
        <v>44542</v>
      </c>
      <c r="B15" s="23"/>
      <c r="C15" s="25">
        <v>55454351</v>
      </c>
      <c r="D15" s="3"/>
    </row>
    <row r="16" spans="1:4">
      <c r="A16" s="111">
        <v>44556</v>
      </c>
      <c r="B16" s="23"/>
      <c r="C16" s="25">
        <v>57834773</v>
      </c>
      <c r="D16" s="3"/>
    </row>
    <row r="282" spans="4:4">
      <c r="D282" s="33"/>
    </row>
    <row r="283" spans="4:4">
      <c r="D28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/>
  </sheetPr>
  <dimension ref="B1:AB95"/>
  <sheetViews>
    <sheetView showGridLines="0" zoomScale="115" zoomScaleNormal="115" workbookViewId="0">
      <pane xSplit="3" ySplit="13" topLeftCell="D73" activePane="bottomRight" state="frozen"/>
      <selection activeCell="H66" sqref="H66"/>
      <selection pane="topRight" activeCell="H66" sqref="H66"/>
      <selection pane="bottomLeft" activeCell="H66" sqref="H66"/>
      <selection pane="bottomRight" activeCell="M8" sqref="M8"/>
    </sheetView>
  </sheetViews>
  <sheetFormatPr defaultColWidth="8.8984375" defaultRowHeight="13.2"/>
  <cols>
    <col min="1" max="1" width="3.69921875" style="56" customWidth="1"/>
    <col min="2" max="3" width="7.69921875" style="56" customWidth="1"/>
    <col min="4" max="28" width="8.296875" style="56" customWidth="1"/>
    <col min="29" max="16384" width="8.8984375" style="56"/>
  </cols>
  <sheetData>
    <row r="1" spans="2:28">
      <c r="B1" s="56" t="s">
        <v>100</v>
      </c>
    </row>
    <row r="2" spans="2:28" ht="13.8" thickBot="1">
      <c r="B2" s="372" t="s">
        <v>453</v>
      </c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2:28" ht="13.8">
      <c r="B3" s="376" t="s">
        <v>465</v>
      </c>
      <c r="C3" s="375"/>
      <c r="D3" s="375"/>
      <c r="E3" s="375"/>
      <c r="F3" s="375"/>
      <c r="G3" s="375"/>
      <c r="H3" s="375"/>
      <c r="I3" s="375"/>
      <c r="J3" s="376" t="s">
        <v>466</v>
      </c>
      <c r="K3" s="375"/>
      <c r="L3" s="375"/>
      <c r="M3" s="375"/>
      <c r="N3" s="375"/>
      <c r="O3" s="375"/>
      <c r="P3" s="375"/>
      <c r="Q3" s="375"/>
    </row>
    <row r="4" spans="2:28">
      <c r="B4" s="372" t="s">
        <v>469</v>
      </c>
      <c r="C4" s="372"/>
      <c r="D4" s="372"/>
      <c r="E4" s="372"/>
      <c r="F4" s="372"/>
      <c r="G4" s="372"/>
      <c r="H4" s="372"/>
      <c r="I4" s="372"/>
      <c r="J4" s="372" t="s">
        <v>470</v>
      </c>
      <c r="K4" s="372"/>
      <c r="L4" s="372"/>
      <c r="M4" s="372"/>
      <c r="N4" s="372"/>
      <c r="O4" s="372"/>
      <c r="P4" s="372"/>
      <c r="Q4" s="372"/>
    </row>
    <row r="5" spans="2:28">
      <c r="B5" s="372" t="s">
        <v>468</v>
      </c>
      <c r="C5" s="372"/>
      <c r="D5" s="372"/>
      <c r="E5" s="372"/>
      <c r="F5" s="372"/>
      <c r="G5" s="372"/>
      <c r="H5" s="372"/>
      <c r="I5" s="372"/>
      <c r="J5" s="372" t="s">
        <v>474</v>
      </c>
      <c r="K5" s="372"/>
      <c r="L5" s="372"/>
      <c r="M5" s="372"/>
      <c r="N5" s="372"/>
      <c r="O5" s="372"/>
      <c r="P5" s="372"/>
      <c r="Q5" s="372"/>
    </row>
    <row r="6" spans="2:28">
      <c r="B6" s="372"/>
      <c r="C6" s="372"/>
      <c r="D6" s="372"/>
      <c r="E6" s="372"/>
      <c r="F6" s="372"/>
      <c r="G6" s="372"/>
      <c r="H6" s="372"/>
      <c r="I6" s="372"/>
      <c r="J6" s="372" t="s">
        <v>471</v>
      </c>
      <c r="K6" s="372"/>
      <c r="L6" s="372"/>
      <c r="M6" s="372"/>
      <c r="N6" s="372"/>
      <c r="O6" s="372"/>
      <c r="P6" s="372"/>
      <c r="Q6" s="372"/>
    </row>
    <row r="7" spans="2:28" ht="13.8">
      <c r="B7" s="377" t="s">
        <v>467</v>
      </c>
      <c r="C7" s="372"/>
      <c r="D7" s="372"/>
      <c r="E7" s="372"/>
      <c r="F7" s="372"/>
      <c r="G7" s="372"/>
      <c r="H7" s="372"/>
      <c r="I7" s="372"/>
      <c r="J7" s="372" t="s">
        <v>472</v>
      </c>
      <c r="K7" s="372"/>
      <c r="L7" s="372"/>
      <c r="M7" s="372"/>
      <c r="N7" s="372"/>
      <c r="O7" s="372"/>
      <c r="P7" s="372"/>
      <c r="Q7" s="372"/>
    </row>
    <row r="8" spans="2:28">
      <c r="B8" s="372" t="s">
        <v>475</v>
      </c>
      <c r="C8" s="372"/>
      <c r="D8" s="372"/>
      <c r="E8" s="372"/>
      <c r="F8" s="372"/>
      <c r="G8" s="372"/>
      <c r="H8" s="372"/>
      <c r="I8" s="372"/>
      <c r="J8" s="372" t="s">
        <v>473</v>
      </c>
      <c r="K8" s="372"/>
      <c r="L8" s="372"/>
      <c r="M8" s="372"/>
      <c r="N8" s="372"/>
      <c r="O8" s="372"/>
      <c r="P8" s="372"/>
      <c r="Q8" s="372"/>
    </row>
    <row r="9" spans="2:28">
      <c r="B9" s="372" t="s">
        <v>476</v>
      </c>
      <c r="C9" s="372"/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</row>
    <row r="11" spans="2:28">
      <c r="B11" s="63"/>
      <c r="C11" s="63"/>
      <c r="D11" s="64"/>
      <c r="E11" s="64"/>
      <c r="F11" s="64"/>
      <c r="G11" s="64"/>
      <c r="H11" s="64"/>
    </row>
    <row r="12" spans="2:28">
      <c r="B12" s="56" t="s">
        <v>509</v>
      </c>
      <c r="D12" s="56">
        <v>1</v>
      </c>
      <c r="E12" s="56">
        <f>D12+1</f>
        <v>2</v>
      </c>
      <c r="F12" s="56">
        <f t="shared" ref="F12:R12" si="0">E12+1</f>
        <v>3</v>
      </c>
      <c r="G12" s="56">
        <f t="shared" si="0"/>
        <v>4</v>
      </c>
      <c r="H12" s="56">
        <v>5</v>
      </c>
      <c r="I12" s="56">
        <f t="shared" si="0"/>
        <v>6</v>
      </c>
      <c r="J12" s="56">
        <f t="shared" si="0"/>
        <v>7</v>
      </c>
      <c r="K12" s="56">
        <f t="shared" si="0"/>
        <v>8</v>
      </c>
      <c r="L12" s="56">
        <f t="shared" si="0"/>
        <v>9</v>
      </c>
      <c r="M12" s="56">
        <f t="shared" si="0"/>
        <v>10</v>
      </c>
      <c r="N12" s="56">
        <f t="shared" si="0"/>
        <v>11</v>
      </c>
      <c r="O12" s="56">
        <f t="shared" si="0"/>
        <v>12</v>
      </c>
      <c r="P12" s="56">
        <f t="shared" si="0"/>
        <v>13</v>
      </c>
      <c r="Q12" s="56">
        <f t="shared" si="0"/>
        <v>14</v>
      </c>
      <c r="R12" s="56">
        <f t="shared" si="0"/>
        <v>15</v>
      </c>
      <c r="S12" s="56">
        <f t="shared" ref="S12" si="1">R12+1</f>
        <v>16</v>
      </c>
      <c r="T12" s="56">
        <f t="shared" ref="T12" si="2">S12+1</f>
        <v>17</v>
      </c>
      <c r="U12" s="56">
        <f t="shared" ref="U12" si="3">T12+1</f>
        <v>18</v>
      </c>
      <c r="V12" s="56">
        <f t="shared" ref="V12" si="4">U12+1</f>
        <v>19</v>
      </c>
      <c r="W12" s="56">
        <f t="shared" ref="W12" si="5">V12+1</f>
        <v>20</v>
      </c>
      <c r="X12" s="56">
        <f t="shared" ref="X12" si="6">W12+1</f>
        <v>21</v>
      </c>
      <c r="Y12" s="56">
        <f t="shared" ref="Y12" si="7">X12+1</f>
        <v>22</v>
      </c>
      <c r="Z12" s="56">
        <f t="shared" ref="Z12" si="8">Y12+1</f>
        <v>23</v>
      </c>
      <c r="AA12" s="56">
        <f t="shared" ref="AA12" si="9">Z12+1</f>
        <v>24</v>
      </c>
      <c r="AB12" s="56">
        <f t="shared" ref="AB12" si="10">AA12+1</f>
        <v>25</v>
      </c>
    </row>
    <row r="13" spans="2:28">
      <c r="B13" s="201" t="s">
        <v>88</v>
      </c>
      <c r="C13" s="202"/>
      <c r="D13" s="203">
        <v>2014</v>
      </c>
      <c r="E13" s="203">
        <v>2015</v>
      </c>
      <c r="F13" s="203">
        <v>2016</v>
      </c>
      <c r="G13" s="203">
        <v>2017</v>
      </c>
      <c r="H13" s="203">
        <v>2018</v>
      </c>
      <c r="I13" s="203">
        <v>2019</v>
      </c>
      <c r="J13" s="203">
        <v>2020</v>
      </c>
      <c r="K13" s="203">
        <v>2021</v>
      </c>
      <c r="L13" s="203">
        <v>2022</v>
      </c>
      <c r="M13" s="203">
        <v>2023</v>
      </c>
      <c r="N13" s="203">
        <v>2024</v>
      </c>
      <c r="O13" s="203">
        <v>2025</v>
      </c>
      <c r="P13" s="203">
        <v>2026</v>
      </c>
      <c r="Q13" s="203">
        <v>2027</v>
      </c>
      <c r="R13" s="203">
        <v>2028</v>
      </c>
      <c r="S13" s="203">
        <v>2029</v>
      </c>
      <c r="T13" s="203">
        <v>2030</v>
      </c>
      <c r="U13" s="203">
        <v>2031</v>
      </c>
      <c r="V13" s="203">
        <v>2032</v>
      </c>
      <c r="W13" s="203">
        <v>2033</v>
      </c>
      <c r="X13" s="203">
        <v>2034</v>
      </c>
      <c r="Y13" s="203">
        <v>2035</v>
      </c>
      <c r="Z13" s="203">
        <v>2036</v>
      </c>
      <c r="AA13" s="203">
        <v>2037</v>
      </c>
      <c r="AB13" s="203">
        <v>2038</v>
      </c>
    </row>
    <row r="14" spans="2:28">
      <c r="B14" s="58" t="s">
        <v>89</v>
      </c>
      <c r="C14" s="61"/>
      <c r="D14" s="59">
        <v>27</v>
      </c>
      <c r="E14" s="59">
        <v>28</v>
      </c>
      <c r="F14" s="59">
        <v>29</v>
      </c>
      <c r="G14" s="59">
        <v>30</v>
      </c>
      <c r="H14" s="60">
        <v>31</v>
      </c>
      <c r="I14" s="59">
        <v>32</v>
      </c>
      <c r="J14" s="59">
        <v>33</v>
      </c>
      <c r="K14" s="59">
        <v>34</v>
      </c>
      <c r="L14" s="59">
        <v>35</v>
      </c>
      <c r="M14" s="59">
        <v>36</v>
      </c>
      <c r="N14" s="59">
        <v>37</v>
      </c>
      <c r="O14" s="59">
        <v>38</v>
      </c>
      <c r="P14" s="59">
        <v>39</v>
      </c>
      <c r="Q14" s="59">
        <v>40</v>
      </c>
      <c r="R14" s="59">
        <v>41</v>
      </c>
      <c r="S14" s="59">
        <v>42</v>
      </c>
      <c r="T14" s="59">
        <v>43</v>
      </c>
      <c r="U14" s="59">
        <v>44</v>
      </c>
      <c r="V14" s="59">
        <v>45</v>
      </c>
      <c r="W14" s="59">
        <v>46</v>
      </c>
      <c r="X14" s="59">
        <v>47</v>
      </c>
      <c r="Y14" s="59">
        <v>48</v>
      </c>
      <c r="Z14" s="59">
        <v>49</v>
      </c>
      <c r="AA14" s="59">
        <v>50</v>
      </c>
      <c r="AB14" s="59">
        <v>51</v>
      </c>
    </row>
    <row r="15" spans="2:28" ht="14.25" customHeight="1">
      <c r="B15" s="58" t="s">
        <v>93</v>
      </c>
      <c r="C15" s="61"/>
      <c r="D15" s="440" t="s">
        <v>49</v>
      </c>
      <c r="E15" s="440"/>
      <c r="F15" s="440"/>
      <c r="G15" s="359" t="s">
        <v>234</v>
      </c>
      <c r="H15" s="456" t="s">
        <v>67</v>
      </c>
      <c r="I15" s="456"/>
      <c r="J15" s="456"/>
      <c r="K15" s="456"/>
      <c r="L15" s="460" t="s">
        <v>448</v>
      </c>
      <c r="M15" s="460"/>
      <c r="N15" s="439" t="s">
        <v>454</v>
      </c>
      <c r="O15" s="439"/>
      <c r="P15" s="439"/>
      <c r="Q15" s="439"/>
      <c r="R15" s="439"/>
      <c r="S15" s="438" t="s">
        <v>460</v>
      </c>
      <c r="T15" s="438"/>
      <c r="U15" s="438"/>
      <c r="V15" s="438"/>
      <c r="W15" s="438"/>
      <c r="X15" s="438" t="s">
        <v>460</v>
      </c>
      <c r="Y15" s="438"/>
      <c r="Z15" s="438"/>
      <c r="AA15" s="438"/>
      <c r="AB15" s="438"/>
    </row>
    <row r="16" spans="2:28" ht="14.25" customHeight="1">
      <c r="B16" s="58" t="s">
        <v>94</v>
      </c>
      <c r="C16" s="61"/>
      <c r="D16" s="360" t="s">
        <v>451</v>
      </c>
      <c r="E16" s="360" t="s">
        <v>451</v>
      </c>
      <c r="F16" s="360" t="s">
        <v>451</v>
      </c>
      <c r="G16" s="359" t="s">
        <v>48</v>
      </c>
      <c r="H16" s="457" t="s">
        <v>97</v>
      </c>
      <c r="I16" s="457" t="s">
        <v>98</v>
      </c>
      <c r="J16" s="457" t="s">
        <v>99</v>
      </c>
      <c r="K16" s="458" t="s">
        <v>452</v>
      </c>
      <c r="L16" s="461" t="s">
        <v>449</v>
      </c>
      <c r="M16" s="461"/>
      <c r="N16" s="439" t="s">
        <v>455</v>
      </c>
      <c r="O16" s="439"/>
      <c r="P16" s="439"/>
      <c r="Q16" s="439"/>
      <c r="R16" s="439"/>
      <c r="S16" s="438" t="s">
        <v>459</v>
      </c>
      <c r="T16" s="438"/>
      <c r="U16" s="438"/>
      <c r="V16" s="438"/>
      <c r="W16" s="438"/>
      <c r="X16" s="438" t="s">
        <v>459</v>
      </c>
      <c r="Y16" s="438"/>
      <c r="Z16" s="438"/>
      <c r="AA16" s="438"/>
      <c r="AB16" s="438"/>
    </row>
    <row r="17" spans="2:28">
      <c r="B17" s="58" t="s">
        <v>95</v>
      </c>
      <c r="C17" s="61"/>
      <c r="D17" s="361" t="s">
        <v>96</v>
      </c>
      <c r="E17" s="361" t="s">
        <v>21</v>
      </c>
      <c r="F17" s="361" t="s">
        <v>22</v>
      </c>
      <c r="G17" s="362" t="s">
        <v>22</v>
      </c>
      <c r="H17" s="459" t="s">
        <v>50</v>
      </c>
      <c r="I17" s="459" t="s">
        <v>50</v>
      </c>
      <c r="J17" s="459" t="s">
        <v>50</v>
      </c>
      <c r="K17" s="459" t="s">
        <v>50</v>
      </c>
      <c r="L17" s="461" t="s">
        <v>450</v>
      </c>
      <c r="M17" s="461"/>
      <c r="N17" s="439" t="s">
        <v>456</v>
      </c>
      <c r="O17" s="439"/>
      <c r="P17" s="439"/>
      <c r="Q17" s="439"/>
      <c r="R17" s="439"/>
      <c r="S17" s="438" t="s">
        <v>50</v>
      </c>
      <c r="T17" s="438"/>
      <c r="U17" s="438"/>
      <c r="V17" s="438"/>
      <c r="W17" s="438"/>
      <c r="X17" s="438" t="s">
        <v>50</v>
      </c>
      <c r="Y17" s="438"/>
      <c r="Z17" s="438"/>
      <c r="AA17" s="438"/>
      <c r="AB17" s="438"/>
    </row>
    <row r="18" spans="2:28">
      <c r="B18" s="363" t="s">
        <v>461</v>
      </c>
      <c r="C18" s="67"/>
      <c r="D18" s="210"/>
      <c r="E18" s="210"/>
      <c r="F18" s="210"/>
      <c r="G18" s="210"/>
      <c r="H18" s="358" t="s">
        <v>226</v>
      </c>
      <c r="I18" s="358" t="s">
        <v>225</v>
      </c>
      <c r="J18" s="358"/>
      <c r="K18" s="358" t="s">
        <v>227</v>
      </c>
      <c r="L18" s="358" t="s">
        <v>458</v>
      </c>
      <c r="M18" s="358" t="s">
        <v>457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61"/>
    </row>
    <row r="19" spans="2:28">
      <c r="B19" s="58" t="s">
        <v>90</v>
      </c>
      <c r="C19" s="61"/>
      <c r="D19" s="364">
        <v>0.17148378</v>
      </c>
      <c r="E19" s="364">
        <f>(28578405.6489/10000)/10000</f>
        <v>0.28578405648899996</v>
      </c>
      <c r="F19" s="364">
        <f>(41422564/10000)/10000</f>
        <v>0.41422564000000001</v>
      </c>
      <c r="G19" s="364">
        <v>0.78153969999999995</v>
      </c>
      <c r="H19" s="365">
        <v>0.65041409000000006</v>
      </c>
      <c r="I19" s="364">
        <v>0.96479415999999996</v>
      </c>
      <c r="J19" s="364">
        <v>0</v>
      </c>
      <c r="K19" s="364">
        <v>1.3</v>
      </c>
      <c r="L19" s="366" t="s">
        <v>250</v>
      </c>
      <c r="M19" s="366" t="s">
        <v>250</v>
      </c>
      <c r="N19" s="366" t="s">
        <v>250</v>
      </c>
      <c r="O19" s="366" t="s">
        <v>262</v>
      </c>
      <c r="P19" s="366" t="s">
        <v>262</v>
      </c>
      <c r="Q19" s="366" t="s">
        <v>262</v>
      </c>
      <c r="R19" s="366" t="s">
        <v>262</v>
      </c>
      <c r="S19" s="366" t="s">
        <v>250</v>
      </c>
      <c r="T19" s="366" t="s">
        <v>262</v>
      </c>
      <c r="U19" s="366" t="s">
        <v>262</v>
      </c>
      <c r="V19" s="366" t="s">
        <v>262</v>
      </c>
      <c r="W19" s="366" t="s">
        <v>262</v>
      </c>
      <c r="X19" s="366" t="s">
        <v>250</v>
      </c>
      <c r="Y19" s="366" t="s">
        <v>262</v>
      </c>
      <c r="Z19" s="366" t="s">
        <v>262</v>
      </c>
      <c r="AA19" s="366" t="s">
        <v>262</v>
      </c>
      <c r="AB19" s="367" t="s">
        <v>262</v>
      </c>
    </row>
    <row r="20" spans="2:28">
      <c r="B20" s="58" t="s">
        <v>91</v>
      </c>
      <c r="C20" s="61"/>
      <c r="D20" s="364">
        <v>0.2</v>
      </c>
      <c r="E20" s="365">
        <v>0.35</v>
      </c>
      <c r="F20" s="365">
        <v>0.8</v>
      </c>
      <c r="G20" s="365">
        <v>1</v>
      </c>
      <c r="H20" s="365">
        <v>1.5</v>
      </c>
      <c r="I20" s="364">
        <v>1</v>
      </c>
      <c r="J20" s="364">
        <v>1.5</v>
      </c>
      <c r="K20" s="365">
        <v>3</v>
      </c>
      <c r="L20" s="365">
        <v>1</v>
      </c>
      <c r="M20" s="365">
        <v>1</v>
      </c>
      <c r="N20" s="365">
        <v>3</v>
      </c>
      <c r="O20" s="365">
        <v>5</v>
      </c>
      <c r="P20" s="365">
        <v>8</v>
      </c>
      <c r="Q20" s="364">
        <v>10</v>
      </c>
      <c r="R20" s="364">
        <v>15</v>
      </c>
      <c r="S20" s="365">
        <v>15</v>
      </c>
      <c r="T20" s="365">
        <v>30</v>
      </c>
      <c r="U20" s="365">
        <f>(T20*1.4)</f>
        <v>42</v>
      </c>
      <c r="V20" s="365">
        <f t="shared" ref="V20:AB20" si="11">(U20*1.4)</f>
        <v>58.8</v>
      </c>
      <c r="W20" s="365">
        <f t="shared" si="11"/>
        <v>82.32</v>
      </c>
      <c r="X20" s="365">
        <f t="shared" si="11"/>
        <v>115.24799999999998</v>
      </c>
      <c r="Y20" s="365">
        <f t="shared" si="11"/>
        <v>161.34719999999996</v>
      </c>
      <c r="Z20" s="365">
        <f t="shared" si="11"/>
        <v>225.88607999999994</v>
      </c>
      <c r="AA20" s="365">
        <f t="shared" si="11"/>
        <v>316.24051199999991</v>
      </c>
      <c r="AB20" s="368">
        <f t="shared" si="11"/>
        <v>442.73671679999984</v>
      </c>
    </row>
    <row r="21" spans="2:28">
      <c r="B21" s="58"/>
      <c r="C21" s="61"/>
      <c r="D21" s="59"/>
      <c r="E21" s="59"/>
      <c r="F21" s="59"/>
      <c r="G21" s="59"/>
      <c r="H21" s="6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61"/>
    </row>
    <row r="22" spans="2:28">
      <c r="B22" s="62" t="s">
        <v>92</v>
      </c>
      <c r="C22" s="68"/>
      <c r="D22" s="369">
        <f>IFERROR(D19-D20,"-")</f>
        <v>-2.8516220000000009E-2</v>
      </c>
      <c r="E22" s="369">
        <f t="shared" ref="E22:R22" si="12">IFERROR(E19-E20,"-")</f>
        <v>-6.4215943511000018E-2</v>
      </c>
      <c r="F22" s="369">
        <f t="shared" si="12"/>
        <v>-0.38577436000000004</v>
      </c>
      <c r="G22" s="369">
        <f t="shared" si="12"/>
        <v>-0.21846030000000005</v>
      </c>
      <c r="H22" s="370">
        <f t="shared" si="12"/>
        <v>-0.84958590999999994</v>
      </c>
      <c r="I22" s="369">
        <f t="shared" si="12"/>
        <v>-3.5205840000000044E-2</v>
      </c>
      <c r="J22" s="369">
        <f t="shared" si="12"/>
        <v>-1.5</v>
      </c>
      <c r="K22" s="369">
        <f t="shared" si="12"/>
        <v>-1.7</v>
      </c>
      <c r="L22" s="369" t="str">
        <f t="shared" si="12"/>
        <v>-</v>
      </c>
      <c r="M22" s="369" t="str">
        <f t="shared" si="12"/>
        <v>-</v>
      </c>
      <c r="N22" s="369" t="str">
        <f t="shared" si="12"/>
        <v>-</v>
      </c>
      <c r="O22" s="369" t="str">
        <f t="shared" si="12"/>
        <v>-</v>
      </c>
      <c r="P22" s="369" t="str">
        <f t="shared" si="12"/>
        <v>-</v>
      </c>
      <c r="Q22" s="369" t="str">
        <f t="shared" si="12"/>
        <v>-</v>
      </c>
      <c r="R22" s="369" t="str">
        <f t="shared" si="12"/>
        <v>-</v>
      </c>
      <c r="S22" s="369" t="str">
        <f t="shared" ref="S22:AB22" si="13">IFERROR(S19-S20,"-")</f>
        <v>-</v>
      </c>
      <c r="T22" s="369" t="str">
        <f t="shared" si="13"/>
        <v>-</v>
      </c>
      <c r="U22" s="369" t="str">
        <f t="shared" si="13"/>
        <v>-</v>
      </c>
      <c r="V22" s="369" t="str">
        <f t="shared" si="13"/>
        <v>-</v>
      </c>
      <c r="W22" s="369" t="str">
        <f t="shared" si="13"/>
        <v>-</v>
      </c>
      <c r="X22" s="369" t="str">
        <f t="shared" si="13"/>
        <v>-</v>
      </c>
      <c r="Y22" s="369" t="str">
        <f t="shared" si="13"/>
        <v>-</v>
      </c>
      <c r="Z22" s="369" t="str">
        <f t="shared" si="13"/>
        <v>-</v>
      </c>
      <c r="AA22" s="369" t="str">
        <f t="shared" si="13"/>
        <v>-</v>
      </c>
      <c r="AB22" s="371" t="str">
        <f t="shared" si="13"/>
        <v>-</v>
      </c>
    </row>
    <row r="24" spans="2:28">
      <c r="B24" s="200" t="s">
        <v>88</v>
      </c>
      <c r="C24" s="200"/>
      <c r="D24" s="200" t="s">
        <v>463</v>
      </c>
      <c r="E24" s="200"/>
      <c r="F24" s="200"/>
      <c r="G24" s="200"/>
      <c r="H24" s="200"/>
      <c r="I24" s="200"/>
      <c r="J24" s="200"/>
      <c r="K24" s="373" t="s">
        <v>462</v>
      </c>
      <c r="L24" s="200" t="s">
        <v>392</v>
      </c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</row>
    <row r="25" spans="2:28">
      <c r="B25" s="194">
        <v>2014</v>
      </c>
      <c r="C25" s="374"/>
      <c r="D25" s="399" t="s">
        <v>23</v>
      </c>
      <c r="E25" s="399"/>
      <c r="F25" s="399"/>
      <c r="G25" s="399"/>
      <c r="H25" s="399"/>
      <c r="I25" s="399"/>
      <c r="J25" s="400"/>
      <c r="K25" s="401" t="s">
        <v>464</v>
      </c>
      <c r="L25" s="399" t="s">
        <v>23</v>
      </c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</row>
    <row r="26" spans="2:28">
      <c r="B26" s="195"/>
      <c r="C26" s="66"/>
      <c r="D26" s="402" t="s">
        <v>28</v>
      </c>
      <c r="E26" s="402"/>
      <c r="F26" s="402"/>
      <c r="G26" s="402"/>
      <c r="H26" s="402"/>
      <c r="I26" s="402"/>
      <c r="J26" s="403"/>
      <c r="K26" s="404" t="s">
        <v>464</v>
      </c>
      <c r="L26" s="402" t="s">
        <v>28</v>
      </c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</row>
    <row r="27" spans="2:28">
      <c r="B27" s="196">
        <v>2015</v>
      </c>
      <c r="C27" s="57"/>
      <c r="D27" s="405" t="s">
        <v>24</v>
      </c>
      <c r="E27" s="405"/>
      <c r="F27" s="405"/>
      <c r="G27" s="405"/>
      <c r="H27" s="405"/>
      <c r="I27" s="405"/>
      <c r="J27" s="406"/>
      <c r="K27" s="407" t="s">
        <v>464</v>
      </c>
      <c r="L27" s="405" t="s">
        <v>24</v>
      </c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</row>
    <row r="28" spans="2:28">
      <c r="B28" s="197"/>
      <c r="C28" s="66"/>
      <c r="D28" s="402" t="s">
        <v>25</v>
      </c>
      <c r="E28" s="402"/>
      <c r="F28" s="402"/>
      <c r="G28" s="402"/>
      <c r="H28" s="402"/>
      <c r="I28" s="402"/>
      <c r="J28" s="403"/>
      <c r="K28" s="404" t="s">
        <v>464</v>
      </c>
      <c r="L28" s="402" t="s">
        <v>25</v>
      </c>
      <c r="M28" s="402"/>
      <c r="N28" s="402"/>
      <c r="O28" s="402"/>
      <c r="P28" s="402"/>
      <c r="Q28" s="402"/>
      <c r="R28" s="402"/>
      <c r="S28" s="402"/>
      <c r="T28" s="402"/>
      <c r="U28" s="402"/>
      <c r="V28" s="402"/>
      <c r="W28" s="402"/>
    </row>
    <row r="29" spans="2:28">
      <c r="B29" s="196">
        <v>2016</v>
      </c>
      <c r="C29" s="57"/>
      <c r="D29" s="408" t="s">
        <v>101</v>
      </c>
      <c r="E29" s="408"/>
      <c r="F29" s="408"/>
      <c r="G29" s="408"/>
      <c r="H29" s="408"/>
      <c r="I29" s="408"/>
      <c r="J29" s="409"/>
      <c r="K29" s="410" t="s">
        <v>464</v>
      </c>
      <c r="L29" s="408" t="s">
        <v>101</v>
      </c>
      <c r="M29" s="408"/>
      <c r="N29" s="408"/>
      <c r="O29" s="405"/>
      <c r="P29" s="405"/>
      <c r="Q29" s="405"/>
      <c r="R29" s="405"/>
      <c r="S29" s="405"/>
      <c r="T29" s="405"/>
      <c r="U29" s="405"/>
      <c r="V29" s="405"/>
      <c r="W29" s="405"/>
    </row>
    <row r="30" spans="2:28">
      <c r="B30" s="196"/>
      <c r="C30" s="57"/>
      <c r="D30" s="408" t="s">
        <v>26</v>
      </c>
      <c r="E30" s="408"/>
      <c r="F30" s="408"/>
      <c r="G30" s="408"/>
      <c r="H30" s="408"/>
      <c r="I30" s="408"/>
      <c r="J30" s="409"/>
      <c r="K30" s="410" t="s">
        <v>464</v>
      </c>
      <c r="L30" s="408" t="s">
        <v>26</v>
      </c>
      <c r="M30" s="408"/>
      <c r="N30" s="408"/>
      <c r="O30" s="405"/>
      <c r="P30" s="405"/>
      <c r="Q30" s="405"/>
      <c r="R30" s="405"/>
      <c r="S30" s="405"/>
      <c r="T30" s="405"/>
      <c r="U30" s="405"/>
      <c r="V30" s="405"/>
      <c r="W30" s="405"/>
    </row>
    <row r="31" spans="2:28">
      <c r="B31" s="196"/>
      <c r="C31" s="57"/>
      <c r="D31" s="408" t="s">
        <v>490</v>
      </c>
      <c r="E31" s="408"/>
      <c r="F31" s="408"/>
      <c r="G31" s="408"/>
      <c r="H31" s="408"/>
      <c r="I31" s="408"/>
      <c r="J31" s="409"/>
      <c r="K31" s="410" t="s">
        <v>464</v>
      </c>
      <c r="L31" s="408" t="s">
        <v>490</v>
      </c>
      <c r="M31" s="408"/>
      <c r="N31" s="408"/>
      <c r="O31" s="405"/>
      <c r="P31" s="405"/>
      <c r="Q31" s="405"/>
      <c r="R31" s="405"/>
      <c r="S31" s="405"/>
      <c r="T31" s="405"/>
      <c r="U31" s="405"/>
      <c r="V31" s="405"/>
      <c r="W31" s="405"/>
    </row>
    <row r="32" spans="2:28">
      <c r="B32" s="196"/>
      <c r="C32" s="57"/>
      <c r="D32" s="384" t="s">
        <v>27</v>
      </c>
      <c r="E32" s="384"/>
      <c r="F32" s="384"/>
      <c r="G32" s="384"/>
      <c r="H32" s="384"/>
      <c r="I32" s="384"/>
      <c r="J32" s="385"/>
      <c r="K32" s="391" t="s">
        <v>477</v>
      </c>
      <c r="L32" s="384"/>
      <c r="M32" s="384"/>
      <c r="N32" s="384"/>
      <c r="O32" s="380"/>
      <c r="P32" s="380"/>
      <c r="Q32" s="380"/>
      <c r="R32" s="380"/>
      <c r="S32" s="380"/>
      <c r="T32" s="380"/>
      <c r="U32" s="380"/>
      <c r="V32" s="380"/>
      <c r="W32" s="380"/>
    </row>
    <row r="33" spans="2:23">
      <c r="B33" s="197"/>
      <c r="C33" s="66"/>
      <c r="D33" s="411" t="s">
        <v>43</v>
      </c>
      <c r="E33" s="411"/>
      <c r="F33" s="411"/>
      <c r="G33" s="411"/>
      <c r="H33" s="411"/>
      <c r="I33" s="411"/>
      <c r="J33" s="412"/>
      <c r="K33" s="413" t="s">
        <v>464</v>
      </c>
      <c r="L33" s="411" t="s">
        <v>478</v>
      </c>
      <c r="M33" s="411"/>
      <c r="N33" s="411"/>
      <c r="O33" s="402"/>
      <c r="P33" s="402"/>
      <c r="Q33" s="402"/>
      <c r="R33" s="402"/>
      <c r="S33" s="402"/>
      <c r="T33" s="402"/>
      <c r="U33" s="402"/>
      <c r="V33" s="402"/>
      <c r="W33" s="402"/>
    </row>
    <row r="34" spans="2:23">
      <c r="B34" s="196">
        <v>2017</v>
      </c>
      <c r="C34" s="57"/>
      <c r="D34" s="384" t="s">
        <v>27</v>
      </c>
      <c r="E34" s="384"/>
      <c r="F34" s="384"/>
      <c r="G34" s="384"/>
      <c r="H34" s="392"/>
      <c r="I34" s="384"/>
      <c r="J34" s="385"/>
      <c r="K34" s="391" t="s">
        <v>477</v>
      </c>
      <c r="L34" s="384" t="s">
        <v>103</v>
      </c>
      <c r="M34" s="384"/>
      <c r="N34" s="384"/>
      <c r="O34" s="384"/>
      <c r="P34" s="384"/>
      <c r="Q34" s="384"/>
      <c r="R34" s="384"/>
      <c r="S34" s="384"/>
      <c r="T34" s="384"/>
      <c r="U34" s="384"/>
      <c r="V34" s="384"/>
      <c r="W34" s="384"/>
    </row>
    <row r="35" spans="2:23">
      <c r="B35" s="198"/>
      <c r="D35" s="408" t="s">
        <v>45</v>
      </c>
      <c r="E35" s="408"/>
      <c r="F35" s="408"/>
      <c r="G35" s="408"/>
      <c r="H35" s="414"/>
      <c r="I35" s="408"/>
      <c r="J35" s="409"/>
      <c r="K35" s="410" t="s">
        <v>464</v>
      </c>
      <c r="L35" s="408" t="s">
        <v>104</v>
      </c>
      <c r="M35" s="408"/>
      <c r="N35" s="408"/>
      <c r="O35" s="405"/>
      <c r="P35" s="405"/>
      <c r="Q35" s="405"/>
      <c r="R35" s="405"/>
      <c r="S35" s="405"/>
      <c r="T35" s="405"/>
      <c r="U35" s="405"/>
      <c r="V35" s="405"/>
      <c r="W35" s="405"/>
    </row>
    <row r="36" spans="2:23">
      <c r="B36" s="198"/>
      <c r="D36" s="384" t="s">
        <v>44</v>
      </c>
      <c r="E36" s="384"/>
      <c r="F36" s="384"/>
      <c r="G36" s="384"/>
      <c r="H36" s="392"/>
      <c r="I36" s="384"/>
      <c r="J36" s="385"/>
      <c r="K36" s="391" t="s">
        <v>477</v>
      </c>
      <c r="L36" s="384" t="s">
        <v>102</v>
      </c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</row>
    <row r="37" spans="2:23">
      <c r="B37" s="198"/>
      <c r="D37" s="408" t="s">
        <v>46</v>
      </c>
      <c r="E37" s="408"/>
      <c r="F37" s="408"/>
      <c r="G37" s="408"/>
      <c r="H37" s="414"/>
      <c r="I37" s="408"/>
      <c r="J37" s="409"/>
      <c r="K37" s="410" t="s">
        <v>464</v>
      </c>
      <c r="L37" s="408" t="s">
        <v>105</v>
      </c>
      <c r="M37" s="408"/>
      <c r="N37" s="408"/>
      <c r="O37" s="405"/>
      <c r="P37" s="405"/>
      <c r="Q37" s="405"/>
      <c r="R37" s="405"/>
      <c r="S37" s="405"/>
      <c r="T37" s="405"/>
      <c r="U37" s="405"/>
      <c r="V37" s="405"/>
      <c r="W37" s="405"/>
    </row>
    <row r="38" spans="2:23">
      <c r="B38" s="198"/>
      <c r="D38" s="408" t="s">
        <v>47</v>
      </c>
      <c r="E38" s="408"/>
      <c r="F38" s="408"/>
      <c r="G38" s="408"/>
      <c r="H38" s="414"/>
      <c r="I38" s="408"/>
      <c r="J38" s="409"/>
      <c r="K38" s="410" t="s">
        <v>464</v>
      </c>
      <c r="L38" s="408" t="s">
        <v>106</v>
      </c>
      <c r="M38" s="408"/>
      <c r="N38" s="408"/>
      <c r="O38" s="405"/>
      <c r="P38" s="405"/>
      <c r="Q38" s="405"/>
      <c r="R38" s="405"/>
      <c r="S38" s="405"/>
      <c r="T38" s="405"/>
      <c r="U38" s="405"/>
      <c r="V38" s="405"/>
      <c r="W38" s="405"/>
    </row>
    <row r="39" spans="2:23" ht="13.8">
      <c r="B39" s="198"/>
      <c r="D39" s="408" t="s">
        <v>491</v>
      </c>
      <c r="E39" s="408"/>
      <c r="F39" s="408"/>
      <c r="G39" s="408"/>
      <c r="H39" s="414"/>
      <c r="I39" s="408"/>
      <c r="J39" s="409"/>
      <c r="K39" s="410" t="s">
        <v>464</v>
      </c>
      <c r="L39" s="408" t="s">
        <v>492</v>
      </c>
      <c r="M39" s="408"/>
      <c r="N39" s="408"/>
      <c r="O39" s="405"/>
      <c r="P39" s="405"/>
      <c r="Q39" s="405"/>
      <c r="R39" s="405"/>
      <c r="S39" s="405"/>
      <c r="T39" s="405"/>
      <c r="U39" s="405"/>
      <c r="V39" s="405"/>
      <c r="W39" s="405"/>
    </row>
    <row r="40" spans="2:23" ht="13.8">
      <c r="B40" s="199"/>
      <c r="C40" s="65"/>
      <c r="D40" s="411" t="s">
        <v>493</v>
      </c>
      <c r="E40" s="411"/>
      <c r="F40" s="411"/>
      <c r="G40" s="411"/>
      <c r="H40" s="415"/>
      <c r="I40" s="411"/>
      <c r="J40" s="412"/>
      <c r="K40" s="413" t="s">
        <v>464</v>
      </c>
      <c r="L40" s="411" t="s">
        <v>494</v>
      </c>
      <c r="M40" s="411"/>
      <c r="N40" s="411"/>
      <c r="O40" s="402"/>
      <c r="P40" s="402"/>
      <c r="Q40" s="402"/>
      <c r="R40" s="402"/>
      <c r="S40" s="402"/>
      <c r="T40" s="402"/>
      <c r="U40" s="402"/>
      <c r="V40" s="402"/>
      <c r="W40" s="402"/>
    </row>
    <row r="41" spans="2:23">
      <c r="B41" s="196">
        <v>2018</v>
      </c>
      <c r="C41" s="57"/>
      <c r="D41" s="408" t="s">
        <v>54</v>
      </c>
      <c r="E41" s="408"/>
      <c r="F41" s="408"/>
      <c r="G41" s="408"/>
      <c r="H41" s="408"/>
      <c r="I41" s="408"/>
      <c r="J41" s="409"/>
      <c r="K41" s="410" t="s">
        <v>464</v>
      </c>
      <c r="L41" s="408" t="s">
        <v>267</v>
      </c>
      <c r="M41" s="408"/>
      <c r="N41" s="408"/>
      <c r="O41" s="405"/>
      <c r="P41" s="405"/>
      <c r="Q41" s="405"/>
      <c r="R41" s="405"/>
      <c r="S41" s="405"/>
      <c r="T41" s="405"/>
      <c r="U41" s="405"/>
      <c r="V41" s="405"/>
      <c r="W41" s="405"/>
    </row>
    <row r="42" spans="2:23" ht="15.6">
      <c r="B42" s="196"/>
      <c r="C42" s="57"/>
      <c r="D42" s="408" t="s">
        <v>68</v>
      </c>
      <c r="E42" s="408"/>
      <c r="F42" s="408"/>
      <c r="G42" s="408"/>
      <c r="H42" s="408"/>
      <c r="I42" s="408"/>
      <c r="J42" s="409"/>
      <c r="K42" s="416" t="s">
        <v>479</v>
      </c>
      <c r="L42" s="408" t="s">
        <v>107</v>
      </c>
      <c r="M42" s="408"/>
      <c r="N42" s="408"/>
      <c r="O42" s="405"/>
      <c r="P42" s="405"/>
      <c r="Q42" s="405"/>
      <c r="R42" s="405"/>
      <c r="S42" s="405"/>
      <c r="T42" s="405"/>
      <c r="U42" s="405"/>
      <c r="V42" s="405"/>
      <c r="W42" s="405"/>
    </row>
    <row r="43" spans="2:23">
      <c r="B43" s="198"/>
      <c r="D43" s="408" t="s">
        <v>55</v>
      </c>
      <c r="E43" s="408"/>
      <c r="F43" s="408"/>
      <c r="G43" s="408"/>
      <c r="H43" s="408"/>
      <c r="I43" s="408"/>
      <c r="J43" s="409"/>
      <c r="K43" s="410" t="s">
        <v>464</v>
      </c>
      <c r="L43" s="408" t="s">
        <v>224</v>
      </c>
      <c r="M43" s="408"/>
      <c r="N43" s="408"/>
      <c r="O43" s="405"/>
      <c r="P43" s="405"/>
      <c r="Q43" s="405"/>
      <c r="R43" s="405"/>
      <c r="S43" s="405"/>
      <c r="T43" s="405"/>
      <c r="U43" s="405"/>
      <c r="V43" s="405"/>
      <c r="W43" s="405"/>
    </row>
    <row r="44" spans="2:23">
      <c r="B44" s="198"/>
      <c r="D44" s="384" t="s">
        <v>57</v>
      </c>
      <c r="E44" s="384"/>
      <c r="F44" s="384"/>
      <c r="G44" s="384"/>
      <c r="H44" s="384"/>
      <c r="I44" s="384"/>
      <c r="J44" s="385"/>
      <c r="K44" s="391" t="s">
        <v>477</v>
      </c>
      <c r="L44" s="384" t="s">
        <v>108</v>
      </c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</row>
    <row r="45" spans="2:23">
      <c r="B45" s="198"/>
      <c r="D45" s="384" t="s">
        <v>58</v>
      </c>
      <c r="E45" s="384"/>
      <c r="F45" s="384"/>
      <c r="G45" s="384"/>
      <c r="H45" s="384"/>
      <c r="I45" s="384"/>
      <c r="J45" s="385"/>
      <c r="K45" s="391" t="s">
        <v>477</v>
      </c>
      <c r="L45" s="384" t="s">
        <v>109</v>
      </c>
      <c r="M45" s="384"/>
      <c r="N45" s="384"/>
      <c r="O45" s="384"/>
      <c r="P45" s="384"/>
      <c r="Q45" s="384"/>
      <c r="R45" s="384"/>
      <c r="S45" s="384"/>
      <c r="T45" s="384"/>
      <c r="U45" s="384"/>
      <c r="V45" s="384"/>
      <c r="W45" s="384"/>
    </row>
    <row r="46" spans="2:23">
      <c r="B46" s="198"/>
      <c r="D46" s="408" t="s">
        <v>69</v>
      </c>
      <c r="E46" s="408"/>
      <c r="F46" s="408"/>
      <c r="G46" s="408"/>
      <c r="H46" s="408"/>
      <c r="I46" s="408"/>
      <c r="J46" s="409"/>
      <c r="K46" s="410" t="s">
        <v>464</v>
      </c>
      <c r="L46" s="408" t="s">
        <v>110</v>
      </c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</row>
    <row r="47" spans="2:23">
      <c r="B47" s="199"/>
      <c r="C47" s="65"/>
      <c r="D47" s="411" t="s">
        <v>111</v>
      </c>
      <c r="E47" s="411"/>
      <c r="F47" s="411"/>
      <c r="G47" s="411"/>
      <c r="H47" s="411"/>
      <c r="I47" s="411"/>
      <c r="J47" s="412"/>
      <c r="K47" s="417" t="s">
        <v>464</v>
      </c>
      <c r="L47" s="411" t="s">
        <v>129</v>
      </c>
      <c r="M47" s="411"/>
      <c r="N47" s="411"/>
      <c r="O47" s="402"/>
      <c r="P47" s="402"/>
      <c r="Q47" s="402"/>
      <c r="R47" s="402"/>
      <c r="S47" s="402"/>
      <c r="T47" s="402"/>
      <c r="U47" s="402"/>
      <c r="V47" s="402"/>
      <c r="W47" s="402"/>
    </row>
    <row r="48" spans="2:23">
      <c r="B48" s="196">
        <v>2019</v>
      </c>
      <c r="D48" s="408" t="s">
        <v>112</v>
      </c>
      <c r="E48" s="408"/>
      <c r="F48" s="408"/>
      <c r="G48" s="408"/>
      <c r="H48" s="408"/>
      <c r="I48" s="408"/>
      <c r="J48" s="418"/>
      <c r="K48" s="410" t="s">
        <v>464</v>
      </c>
      <c r="L48" s="408" t="s">
        <v>268</v>
      </c>
      <c r="M48" s="408"/>
      <c r="N48" s="408"/>
      <c r="O48" s="405"/>
      <c r="P48" s="405"/>
      <c r="Q48" s="405"/>
      <c r="R48" s="405"/>
      <c r="S48" s="405"/>
      <c r="T48" s="405"/>
      <c r="U48" s="405"/>
      <c r="V48" s="405"/>
      <c r="W48" s="405"/>
    </row>
    <row r="49" spans="2:23">
      <c r="B49" s="198"/>
      <c r="D49" s="408" t="s">
        <v>113</v>
      </c>
      <c r="E49" s="408"/>
      <c r="F49" s="408"/>
      <c r="G49" s="408"/>
      <c r="H49" s="408"/>
      <c r="I49" s="408"/>
      <c r="J49" s="409"/>
      <c r="K49" s="410" t="s">
        <v>464</v>
      </c>
      <c r="L49" s="408" t="s">
        <v>264</v>
      </c>
      <c r="M49" s="408"/>
      <c r="N49" s="408"/>
      <c r="O49" s="405"/>
      <c r="P49" s="405"/>
      <c r="Q49" s="405"/>
      <c r="R49" s="405"/>
      <c r="S49" s="405"/>
      <c r="T49" s="405"/>
      <c r="U49" s="405"/>
      <c r="V49" s="405"/>
      <c r="W49" s="405"/>
    </row>
    <row r="50" spans="2:23">
      <c r="B50" s="58"/>
      <c r="D50" s="408" t="s">
        <v>223</v>
      </c>
      <c r="E50" s="408"/>
      <c r="F50" s="408"/>
      <c r="G50" s="408"/>
      <c r="H50" s="408"/>
      <c r="I50" s="408"/>
      <c r="J50" s="409"/>
      <c r="K50" s="410" t="s">
        <v>464</v>
      </c>
      <c r="L50" s="408" t="s">
        <v>263</v>
      </c>
      <c r="M50" s="408"/>
      <c r="N50" s="408"/>
      <c r="O50" s="405"/>
      <c r="P50" s="405"/>
      <c r="Q50" s="405"/>
      <c r="R50" s="405"/>
      <c r="S50" s="405"/>
      <c r="T50" s="405"/>
      <c r="U50" s="405"/>
      <c r="V50" s="405"/>
      <c r="W50" s="405"/>
    </row>
    <row r="51" spans="2:23">
      <c r="B51" s="58"/>
      <c r="D51" s="384" t="s">
        <v>114</v>
      </c>
      <c r="E51" s="384"/>
      <c r="F51" s="384"/>
      <c r="G51" s="384"/>
      <c r="H51" s="384"/>
      <c r="I51" s="384"/>
      <c r="J51" s="385"/>
      <c r="K51" s="391" t="s">
        <v>477</v>
      </c>
      <c r="L51" s="384" t="s">
        <v>269</v>
      </c>
      <c r="M51" s="384"/>
      <c r="N51" s="384"/>
      <c r="O51" s="384"/>
      <c r="P51" s="384"/>
      <c r="Q51" s="384"/>
      <c r="R51" s="384"/>
      <c r="S51" s="384"/>
      <c r="T51" s="384"/>
      <c r="U51" s="384"/>
      <c r="V51" s="384"/>
      <c r="W51" s="384"/>
    </row>
    <row r="52" spans="2:23">
      <c r="B52" s="58"/>
      <c r="D52" s="408" t="s">
        <v>130</v>
      </c>
      <c r="E52" s="408"/>
      <c r="F52" s="408"/>
      <c r="G52" s="408"/>
      <c r="H52" s="408"/>
      <c r="I52" s="408"/>
      <c r="J52" s="409"/>
      <c r="K52" s="410" t="s">
        <v>464</v>
      </c>
      <c r="L52" s="408" t="s">
        <v>265</v>
      </c>
      <c r="M52" s="408"/>
      <c r="N52" s="408"/>
      <c r="O52" s="405"/>
      <c r="P52" s="405"/>
      <c r="Q52" s="405"/>
      <c r="R52" s="405"/>
      <c r="S52" s="405"/>
      <c r="T52" s="405"/>
      <c r="U52" s="405"/>
      <c r="V52" s="405"/>
      <c r="W52" s="405"/>
    </row>
    <row r="53" spans="2:23">
      <c r="B53" s="58"/>
      <c r="D53" s="384" t="s">
        <v>228</v>
      </c>
      <c r="E53" s="384"/>
      <c r="F53" s="384"/>
      <c r="G53" s="384"/>
      <c r="H53" s="384"/>
      <c r="I53" s="384"/>
      <c r="J53" s="385"/>
      <c r="K53" s="391" t="s">
        <v>477</v>
      </c>
      <c r="L53" s="384" t="s">
        <v>270</v>
      </c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</row>
    <row r="54" spans="2:23">
      <c r="B54" s="58"/>
      <c r="D54" s="408" t="s">
        <v>115</v>
      </c>
      <c r="E54" s="408"/>
      <c r="F54" s="408"/>
      <c r="G54" s="408"/>
      <c r="H54" s="408"/>
      <c r="I54" s="408"/>
      <c r="J54" s="409"/>
      <c r="K54" s="410" t="s">
        <v>464</v>
      </c>
      <c r="L54" s="408" t="s">
        <v>266</v>
      </c>
      <c r="M54" s="408"/>
      <c r="N54" s="408"/>
      <c r="O54" s="405"/>
      <c r="P54" s="405"/>
      <c r="Q54" s="405"/>
      <c r="R54" s="405"/>
      <c r="S54" s="405"/>
      <c r="T54" s="405"/>
      <c r="U54" s="405"/>
      <c r="V54" s="405"/>
      <c r="W54" s="405"/>
    </row>
    <row r="55" spans="2:23" ht="13.8">
      <c r="B55" s="58"/>
      <c r="D55" s="384" t="s">
        <v>495</v>
      </c>
      <c r="E55" s="384"/>
      <c r="F55" s="384"/>
      <c r="G55" s="384"/>
      <c r="H55" s="384"/>
      <c r="I55" s="384"/>
      <c r="J55" s="385"/>
      <c r="K55" s="391" t="s">
        <v>477</v>
      </c>
      <c r="L55" s="384" t="s">
        <v>496</v>
      </c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</row>
    <row r="56" spans="2:23">
      <c r="B56" s="62"/>
      <c r="C56" s="65"/>
      <c r="D56" s="389" t="s">
        <v>230</v>
      </c>
      <c r="E56" s="389"/>
      <c r="F56" s="389"/>
      <c r="G56" s="389"/>
      <c r="H56" s="389"/>
      <c r="I56" s="389"/>
      <c r="J56" s="390"/>
      <c r="K56" s="393" t="s">
        <v>477</v>
      </c>
      <c r="L56" s="389" t="s">
        <v>271</v>
      </c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</row>
    <row r="57" spans="2:23">
      <c r="B57" s="196">
        <v>2020</v>
      </c>
      <c r="D57" s="384" t="s">
        <v>498</v>
      </c>
      <c r="E57" s="384"/>
      <c r="F57" s="384"/>
      <c r="G57" s="384"/>
      <c r="H57" s="384"/>
      <c r="I57" s="384"/>
      <c r="J57" s="385"/>
      <c r="K57" s="391" t="s">
        <v>477</v>
      </c>
      <c r="L57" s="384" t="s">
        <v>325</v>
      </c>
      <c r="M57" s="384"/>
      <c r="N57" s="384"/>
      <c r="O57" s="380"/>
      <c r="P57" s="380"/>
      <c r="Q57" s="380"/>
      <c r="R57" s="380"/>
      <c r="S57" s="380"/>
      <c r="T57" s="380"/>
      <c r="U57" s="380"/>
      <c r="V57" s="380"/>
      <c r="W57" s="380"/>
    </row>
    <row r="58" spans="2:23">
      <c r="B58" s="198"/>
      <c r="D58" s="384" t="s">
        <v>499</v>
      </c>
      <c r="E58" s="384"/>
      <c r="F58" s="384"/>
      <c r="G58" s="384"/>
      <c r="H58" s="384"/>
      <c r="I58" s="384"/>
      <c r="J58" s="385"/>
      <c r="K58" s="391" t="s">
        <v>477</v>
      </c>
      <c r="L58" s="384" t="s">
        <v>326</v>
      </c>
      <c r="M58" s="384"/>
      <c r="N58" s="384"/>
      <c r="O58" s="380"/>
      <c r="P58" s="380"/>
      <c r="Q58" s="380"/>
      <c r="R58" s="380"/>
      <c r="S58" s="380"/>
      <c r="T58" s="380"/>
      <c r="U58" s="380"/>
      <c r="V58" s="380"/>
      <c r="W58" s="380"/>
    </row>
    <row r="59" spans="2:23">
      <c r="B59" s="58"/>
      <c r="D59" s="384" t="s">
        <v>500</v>
      </c>
      <c r="E59" s="384"/>
      <c r="F59" s="384"/>
      <c r="G59" s="384"/>
      <c r="H59" s="384"/>
      <c r="I59" s="384"/>
      <c r="J59" s="385"/>
      <c r="K59" s="391" t="s">
        <v>477</v>
      </c>
      <c r="L59" s="384" t="s">
        <v>326</v>
      </c>
      <c r="M59" s="384"/>
      <c r="N59" s="384"/>
      <c r="O59" s="380"/>
      <c r="P59" s="380"/>
      <c r="Q59" s="380"/>
      <c r="R59" s="380"/>
      <c r="S59" s="380"/>
      <c r="T59" s="380"/>
      <c r="U59" s="380"/>
      <c r="V59" s="380"/>
      <c r="W59" s="380"/>
    </row>
    <row r="60" spans="2:23">
      <c r="B60" s="58"/>
      <c r="D60" s="408" t="s">
        <v>501</v>
      </c>
      <c r="E60" s="408"/>
      <c r="F60" s="408"/>
      <c r="G60" s="408"/>
      <c r="H60" s="408"/>
      <c r="I60" s="408"/>
      <c r="J60" s="409"/>
      <c r="K60" s="410" t="s">
        <v>464</v>
      </c>
      <c r="L60" s="408" t="s">
        <v>489</v>
      </c>
      <c r="M60" s="408"/>
      <c r="N60" s="408"/>
      <c r="O60" s="405"/>
      <c r="P60" s="405"/>
      <c r="Q60" s="405"/>
      <c r="R60" s="405"/>
      <c r="S60" s="405"/>
      <c r="T60" s="405"/>
      <c r="U60" s="405"/>
      <c r="V60" s="405"/>
      <c r="W60" s="405"/>
    </row>
    <row r="61" spans="2:23" ht="13.8">
      <c r="B61" s="58"/>
      <c r="D61" s="408" t="s">
        <v>503</v>
      </c>
      <c r="E61" s="408"/>
      <c r="F61" s="408"/>
      <c r="G61" s="408"/>
      <c r="H61" s="408"/>
      <c r="I61" s="408"/>
      <c r="J61" s="409"/>
      <c r="K61" s="410" t="s">
        <v>464</v>
      </c>
      <c r="L61" s="408" t="s">
        <v>327</v>
      </c>
      <c r="M61" s="408"/>
      <c r="N61" s="408"/>
      <c r="O61" s="405"/>
      <c r="P61" s="405"/>
      <c r="Q61" s="405"/>
      <c r="R61" s="405"/>
      <c r="S61" s="405"/>
      <c r="T61" s="405"/>
      <c r="U61" s="405"/>
      <c r="V61" s="405"/>
      <c r="W61" s="405"/>
    </row>
    <row r="62" spans="2:23" ht="15.6">
      <c r="B62" s="58"/>
      <c r="D62" s="408" t="s">
        <v>504</v>
      </c>
      <c r="E62" s="408"/>
      <c r="F62" s="408"/>
      <c r="G62" s="408"/>
      <c r="H62" s="408"/>
      <c r="I62" s="408"/>
      <c r="J62" s="409"/>
      <c r="K62" s="416" t="s">
        <v>479</v>
      </c>
      <c r="L62" s="408" t="s">
        <v>328</v>
      </c>
      <c r="M62" s="408"/>
      <c r="N62" s="408"/>
      <c r="O62" s="405"/>
      <c r="P62" s="405"/>
      <c r="Q62" s="405"/>
      <c r="R62" s="405"/>
      <c r="S62" s="405"/>
      <c r="T62" s="405"/>
      <c r="U62" s="405"/>
      <c r="V62" s="405"/>
      <c r="W62" s="405"/>
    </row>
    <row r="63" spans="2:23">
      <c r="B63" s="58"/>
      <c r="D63" s="384" t="s">
        <v>502</v>
      </c>
      <c r="E63" s="384"/>
      <c r="F63" s="384"/>
      <c r="G63" s="384"/>
      <c r="H63" s="384"/>
      <c r="I63" s="384"/>
      <c r="J63" s="385"/>
      <c r="K63" s="391" t="s">
        <v>477</v>
      </c>
      <c r="L63" s="384" t="s">
        <v>329</v>
      </c>
      <c r="M63" s="384"/>
      <c r="N63" s="384"/>
      <c r="O63" s="380"/>
      <c r="P63" s="380"/>
      <c r="Q63" s="380"/>
      <c r="R63" s="380"/>
      <c r="S63" s="380"/>
      <c r="T63" s="380"/>
      <c r="U63" s="380"/>
      <c r="V63" s="380"/>
      <c r="W63" s="380"/>
    </row>
    <row r="64" spans="2:23" ht="15">
      <c r="B64" s="58"/>
      <c r="D64" s="408" t="s">
        <v>505</v>
      </c>
      <c r="E64" s="408"/>
      <c r="F64" s="408"/>
      <c r="G64" s="408"/>
      <c r="H64" s="408"/>
      <c r="I64" s="408"/>
      <c r="J64" s="409"/>
      <c r="K64" s="419" t="s">
        <v>479</v>
      </c>
      <c r="L64" s="408" t="s">
        <v>330</v>
      </c>
      <c r="M64" s="408"/>
      <c r="N64" s="408"/>
      <c r="O64" s="405"/>
      <c r="P64" s="405"/>
      <c r="Q64" s="405"/>
      <c r="R64" s="405"/>
      <c r="S64" s="405"/>
      <c r="T64" s="405"/>
      <c r="U64" s="405"/>
      <c r="V64" s="405"/>
      <c r="W64" s="405"/>
    </row>
    <row r="65" spans="2:23" ht="13.8">
      <c r="B65" s="62"/>
      <c r="C65" s="65"/>
      <c r="D65" s="389" t="s">
        <v>497</v>
      </c>
      <c r="E65" s="389"/>
      <c r="F65" s="389"/>
      <c r="G65" s="389"/>
      <c r="H65" s="389"/>
      <c r="I65" s="389"/>
      <c r="J65" s="390"/>
      <c r="K65" s="393" t="s">
        <v>477</v>
      </c>
      <c r="L65" s="389" t="s">
        <v>331</v>
      </c>
      <c r="M65" s="389"/>
      <c r="N65" s="389"/>
      <c r="O65" s="386"/>
      <c r="P65" s="386"/>
      <c r="Q65" s="386"/>
      <c r="R65" s="386"/>
      <c r="S65" s="386"/>
      <c r="T65" s="386"/>
      <c r="U65" s="386"/>
      <c r="V65" s="386"/>
      <c r="W65" s="386"/>
    </row>
    <row r="66" spans="2:23">
      <c r="B66" s="196">
        <v>2021</v>
      </c>
      <c r="D66" s="384" t="s">
        <v>350</v>
      </c>
      <c r="E66" s="384"/>
      <c r="F66" s="384"/>
      <c r="G66" s="384"/>
      <c r="H66" s="384"/>
      <c r="I66" s="384"/>
      <c r="J66" s="385"/>
      <c r="K66" s="391" t="s">
        <v>477</v>
      </c>
      <c r="L66" s="384" t="s">
        <v>480</v>
      </c>
      <c r="M66" s="384"/>
      <c r="N66" s="384"/>
      <c r="O66" s="380"/>
      <c r="P66" s="380"/>
      <c r="Q66" s="380"/>
      <c r="R66" s="380"/>
      <c r="S66" s="380"/>
      <c r="T66" s="380"/>
      <c r="U66" s="380"/>
      <c r="V66" s="380"/>
      <c r="W66" s="380"/>
    </row>
    <row r="67" spans="2:23">
      <c r="B67" s="198"/>
      <c r="D67" s="384" t="s">
        <v>332</v>
      </c>
      <c r="E67" s="383"/>
      <c r="F67" s="383"/>
      <c r="G67" s="383"/>
      <c r="H67" s="383"/>
      <c r="I67" s="383"/>
      <c r="J67" s="394"/>
      <c r="K67" s="382" t="s">
        <v>477</v>
      </c>
      <c r="L67" s="380" t="s">
        <v>510</v>
      </c>
      <c r="M67" s="380"/>
      <c r="N67" s="380"/>
      <c r="O67" s="380"/>
      <c r="P67" s="380"/>
      <c r="Q67" s="380"/>
      <c r="R67" s="380"/>
      <c r="S67" s="380"/>
      <c r="T67" s="380"/>
      <c r="U67" s="380"/>
      <c r="V67" s="380"/>
      <c r="W67" s="380"/>
    </row>
    <row r="68" spans="2:23">
      <c r="B68" s="58"/>
      <c r="D68" s="408" t="s">
        <v>333</v>
      </c>
      <c r="E68" s="420"/>
      <c r="F68" s="420"/>
      <c r="G68" s="420"/>
      <c r="H68" s="420"/>
      <c r="I68" s="420"/>
      <c r="J68" s="421"/>
      <c r="K68" s="407" t="s">
        <v>464</v>
      </c>
      <c r="L68" s="405" t="s">
        <v>484</v>
      </c>
      <c r="M68" s="405"/>
      <c r="N68" s="405"/>
      <c r="O68" s="405"/>
      <c r="P68" s="405"/>
      <c r="Q68" s="405"/>
      <c r="R68" s="405"/>
      <c r="S68" s="405"/>
      <c r="T68" s="405"/>
      <c r="U68" s="405"/>
      <c r="V68" s="405"/>
      <c r="W68" s="405"/>
    </row>
    <row r="69" spans="2:23">
      <c r="B69" s="58"/>
      <c r="D69" s="408" t="s">
        <v>334</v>
      </c>
      <c r="E69" s="405"/>
      <c r="F69" s="405"/>
      <c r="G69" s="405"/>
      <c r="H69" s="405"/>
      <c r="I69" s="405"/>
      <c r="J69" s="406"/>
      <c r="K69" s="407" t="s">
        <v>464</v>
      </c>
      <c r="L69" s="405" t="s">
        <v>485</v>
      </c>
      <c r="M69" s="405"/>
      <c r="N69" s="405"/>
      <c r="O69" s="405"/>
      <c r="P69" s="405"/>
      <c r="Q69" s="405"/>
      <c r="R69" s="405"/>
      <c r="S69" s="405"/>
      <c r="T69" s="405"/>
      <c r="U69" s="405"/>
      <c r="V69" s="405"/>
      <c r="W69" s="405"/>
    </row>
    <row r="70" spans="2:23" ht="13.8">
      <c r="B70" s="58"/>
      <c r="D70" s="384" t="s">
        <v>481</v>
      </c>
      <c r="E70" s="380"/>
      <c r="F70" s="380"/>
      <c r="G70" s="380"/>
      <c r="H70" s="380"/>
      <c r="I70" s="380"/>
      <c r="J70" s="381"/>
      <c r="K70" s="382" t="s">
        <v>477</v>
      </c>
      <c r="L70" s="380" t="s">
        <v>486</v>
      </c>
      <c r="M70" s="380"/>
      <c r="N70" s="380"/>
      <c r="O70" s="380"/>
      <c r="P70" s="380"/>
      <c r="Q70" s="380"/>
      <c r="R70" s="380"/>
      <c r="S70" s="380"/>
      <c r="T70" s="380"/>
      <c r="U70" s="380"/>
      <c r="V70" s="380"/>
      <c r="W70" s="380"/>
    </row>
    <row r="71" spans="2:23" ht="13.8">
      <c r="B71" s="58"/>
      <c r="D71" s="408" t="s">
        <v>482</v>
      </c>
      <c r="E71" s="405"/>
      <c r="F71" s="405"/>
      <c r="G71" s="405"/>
      <c r="H71" s="405"/>
      <c r="I71" s="405"/>
      <c r="J71" s="406"/>
      <c r="K71" s="407" t="s">
        <v>464</v>
      </c>
      <c r="L71" s="405" t="s">
        <v>487</v>
      </c>
      <c r="M71" s="405"/>
      <c r="N71" s="405"/>
      <c r="O71" s="405"/>
      <c r="P71" s="405"/>
      <c r="Q71" s="405"/>
      <c r="R71" s="405"/>
      <c r="S71" s="405"/>
      <c r="T71" s="405"/>
      <c r="U71" s="405"/>
      <c r="V71" s="405"/>
      <c r="W71" s="405"/>
    </row>
    <row r="72" spans="2:23" ht="13.8">
      <c r="B72" s="62"/>
      <c r="C72" s="65"/>
      <c r="D72" s="389" t="s">
        <v>483</v>
      </c>
      <c r="E72" s="386"/>
      <c r="F72" s="386"/>
      <c r="G72" s="386"/>
      <c r="H72" s="386"/>
      <c r="I72" s="386"/>
      <c r="J72" s="387"/>
      <c r="K72" s="388" t="s">
        <v>477</v>
      </c>
      <c r="L72" s="386" t="s">
        <v>488</v>
      </c>
      <c r="M72" s="386"/>
      <c r="N72" s="386"/>
      <c r="O72" s="386"/>
      <c r="P72" s="386"/>
      <c r="Q72" s="386"/>
      <c r="R72" s="386"/>
      <c r="S72" s="386"/>
      <c r="T72" s="386"/>
      <c r="U72" s="386"/>
      <c r="V72" s="386"/>
      <c r="W72" s="386"/>
    </row>
    <row r="73" spans="2:23">
      <c r="B73" s="196">
        <v>2022</v>
      </c>
      <c r="D73" s="378" t="s">
        <v>506</v>
      </c>
      <c r="E73" s="378"/>
      <c r="F73" s="378"/>
      <c r="G73" s="378"/>
      <c r="H73" s="378"/>
      <c r="I73" s="378"/>
      <c r="J73" s="379"/>
      <c r="K73" s="395"/>
      <c r="L73" s="378"/>
      <c r="M73" s="378"/>
      <c r="N73" s="378"/>
      <c r="O73" s="209"/>
      <c r="P73" s="209"/>
      <c r="Q73" s="209"/>
      <c r="R73" s="209"/>
      <c r="S73" s="209"/>
      <c r="T73" s="209"/>
      <c r="U73" s="209"/>
      <c r="V73" s="209"/>
      <c r="W73" s="209"/>
    </row>
    <row r="74" spans="2:23" ht="13.8">
      <c r="B74" s="198"/>
      <c r="D74" s="378" t="s">
        <v>507</v>
      </c>
      <c r="E74" s="396"/>
      <c r="F74" s="396"/>
      <c r="G74" s="396"/>
      <c r="H74" s="396"/>
      <c r="I74" s="396"/>
      <c r="J74" s="397"/>
      <c r="K74" s="398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</row>
    <row r="75" spans="2:23" ht="13.8">
      <c r="B75" s="58"/>
      <c r="D75" s="378" t="s">
        <v>512</v>
      </c>
      <c r="E75" s="396"/>
      <c r="F75" s="396"/>
      <c r="G75" s="396"/>
      <c r="H75" s="396"/>
      <c r="I75" s="396"/>
      <c r="J75" s="397"/>
      <c r="K75" s="398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</row>
    <row r="76" spans="2:23">
      <c r="B76" s="58"/>
      <c r="D76" s="378" t="s">
        <v>511</v>
      </c>
      <c r="E76" s="396"/>
      <c r="F76" s="396"/>
      <c r="G76" s="396"/>
      <c r="H76" s="396"/>
      <c r="I76" s="396"/>
      <c r="J76" s="397"/>
      <c r="K76" s="398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</row>
    <row r="77" spans="2:23" ht="13.8">
      <c r="B77" s="58"/>
      <c r="D77" s="378" t="s">
        <v>607</v>
      </c>
      <c r="E77" s="396"/>
      <c r="F77" s="396"/>
      <c r="G77" s="396"/>
      <c r="H77" s="396"/>
      <c r="I77" s="396"/>
      <c r="J77" s="397"/>
      <c r="K77" s="398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</row>
    <row r="78" spans="2:23">
      <c r="B78" s="58"/>
      <c r="D78" s="378" t="s">
        <v>608</v>
      </c>
      <c r="E78" s="396"/>
      <c r="F78" s="396"/>
      <c r="G78" s="396"/>
      <c r="H78" s="396"/>
      <c r="I78" s="396"/>
      <c r="J78" s="397"/>
      <c r="K78" s="398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</row>
    <row r="79" spans="2:23" ht="13.8">
      <c r="B79" s="58"/>
      <c r="D79" s="378" t="s">
        <v>508</v>
      </c>
      <c r="E79" s="396"/>
      <c r="F79" s="396"/>
      <c r="G79" s="396"/>
      <c r="H79" s="396"/>
      <c r="I79" s="396"/>
      <c r="J79" s="397"/>
      <c r="K79" s="398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</row>
    <row r="80" spans="2:23" ht="13.8">
      <c r="B80" s="58"/>
      <c r="D80" s="378" t="s">
        <v>513</v>
      </c>
      <c r="E80" s="396"/>
      <c r="F80" s="396"/>
      <c r="G80" s="396"/>
      <c r="H80" s="396"/>
      <c r="I80" s="396"/>
      <c r="J80" s="397"/>
      <c r="K80" s="398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</row>
    <row r="81" spans="2:23">
      <c r="B81" s="58"/>
      <c r="D81" s="378" t="s">
        <v>514</v>
      </c>
      <c r="E81" s="396"/>
      <c r="F81" s="396"/>
      <c r="G81" s="396"/>
      <c r="H81" s="396"/>
      <c r="I81" s="396"/>
      <c r="J81" s="397"/>
      <c r="K81" s="398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</row>
    <row r="82" spans="2:23" ht="13.8">
      <c r="B82" s="58"/>
      <c r="D82" s="378" t="s">
        <v>515</v>
      </c>
      <c r="E82" s="396"/>
      <c r="F82" s="396"/>
      <c r="G82" s="396"/>
      <c r="H82" s="396"/>
      <c r="I82" s="396"/>
      <c r="J82" s="397"/>
      <c r="K82" s="398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</row>
    <row r="83" spans="2:23" ht="13.8">
      <c r="B83" s="58"/>
      <c r="D83" s="378" t="s">
        <v>516</v>
      </c>
      <c r="E83" s="396"/>
      <c r="F83" s="396"/>
      <c r="G83" s="396"/>
      <c r="H83" s="396"/>
      <c r="I83" s="396"/>
      <c r="J83" s="397"/>
      <c r="K83" s="398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</row>
    <row r="84" spans="2:23" ht="13.8">
      <c r="B84" s="58"/>
      <c r="D84" s="378" t="s">
        <v>517</v>
      </c>
      <c r="E84" s="396"/>
      <c r="F84" s="396"/>
      <c r="G84" s="396"/>
      <c r="H84" s="396"/>
      <c r="I84" s="396"/>
      <c r="J84" s="397"/>
      <c r="K84" s="398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</row>
    <row r="85" spans="2:23">
      <c r="B85" s="59"/>
      <c r="D85" s="378"/>
      <c r="E85" s="396"/>
      <c r="F85" s="396"/>
      <c r="G85" s="396"/>
      <c r="H85" s="396"/>
      <c r="I85" s="396"/>
      <c r="J85" s="423"/>
      <c r="K85" s="424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</row>
    <row r="86" spans="2:23">
      <c r="B86" s="59"/>
      <c r="D86" s="378"/>
      <c r="E86" s="396"/>
      <c r="F86" s="396"/>
      <c r="G86" s="396"/>
      <c r="H86" s="396"/>
      <c r="I86" s="396"/>
      <c r="J86" s="423"/>
      <c r="K86" s="424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</row>
    <row r="87" spans="2:23">
      <c r="B87" s="59"/>
      <c r="D87" s="378"/>
      <c r="E87" s="396"/>
      <c r="F87" s="396"/>
      <c r="G87" s="396"/>
      <c r="H87" s="396"/>
      <c r="I87" s="396"/>
      <c r="J87" s="423"/>
      <c r="K87" s="424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</row>
    <row r="95" spans="2:23" ht="13.8">
      <c r="D95" s="422"/>
    </row>
  </sheetData>
  <mergeCells count="14">
    <mergeCell ref="N15:R15"/>
    <mergeCell ref="N16:R16"/>
    <mergeCell ref="N17:R17"/>
    <mergeCell ref="H15:K15"/>
    <mergeCell ref="D15:F15"/>
    <mergeCell ref="L15:M15"/>
    <mergeCell ref="L16:M16"/>
    <mergeCell ref="L17:M17"/>
    <mergeCell ref="S15:W15"/>
    <mergeCell ref="S16:W16"/>
    <mergeCell ref="S17:W17"/>
    <mergeCell ref="X15:AB15"/>
    <mergeCell ref="X16:AB16"/>
    <mergeCell ref="X17:AB17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99FF"/>
  </sheetPr>
  <dimension ref="B1:R634"/>
  <sheetViews>
    <sheetView showGridLines="0" topLeftCell="E1" zoomScale="85" zoomScaleNormal="85" workbookViewId="0">
      <pane ySplit="2" topLeftCell="A39" activePane="bottomLeft" state="frozen"/>
      <selection activeCell="H66" sqref="H66"/>
      <selection pane="bottomLeft" activeCell="M55" sqref="M55"/>
    </sheetView>
  </sheetViews>
  <sheetFormatPr defaultColWidth="8.8984375" defaultRowHeight="13.8"/>
  <cols>
    <col min="1" max="1" width="3.59765625" style="2" customWidth="1"/>
    <col min="2" max="2" width="15.19921875" style="2" customWidth="1"/>
    <col min="3" max="3" width="19.3984375" style="2" bestFit="1" customWidth="1"/>
    <col min="4" max="4" width="16.09765625" style="2" customWidth="1"/>
    <col min="5" max="5" width="19.69921875" style="2" customWidth="1"/>
    <col min="6" max="6" width="15.19921875" style="2" customWidth="1"/>
    <col min="7" max="7" width="16.09765625" style="2" customWidth="1"/>
    <col min="8" max="8" width="8.8984375" style="20" customWidth="1"/>
    <col min="9" max="9" width="1" style="28" customWidth="1"/>
    <col min="10" max="10" width="8.8984375" style="2"/>
    <col min="11" max="11" width="33.296875" style="2" bestFit="1" customWidth="1"/>
    <col min="12" max="12" width="8.8984375" style="2"/>
    <col min="13" max="13" width="16.8984375" style="2" bestFit="1" customWidth="1"/>
    <col min="14" max="14" width="26" style="2" bestFit="1" customWidth="1"/>
    <col min="15" max="15" width="8.8984375" style="2"/>
    <col min="16" max="16" width="11.8984375" style="2" bestFit="1" customWidth="1"/>
    <col min="17" max="17" width="8.8984375" style="2" customWidth="1"/>
    <col min="18" max="18" width="10.8984375" style="2" bestFit="1" customWidth="1"/>
    <col min="19" max="16384" width="8.8984375" style="2"/>
  </cols>
  <sheetData>
    <row r="1" spans="2:16">
      <c r="B1" s="107" t="s">
        <v>53</v>
      </c>
      <c r="C1" s="108"/>
      <c r="D1" s="109"/>
      <c r="E1" s="110"/>
      <c r="F1" s="108"/>
      <c r="G1" s="111">
        <f ca="1">TODAY()</f>
        <v>44556</v>
      </c>
      <c r="H1" s="6"/>
      <c r="I1" s="26"/>
      <c r="K1" s="107" t="s">
        <v>229</v>
      </c>
      <c r="L1" s="108"/>
      <c r="M1" s="109"/>
      <c r="N1" s="110"/>
      <c r="O1" s="108"/>
      <c r="P1" s="111">
        <v>43831</v>
      </c>
    </row>
    <row r="2" spans="2:16" ht="14.4" thickBot="1">
      <c r="B2" s="42" t="s">
        <v>6</v>
      </c>
      <c r="C2" s="43"/>
      <c r="D2" s="44" t="s">
        <v>1</v>
      </c>
      <c r="E2" s="43" t="s">
        <v>7</v>
      </c>
      <c r="F2" s="43"/>
      <c r="G2" s="45" t="s">
        <v>38</v>
      </c>
      <c r="H2" s="19"/>
      <c r="I2" s="27"/>
      <c r="K2" s="42" t="s">
        <v>6</v>
      </c>
      <c r="L2" s="43"/>
      <c r="M2" s="44" t="s">
        <v>1</v>
      </c>
      <c r="N2" s="43" t="s">
        <v>7</v>
      </c>
      <c r="O2" s="43"/>
      <c r="P2" s="45" t="s">
        <v>1</v>
      </c>
    </row>
    <row r="3" spans="2:16" ht="14.4" thickTop="1">
      <c r="B3" s="10"/>
      <c r="C3" s="5"/>
      <c r="D3" s="5"/>
      <c r="E3" s="1"/>
      <c r="F3" s="5"/>
      <c r="G3" s="36"/>
      <c r="H3" s="19"/>
      <c r="I3" s="27"/>
      <c r="K3" s="10"/>
      <c r="L3" s="5"/>
      <c r="M3" s="5"/>
      <c r="N3" s="1"/>
      <c r="O3" s="5"/>
      <c r="P3" s="36"/>
    </row>
    <row r="4" spans="2:16">
      <c r="B4" s="17" t="s">
        <v>17</v>
      </c>
      <c r="C4" s="11"/>
      <c r="D4" s="224">
        <f>SUM(D5:D10)</f>
        <v>393174078</v>
      </c>
      <c r="E4" s="18" t="s">
        <v>20</v>
      </c>
      <c r="F4" s="11"/>
      <c r="G4" s="222">
        <f>SUM(G5:G8)</f>
        <v>275500000</v>
      </c>
      <c r="H4" s="6"/>
      <c r="I4" s="26"/>
      <c r="K4" s="17" t="s">
        <v>17</v>
      </c>
      <c r="L4" s="5"/>
      <c r="M4" s="39">
        <v>50829776</v>
      </c>
      <c r="N4" s="18" t="s">
        <v>20</v>
      </c>
      <c r="O4" s="5"/>
      <c r="P4" s="37">
        <v>0</v>
      </c>
    </row>
    <row r="5" spans="2:16" ht="14.4">
      <c r="B5" s="221" t="s">
        <v>279</v>
      </c>
      <c r="C5" s="219"/>
      <c r="D5" s="220">
        <f>290000000</f>
        <v>290000000</v>
      </c>
      <c r="E5" s="152" t="s">
        <v>284</v>
      </c>
      <c r="F5" s="5"/>
      <c r="G5" s="34">
        <f>290000000*0.8</f>
        <v>232000000</v>
      </c>
      <c r="K5" s="13" t="s">
        <v>59</v>
      </c>
      <c r="L5" s="5"/>
      <c r="M5" s="40">
        <v>14000000</v>
      </c>
      <c r="N5" s="5"/>
      <c r="O5" s="5"/>
      <c r="P5" s="34"/>
    </row>
    <row r="6" spans="2:16" ht="14.4">
      <c r="B6" s="13" t="s">
        <v>285</v>
      </c>
      <c r="C6" s="5"/>
      <c r="D6" s="40">
        <v>6875830</v>
      </c>
      <c r="E6" s="152" t="s">
        <v>353</v>
      </c>
      <c r="F6" s="5"/>
      <c r="G6" s="34">
        <v>6500000</v>
      </c>
      <c r="H6" s="6"/>
      <c r="I6" s="26"/>
      <c r="K6" s="13" t="s">
        <v>60</v>
      </c>
      <c r="L6" s="5"/>
      <c r="M6" s="40">
        <v>6855830</v>
      </c>
      <c r="N6" s="5"/>
      <c r="O6" s="5"/>
      <c r="P6" s="9"/>
    </row>
    <row r="7" spans="2:16" ht="14.4">
      <c r="B7" s="13" t="s">
        <v>286</v>
      </c>
      <c r="C7" s="5"/>
      <c r="D7" s="40">
        <v>50000</v>
      </c>
      <c r="E7" s="5" t="s">
        <v>351</v>
      </c>
      <c r="F7" s="5"/>
      <c r="G7" s="34">
        <v>37000000</v>
      </c>
      <c r="H7" s="6"/>
      <c r="I7" s="26"/>
      <c r="K7" s="13" t="s">
        <v>192</v>
      </c>
      <c r="L7" s="5"/>
      <c r="M7" s="40">
        <v>19973946</v>
      </c>
      <c r="N7" s="5"/>
      <c r="O7" s="5"/>
      <c r="P7" s="9"/>
    </row>
    <row r="8" spans="2:16">
      <c r="B8" s="13" t="s">
        <v>388</v>
      </c>
      <c r="C8" s="5"/>
      <c r="D8" s="40">
        <f>3299147+2038260</f>
        <v>5337407</v>
      </c>
      <c r="E8" s="5"/>
      <c r="F8" s="5"/>
      <c r="G8" s="9"/>
      <c r="H8" s="6"/>
      <c r="I8" s="26"/>
      <c r="K8" s="13" t="s">
        <v>86</v>
      </c>
      <c r="L8" s="5"/>
      <c r="M8" s="40">
        <v>10000000</v>
      </c>
      <c r="N8" s="5"/>
      <c r="O8" s="5"/>
      <c r="P8" s="9"/>
    </row>
    <row r="9" spans="2:16">
      <c r="B9" s="13" t="s">
        <v>300</v>
      </c>
      <c r="C9" s="5"/>
      <c r="D9" s="40">
        <v>90910841</v>
      </c>
      <c r="E9" s="5"/>
      <c r="F9" s="5"/>
      <c r="G9" s="9"/>
      <c r="H9" s="6"/>
      <c r="I9" s="26"/>
      <c r="K9" s="13"/>
      <c r="L9" s="5"/>
      <c r="M9" s="40"/>
      <c r="N9" s="5"/>
      <c r="O9" s="5"/>
      <c r="P9" s="9"/>
    </row>
    <row r="10" spans="2:16">
      <c r="B10" s="13"/>
      <c r="C10" s="5"/>
      <c r="D10" s="40"/>
      <c r="E10" s="5"/>
      <c r="F10" s="5"/>
      <c r="G10" s="9"/>
      <c r="H10" s="6"/>
      <c r="I10" s="26"/>
      <c r="K10" s="13"/>
      <c r="L10" s="5"/>
      <c r="M10" s="40"/>
      <c r="N10" s="5"/>
      <c r="O10" s="5"/>
      <c r="P10" s="9"/>
    </row>
    <row r="11" spans="2:16">
      <c r="B11" s="17" t="s">
        <v>18</v>
      </c>
      <c r="C11" s="11"/>
      <c r="D11" s="225">
        <f>SUM(D12:D17)</f>
        <v>-53459871</v>
      </c>
      <c r="E11" s="11" t="s">
        <v>19</v>
      </c>
      <c r="F11" s="11"/>
      <c r="G11" s="223">
        <f>SUM(G12:G18)</f>
        <v>6379434</v>
      </c>
      <c r="K11" s="17" t="s">
        <v>18</v>
      </c>
      <c r="L11" s="5"/>
      <c r="M11" s="41">
        <v>45815340</v>
      </c>
      <c r="N11" s="11" t="s">
        <v>19</v>
      </c>
      <c r="O11" s="5"/>
      <c r="P11" s="38">
        <v>165700</v>
      </c>
    </row>
    <row r="12" spans="2:16">
      <c r="B12" s="13" t="s">
        <v>280</v>
      </c>
      <c r="C12" s="5"/>
      <c r="D12" s="46">
        <v>0</v>
      </c>
      <c r="E12" s="5" t="s">
        <v>62</v>
      </c>
      <c r="F12" s="5"/>
      <c r="G12" s="49">
        <v>6379434</v>
      </c>
      <c r="H12" s="6"/>
      <c r="I12" s="26"/>
      <c r="K12" s="13" t="s">
        <v>61</v>
      </c>
      <c r="L12" s="5"/>
      <c r="M12" s="40">
        <v>45815340</v>
      </c>
      <c r="N12" s="5" t="s">
        <v>62</v>
      </c>
      <c r="O12" s="5"/>
      <c r="P12" s="49">
        <v>165700</v>
      </c>
    </row>
    <row r="13" spans="2:16">
      <c r="B13" s="13" t="s">
        <v>281</v>
      </c>
      <c r="C13" s="5"/>
      <c r="D13" s="40">
        <v>0</v>
      </c>
      <c r="E13" s="5" t="s">
        <v>63</v>
      </c>
      <c r="F13" s="5"/>
      <c r="G13" s="49">
        <v>0</v>
      </c>
      <c r="H13" s="6"/>
      <c r="I13" s="26"/>
      <c r="K13" s="13" t="s">
        <v>231</v>
      </c>
      <c r="L13" s="5"/>
      <c r="M13" s="46">
        <v>0</v>
      </c>
      <c r="N13" s="5" t="s">
        <v>63</v>
      </c>
      <c r="O13" s="5"/>
      <c r="P13" s="49">
        <v>0</v>
      </c>
    </row>
    <row r="14" spans="2:16">
      <c r="B14" s="13" t="s">
        <v>65</v>
      </c>
      <c r="C14" s="5"/>
      <c r="D14" s="40">
        <v>0</v>
      </c>
      <c r="E14" s="5"/>
      <c r="F14" s="5"/>
      <c r="G14" s="49"/>
      <c r="H14" s="6"/>
      <c r="I14" s="26"/>
      <c r="K14" s="12" t="s">
        <v>64</v>
      </c>
      <c r="L14" s="5"/>
      <c r="M14" s="40"/>
      <c r="N14" s="40"/>
      <c r="O14" s="40"/>
      <c r="P14" s="34"/>
    </row>
    <row r="15" spans="2:16">
      <c r="B15" s="13" t="s">
        <v>344</v>
      </c>
      <c r="C15" s="5"/>
      <c r="D15" s="40">
        <v>-53459871</v>
      </c>
      <c r="E15" s="5"/>
      <c r="F15" s="5"/>
      <c r="G15" s="49"/>
      <c r="K15" s="13" t="s">
        <v>65</v>
      </c>
      <c r="L15" s="5"/>
      <c r="M15" s="40"/>
      <c r="N15" s="33"/>
      <c r="O15" s="5"/>
      <c r="P15" s="34"/>
    </row>
    <row r="16" spans="2:16">
      <c r="B16" s="13"/>
      <c r="C16" s="5"/>
      <c r="D16" s="40"/>
      <c r="E16" s="5"/>
      <c r="F16" s="190"/>
      <c r="G16" s="34"/>
      <c r="K16" s="13"/>
      <c r="L16" s="5"/>
      <c r="M16" s="40"/>
      <c r="N16" s="33"/>
      <c r="O16" s="190"/>
      <c r="P16" s="34"/>
    </row>
    <row r="17" spans="2:16">
      <c r="B17" s="13"/>
      <c r="C17" s="5"/>
      <c r="D17" s="40"/>
      <c r="E17" s="55"/>
      <c r="F17" s="5"/>
      <c r="G17" s="9"/>
      <c r="K17" s="13"/>
      <c r="L17" s="5"/>
      <c r="M17" s="40"/>
      <c r="N17" s="55"/>
      <c r="O17" s="5"/>
      <c r="P17" s="9"/>
    </row>
    <row r="18" spans="2:16">
      <c r="B18" s="13"/>
      <c r="C18" s="5"/>
      <c r="D18" s="40"/>
      <c r="E18" s="5"/>
      <c r="F18" s="5"/>
      <c r="G18" s="9"/>
      <c r="K18" s="13"/>
      <c r="L18" s="5"/>
      <c r="M18" s="40"/>
      <c r="N18" s="5"/>
      <c r="O18" s="5"/>
      <c r="P18" s="9"/>
    </row>
    <row r="19" spans="2:16">
      <c r="B19" s="14" t="s">
        <v>8</v>
      </c>
      <c r="C19" s="15"/>
      <c r="D19" s="16">
        <f>D4+D11</f>
        <v>339714207</v>
      </c>
      <c r="E19" s="15" t="s">
        <v>9</v>
      </c>
      <c r="F19" s="15"/>
      <c r="G19" s="22">
        <f>G4+G11</f>
        <v>281879434</v>
      </c>
      <c r="K19" s="14" t="s">
        <v>8</v>
      </c>
      <c r="L19" s="15"/>
      <c r="M19" s="16">
        <v>96645116</v>
      </c>
      <c r="N19" s="15" t="s">
        <v>9</v>
      </c>
      <c r="O19" s="15"/>
      <c r="P19" s="22">
        <v>165700</v>
      </c>
    </row>
    <row r="20" spans="2:16">
      <c r="E20" s="4"/>
      <c r="F20" s="7"/>
      <c r="G20" s="5"/>
      <c r="N20" s="4"/>
      <c r="O20" s="7"/>
      <c r="P20" s="5"/>
    </row>
    <row r="21" spans="2:16">
      <c r="B21" s="23" t="s">
        <v>41</v>
      </c>
      <c r="C21" s="23"/>
      <c r="D21" s="24">
        <f>D11-G11</f>
        <v>-59839305</v>
      </c>
      <c r="E21" s="3"/>
      <c r="F21" s="3"/>
      <c r="G21" s="33"/>
      <c r="H21" s="33"/>
      <c r="K21" s="23" t="s">
        <v>66</v>
      </c>
      <c r="L21" s="23"/>
      <c r="M21" s="24">
        <v>45649640</v>
      </c>
      <c r="N21" s="3"/>
      <c r="O21" s="30"/>
      <c r="P21" s="33"/>
    </row>
    <row r="22" spans="2:16">
      <c r="B22" s="23" t="s">
        <v>10</v>
      </c>
      <c r="C22" s="23"/>
      <c r="D22" s="25">
        <f>D19-G19</f>
        <v>57834773</v>
      </c>
      <c r="F22" s="3"/>
      <c r="G22" s="3"/>
      <c r="K22" s="23" t="s">
        <v>10</v>
      </c>
      <c r="L22" s="23"/>
      <c r="M22" s="25">
        <v>96479416</v>
      </c>
      <c r="O22" s="35"/>
      <c r="P22" s="3"/>
    </row>
    <row r="23" spans="2:16">
      <c r="D23" s="51"/>
      <c r="M23" s="51"/>
    </row>
    <row r="24" spans="2:16" ht="14.4">
      <c r="C24" s="30"/>
      <c r="D24" s="3"/>
      <c r="E24" s="3"/>
      <c r="F24" s="244"/>
      <c r="G24" s="31"/>
      <c r="K24" s="107" t="s">
        <v>229</v>
      </c>
      <c r="L24" s="108"/>
      <c r="M24" s="109"/>
      <c r="N24" s="110"/>
      <c r="O24" s="108"/>
      <c r="P24" s="111">
        <v>44227</v>
      </c>
    </row>
    <row r="25" spans="2:16" ht="15" thickBot="1">
      <c r="B25" s="50"/>
      <c r="C25" s="227"/>
      <c r="D25" s="3"/>
      <c r="E25" s="3"/>
      <c r="F25" s="244"/>
      <c r="G25" s="31"/>
      <c r="K25" s="42" t="s">
        <v>6</v>
      </c>
      <c r="L25" s="43"/>
      <c r="M25" s="44" t="s">
        <v>1</v>
      </c>
      <c r="N25" s="43" t="s">
        <v>7</v>
      </c>
      <c r="O25" s="43"/>
      <c r="P25" s="45" t="s">
        <v>1</v>
      </c>
    </row>
    <row r="26" spans="2:16" ht="15" thickTop="1">
      <c r="B26" s="50"/>
      <c r="C26" s="51"/>
      <c r="D26" s="3"/>
      <c r="E26" s="3"/>
      <c r="F26" s="3"/>
      <c r="K26" s="10"/>
      <c r="L26" s="5"/>
      <c r="M26" s="5"/>
      <c r="N26" s="1"/>
      <c r="O26" s="5"/>
      <c r="P26" s="36"/>
    </row>
    <row r="27" spans="2:16">
      <c r="D27" s="3"/>
      <c r="E27" s="240"/>
      <c r="F27" s="3"/>
      <c r="K27" s="17" t="s">
        <v>17</v>
      </c>
      <c r="L27" s="11"/>
      <c r="M27" s="224">
        <v>404462641</v>
      </c>
      <c r="N27" s="18" t="s">
        <v>20</v>
      </c>
      <c r="O27" s="11"/>
      <c r="P27" s="222">
        <v>238500000</v>
      </c>
    </row>
    <row r="28" spans="2:16" ht="14.4">
      <c r="D28" s="3"/>
      <c r="K28" s="221" t="s">
        <v>335</v>
      </c>
      <c r="L28" s="219"/>
      <c r="M28" s="220">
        <v>290000000</v>
      </c>
      <c r="N28" s="152" t="s">
        <v>336</v>
      </c>
      <c r="O28" s="5"/>
      <c r="P28" s="34">
        <v>232000000</v>
      </c>
    </row>
    <row r="29" spans="2:16" ht="14.4">
      <c r="B29" s="47"/>
      <c r="D29" s="52"/>
      <c r="E29" s="53"/>
      <c r="K29" s="13" t="s">
        <v>337</v>
      </c>
      <c r="L29" s="5"/>
      <c r="M29" s="40">
        <v>6875830</v>
      </c>
      <c r="N29" s="152" t="s">
        <v>338</v>
      </c>
      <c r="O29" s="5"/>
      <c r="P29" s="34">
        <v>6500000</v>
      </c>
    </row>
    <row r="30" spans="2:16">
      <c r="D30" s="31"/>
      <c r="E30" s="228"/>
      <c r="F30" s="48"/>
      <c r="K30" s="13" t="s">
        <v>339</v>
      </c>
      <c r="L30" s="5"/>
      <c r="M30" s="40">
        <v>50000</v>
      </c>
      <c r="N30" s="5"/>
      <c r="O30" s="5"/>
      <c r="P30" s="9"/>
    </row>
    <row r="31" spans="2:16">
      <c r="C31" s="51"/>
      <c r="D31" s="31"/>
      <c r="E31" s="54"/>
      <c r="F31" s="31"/>
      <c r="K31" s="13" t="s">
        <v>340</v>
      </c>
      <c r="L31" s="5"/>
      <c r="M31" s="40">
        <v>0</v>
      </c>
      <c r="N31" s="5"/>
      <c r="O31" s="5"/>
      <c r="P31" s="9"/>
    </row>
    <row r="32" spans="2:16">
      <c r="B32" s="5"/>
      <c r="C32" s="31"/>
      <c r="D32" s="31"/>
      <c r="F32" s="462"/>
      <c r="K32" s="13" t="s">
        <v>341</v>
      </c>
      <c r="L32" s="5"/>
      <c r="M32" s="40">
        <v>107536811</v>
      </c>
      <c r="N32" s="5"/>
      <c r="O32" s="5"/>
      <c r="P32" s="9"/>
    </row>
    <row r="33" spans="2:16">
      <c r="C33" s="31"/>
      <c r="D33" s="31"/>
      <c r="F33" s="30"/>
      <c r="K33" s="13"/>
      <c r="L33" s="5"/>
      <c r="M33" s="40"/>
      <c r="N33" s="5"/>
      <c r="O33" s="5"/>
      <c r="P33" s="9"/>
    </row>
    <row r="34" spans="2:16">
      <c r="C34" s="31"/>
      <c r="D34" s="31"/>
      <c r="K34" s="17" t="s">
        <v>18</v>
      </c>
      <c r="L34" s="11"/>
      <c r="M34" s="225">
        <v>-54859347</v>
      </c>
      <c r="N34" s="11" t="s">
        <v>19</v>
      </c>
      <c r="O34" s="11"/>
      <c r="P34" s="223">
        <v>626110</v>
      </c>
    </row>
    <row r="35" spans="2:16" ht="14.4">
      <c r="B35" s="50"/>
      <c r="C35" s="31"/>
      <c r="D35" s="31"/>
      <c r="K35" s="13" t="s">
        <v>342</v>
      </c>
      <c r="L35" s="5"/>
      <c r="M35" s="46">
        <v>0</v>
      </c>
      <c r="N35" s="5" t="s">
        <v>62</v>
      </c>
      <c r="O35" s="5"/>
      <c r="P35" s="49">
        <v>626110</v>
      </c>
    </row>
    <row r="36" spans="2:16">
      <c r="C36" s="31"/>
      <c r="D36" s="31"/>
      <c r="K36" s="13" t="s">
        <v>343</v>
      </c>
      <c r="L36" s="5"/>
      <c r="M36" s="40">
        <v>0</v>
      </c>
      <c r="N36" s="5" t="s">
        <v>63</v>
      </c>
      <c r="O36" s="5"/>
      <c r="P36" s="49">
        <v>0</v>
      </c>
    </row>
    <row r="37" spans="2:16">
      <c r="C37" s="31"/>
      <c r="D37" s="31"/>
      <c r="K37" s="13" t="s">
        <v>65</v>
      </c>
      <c r="L37" s="5"/>
      <c r="M37" s="40">
        <v>0</v>
      </c>
      <c r="N37" s="5"/>
      <c r="O37" s="5"/>
      <c r="P37" s="49"/>
    </row>
    <row r="38" spans="2:16">
      <c r="C38" s="31"/>
      <c r="D38" s="31"/>
      <c r="K38" s="13" t="s">
        <v>344</v>
      </c>
      <c r="L38" s="5"/>
      <c r="M38" s="40">
        <v>-54859347</v>
      </c>
      <c r="N38" s="5"/>
      <c r="O38" s="5"/>
      <c r="P38" s="49"/>
    </row>
    <row r="39" spans="2:16">
      <c r="C39" s="31"/>
      <c r="D39" s="31"/>
      <c r="K39" s="13"/>
      <c r="L39" s="5"/>
      <c r="M39" s="40"/>
      <c r="N39" s="5"/>
      <c r="O39" s="190"/>
      <c r="P39" s="34"/>
    </row>
    <row r="40" spans="2:16">
      <c r="C40" s="31"/>
      <c r="D40" s="31"/>
      <c r="K40" s="13"/>
      <c r="L40" s="5"/>
      <c r="M40" s="40"/>
      <c r="N40" s="55"/>
      <c r="O40" s="5"/>
      <c r="P40" s="9"/>
    </row>
    <row r="41" spans="2:16">
      <c r="C41" s="31"/>
      <c r="D41" s="31"/>
      <c r="K41" s="13"/>
      <c r="L41" s="5"/>
      <c r="M41" s="40"/>
      <c r="N41" s="5"/>
      <c r="O41" s="5"/>
      <c r="P41" s="9"/>
    </row>
    <row r="42" spans="2:16">
      <c r="C42" s="31"/>
      <c r="D42" s="31"/>
      <c r="K42" s="14" t="s">
        <v>8</v>
      </c>
      <c r="L42" s="15"/>
      <c r="M42" s="16">
        <v>349603294</v>
      </c>
      <c r="N42" s="15" t="s">
        <v>9</v>
      </c>
      <c r="O42" s="15"/>
      <c r="P42" s="22">
        <v>239126110</v>
      </c>
    </row>
    <row r="43" spans="2:16">
      <c r="C43" s="31"/>
      <c r="D43" s="31"/>
      <c r="N43" s="4"/>
      <c r="O43" s="7"/>
      <c r="P43" s="5"/>
    </row>
    <row r="44" spans="2:16">
      <c r="K44" s="23" t="s">
        <v>66</v>
      </c>
      <c r="L44" s="23"/>
      <c r="M44" s="24">
        <v>-55485457</v>
      </c>
      <c r="N44" s="3"/>
      <c r="O44" s="3"/>
      <c r="P44" s="33"/>
    </row>
    <row r="45" spans="2:16">
      <c r="K45" s="23" t="s">
        <v>10</v>
      </c>
      <c r="L45" s="23"/>
      <c r="M45" s="25">
        <v>110477184</v>
      </c>
      <c r="O45" s="3"/>
      <c r="P45" s="3"/>
    </row>
    <row r="47" spans="2:16">
      <c r="K47" s="107" t="s">
        <v>229</v>
      </c>
      <c r="L47" s="108"/>
      <c r="M47" s="109"/>
      <c r="N47" s="110"/>
      <c r="O47" s="108"/>
      <c r="P47" s="111">
        <v>44248</v>
      </c>
    </row>
    <row r="48" spans="2:16" ht="14.4" thickBot="1">
      <c r="K48" s="42" t="s">
        <v>6</v>
      </c>
      <c r="L48" s="43"/>
      <c r="M48" s="44" t="s">
        <v>1</v>
      </c>
      <c r="N48" s="43" t="s">
        <v>7</v>
      </c>
      <c r="O48" s="43"/>
      <c r="P48" s="45" t="s">
        <v>1</v>
      </c>
    </row>
    <row r="49" spans="11:16" ht="14.4" thickTop="1">
      <c r="K49" s="10"/>
      <c r="L49" s="5"/>
      <c r="M49" s="5"/>
      <c r="N49" s="1"/>
      <c r="O49" s="5"/>
      <c r="P49" s="36"/>
    </row>
    <row r="50" spans="11:16">
      <c r="K50" s="17" t="s">
        <v>17</v>
      </c>
      <c r="L50" s="11"/>
      <c r="M50" s="224">
        <v>443782017</v>
      </c>
      <c r="N50" s="18" t="s">
        <v>20</v>
      </c>
      <c r="O50" s="11"/>
      <c r="P50" s="222">
        <v>238500000</v>
      </c>
    </row>
    <row r="51" spans="11:16" ht="14.4">
      <c r="K51" s="221" t="s">
        <v>335</v>
      </c>
      <c r="L51" s="219"/>
      <c r="M51" s="220">
        <v>290000000</v>
      </c>
      <c r="N51" s="152" t="s">
        <v>336</v>
      </c>
      <c r="O51" s="5"/>
      <c r="P51" s="34">
        <v>232000000</v>
      </c>
    </row>
    <row r="52" spans="11:16" ht="14.4">
      <c r="K52" s="13" t="s">
        <v>337</v>
      </c>
      <c r="L52" s="5"/>
      <c r="M52" s="40">
        <v>6875830</v>
      </c>
      <c r="N52" s="152" t="s">
        <v>338</v>
      </c>
      <c r="O52" s="5"/>
      <c r="P52" s="34">
        <v>6500000</v>
      </c>
    </row>
    <row r="53" spans="11:16">
      <c r="K53" s="13" t="s">
        <v>339</v>
      </c>
      <c r="L53" s="5"/>
      <c r="M53" s="40">
        <v>50000</v>
      </c>
      <c r="N53" s="5"/>
      <c r="O53" s="5"/>
      <c r="P53" s="9"/>
    </row>
    <row r="54" spans="11:16">
      <c r="K54" s="13" t="s">
        <v>340</v>
      </c>
      <c r="L54" s="5"/>
      <c r="M54" s="40">
        <v>0</v>
      </c>
      <c r="N54" s="5"/>
      <c r="O54" s="5"/>
      <c r="P54" s="9"/>
    </row>
    <row r="55" spans="11:16">
      <c r="K55" s="13" t="s">
        <v>341</v>
      </c>
      <c r="L55" s="5"/>
      <c r="M55" s="40">
        <v>146856187</v>
      </c>
      <c r="N55" s="5"/>
      <c r="O55" s="5"/>
      <c r="P55" s="9"/>
    </row>
    <row r="56" spans="11:16">
      <c r="K56" s="13"/>
      <c r="L56" s="5"/>
      <c r="M56" s="40"/>
      <c r="N56" s="5"/>
      <c r="O56" s="5"/>
      <c r="P56" s="9"/>
    </row>
    <row r="57" spans="11:16" ht="15" customHeight="1">
      <c r="K57" s="17" t="s">
        <v>18</v>
      </c>
      <c r="L57" s="11"/>
      <c r="M57" s="225">
        <v>-50753252</v>
      </c>
      <c r="N57" s="11" t="s">
        <v>19</v>
      </c>
      <c r="O57" s="11"/>
      <c r="P57" s="223">
        <v>1653390</v>
      </c>
    </row>
    <row r="58" spans="11:16">
      <c r="K58" s="13" t="s">
        <v>342</v>
      </c>
      <c r="L58" s="5"/>
      <c r="M58" s="46">
        <v>0</v>
      </c>
      <c r="N58" s="5" t="s">
        <v>62</v>
      </c>
      <c r="O58" s="5"/>
      <c r="P58" s="49">
        <v>1653390</v>
      </c>
    </row>
    <row r="59" spans="11:16">
      <c r="K59" s="13" t="s">
        <v>343</v>
      </c>
      <c r="L59" s="5"/>
      <c r="M59" s="40">
        <v>0</v>
      </c>
      <c r="N59" s="5" t="s">
        <v>63</v>
      </c>
      <c r="O59" s="5"/>
      <c r="P59" s="49">
        <v>0</v>
      </c>
    </row>
    <row r="60" spans="11:16">
      <c r="K60" s="13" t="s">
        <v>65</v>
      </c>
      <c r="L60" s="5"/>
      <c r="M60" s="40">
        <v>0</v>
      </c>
      <c r="N60" s="5"/>
      <c r="O60" s="5"/>
      <c r="P60" s="49"/>
    </row>
    <row r="61" spans="11:16">
      <c r="K61" s="13" t="s">
        <v>344</v>
      </c>
      <c r="L61" s="5"/>
      <c r="M61" s="40">
        <v>-50753252</v>
      </c>
      <c r="N61" s="5"/>
      <c r="O61" s="5"/>
      <c r="P61" s="49"/>
    </row>
    <row r="62" spans="11:16">
      <c r="K62" s="13"/>
      <c r="L62" s="5"/>
      <c r="M62" s="40"/>
      <c r="N62" s="5"/>
      <c r="O62" s="190"/>
      <c r="P62" s="34"/>
    </row>
    <row r="63" spans="11:16">
      <c r="K63" s="13"/>
      <c r="L63" s="5"/>
      <c r="M63" s="40"/>
      <c r="N63" s="55"/>
      <c r="O63" s="5"/>
      <c r="P63" s="9"/>
    </row>
    <row r="64" spans="11:16">
      <c r="K64" s="13"/>
      <c r="L64" s="5"/>
      <c r="M64" s="40"/>
      <c r="N64" s="5"/>
      <c r="O64" s="5"/>
      <c r="P64" s="9"/>
    </row>
    <row r="65" spans="11:16">
      <c r="K65" s="14" t="s">
        <v>8</v>
      </c>
      <c r="L65" s="15"/>
      <c r="M65" s="16">
        <v>393028765</v>
      </c>
      <c r="N65" s="15" t="s">
        <v>9</v>
      </c>
      <c r="O65" s="15"/>
      <c r="P65" s="22">
        <v>240153390</v>
      </c>
    </row>
    <row r="66" spans="11:16">
      <c r="N66" s="4"/>
      <c r="O66" s="7"/>
      <c r="P66" s="5"/>
    </row>
    <row r="67" spans="11:16">
      <c r="K67" s="23" t="s">
        <v>66</v>
      </c>
      <c r="L67" s="23"/>
      <c r="M67" s="24">
        <v>-52406642</v>
      </c>
      <c r="N67" s="3"/>
      <c r="O67" s="3"/>
      <c r="P67" s="33"/>
    </row>
    <row r="68" spans="11:16">
      <c r="K68" s="23" t="s">
        <v>10</v>
      </c>
      <c r="L68" s="23"/>
      <c r="M68" s="25">
        <v>152875375</v>
      </c>
      <c r="O68" s="3"/>
      <c r="P68" s="3"/>
    </row>
    <row r="70" spans="11:16">
      <c r="K70" s="107" t="s">
        <v>229</v>
      </c>
      <c r="L70" s="108"/>
      <c r="M70" s="109"/>
      <c r="N70" s="110"/>
      <c r="O70" s="108"/>
      <c r="P70" s="111">
        <v>44262</v>
      </c>
    </row>
    <row r="71" spans="11:16" ht="14.4" thickBot="1">
      <c r="K71" s="42" t="s">
        <v>6</v>
      </c>
      <c r="L71" s="43"/>
      <c r="M71" s="44" t="s">
        <v>1</v>
      </c>
      <c r="N71" s="43" t="s">
        <v>7</v>
      </c>
      <c r="O71" s="43"/>
      <c r="P71" s="45" t="s">
        <v>1</v>
      </c>
    </row>
    <row r="72" spans="11:16" ht="14.4" thickTop="1">
      <c r="K72" s="10"/>
      <c r="L72" s="5"/>
      <c r="M72" s="5"/>
      <c r="N72" s="1"/>
      <c r="O72" s="5"/>
      <c r="P72" s="36"/>
    </row>
    <row r="73" spans="11:16">
      <c r="K73" s="17" t="s">
        <v>17</v>
      </c>
      <c r="L73" s="11"/>
      <c r="M73" s="224">
        <v>379231140</v>
      </c>
      <c r="N73" s="18" t="s">
        <v>20</v>
      </c>
      <c r="O73" s="11"/>
      <c r="P73" s="222">
        <v>238500000</v>
      </c>
    </row>
    <row r="74" spans="11:16" ht="14.4">
      <c r="K74" s="221" t="s">
        <v>335</v>
      </c>
      <c r="L74" s="219"/>
      <c r="M74" s="220">
        <v>290000000</v>
      </c>
      <c r="N74" s="152" t="s">
        <v>336</v>
      </c>
      <c r="O74" s="5"/>
      <c r="P74" s="34">
        <v>232000000</v>
      </c>
    </row>
    <row r="75" spans="11:16" ht="14.4">
      <c r="K75" s="13" t="s">
        <v>337</v>
      </c>
      <c r="L75" s="5"/>
      <c r="M75" s="40">
        <v>6875830</v>
      </c>
      <c r="N75" s="152" t="s">
        <v>338</v>
      </c>
      <c r="O75" s="5"/>
      <c r="P75" s="34">
        <v>6500000</v>
      </c>
    </row>
    <row r="76" spans="11:16">
      <c r="K76" s="13" t="s">
        <v>339</v>
      </c>
      <c r="L76" s="5"/>
      <c r="M76" s="40">
        <v>50000</v>
      </c>
      <c r="N76" s="5"/>
      <c r="O76" s="5"/>
      <c r="P76" s="9"/>
    </row>
    <row r="77" spans="11:16">
      <c r="K77" s="13" t="s">
        <v>340</v>
      </c>
      <c r="L77" s="5"/>
      <c r="M77" s="40">
        <v>0</v>
      </c>
      <c r="N77" s="5"/>
      <c r="O77" s="5"/>
      <c r="P77" s="9"/>
    </row>
    <row r="78" spans="11:16">
      <c r="K78" s="13" t="s">
        <v>341</v>
      </c>
      <c r="L78" s="5"/>
      <c r="M78" s="40">
        <v>82305310</v>
      </c>
      <c r="N78" s="5"/>
      <c r="O78" s="5"/>
      <c r="P78" s="9"/>
    </row>
    <row r="79" spans="11:16">
      <c r="K79" s="13"/>
      <c r="L79" s="5"/>
      <c r="M79" s="40"/>
      <c r="N79" s="5"/>
      <c r="O79" s="5"/>
      <c r="P79" s="9"/>
    </row>
    <row r="80" spans="11:16">
      <c r="K80" s="17" t="s">
        <v>18</v>
      </c>
      <c r="L80" s="11"/>
      <c r="M80" s="225">
        <v>-53380267</v>
      </c>
      <c r="N80" s="11" t="s">
        <v>19</v>
      </c>
      <c r="O80" s="11"/>
      <c r="P80" s="223">
        <v>1086210</v>
      </c>
    </row>
    <row r="81" spans="11:16">
      <c r="K81" s="13" t="s">
        <v>342</v>
      </c>
      <c r="L81" s="5"/>
      <c r="M81" s="46">
        <v>0</v>
      </c>
      <c r="N81" s="5" t="s">
        <v>62</v>
      </c>
      <c r="O81" s="5"/>
      <c r="P81" s="49">
        <v>1086210</v>
      </c>
    </row>
    <row r="82" spans="11:16" ht="15.75" customHeight="1">
      <c r="K82" s="13" t="s">
        <v>343</v>
      </c>
      <c r="L82" s="5"/>
      <c r="M82" s="40">
        <v>0</v>
      </c>
      <c r="N82" s="5" t="s">
        <v>63</v>
      </c>
      <c r="O82" s="5"/>
      <c r="P82" s="49">
        <v>0</v>
      </c>
    </row>
    <row r="83" spans="11:16">
      <c r="K83" s="13" t="s">
        <v>65</v>
      </c>
      <c r="L83" s="5"/>
      <c r="M83" s="40">
        <v>0</v>
      </c>
      <c r="N83" s="5"/>
      <c r="O83" s="5"/>
      <c r="P83" s="49"/>
    </row>
    <row r="84" spans="11:16">
      <c r="K84" s="13" t="s">
        <v>344</v>
      </c>
      <c r="L84" s="5"/>
      <c r="M84" s="40">
        <v>-53380267</v>
      </c>
      <c r="N84" s="5"/>
      <c r="O84" s="5"/>
      <c r="P84" s="49"/>
    </row>
    <row r="85" spans="11:16">
      <c r="K85" s="13"/>
      <c r="L85" s="5"/>
      <c r="M85" s="40"/>
      <c r="N85" s="5"/>
      <c r="O85" s="190"/>
      <c r="P85" s="34"/>
    </row>
    <row r="86" spans="11:16">
      <c r="K86" s="13"/>
      <c r="L86" s="5"/>
      <c r="M86" s="40"/>
      <c r="N86" s="55"/>
      <c r="O86" s="5"/>
      <c r="P86" s="9"/>
    </row>
    <row r="87" spans="11:16">
      <c r="K87" s="13"/>
      <c r="L87" s="5"/>
      <c r="M87" s="40"/>
      <c r="N87" s="5"/>
      <c r="O87" s="5"/>
      <c r="P87" s="9"/>
    </row>
    <row r="88" spans="11:16">
      <c r="K88" s="14" t="s">
        <v>8</v>
      </c>
      <c r="L88" s="15"/>
      <c r="M88" s="16">
        <v>325850873</v>
      </c>
      <c r="N88" s="15" t="s">
        <v>9</v>
      </c>
      <c r="O88" s="15"/>
      <c r="P88" s="22">
        <v>239586210</v>
      </c>
    </row>
    <row r="89" spans="11:16">
      <c r="N89" s="4"/>
      <c r="O89" s="7"/>
      <c r="P89" s="5"/>
    </row>
    <row r="90" spans="11:16">
      <c r="K90" s="23" t="s">
        <v>66</v>
      </c>
      <c r="L90" s="23"/>
      <c r="M90" s="24">
        <v>-54466477</v>
      </c>
      <c r="N90" s="3"/>
      <c r="O90" s="3"/>
      <c r="P90" s="33"/>
    </row>
    <row r="91" spans="11:16">
      <c r="K91" s="23" t="s">
        <v>10</v>
      </c>
      <c r="L91" s="23"/>
      <c r="M91" s="25">
        <v>86264663</v>
      </c>
      <c r="O91" s="3"/>
      <c r="P91" s="3"/>
    </row>
    <row r="93" spans="11:16">
      <c r="K93" s="107" t="s">
        <v>229</v>
      </c>
      <c r="L93" s="108"/>
      <c r="M93" s="109"/>
      <c r="N93" s="110"/>
      <c r="O93" s="108"/>
      <c r="P93" s="111">
        <v>44268</v>
      </c>
    </row>
    <row r="94" spans="11:16" ht="14.4" thickBot="1">
      <c r="K94" s="42" t="s">
        <v>6</v>
      </c>
      <c r="L94" s="43"/>
      <c r="M94" s="44" t="s">
        <v>1</v>
      </c>
      <c r="N94" s="43" t="s">
        <v>7</v>
      </c>
      <c r="O94" s="43"/>
      <c r="P94" s="45" t="s">
        <v>1</v>
      </c>
    </row>
    <row r="95" spans="11:16" ht="14.4" thickTop="1">
      <c r="K95" s="10"/>
      <c r="L95" s="5"/>
      <c r="M95" s="5"/>
      <c r="N95" s="1"/>
      <c r="O95" s="5"/>
      <c r="P95" s="36"/>
    </row>
    <row r="96" spans="11:16">
      <c r="K96" s="17" t="s">
        <v>17</v>
      </c>
      <c r="L96" s="11"/>
      <c r="M96" s="224">
        <v>379231140</v>
      </c>
      <c r="N96" s="18" t="s">
        <v>20</v>
      </c>
      <c r="O96" s="11"/>
      <c r="P96" s="222">
        <v>238500000</v>
      </c>
    </row>
    <row r="97" spans="11:16" ht="14.4">
      <c r="K97" s="221" t="s">
        <v>335</v>
      </c>
      <c r="L97" s="219"/>
      <c r="M97" s="220">
        <v>290000000</v>
      </c>
      <c r="N97" s="152" t="s">
        <v>336</v>
      </c>
      <c r="O97" s="5"/>
      <c r="P97" s="34">
        <v>232000000</v>
      </c>
    </row>
    <row r="98" spans="11:16" ht="14.4">
      <c r="K98" s="13" t="s">
        <v>337</v>
      </c>
      <c r="L98" s="5"/>
      <c r="M98" s="40">
        <v>6875830</v>
      </c>
      <c r="N98" s="152" t="s">
        <v>338</v>
      </c>
      <c r="O98" s="5"/>
      <c r="P98" s="34">
        <v>6500000</v>
      </c>
    </row>
    <row r="99" spans="11:16">
      <c r="K99" s="13" t="s">
        <v>339</v>
      </c>
      <c r="L99" s="5"/>
      <c r="M99" s="40">
        <v>50000</v>
      </c>
      <c r="N99" s="5"/>
      <c r="O99" s="5"/>
      <c r="P99" s="9"/>
    </row>
    <row r="100" spans="11:16">
      <c r="K100" s="13" t="s">
        <v>340</v>
      </c>
      <c r="L100" s="5"/>
      <c r="M100" s="40">
        <v>0</v>
      </c>
      <c r="N100" s="5"/>
      <c r="O100" s="5"/>
      <c r="P100" s="9"/>
    </row>
    <row r="101" spans="11:16">
      <c r="K101" s="13" t="s">
        <v>341</v>
      </c>
      <c r="L101" s="5"/>
      <c r="M101" s="40">
        <v>82305310</v>
      </c>
      <c r="N101" s="5"/>
      <c r="O101" s="5"/>
      <c r="P101" s="9"/>
    </row>
    <row r="102" spans="11:16">
      <c r="K102" s="13"/>
      <c r="L102" s="5"/>
      <c r="M102" s="40"/>
      <c r="N102" s="5"/>
      <c r="O102" s="5"/>
      <c r="P102" s="9"/>
    </row>
    <row r="103" spans="11:16" ht="15" customHeight="1">
      <c r="K103" s="17" t="s">
        <v>18</v>
      </c>
      <c r="L103" s="11"/>
      <c r="M103" s="225">
        <v>-53380267</v>
      </c>
      <c r="N103" s="11" t="s">
        <v>19</v>
      </c>
      <c r="O103" s="11"/>
      <c r="P103" s="223">
        <v>1086210</v>
      </c>
    </row>
    <row r="104" spans="11:16">
      <c r="K104" s="13" t="s">
        <v>342</v>
      </c>
      <c r="L104" s="5"/>
      <c r="M104" s="46">
        <v>0</v>
      </c>
      <c r="N104" s="5" t="s">
        <v>62</v>
      </c>
      <c r="O104" s="5"/>
      <c r="P104" s="49">
        <v>1086210</v>
      </c>
    </row>
    <row r="105" spans="11:16">
      <c r="K105" s="13" t="s">
        <v>343</v>
      </c>
      <c r="L105" s="5"/>
      <c r="M105" s="40">
        <v>0</v>
      </c>
      <c r="N105" s="5" t="s">
        <v>63</v>
      </c>
      <c r="O105" s="5"/>
      <c r="P105" s="49">
        <v>0</v>
      </c>
    </row>
    <row r="106" spans="11:16">
      <c r="K106" s="13" t="s">
        <v>65</v>
      </c>
      <c r="L106" s="5"/>
      <c r="M106" s="40">
        <v>0</v>
      </c>
      <c r="N106" s="5"/>
      <c r="O106" s="5"/>
      <c r="P106" s="49"/>
    </row>
    <row r="107" spans="11:16">
      <c r="K107" s="13" t="s">
        <v>344</v>
      </c>
      <c r="L107" s="5"/>
      <c r="M107" s="40">
        <v>-53380267</v>
      </c>
      <c r="N107" s="5"/>
      <c r="O107" s="5"/>
      <c r="P107" s="49"/>
    </row>
    <row r="108" spans="11:16">
      <c r="K108" s="13"/>
      <c r="L108" s="5"/>
      <c r="M108" s="40"/>
      <c r="N108" s="5"/>
      <c r="O108" s="190"/>
      <c r="P108" s="34"/>
    </row>
    <row r="109" spans="11:16">
      <c r="K109" s="13"/>
      <c r="L109" s="5"/>
      <c r="M109" s="40"/>
      <c r="N109" s="55"/>
      <c r="O109" s="5"/>
      <c r="P109" s="9"/>
    </row>
    <row r="110" spans="11:16">
      <c r="K110" s="13"/>
      <c r="L110" s="5"/>
      <c r="M110" s="40"/>
      <c r="N110" s="5"/>
      <c r="O110" s="5"/>
      <c r="P110" s="9"/>
    </row>
    <row r="111" spans="11:16">
      <c r="K111" s="14" t="s">
        <v>8</v>
      </c>
      <c r="L111" s="15"/>
      <c r="M111" s="16">
        <v>325850873</v>
      </c>
      <c r="N111" s="15" t="s">
        <v>9</v>
      </c>
      <c r="O111" s="15"/>
      <c r="P111" s="22">
        <v>239586210</v>
      </c>
    </row>
    <row r="112" spans="11:16">
      <c r="N112" s="4"/>
      <c r="O112" s="7"/>
      <c r="P112" s="5"/>
    </row>
    <row r="113" spans="11:16">
      <c r="K113" s="23" t="s">
        <v>66</v>
      </c>
      <c r="L113" s="23"/>
      <c r="M113" s="24">
        <v>-54466477</v>
      </c>
      <c r="N113" s="3"/>
      <c r="O113" s="3"/>
      <c r="P113" s="33"/>
    </row>
    <row r="114" spans="11:16">
      <c r="K114" s="23" t="s">
        <v>10</v>
      </c>
      <c r="L114" s="23"/>
      <c r="M114" s="25">
        <v>86264663</v>
      </c>
      <c r="O114" s="3"/>
      <c r="P114" s="3"/>
    </row>
    <row r="116" spans="11:16">
      <c r="K116" s="107" t="s">
        <v>229</v>
      </c>
      <c r="L116" s="108"/>
      <c r="M116" s="109"/>
      <c r="N116" s="110"/>
      <c r="O116" s="108"/>
      <c r="P116" s="111">
        <v>44276</v>
      </c>
    </row>
    <row r="117" spans="11:16" ht="14.4" thickBot="1">
      <c r="K117" s="42" t="s">
        <v>6</v>
      </c>
      <c r="L117" s="43"/>
      <c r="M117" s="44" t="s">
        <v>1</v>
      </c>
      <c r="N117" s="43" t="s">
        <v>7</v>
      </c>
      <c r="O117" s="43"/>
      <c r="P117" s="45" t="s">
        <v>1</v>
      </c>
    </row>
    <row r="118" spans="11:16" ht="14.4" thickTop="1">
      <c r="K118" s="10"/>
      <c r="L118" s="5"/>
      <c r="M118" s="5"/>
      <c r="N118" s="1"/>
      <c r="O118" s="5"/>
      <c r="P118" s="36"/>
    </row>
    <row r="119" spans="11:16">
      <c r="K119" s="17" t="s">
        <v>17</v>
      </c>
      <c r="L119" s="11"/>
      <c r="M119" s="224">
        <v>385648509</v>
      </c>
      <c r="N119" s="18" t="s">
        <v>20</v>
      </c>
      <c r="O119" s="11"/>
      <c r="P119" s="222">
        <v>238500000</v>
      </c>
    </row>
    <row r="120" spans="11:16" ht="14.4">
      <c r="K120" s="221" t="s">
        <v>335</v>
      </c>
      <c r="L120" s="219"/>
      <c r="M120" s="220">
        <v>290000000</v>
      </c>
      <c r="N120" s="152" t="s">
        <v>336</v>
      </c>
      <c r="O120" s="5"/>
      <c r="P120" s="34">
        <v>232000000</v>
      </c>
    </row>
    <row r="121" spans="11:16" ht="14.4">
      <c r="K121" s="13" t="s">
        <v>337</v>
      </c>
      <c r="L121" s="5"/>
      <c r="M121" s="40">
        <v>6875830</v>
      </c>
      <c r="N121" s="152" t="s">
        <v>338</v>
      </c>
      <c r="O121" s="5"/>
      <c r="P121" s="34">
        <v>6500000</v>
      </c>
    </row>
    <row r="122" spans="11:16">
      <c r="K122" s="13" t="s">
        <v>339</v>
      </c>
      <c r="L122" s="5"/>
      <c r="M122" s="40">
        <v>50000</v>
      </c>
      <c r="N122" s="5"/>
      <c r="O122" s="5"/>
      <c r="P122" s="9"/>
    </row>
    <row r="123" spans="11:16">
      <c r="K123" s="13" t="s">
        <v>340</v>
      </c>
      <c r="L123" s="5"/>
      <c r="M123" s="40">
        <v>0</v>
      </c>
      <c r="N123" s="5"/>
      <c r="O123" s="5"/>
      <c r="P123" s="9"/>
    </row>
    <row r="124" spans="11:16">
      <c r="K124" s="13" t="s">
        <v>341</v>
      </c>
      <c r="L124" s="5"/>
      <c r="M124" s="40">
        <v>88722679</v>
      </c>
      <c r="N124" s="5"/>
      <c r="O124" s="5"/>
      <c r="P124" s="9"/>
    </row>
    <row r="125" spans="11:16">
      <c r="K125" s="13"/>
      <c r="L125" s="5"/>
      <c r="M125" s="40"/>
      <c r="N125" s="5"/>
      <c r="O125" s="5"/>
      <c r="P125" s="9"/>
    </row>
    <row r="126" spans="11:16">
      <c r="K126" s="17" t="s">
        <v>18</v>
      </c>
      <c r="L126" s="11"/>
      <c r="M126" s="225">
        <v>-49764529</v>
      </c>
      <c r="N126" s="11" t="s">
        <v>19</v>
      </c>
      <c r="O126" s="11"/>
      <c r="P126" s="223">
        <v>3054200</v>
      </c>
    </row>
    <row r="127" spans="11:16">
      <c r="K127" s="13" t="s">
        <v>342</v>
      </c>
      <c r="L127" s="5"/>
      <c r="M127" s="46">
        <v>0</v>
      </c>
      <c r="N127" s="5" t="s">
        <v>62</v>
      </c>
      <c r="O127" s="5"/>
      <c r="P127" s="49">
        <v>3054200</v>
      </c>
    </row>
    <row r="128" spans="11:16">
      <c r="K128" s="13" t="s">
        <v>343</v>
      </c>
      <c r="L128" s="5"/>
      <c r="M128" s="40">
        <v>0</v>
      </c>
      <c r="N128" s="5" t="s">
        <v>63</v>
      </c>
      <c r="O128" s="5"/>
      <c r="P128" s="49">
        <v>0</v>
      </c>
    </row>
    <row r="129" spans="11:16">
      <c r="K129" s="13" t="s">
        <v>65</v>
      </c>
      <c r="L129" s="5"/>
      <c r="M129" s="40">
        <v>0</v>
      </c>
      <c r="N129" s="5"/>
      <c r="O129" s="5"/>
      <c r="P129" s="49"/>
    </row>
    <row r="130" spans="11:16">
      <c r="K130" s="13" t="s">
        <v>344</v>
      </c>
      <c r="L130" s="5"/>
      <c r="M130" s="40">
        <v>-49764529</v>
      </c>
      <c r="N130" s="5"/>
      <c r="O130" s="5"/>
      <c r="P130" s="49"/>
    </row>
    <row r="131" spans="11:16">
      <c r="K131" s="13"/>
      <c r="L131" s="5"/>
      <c r="M131" s="40"/>
      <c r="N131" s="5"/>
      <c r="O131" s="190"/>
      <c r="P131" s="34"/>
    </row>
    <row r="132" spans="11:16">
      <c r="K132" s="13"/>
      <c r="L132" s="5"/>
      <c r="M132" s="40"/>
      <c r="N132" s="55"/>
      <c r="O132" s="5"/>
      <c r="P132" s="9"/>
    </row>
    <row r="133" spans="11:16">
      <c r="K133" s="13"/>
      <c r="L133" s="5"/>
      <c r="M133" s="40"/>
      <c r="N133" s="5"/>
      <c r="O133" s="5"/>
      <c r="P133" s="9"/>
    </row>
    <row r="134" spans="11:16">
      <c r="K134" s="14" t="s">
        <v>8</v>
      </c>
      <c r="L134" s="15"/>
      <c r="M134" s="16">
        <v>335883980</v>
      </c>
      <c r="N134" s="15" t="s">
        <v>9</v>
      </c>
      <c r="O134" s="15"/>
      <c r="P134" s="22">
        <v>241554200</v>
      </c>
    </row>
    <row r="135" spans="11:16">
      <c r="N135" s="4"/>
      <c r="O135" s="7"/>
      <c r="P135" s="5"/>
    </row>
    <row r="136" spans="11:16">
      <c r="K136" s="23" t="s">
        <v>66</v>
      </c>
      <c r="L136" s="23"/>
      <c r="M136" s="24">
        <v>-52818729</v>
      </c>
      <c r="N136" s="3"/>
      <c r="O136" s="3"/>
      <c r="P136" s="33"/>
    </row>
    <row r="137" spans="11:16">
      <c r="K137" s="23" t="s">
        <v>10</v>
      </c>
      <c r="L137" s="23"/>
      <c r="M137" s="25">
        <v>94329780</v>
      </c>
      <c r="O137" s="3"/>
      <c r="P137" s="3"/>
    </row>
    <row r="139" spans="11:16">
      <c r="K139" s="107" t="s">
        <v>229</v>
      </c>
      <c r="L139" s="108"/>
      <c r="M139" s="109"/>
      <c r="N139" s="110"/>
      <c r="O139" s="108"/>
      <c r="P139" s="111">
        <v>44291</v>
      </c>
    </row>
    <row r="140" spans="11:16" ht="14.4" thickBot="1">
      <c r="K140" s="42" t="s">
        <v>6</v>
      </c>
      <c r="L140" s="43"/>
      <c r="M140" s="44" t="s">
        <v>1</v>
      </c>
      <c r="N140" s="43" t="s">
        <v>7</v>
      </c>
      <c r="O140" s="43"/>
      <c r="P140" s="45" t="s">
        <v>1</v>
      </c>
    </row>
    <row r="141" spans="11:16" ht="14.4" thickTop="1">
      <c r="K141" s="10"/>
      <c r="L141" s="5"/>
      <c r="M141" s="5"/>
      <c r="N141" s="1"/>
      <c r="O141" s="5"/>
      <c r="P141" s="36"/>
    </row>
    <row r="142" spans="11:16">
      <c r="K142" s="17" t="s">
        <v>17</v>
      </c>
      <c r="L142" s="11"/>
      <c r="M142" s="224">
        <v>389463268</v>
      </c>
      <c r="N142" s="18" t="s">
        <v>20</v>
      </c>
      <c r="O142" s="11"/>
      <c r="P142" s="222">
        <v>238500000</v>
      </c>
    </row>
    <row r="143" spans="11:16" ht="14.4">
      <c r="K143" s="221" t="s">
        <v>335</v>
      </c>
      <c r="L143" s="219"/>
      <c r="M143" s="220">
        <v>290000000</v>
      </c>
      <c r="N143" s="152" t="s">
        <v>336</v>
      </c>
      <c r="O143" s="5"/>
      <c r="P143" s="34">
        <v>232000000</v>
      </c>
    </row>
    <row r="144" spans="11:16" ht="14.4">
      <c r="K144" s="13" t="s">
        <v>337</v>
      </c>
      <c r="L144" s="5"/>
      <c r="M144" s="40">
        <v>6875830</v>
      </c>
      <c r="N144" s="152" t="s">
        <v>338</v>
      </c>
      <c r="O144" s="5"/>
      <c r="P144" s="34">
        <v>6500000</v>
      </c>
    </row>
    <row r="145" spans="11:16">
      <c r="K145" s="13" t="s">
        <v>339</v>
      </c>
      <c r="L145" s="5"/>
      <c r="M145" s="40">
        <v>50000</v>
      </c>
      <c r="N145" s="5"/>
      <c r="O145" s="5"/>
      <c r="P145" s="9"/>
    </row>
    <row r="146" spans="11:16">
      <c r="K146" s="13" t="s">
        <v>340</v>
      </c>
      <c r="L146" s="5"/>
      <c r="M146" s="40">
        <v>0</v>
      </c>
      <c r="N146" s="5"/>
      <c r="O146" s="5"/>
      <c r="P146" s="9"/>
    </row>
    <row r="147" spans="11:16">
      <c r="K147" s="13" t="s">
        <v>341</v>
      </c>
      <c r="L147" s="5"/>
      <c r="M147" s="40">
        <v>92537438</v>
      </c>
      <c r="N147" s="5"/>
      <c r="O147" s="5"/>
      <c r="P147" s="9"/>
    </row>
    <row r="148" spans="11:16">
      <c r="K148" s="13"/>
      <c r="L148" s="5"/>
      <c r="M148" s="40"/>
      <c r="N148" s="5"/>
      <c r="O148" s="5"/>
      <c r="P148" s="9"/>
    </row>
    <row r="149" spans="11:16">
      <c r="K149" s="17" t="s">
        <v>18</v>
      </c>
      <c r="L149" s="11"/>
      <c r="M149" s="225">
        <v>-54222395</v>
      </c>
      <c r="N149" s="11" t="s">
        <v>19</v>
      </c>
      <c r="O149" s="11"/>
      <c r="P149" s="223">
        <v>1688420</v>
      </c>
    </row>
    <row r="150" spans="11:16" ht="15" customHeight="1">
      <c r="K150" s="13" t="s">
        <v>342</v>
      </c>
      <c r="L150" s="5"/>
      <c r="M150" s="46">
        <v>0</v>
      </c>
      <c r="N150" s="5" t="s">
        <v>62</v>
      </c>
      <c r="O150" s="5"/>
      <c r="P150" s="49">
        <v>1688420</v>
      </c>
    </row>
    <row r="151" spans="11:16">
      <c r="K151" s="13" t="s">
        <v>343</v>
      </c>
      <c r="L151" s="5"/>
      <c r="M151" s="40">
        <v>0</v>
      </c>
      <c r="N151" s="5" t="s">
        <v>63</v>
      </c>
      <c r="O151" s="5"/>
      <c r="P151" s="49">
        <v>0</v>
      </c>
    </row>
    <row r="152" spans="11:16">
      <c r="K152" s="13" t="s">
        <v>65</v>
      </c>
      <c r="L152" s="5"/>
      <c r="M152" s="40">
        <v>0</v>
      </c>
      <c r="N152" s="5"/>
      <c r="O152" s="5"/>
      <c r="P152" s="49"/>
    </row>
    <row r="153" spans="11:16">
      <c r="K153" s="13" t="s">
        <v>344</v>
      </c>
      <c r="L153" s="5"/>
      <c r="M153" s="40">
        <v>-54222395</v>
      </c>
      <c r="N153" s="5"/>
      <c r="O153" s="5"/>
      <c r="P153" s="49"/>
    </row>
    <row r="154" spans="11:16">
      <c r="K154" s="13"/>
      <c r="L154" s="5"/>
      <c r="M154" s="40"/>
      <c r="N154" s="5"/>
      <c r="O154" s="190"/>
      <c r="P154" s="34"/>
    </row>
    <row r="155" spans="11:16">
      <c r="K155" s="13"/>
      <c r="L155" s="5"/>
      <c r="M155" s="40"/>
      <c r="N155" s="55"/>
      <c r="O155" s="5"/>
      <c r="P155" s="9"/>
    </row>
    <row r="156" spans="11:16">
      <c r="K156" s="13"/>
      <c r="L156" s="5"/>
      <c r="M156" s="40"/>
      <c r="N156" s="5"/>
      <c r="O156" s="5"/>
      <c r="P156" s="9"/>
    </row>
    <row r="157" spans="11:16">
      <c r="K157" s="14" t="s">
        <v>8</v>
      </c>
      <c r="L157" s="15"/>
      <c r="M157" s="16">
        <v>335240873</v>
      </c>
      <c r="N157" s="15" t="s">
        <v>9</v>
      </c>
      <c r="O157" s="15"/>
      <c r="P157" s="22">
        <v>240188420</v>
      </c>
    </row>
    <row r="158" spans="11:16">
      <c r="N158" s="4"/>
      <c r="O158" s="7"/>
      <c r="P158" s="5"/>
    </row>
    <row r="159" spans="11:16">
      <c r="K159" s="23" t="s">
        <v>66</v>
      </c>
      <c r="L159" s="23"/>
      <c r="M159" s="24">
        <v>-55910815</v>
      </c>
      <c r="N159" s="3"/>
      <c r="O159" s="3"/>
      <c r="P159" s="33"/>
    </row>
    <row r="160" spans="11:16">
      <c r="K160" s="23" t="s">
        <v>10</v>
      </c>
      <c r="L160" s="23"/>
      <c r="M160" s="25">
        <v>95052453</v>
      </c>
      <c r="O160" s="3"/>
      <c r="P160" s="3"/>
    </row>
    <row r="162" spans="11:16">
      <c r="K162" s="107" t="s">
        <v>229</v>
      </c>
      <c r="L162" s="108"/>
      <c r="M162" s="109"/>
      <c r="N162" s="110"/>
      <c r="O162" s="108"/>
      <c r="P162" s="111">
        <v>44367</v>
      </c>
    </row>
    <row r="163" spans="11:16" ht="14.4" thickBot="1">
      <c r="K163" s="42" t="s">
        <v>6</v>
      </c>
      <c r="L163" s="43"/>
      <c r="M163" s="44" t="s">
        <v>1</v>
      </c>
      <c r="N163" s="43" t="s">
        <v>7</v>
      </c>
      <c r="O163" s="43"/>
      <c r="P163" s="45" t="s">
        <v>1</v>
      </c>
    </row>
    <row r="164" spans="11:16" ht="14.4" thickTop="1">
      <c r="K164" s="10"/>
      <c r="L164" s="5"/>
      <c r="M164" s="5"/>
      <c r="N164" s="1"/>
      <c r="O164" s="5"/>
      <c r="P164" s="36"/>
    </row>
    <row r="165" spans="11:16">
      <c r="K165" s="17" t="s">
        <v>17</v>
      </c>
      <c r="L165" s="11"/>
      <c r="M165" s="224">
        <v>415940805</v>
      </c>
      <c r="N165" s="18" t="s">
        <v>20</v>
      </c>
      <c r="O165" s="11"/>
      <c r="P165" s="222">
        <v>275500000</v>
      </c>
    </row>
    <row r="166" spans="11:16" ht="14.4">
      <c r="K166" s="221" t="s">
        <v>335</v>
      </c>
      <c r="L166" s="219"/>
      <c r="M166" s="220">
        <v>290000000</v>
      </c>
      <c r="N166" s="152" t="s">
        <v>336</v>
      </c>
      <c r="O166" s="5"/>
      <c r="P166" s="34">
        <v>232000000</v>
      </c>
    </row>
    <row r="167" spans="11:16" ht="14.4">
      <c r="K167" s="13" t="s">
        <v>337</v>
      </c>
      <c r="L167" s="5"/>
      <c r="M167" s="40">
        <v>6875830</v>
      </c>
      <c r="N167" s="152" t="s">
        <v>352</v>
      </c>
      <c r="O167" s="5"/>
      <c r="P167" s="34">
        <v>6500000</v>
      </c>
    </row>
    <row r="168" spans="11:16">
      <c r="K168" s="13" t="s">
        <v>339</v>
      </c>
      <c r="L168" s="5"/>
      <c r="M168" s="40">
        <v>50000</v>
      </c>
      <c r="N168" s="5" t="s">
        <v>354</v>
      </c>
      <c r="O168" s="5"/>
      <c r="P168" s="34">
        <v>37000000</v>
      </c>
    </row>
    <row r="169" spans="11:16">
      <c r="K169" s="13" t="s">
        <v>340</v>
      </c>
      <c r="L169" s="5"/>
      <c r="M169" s="40">
        <v>0</v>
      </c>
      <c r="N169" s="5"/>
      <c r="O169" s="5"/>
      <c r="P169" s="9"/>
    </row>
    <row r="170" spans="11:16">
      <c r="K170" s="13" t="s">
        <v>341</v>
      </c>
      <c r="L170" s="5"/>
      <c r="M170" s="40">
        <v>119014975</v>
      </c>
      <c r="N170" s="5"/>
      <c r="O170" s="5"/>
      <c r="P170" s="9"/>
    </row>
    <row r="171" spans="11:16">
      <c r="K171" s="13"/>
      <c r="L171" s="5"/>
      <c r="M171" s="40"/>
      <c r="N171" s="5"/>
      <c r="O171" s="5"/>
      <c r="P171" s="9"/>
    </row>
    <row r="172" spans="11:16">
      <c r="K172" s="17" t="s">
        <v>18</v>
      </c>
      <c r="L172" s="11"/>
      <c r="M172" s="225">
        <v>-56044939</v>
      </c>
      <c r="N172" s="11" t="s">
        <v>19</v>
      </c>
      <c r="O172" s="11"/>
      <c r="P172" s="223">
        <v>3216110</v>
      </c>
    </row>
    <row r="173" spans="11:16">
      <c r="K173" s="13" t="s">
        <v>342</v>
      </c>
      <c r="L173" s="5"/>
      <c r="M173" s="46">
        <v>0</v>
      </c>
      <c r="N173" s="5" t="s">
        <v>62</v>
      </c>
      <c r="O173" s="5"/>
      <c r="P173" s="49">
        <v>3216110</v>
      </c>
    </row>
    <row r="174" spans="11:16">
      <c r="K174" s="13" t="s">
        <v>343</v>
      </c>
      <c r="L174" s="5"/>
      <c r="M174" s="40">
        <v>0</v>
      </c>
      <c r="N174" s="5" t="s">
        <v>63</v>
      </c>
      <c r="O174" s="5"/>
      <c r="P174" s="49">
        <v>0</v>
      </c>
    </row>
    <row r="175" spans="11:16">
      <c r="K175" s="13" t="s">
        <v>65</v>
      </c>
      <c r="L175" s="5"/>
      <c r="M175" s="40">
        <v>0</v>
      </c>
      <c r="N175" s="5"/>
      <c r="O175" s="5"/>
      <c r="P175" s="49"/>
    </row>
    <row r="176" spans="11:16">
      <c r="K176" s="13" t="s">
        <v>344</v>
      </c>
      <c r="L176" s="5"/>
      <c r="M176" s="40">
        <v>-56044939</v>
      </c>
      <c r="N176" s="5"/>
      <c r="O176" s="5"/>
      <c r="P176" s="49"/>
    </row>
    <row r="177" spans="11:16">
      <c r="K177" s="13"/>
      <c r="L177" s="5"/>
      <c r="M177" s="40"/>
      <c r="N177" s="5"/>
      <c r="O177" s="190"/>
      <c r="P177" s="34"/>
    </row>
    <row r="178" spans="11:16">
      <c r="K178" s="13"/>
      <c r="L178" s="5"/>
      <c r="M178" s="40"/>
      <c r="N178" s="55"/>
      <c r="O178" s="5"/>
      <c r="P178" s="9"/>
    </row>
    <row r="179" spans="11:16">
      <c r="K179" s="13"/>
      <c r="L179" s="5"/>
      <c r="M179" s="40"/>
      <c r="N179" s="5"/>
      <c r="O179" s="5"/>
      <c r="P179" s="9"/>
    </row>
    <row r="180" spans="11:16">
      <c r="K180" s="14" t="s">
        <v>8</v>
      </c>
      <c r="L180" s="15"/>
      <c r="M180" s="16">
        <v>359895866</v>
      </c>
      <c r="N180" s="15" t="s">
        <v>9</v>
      </c>
      <c r="O180" s="15"/>
      <c r="P180" s="22">
        <v>278716110</v>
      </c>
    </row>
    <row r="181" spans="11:16">
      <c r="N181" s="4"/>
      <c r="O181" s="7"/>
      <c r="P181" s="5"/>
    </row>
    <row r="182" spans="11:16">
      <c r="K182" s="23" t="s">
        <v>66</v>
      </c>
      <c r="L182" s="23"/>
      <c r="M182" s="24">
        <v>-59261049</v>
      </c>
      <c r="N182" s="3"/>
      <c r="O182" s="3"/>
      <c r="P182" s="33"/>
    </row>
    <row r="183" spans="11:16">
      <c r="K183" s="23" t="s">
        <v>10</v>
      </c>
      <c r="L183" s="23"/>
      <c r="M183" s="25">
        <v>81179756</v>
      </c>
      <c r="O183" s="3"/>
      <c r="P183" s="3"/>
    </row>
    <row r="185" spans="11:16">
      <c r="K185" s="107" t="s">
        <v>229</v>
      </c>
      <c r="L185" s="108"/>
      <c r="M185" s="109"/>
      <c r="N185" s="110"/>
      <c r="O185" s="108"/>
      <c r="P185" s="111">
        <v>44374</v>
      </c>
    </row>
    <row r="186" spans="11:16" ht="14.4" thickBot="1">
      <c r="K186" s="42" t="s">
        <v>6</v>
      </c>
      <c r="L186" s="43"/>
      <c r="M186" s="44" t="s">
        <v>1</v>
      </c>
      <c r="N186" s="43" t="s">
        <v>7</v>
      </c>
      <c r="O186" s="43"/>
      <c r="P186" s="45" t="s">
        <v>1</v>
      </c>
    </row>
    <row r="187" spans="11:16" ht="14.4" thickTop="1">
      <c r="K187" s="10"/>
      <c r="L187" s="5"/>
      <c r="M187" s="5"/>
      <c r="N187" s="1"/>
      <c r="O187" s="5"/>
      <c r="P187" s="36"/>
    </row>
    <row r="188" spans="11:16">
      <c r="K188" s="17" t="s">
        <v>17</v>
      </c>
      <c r="L188" s="11"/>
      <c r="M188" s="224">
        <v>414548904</v>
      </c>
      <c r="N188" s="18" t="s">
        <v>20</v>
      </c>
      <c r="O188" s="11"/>
      <c r="P188" s="222">
        <v>275500000</v>
      </c>
    </row>
    <row r="189" spans="11:16" ht="14.4">
      <c r="K189" s="221" t="s">
        <v>335</v>
      </c>
      <c r="L189" s="219"/>
      <c r="M189" s="220">
        <v>290000000</v>
      </c>
      <c r="N189" s="152" t="s">
        <v>336</v>
      </c>
      <c r="O189" s="5"/>
      <c r="P189" s="34">
        <v>232000000</v>
      </c>
    </row>
    <row r="190" spans="11:16" ht="14.4">
      <c r="K190" s="13" t="s">
        <v>337</v>
      </c>
      <c r="L190" s="5"/>
      <c r="M190" s="40">
        <v>6875830</v>
      </c>
      <c r="N190" s="152" t="s">
        <v>352</v>
      </c>
      <c r="O190" s="5"/>
      <c r="P190" s="34">
        <v>6500000</v>
      </c>
    </row>
    <row r="191" spans="11:16">
      <c r="K191" s="13" t="s">
        <v>339</v>
      </c>
      <c r="L191" s="5"/>
      <c r="M191" s="40">
        <v>50000</v>
      </c>
      <c r="N191" s="5" t="s">
        <v>354</v>
      </c>
      <c r="O191" s="5"/>
      <c r="P191" s="34">
        <v>37000000</v>
      </c>
    </row>
    <row r="192" spans="11:16">
      <c r="K192" s="13" t="s">
        <v>387</v>
      </c>
      <c r="L192" s="5"/>
      <c r="M192" s="40">
        <v>1022020</v>
      </c>
      <c r="N192" s="5"/>
      <c r="O192" s="5"/>
      <c r="P192" s="9"/>
    </row>
    <row r="193" spans="11:16">
      <c r="K193" s="13" t="s">
        <v>341</v>
      </c>
      <c r="L193" s="5"/>
      <c r="M193" s="40">
        <v>116601054</v>
      </c>
      <c r="N193" s="5"/>
      <c r="O193" s="5"/>
      <c r="P193" s="9"/>
    </row>
    <row r="194" spans="11:16">
      <c r="K194" s="13"/>
      <c r="L194" s="5"/>
      <c r="M194" s="40"/>
      <c r="N194" s="5"/>
      <c r="O194" s="5"/>
      <c r="P194" s="9"/>
    </row>
    <row r="195" spans="11:16">
      <c r="K195" s="17" t="s">
        <v>18</v>
      </c>
      <c r="L195" s="11"/>
      <c r="M195" s="225">
        <v>-54740176</v>
      </c>
      <c r="N195" s="11" t="s">
        <v>19</v>
      </c>
      <c r="O195" s="11"/>
      <c r="P195" s="223">
        <v>3280710</v>
      </c>
    </row>
    <row r="196" spans="11:16">
      <c r="K196" s="13" t="s">
        <v>342</v>
      </c>
      <c r="L196" s="5"/>
      <c r="M196" s="46">
        <v>0</v>
      </c>
      <c r="N196" s="5" t="s">
        <v>62</v>
      </c>
      <c r="O196" s="5"/>
      <c r="P196" s="49">
        <v>3280710</v>
      </c>
    </row>
    <row r="197" spans="11:16">
      <c r="K197" s="13" t="s">
        <v>343</v>
      </c>
      <c r="L197" s="5"/>
      <c r="M197" s="40">
        <v>0</v>
      </c>
      <c r="N197" s="5" t="s">
        <v>63</v>
      </c>
      <c r="O197" s="5"/>
      <c r="P197" s="49">
        <v>0</v>
      </c>
    </row>
    <row r="198" spans="11:16">
      <c r="K198" s="13" t="s">
        <v>65</v>
      </c>
      <c r="L198" s="5"/>
      <c r="M198" s="40">
        <v>0</v>
      </c>
      <c r="N198" s="5"/>
      <c r="O198" s="5"/>
      <c r="P198" s="49"/>
    </row>
    <row r="199" spans="11:16">
      <c r="K199" s="13" t="s">
        <v>344</v>
      </c>
      <c r="L199" s="5"/>
      <c r="M199" s="40">
        <v>-54740176</v>
      </c>
      <c r="N199" s="5"/>
      <c r="O199" s="5"/>
      <c r="P199" s="49"/>
    </row>
    <row r="200" spans="11:16">
      <c r="K200" s="13"/>
      <c r="L200" s="5"/>
      <c r="M200" s="40"/>
      <c r="N200" s="5"/>
      <c r="O200" s="190"/>
      <c r="P200" s="34"/>
    </row>
    <row r="201" spans="11:16">
      <c r="K201" s="13"/>
      <c r="L201" s="5"/>
      <c r="M201" s="40"/>
      <c r="N201" s="55"/>
      <c r="O201" s="5"/>
      <c r="P201" s="9"/>
    </row>
    <row r="202" spans="11:16">
      <c r="K202" s="13"/>
      <c r="L202" s="5"/>
      <c r="M202" s="40"/>
      <c r="N202" s="5"/>
      <c r="O202" s="5"/>
      <c r="P202" s="9"/>
    </row>
    <row r="203" spans="11:16">
      <c r="K203" s="14" t="s">
        <v>8</v>
      </c>
      <c r="L203" s="15"/>
      <c r="M203" s="16">
        <v>359808728</v>
      </c>
      <c r="N203" s="15" t="s">
        <v>9</v>
      </c>
      <c r="O203" s="15"/>
      <c r="P203" s="22">
        <v>278780710</v>
      </c>
    </row>
    <row r="204" spans="11:16">
      <c r="N204" s="4"/>
      <c r="O204" s="7"/>
      <c r="P204" s="5"/>
    </row>
    <row r="205" spans="11:16">
      <c r="K205" s="23" t="s">
        <v>66</v>
      </c>
      <c r="L205" s="23"/>
      <c r="M205" s="24">
        <v>-58020886</v>
      </c>
      <c r="N205" s="3"/>
      <c r="O205" s="3"/>
      <c r="P205" s="33"/>
    </row>
    <row r="206" spans="11:16">
      <c r="K206" s="23" t="s">
        <v>10</v>
      </c>
      <c r="L206" s="23"/>
      <c r="M206" s="25">
        <v>81028018</v>
      </c>
      <c r="O206" s="3"/>
      <c r="P206" s="3"/>
    </row>
    <row r="208" spans="11:16">
      <c r="K208" s="107" t="s">
        <v>53</v>
      </c>
      <c r="L208" s="108"/>
      <c r="M208" s="109"/>
      <c r="N208" s="110"/>
      <c r="O208" s="108"/>
      <c r="P208" s="111">
        <f ca="1">TODAY()</f>
        <v>44556</v>
      </c>
    </row>
    <row r="209" spans="11:16" ht="14.4" thickBot="1">
      <c r="K209" s="42" t="s">
        <v>6</v>
      </c>
      <c r="L209" s="43"/>
      <c r="M209" s="44" t="s">
        <v>1</v>
      </c>
      <c r="N209" s="43" t="s">
        <v>7</v>
      </c>
      <c r="O209" s="43"/>
      <c r="P209" s="45" t="s">
        <v>38</v>
      </c>
    </row>
    <row r="210" spans="11:16" ht="14.4" thickTop="1">
      <c r="K210" s="10"/>
      <c r="L210" s="5"/>
      <c r="M210" s="5"/>
      <c r="N210" s="1"/>
      <c r="O210" s="5"/>
      <c r="P210" s="36"/>
    </row>
    <row r="211" spans="11:16">
      <c r="K211" s="17" t="s">
        <v>17</v>
      </c>
      <c r="L211" s="11"/>
      <c r="M211" s="224">
        <f>SUM(M212:M217)</f>
        <v>414502993</v>
      </c>
      <c r="N211" s="18" t="s">
        <v>20</v>
      </c>
      <c r="O211" s="11"/>
      <c r="P211" s="222">
        <f>SUM(P212:P215)</f>
        <v>275500000</v>
      </c>
    </row>
    <row r="212" spans="11:16" ht="14.4">
      <c r="K212" s="221" t="s">
        <v>279</v>
      </c>
      <c r="L212" s="219"/>
      <c r="M212" s="220">
        <f>290000000</f>
        <v>290000000</v>
      </c>
      <c r="N212" s="152" t="s">
        <v>284</v>
      </c>
      <c r="O212" s="5"/>
      <c r="P212" s="34">
        <f>290000000*0.8</f>
        <v>232000000</v>
      </c>
    </row>
    <row r="213" spans="11:16" ht="14.4">
      <c r="K213" s="13" t="s">
        <v>285</v>
      </c>
      <c r="L213" s="5"/>
      <c r="M213" s="40">
        <v>6875830</v>
      </c>
      <c r="N213" s="152" t="s">
        <v>353</v>
      </c>
      <c r="O213" s="5"/>
      <c r="P213" s="34">
        <v>6500000</v>
      </c>
    </row>
    <row r="214" spans="11:16" ht="14.4">
      <c r="K214" s="13" t="s">
        <v>286</v>
      </c>
      <c r="L214" s="5"/>
      <c r="M214" s="40">
        <v>50000</v>
      </c>
      <c r="N214" s="5" t="s">
        <v>351</v>
      </c>
      <c r="O214" s="5"/>
      <c r="P214" s="34">
        <v>37000000</v>
      </c>
    </row>
    <row r="215" spans="11:16">
      <c r="K215" s="13" t="s">
        <v>388</v>
      </c>
      <c r="L215" s="5"/>
      <c r="M215" s="40">
        <v>1022020</v>
      </c>
      <c r="N215" s="5"/>
      <c r="O215" s="5"/>
      <c r="P215" s="9"/>
    </row>
    <row r="216" spans="11:16">
      <c r="K216" s="13" t="s">
        <v>300</v>
      </c>
      <c r="L216" s="5"/>
      <c r="M216" s="40">
        <v>116555143</v>
      </c>
      <c r="N216" s="5"/>
      <c r="O216" s="5"/>
      <c r="P216" s="9"/>
    </row>
    <row r="217" spans="11:16">
      <c r="K217" s="13"/>
      <c r="L217" s="5"/>
      <c r="M217" s="40"/>
      <c r="N217" s="5"/>
      <c r="O217" s="5"/>
      <c r="P217" s="9"/>
    </row>
    <row r="218" spans="11:16">
      <c r="K218" s="17" t="s">
        <v>18</v>
      </c>
      <c r="L218" s="11"/>
      <c r="M218" s="225">
        <f>SUM(M219:M224)</f>
        <v>-56638796</v>
      </c>
      <c r="N218" s="11" t="s">
        <v>19</v>
      </c>
      <c r="O218" s="11"/>
      <c r="P218" s="223">
        <f>SUM(P219:P225)</f>
        <v>1453290</v>
      </c>
    </row>
    <row r="219" spans="11:16">
      <c r="K219" s="13" t="s">
        <v>280</v>
      </c>
      <c r="L219" s="5"/>
      <c r="M219" s="46">
        <v>0</v>
      </c>
      <c r="N219" s="5" t="s">
        <v>62</v>
      </c>
      <c r="O219" s="5"/>
      <c r="P219" s="49">
        <v>1453290</v>
      </c>
    </row>
    <row r="220" spans="11:16">
      <c r="K220" s="13" t="s">
        <v>281</v>
      </c>
      <c r="L220" s="5"/>
      <c r="M220" s="40">
        <v>0</v>
      </c>
      <c r="N220" s="5" t="s">
        <v>63</v>
      </c>
      <c r="O220" s="5"/>
      <c r="P220" s="49">
        <v>0</v>
      </c>
    </row>
    <row r="221" spans="11:16">
      <c r="K221" s="13" t="s">
        <v>65</v>
      </c>
      <c r="L221" s="5"/>
      <c r="M221" s="40">
        <v>0</v>
      </c>
      <c r="N221" s="5"/>
      <c r="O221" s="5"/>
      <c r="P221" s="49"/>
    </row>
    <row r="222" spans="11:16">
      <c r="K222" s="13" t="s">
        <v>299</v>
      </c>
      <c r="L222" s="5"/>
      <c r="M222" s="40">
        <v>-56638796</v>
      </c>
      <c r="N222" s="5"/>
      <c r="O222" s="5"/>
      <c r="P222" s="49"/>
    </row>
    <row r="223" spans="11:16">
      <c r="K223" s="13"/>
      <c r="L223" s="5"/>
      <c r="M223" s="40"/>
      <c r="N223" s="5"/>
      <c r="O223" s="190"/>
      <c r="P223" s="34"/>
    </row>
    <row r="224" spans="11:16">
      <c r="K224" s="13"/>
      <c r="L224" s="5"/>
      <c r="M224" s="40"/>
      <c r="N224" s="55"/>
      <c r="O224" s="5"/>
      <c r="P224" s="9"/>
    </row>
    <row r="225" spans="11:16">
      <c r="K225" s="13"/>
      <c r="L225" s="5"/>
      <c r="M225" s="40"/>
      <c r="N225" s="5"/>
      <c r="O225" s="5"/>
      <c r="P225" s="9"/>
    </row>
    <row r="226" spans="11:16">
      <c r="K226" s="14" t="s">
        <v>8</v>
      </c>
      <c r="L226" s="15"/>
      <c r="M226" s="16">
        <f>M211+M218</f>
        <v>357864197</v>
      </c>
      <c r="N226" s="15" t="s">
        <v>9</v>
      </c>
      <c r="O226" s="15"/>
      <c r="P226" s="22">
        <f>P211+P218</f>
        <v>276953290</v>
      </c>
    </row>
    <row r="227" spans="11:16">
      <c r="N227" s="4"/>
      <c r="O227" s="7"/>
      <c r="P227" s="5"/>
    </row>
    <row r="228" spans="11:16">
      <c r="K228" s="23" t="s">
        <v>41</v>
      </c>
      <c r="L228" s="23"/>
      <c r="M228" s="24">
        <f>M218-P218</f>
        <v>-58092086</v>
      </c>
      <c r="N228" s="3"/>
      <c r="O228" s="3"/>
      <c r="P228" s="33"/>
    </row>
    <row r="229" spans="11:16">
      <c r="K229" s="23" t="s">
        <v>10</v>
      </c>
      <c r="L229" s="23"/>
      <c r="M229" s="25">
        <f>M226-P226</f>
        <v>80910907</v>
      </c>
      <c r="O229" s="3"/>
      <c r="P229" s="3"/>
    </row>
    <row r="231" spans="11:16">
      <c r="K231" s="107" t="s">
        <v>229</v>
      </c>
      <c r="L231" s="108"/>
      <c r="M231" s="109"/>
      <c r="N231" s="110"/>
      <c r="O231" s="108"/>
      <c r="P231" s="111">
        <v>44397</v>
      </c>
    </row>
    <row r="232" spans="11:16" ht="14.4" thickBot="1">
      <c r="K232" s="42" t="s">
        <v>6</v>
      </c>
      <c r="L232" s="43"/>
      <c r="M232" s="44" t="s">
        <v>1</v>
      </c>
      <c r="N232" s="43" t="s">
        <v>7</v>
      </c>
      <c r="O232" s="43"/>
      <c r="P232" s="45" t="s">
        <v>1</v>
      </c>
    </row>
    <row r="233" spans="11:16" ht="14.4" thickTop="1">
      <c r="K233" s="10"/>
      <c r="L233" s="5"/>
      <c r="M233" s="5"/>
      <c r="N233" s="1"/>
      <c r="O233" s="5"/>
      <c r="P233" s="36"/>
    </row>
    <row r="234" spans="11:16">
      <c r="K234" s="17" t="s">
        <v>17</v>
      </c>
      <c r="L234" s="11"/>
      <c r="M234" s="224">
        <v>415290160</v>
      </c>
      <c r="N234" s="18" t="s">
        <v>20</v>
      </c>
      <c r="O234" s="11"/>
      <c r="P234" s="222">
        <v>275500000</v>
      </c>
    </row>
    <row r="235" spans="11:16" ht="14.4">
      <c r="K235" s="221" t="s">
        <v>335</v>
      </c>
      <c r="L235" s="219"/>
      <c r="M235" s="220">
        <v>290000000</v>
      </c>
      <c r="N235" s="152" t="s">
        <v>336</v>
      </c>
      <c r="O235" s="5"/>
      <c r="P235" s="34">
        <v>232000000</v>
      </c>
    </row>
    <row r="236" spans="11:16" ht="14.4">
      <c r="K236" s="13" t="s">
        <v>337</v>
      </c>
      <c r="L236" s="5"/>
      <c r="M236" s="40">
        <v>6875830</v>
      </c>
      <c r="N236" s="152" t="s">
        <v>352</v>
      </c>
      <c r="O236" s="5"/>
      <c r="P236" s="34">
        <v>6500000</v>
      </c>
    </row>
    <row r="237" spans="11:16">
      <c r="K237" s="13" t="s">
        <v>339</v>
      </c>
      <c r="L237" s="5"/>
      <c r="M237" s="40">
        <v>50000</v>
      </c>
      <c r="N237" s="5" t="s">
        <v>354</v>
      </c>
      <c r="O237" s="5"/>
      <c r="P237" s="34">
        <v>37000000</v>
      </c>
    </row>
    <row r="238" spans="11:16">
      <c r="K238" s="13" t="s">
        <v>387</v>
      </c>
      <c r="L238" s="5"/>
      <c r="M238" s="40">
        <v>1022020</v>
      </c>
      <c r="N238" s="5"/>
      <c r="O238" s="5"/>
      <c r="P238" s="9"/>
    </row>
    <row r="239" spans="11:16">
      <c r="K239" s="13" t="s">
        <v>341</v>
      </c>
      <c r="L239" s="5"/>
      <c r="M239" s="40">
        <v>117342310</v>
      </c>
      <c r="N239" s="5"/>
      <c r="O239" s="5"/>
      <c r="P239" s="9"/>
    </row>
    <row r="240" spans="11:16">
      <c r="K240" s="13"/>
      <c r="L240" s="5"/>
      <c r="M240" s="40"/>
      <c r="N240" s="5"/>
      <c r="O240" s="5"/>
      <c r="P240" s="9"/>
    </row>
    <row r="241" spans="11:18">
      <c r="K241" s="17" t="s">
        <v>18</v>
      </c>
      <c r="L241" s="11"/>
      <c r="M241" s="225">
        <v>-57384964</v>
      </c>
      <c r="N241" s="11" t="s">
        <v>19</v>
      </c>
      <c r="O241" s="11"/>
      <c r="P241" s="223">
        <v>1673810</v>
      </c>
    </row>
    <row r="242" spans="11:18">
      <c r="K242" s="13" t="s">
        <v>342</v>
      </c>
      <c r="L242" s="5"/>
      <c r="M242" s="46">
        <v>0</v>
      </c>
      <c r="N242" s="5" t="s">
        <v>62</v>
      </c>
      <c r="O242" s="5"/>
      <c r="P242" s="49">
        <v>1673810</v>
      </c>
    </row>
    <row r="243" spans="11:18">
      <c r="K243" s="13" t="s">
        <v>343</v>
      </c>
      <c r="L243" s="5"/>
      <c r="M243" s="40">
        <v>0</v>
      </c>
      <c r="N243" s="5" t="s">
        <v>63</v>
      </c>
      <c r="O243" s="5"/>
      <c r="P243" s="49">
        <v>0</v>
      </c>
    </row>
    <row r="244" spans="11:18">
      <c r="K244" s="13" t="s">
        <v>65</v>
      </c>
      <c r="L244" s="5"/>
      <c r="M244" s="40">
        <v>0</v>
      </c>
      <c r="N244" s="5"/>
      <c r="O244" s="5"/>
      <c r="P244" s="49"/>
    </row>
    <row r="245" spans="11:18">
      <c r="K245" s="13" t="s">
        <v>344</v>
      </c>
      <c r="L245" s="5"/>
      <c r="M245" s="40">
        <v>-57384964</v>
      </c>
      <c r="N245" s="5"/>
      <c r="O245" s="5"/>
      <c r="P245" s="49"/>
    </row>
    <row r="246" spans="11:18">
      <c r="K246" s="13"/>
      <c r="L246" s="5"/>
      <c r="M246" s="40"/>
      <c r="N246" s="5"/>
      <c r="O246" s="190"/>
      <c r="P246" s="34"/>
    </row>
    <row r="247" spans="11:18">
      <c r="K247" s="13"/>
      <c r="L247" s="5"/>
      <c r="M247" s="40"/>
      <c r="N247" s="55"/>
      <c r="O247" s="5"/>
      <c r="P247" s="9"/>
    </row>
    <row r="248" spans="11:18">
      <c r="K248" s="13"/>
      <c r="L248" s="5"/>
      <c r="M248" s="40"/>
      <c r="N248" s="5"/>
      <c r="O248" s="5"/>
      <c r="P248" s="9"/>
    </row>
    <row r="249" spans="11:18">
      <c r="K249" s="14" t="s">
        <v>8</v>
      </c>
      <c r="L249" s="15"/>
      <c r="M249" s="16">
        <v>357905196</v>
      </c>
      <c r="N249" s="15" t="s">
        <v>9</v>
      </c>
      <c r="O249" s="15"/>
      <c r="P249" s="22">
        <v>277173810</v>
      </c>
      <c r="R249" s="51"/>
    </row>
    <row r="250" spans="11:18">
      <c r="N250" s="4"/>
      <c r="O250" s="7"/>
      <c r="P250" s="5"/>
    </row>
    <row r="251" spans="11:18">
      <c r="K251" s="23" t="s">
        <v>66</v>
      </c>
      <c r="L251" s="23"/>
      <c r="M251" s="24">
        <v>-59058774</v>
      </c>
      <c r="N251" s="3"/>
      <c r="O251" s="3"/>
      <c r="P251" s="33"/>
    </row>
    <row r="252" spans="11:18">
      <c r="K252" s="23" t="s">
        <v>10</v>
      </c>
      <c r="L252" s="23"/>
      <c r="M252" s="25">
        <v>80731386</v>
      </c>
      <c r="O252" s="3"/>
      <c r="P252" s="3"/>
    </row>
    <row r="254" spans="11:18">
      <c r="K254" s="107" t="s">
        <v>229</v>
      </c>
      <c r="L254" s="108"/>
      <c r="M254" s="109"/>
      <c r="N254" s="110"/>
      <c r="O254" s="108"/>
      <c r="P254" s="111">
        <v>44402</v>
      </c>
    </row>
    <row r="255" spans="11:18" ht="14.4" thickBot="1">
      <c r="K255" s="42" t="s">
        <v>6</v>
      </c>
      <c r="L255" s="43"/>
      <c r="M255" s="44" t="s">
        <v>1</v>
      </c>
      <c r="N255" s="43" t="s">
        <v>7</v>
      </c>
      <c r="O255" s="43"/>
      <c r="P255" s="45" t="s">
        <v>1</v>
      </c>
    </row>
    <row r="256" spans="11:18" ht="14.4" thickTop="1">
      <c r="K256" s="10"/>
      <c r="L256" s="5"/>
      <c r="M256" s="5"/>
      <c r="N256" s="1"/>
      <c r="O256" s="5"/>
      <c r="P256" s="36"/>
    </row>
    <row r="257" spans="11:16">
      <c r="K257" s="17" t="s">
        <v>17</v>
      </c>
      <c r="L257" s="11"/>
      <c r="M257" s="224">
        <v>416134377</v>
      </c>
      <c r="N257" s="18" t="s">
        <v>20</v>
      </c>
      <c r="O257" s="11"/>
      <c r="P257" s="222">
        <v>275500000</v>
      </c>
    </row>
    <row r="258" spans="11:16" ht="14.4">
      <c r="K258" s="221" t="s">
        <v>335</v>
      </c>
      <c r="L258" s="219"/>
      <c r="M258" s="220">
        <v>290000000</v>
      </c>
      <c r="N258" s="152" t="s">
        <v>336</v>
      </c>
      <c r="O258" s="5"/>
      <c r="P258" s="34">
        <v>232000000</v>
      </c>
    </row>
    <row r="259" spans="11:16" ht="14.4">
      <c r="K259" s="13" t="s">
        <v>337</v>
      </c>
      <c r="L259" s="5"/>
      <c r="M259" s="40">
        <v>6875830</v>
      </c>
      <c r="N259" s="152" t="s">
        <v>352</v>
      </c>
      <c r="O259" s="5"/>
      <c r="P259" s="34">
        <v>6500000</v>
      </c>
    </row>
    <row r="260" spans="11:16">
      <c r="K260" s="13" t="s">
        <v>339</v>
      </c>
      <c r="L260" s="5"/>
      <c r="M260" s="40">
        <v>50000</v>
      </c>
      <c r="N260" s="5" t="s">
        <v>354</v>
      </c>
      <c r="O260" s="5"/>
      <c r="P260" s="34">
        <v>37000000</v>
      </c>
    </row>
    <row r="261" spans="11:16">
      <c r="K261" s="13" t="s">
        <v>387</v>
      </c>
      <c r="L261" s="5"/>
      <c r="M261" s="40">
        <v>1966582</v>
      </c>
      <c r="N261" s="5"/>
      <c r="O261" s="5"/>
      <c r="P261" s="9"/>
    </row>
    <row r="262" spans="11:16">
      <c r="K262" s="13" t="s">
        <v>341</v>
      </c>
      <c r="L262" s="5"/>
      <c r="M262" s="40">
        <v>117241965</v>
      </c>
      <c r="N262" s="5"/>
      <c r="O262" s="5"/>
      <c r="P262" s="9"/>
    </row>
    <row r="263" spans="11:16">
      <c r="K263" s="13"/>
      <c r="L263" s="5"/>
      <c r="M263" s="40"/>
      <c r="N263" s="5"/>
      <c r="O263" s="5"/>
      <c r="P263" s="9"/>
    </row>
    <row r="264" spans="11:16">
      <c r="K264" s="17" t="s">
        <v>18</v>
      </c>
      <c r="L264" s="11"/>
      <c r="M264" s="225">
        <v>-54670895</v>
      </c>
      <c r="N264" s="11" t="s">
        <v>19</v>
      </c>
      <c r="O264" s="11"/>
      <c r="P264" s="223">
        <v>1673810</v>
      </c>
    </row>
    <row r="265" spans="11:16">
      <c r="K265" s="13" t="s">
        <v>342</v>
      </c>
      <c r="L265" s="5"/>
      <c r="M265" s="46">
        <v>0</v>
      </c>
      <c r="N265" s="5" t="s">
        <v>62</v>
      </c>
      <c r="O265" s="5"/>
      <c r="P265" s="49">
        <v>1673810</v>
      </c>
    </row>
    <row r="266" spans="11:16">
      <c r="K266" s="13" t="s">
        <v>343</v>
      </c>
      <c r="L266" s="5"/>
      <c r="M266" s="40">
        <v>0</v>
      </c>
      <c r="N266" s="5" t="s">
        <v>63</v>
      </c>
      <c r="O266" s="5"/>
      <c r="P266" s="49">
        <v>0</v>
      </c>
    </row>
    <row r="267" spans="11:16">
      <c r="K267" s="13" t="s">
        <v>65</v>
      </c>
      <c r="L267" s="5"/>
      <c r="M267" s="40">
        <v>0</v>
      </c>
      <c r="N267" s="5"/>
      <c r="O267" s="5"/>
      <c r="P267" s="49"/>
    </row>
    <row r="268" spans="11:16">
      <c r="K268" s="13" t="s">
        <v>344</v>
      </c>
      <c r="L268" s="5"/>
      <c r="M268" s="40">
        <v>-54670895</v>
      </c>
      <c r="N268" s="5"/>
      <c r="O268" s="5"/>
      <c r="P268" s="49"/>
    </row>
    <row r="269" spans="11:16">
      <c r="K269" s="13"/>
      <c r="L269" s="5"/>
      <c r="M269" s="40"/>
      <c r="N269" s="5"/>
      <c r="O269" s="190"/>
      <c r="P269" s="34"/>
    </row>
    <row r="270" spans="11:16">
      <c r="K270" s="13"/>
      <c r="L270" s="5"/>
      <c r="M270" s="40"/>
      <c r="N270" s="55"/>
      <c r="O270" s="5"/>
      <c r="P270" s="9"/>
    </row>
    <row r="271" spans="11:16">
      <c r="K271" s="13"/>
      <c r="L271" s="5"/>
      <c r="M271" s="40"/>
      <c r="N271" s="5"/>
      <c r="O271" s="5"/>
      <c r="P271" s="9"/>
    </row>
    <row r="272" spans="11:16">
      <c r="K272" s="14" t="s">
        <v>8</v>
      </c>
      <c r="L272" s="15"/>
      <c r="M272" s="16">
        <v>361463482</v>
      </c>
      <c r="N272" s="15" t="s">
        <v>9</v>
      </c>
      <c r="O272" s="15"/>
      <c r="P272" s="22">
        <v>277173810</v>
      </c>
    </row>
    <row r="273" spans="11:16">
      <c r="N273" s="4"/>
      <c r="O273" s="7"/>
      <c r="P273" s="5"/>
    </row>
    <row r="274" spans="11:16">
      <c r="K274" s="23" t="s">
        <v>66</v>
      </c>
      <c r="L274" s="23"/>
      <c r="M274" s="24">
        <v>-56344705</v>
      </c>
      <c r="N274" s="3"/>
      <c r="O274" s="3"/>
      <c r="P274" s="33"/>
    </row>
    <row r="275" spans="11:16">
      <c r="K275" s="23" t="s">
        <v>10</v>
      </c>
      <c r="L275" s="23"/>
      <c r="M275" s="25">
        <v>84289672</v>
      </c>
      <c r="O275" s="3"/>
      <c r="P275" s="3"/>
    </row>
    <row r="277" spans="11:16">
      <c r="K277" s="107" t="s">
        <v>229</v>
      </c>
      <c r="L277" s="108"/>
      <c r="M277" s="109"/>
      <c r="N277" s="110"/>
      <c r="O277" s="108"/>
      <c r="P277" s="111">
        <v>44465</v>
      </c>
    </row>
    <row r="278" spans="11:16" ht="14.4" thickBot="1">
      <c r="K278" s="42" t="s">
        <v>6</v>
      </c>
      <c r="L278" s="43"/>
      <c r="M278" s="44" t="s">
        <v>1</v>
      </c>
      <c r="N278" s="43" t="s">
        <v>7</v>
      </c>
      <c r="O278" s="43"/>
      <c r="P278" s="45" t="s">
        <v>1</v>
      </c>
    </row>
    <row r="279" spans="11:16" ht="14.4" thickTop="1">
      <c r="K279" s="10"/>
      <c r="L279" s="5"/>
      <c r="M279" s="5"/>
      <c r="N279" s="1"/>
      <c r="O279" s="5"/>
      <c r="P279" s="36"/>
    </row>
    <row r="280" spans="11:16">
      <c r="K280" s="17" t="s">
        <v>17</v>
      </c>
      <c r="L280" s="11"/>
      <c r="M280" s="224">
        <v>413347286</v>
      </c>
      <c r="N280" s="18" t="s">
        <v>20</v>
      </c>
      <c r="O280" s="11"/>
      <c r="P280" s="222">
        <v>275500000</v>
      </c>
    </row>
    <row r="281" spans="11:16" ht="14.4">
      <c r="K281" s="221" t="s">
        <v>335</v>
      </c>
      <c r="L281" s="219"/>
      <c r="M281" s="220">
        <v>290000000</v>
      </c>
      <c r="N281" s="152" t="s">
        <v>336</v>
      </c>
      <c r="O281" s="5"/>
      <c r="P281" s="34">
        <v>232000000</v>
      </c>
    </row>
    <row r="282" spans="11:16" ht="14.4">
      <c r="K282" s="13" t="s">
        <v>337</v>
      </c>
      <c r="L282" s="5"/>
      <c r="M282" s="40">
        <v>6875830</v>
      </c>
      <c r="N282" s="152" t="s">
        <v>352</v>
      </c>
      <c r="O282" s="5"/>
      <c r="P282" s="34">
        <v>6500000</v>
      </c>
    </row>
    <row r="283" spans="11:16">
      <c r="K283" s="13" t="s">
        <v>339</v>
      </c>
      <c r="L283" s="5"/>
      <c r="M283" s="40">
        <v>50000</v>
      </c>
      <c r="N283" s="5" t="s">
        <v>354</v>
      </c>
      <c r="O283" s="5"/>
      <c r="P283" s="34">
        <v>37000000</v>
      </c>
    </row>
    <row r="284" spans="11:16">
      <c r="K284" s="13" t="s">
        <v>387</v>
      </c>
      <c r="L284" s="5"/>
      <c r="M284" s="40">
        <v>3360785</v>
      </c>
      <c r="N284" s="5"/>
      <c r="O284" s="5"/>
      <c r="P284" s="9"/>
    </row>
    <row r="285" spans="11:16">
      <c r="K285" s="13" t="s">
        <v>341</v>
      </c>
      <c r="L285" s="5"/>
      <c r="M285" s="40">
        <v>113060671</v>
      </c>
      <c r="N285" s="5"/>
      <c r="O285" s="5"/>
      <c r="P285" s="9"/>
    </row>
    <row r="286" spans="11:16">
      <c r="K286" s="13"/>
      <c r="L286" s="5"/>
      <c r="M286" s="40"/>
      <c r="N286" s="5"/>
      <c r="O286" s="5"/>
      <c r="P286" s="9"/>
    </row>
    <row r="287" spans="11:16">
      <c r="K287" s="17" t="s">
        <v>18</v>
      </c>
      <c r="L287" s="11"/>
      <c r="M287" s="225">
        <v>-54411931</v>
      </c>
      <c r="N287" s="11" t="s">
        <v>19</v>
      </c>
      <c r="O287" s="11"/>
      <c r="P287" s="223">
        <v>3425586</v>
      </c>
    </row>
    <row r="288" spans="11:16">
      <c r="K288" s="13" t="s">
        <v>342</v>
      </c>
      <c r="L288" s="5"/>
      <c r="M288" s="46">
        <v>0</v>
      </c>
      <c r="N288" s="5" t="s">
        <v>62</v>
      </c>
      <c r="O288" s="5"/>
      <c r="P288" s="49">
        <v>3425586</v>
      </c>
    </row>
    <row r="289" spans="11:16">
      <c r="K289" s="13" t="s">
        <v>343</v>
      </c>
      <c r="L289" s="5"/>
      <c r="M289" s="40">
        <v>0</v>
      </c>
      <c r="N289" s="5" t="s">
        <v>63</v>
      </c>
      <c r="O289" s="5"/>
      <c r="P289" s="49">
        <v>0</v>
      </c>
    </row>
    <row r="290" spans="11:16">
      <c r="K290" s="13" t="s">
        <v>65</v>
      </c>
      <c r="L290" s="5"/>
      <c r="M290" s="40">
        <v>0</v>
      </c>
      <c r="N290" s="5"/>
      <c r="O290" s="5"/>
      <c r="P290" s="49"/>
    </row>
    <row r="291" spans="11:16">
      <c r="K291" s="13" t="s">
        <v>344</v>
      </c>
      <c r="L291" s="5"/>
      <c r="M291" s="40">
        <v>-54411931</v>
      </c>
      <c r="N291" s="5"/>
      <c r="O291" s="5"/>
      <c r="P291" s="49"/>
    </row>
    <row r="292" spans="11:16">
      <c r="K292" s="13"/>
      <c r="L292" s="5"/>
      <c r="M292" s="40"/>
      <c r="N292" s="5"/>
      <c r="O292" s="190"/>
      <c r="P292" s="34"/>
    </row>
    <row r="293" spans="11:16">
      <c r="K293" s="13"/>
      <c r="L293" s="5"/>
      <c r="M293" s="40"/>
      <c r="N293" s="55"/>
      <c r="O293" s="5"/>
      <c r="P293" s="9"/>
    </row>
    <row r="294" spans="11:16">
      <c r="K294" s="13"/>
      <c r="L294" s="5"/>
      <c r="M294" s="40"/>
      <c r="N294" s="5"/>
      <c r="O294" s="5"/>
      <c r="P294" s="9"/>
    </row>
    <row r="295" spans="11:16">
      <c r="K295" s="14" t="s">
        <v>8</v>
      </c>
      <c r="L295" s="15"/>
      <c r="M295" s="16">
        <v>358935355</v>
      </c>
      <c r="N295" s="15" t="s">
        <v>9</v>
      </c>
      <c r="O295" s="15"/>
      <c r="P295" s="22">
        <v>278925586</v>
      </c>
    </row>
    <row r="296" spans="11:16">
      <c r="N296" s="4"/>
      <c r="O296" s="7"/>
      <c r="P296" s="5"/>
    </row>
    <row r="297" spans="11:16">
      <c r="K297" s="23" t="s">
        <v>66</v>
      </c>
      <c r="L297" s="23"/>
      <c r="M297" s="24">
        <v>-57837517</v>
      </c>
      <c r="N297" s="3"/>
      <c r="O297" s="3"/>
      <c r="P297" s="33"/>
    </row>
    <row r="298" spans="11:16">
      <c r="K298" s="23" t="s">
        <v>10</v>
      </c>
      <c r="L298" s="23"/>
      <c r="M298" s="25">
        <v>80009769</v>
      </c>
      <c r="O298" s="3"/>
      <c r="P298" s="3"/>
    </row>
    <row r="300" spans="11:16">
      <c r="K300" s="107" t="s">
        <v>229</v>
      </c>
      <c r="L300" s="108"/>
      <c r="M300" s="109"/>
      <c r="N300" s="110"/>
      <c r="O300" s="108"/>
      <c r="P300" s="111">
        <v>44528</v>
      </c>
    </row>
    <row r="301" spans="11:16" ht="14.4" thickBot="1">
      <c r="K301" s="42" t="s">
        <v>6</v>
      </c>
      <c r="L301" s="43"/>
      <c r="M301" s="44" t="s">
        <v>1</v>
      </c>
      <c r="N301" s="43" t="s">
        <v>7</v>
      </c>
      <c r="O301" s="43"/>
      <c r="P301" s="45" t="s">
        <v>1</v>
      </c>
    </row>
    <row r="302" spans="11:16" ht="14.4" thickTop="1">
      <c r="K302" s="10"/>
      <c r="L302" s="5"/>
      <c r="M302" s="5"/>
      <c r="N302" s="1"/>
      <c r="O302" s="5"/>
      <c r="P302" s="36"/>
    </row>
    <row r="303" spans="11:16">
      <c r="K303" s="17" t="s">
        <v>17</v>
      </c>
      <c r="L303" s="11"/>
      <c r="M303" s="224">
        <v>406049516</v>
      </c>
      <c r="N303" s="18" t="s">
        <v>20</v>
      </c>
      <c r="O303" s="11"/>
      <c r="P303" s="222">
        <v>275500000</v>
      </c>
    </row>
    <row r="304" spans="11:16" ht="14.4">
      <c r="K304" s="221" t="s">
        <v>335</v>
      </c>
      <c r="L304" s="219"/>
      <c r="M304" s="220">
        <v>290000000</v>
      </c>
      <c r="N304" s="152" t="s">
        <v>336</v>
      </c>
      <c r="O304" s="5"/>
      <c r="P304" s="34">
        <v>232000000</v>
      </c>
    </row>
    <row r="305" spans="11:16" ht="14.4">
      <c r="K305" s="13" t="s">
        <v>337</v>
      </c>
      <c r="L305" s="5"/>
      <c r="M305" s="40">
        <v>6875830</v>
      </c>
      <c r="N305" s="152" t="s">
        <v>352</v>
      </c>
      <c r="O305" s="5"/>
      <c r="P305" s="34">
        <v>6500000</v>
      </c>
    </row>
    <row r="306" spans="11:16">
      <c r="K306" s="13" t="s">
        <v>339</v>
      </c>
      <c r="L306" s="5"/>
      <c r="M306" s="40">
        <v>50000</v>
      </c>
      <c r="N306" s="5" t="s">
        <v>354</v>
      </c>
      <c r="O306" s="5"/>
      <c r="P306" s="34">
        <v>37000000</v>
      </c>
    </row>
    <row r="307" spans="11:16">
      <c r="K307" s="13" t="s">
        <v>387</v>
      </c>
      <c r="L307" s="5"/>
      <c r="M307" s="40">
        <v>3360785</v>
      </c>
      <c r="N307" s="5"/>
      <c r="O307" s="5"/>
      <c r="P307" s="9"/>
    </row>
    <row r="308" spans="11:16">
      <c r="K308" s="13" t="s">
        <v>341</v>
      </c>
      <c r="L308" s="5"/>
      <c r="M308" s="40">
        <v>105762901</v>
      </c>
      <c r="N308" s="5"/>
      <c r="O308" s="5"/>
      <c r="P308" s="9"/>
    </row>
    <row r="309" spans="11:16">
      <c r="K309" s="13"/>
      <c r="L309" s="5"/>
      <c r="M309" s="40"/>
      <c r="N309" s="5"/>
      <c r="O309" s="5"/>
      <c r="P309" s="9"/>
    </row>
    <row r="310" spans="11:16">
      <c r="K310" s="17" t="s">
        <v>18</v>
      </c>
      <c r="L310" s="11"/>
      <c r="M310" s="225">
        <v>-53623649</v>
      </c>
      <c r="N310" s="11" t="s">
        <v>19</v>
      </c>
      <c r="O310" s="11"/>
      <c r="P310" s="223">
        <v>5481444</v>
      </c>
    </row>
    <row r="311" spans="11:16">
      <c r="K311" s="13" t="s">
        <v>342</v>
      </c>
      <c r="L311" s="5"/>
      <c r="M311" s="46">
        <v>0</v>
      </c>
      <c r="N311" s="5" t="s">
        <v>62</v>
      </c>
      <c r="O311" s="5"/>
      <c r="P311" s="49">
        <v>5481444</v>
      </c>
    </row>
    <row r="312" spans="11:16">
      <c r="K312" s="13" t="s">
        <v>343</v>
      </c>
      <c r="L312" s="5"/>
      <c r="M312" s="40">
        <v>0</v>
      </c>
      <c r="N312" s="5" t="s">
        <v>63</v>
      </c>
      <c r="O312" s="5"/>
      <c r="P312" s="49">
        <v>0</v>
      </c>
    </row>
    <row r="313" spans="11:16">
      <c r="K313" s="13" t="s">
        <v>65</v>
      </c>
      <c r="L313" s="5"/>
      <c r="M313" s="40">
        <v>0</v>
      </c>
      <c r="N313" s="5"/>
      <c r="O313" s="5"/>
      <c r="P313" s="49"/>
    </row>
    <row r="314" spans="11:16">
      <c r="K314" s="13" t="s">
        <v>344</v>
      </c>
      <c r="L314" s="5"/>
      <c r="M314" s="40">
        <v>-53623649</v>
      </c>
      <c r="N314" s="5"/>
      <c r="O314" s="5"/>
      <c r="P314" s="49"/>
    </row>
    <row r="315" spans="11:16">
      <c r="K315" s="13"/>
      <c r="L315" s="5"/>
      <c r="M315" s="40"/>
      <c r="N315" s="5"/>
      <c r="O315" s="190"/>
      <c r="P315" s="34"/>
    </row>
    <row r="316" spans="11:16">
      <c r="K316" s="13"/>
      <c r="L316" s="5"/>
      <c r="M316" s="40"/>
      <c r="N316" s="55"/>
      <c r="O316" s="5"/>
      <c r="P316" s="9"/>
    </row>
    <row r="317" spans="11:16">
      <c r="K317" s="13"/>
      <c r="L317" s="5"/>
      <c r="M317" s="40"/>
      <c r="N317" s="5"/>
      <c r="O317" s="5"/>
      <c r="P317" s="9"/>
    </row>
    <row r="318" spans="11:16">
      <c r="K318" s="14" t="s">
        <v>8</v>
      </c>
      <c r="L318" s="15"/>
      <c r="M318" s="16">
        <v>352425867</v>
      </c>
      <c r="N318" s="15" t="s">
        <v>9</v>
      </c>
      <c r="O318" s="15"/>
      <c r="P318" s="22">
        <v>280981444</v>
      </c>
    </row>
    <row r="319" spans="11:16">
      <c r="N319" s="4"/>
      <c r="O319" s="7"/>
      <c r="P319" s="5"/>
    </row>
    <row r="320" spans="11:16">
      <c r="K320" s="23" t="s">
        <v>66</v>
      </c>
      <c r="L320" s="23"/>
      <c r="M320" s="24">
        <v>-59105093</v>
      </c>
      <c r="N320" s="3"/>
      <c r="O320" s="3"/>
      <c r="P320" s="33"/>
    </row>
    <row r="321" spans="7:16">
      <c r="K321" s="23" t="s">
        <v>10</v>
      </c>
      <c r="L321" s="23"/>
      <c r="M321" s="25">
        <v>71444423</v>
      </c>
      <c r="O321" s="3"/>
      <c r="P321" s="3"/>
    </row>
    <row r="323" spans="7:16">
      <c r="K323" s="107" t="s">
        <v>229</v>
      </c>
      <c r="L323" s="108"/>
      <c r="M323" s="109"/>
      <c r="N323" s="110"/>
      <c r="O323" s="108"/>
      <c r="P323" s="111">
        <v>44542</v>
      </c>
    </row>
    <row r="324" spans="7:16" ht="14.4" thickBot="1">
      <c r="K324" s="42" t="s">
        <v>6</v>
      </c>
      <c r="L324" s="43"/>
      <c r="M324" s="44" t="s">
        <v>1</v>
      </c>
      <c r="N324" s="43" t="s">
        <v>7</v>
      </c>
      <c r="O324" s="43"/>
      <c r="P324" s="45" t="s">
        <v>1</v>
      </c>
    </row>
    <row r="325" spans="7:16" ht="14.4" thickTop="1">
      <c r="K325" s="10"/>
      <c r="L325" s="5"/>
      <c r="M325" s="5"/>
      <c r="N325" s="1"/>
      <c r="O325" s="5"/>
      <c r="P325" s="36"/>
    </row>
    <row r="326" spans="7:16">
      <c r="K326" s="17" t="s">
        <v>17</v>
      </c>
      <c r="L326" s="11"/>
      <c r="M326" s="224">
        <v>393832900</v>
      </c>
      <c r="N326" s="18" t="s">
        <v>20</v>
      </c>
      <c r="O326" s="11"/>
      <c r="P326" s="222">
        <v>275500000</v>
      </c>
    </row>
    <row r="327" spans="7:16" ht="14.4">
      <c r="K327" s="221" t="s">
        <v>335</v>
      </c>
      <c r="L327" s="219"/>
      <c r="M327" s="220">
        <v>290000000</v>
      </c>
      <c r="N327" s="152" t="s">
        <v>336</v>
      </c>
      <c r="O327" s="5"/>
      <c r="P327" s="34">
        <v>232000000</v>
      </c>
    </row>
    <row r="328" spans="7:16" ht="14.4">
      <c r="K328" s="13" t="s">
        <v>337</v>
      </c>
      <c r="L328" s="5"/>
      <c r="M328" s="40">
        <v>6875830</v>
      </c>
      <c r="N328" s="152" t="s">
        <v>352</v>
      </c>
      <c r="O328" s="5"/>
      <c r="P328" s="34">
        <v>6500000</v>
      </c>
    </row>
    <row r="329" spans="7:16">
      <c r="K329" s="13" t="s">
        <v>339</v>
      </c>
      <c r="L329" s="5"/>
      <c r="M329" s="40">
        <v>50000</v>
      </c>
      <c r="N329" s="5" t="s">
        <v>354</v>
      </c>
      <c r="O329" s="5"/>
      <c r="P329" s="34">
        <v>37000000</v>
      </c>
    </row>
    <row r="330" spans="7:16">
      <c r="K330" s="13" t="s">
        <v>387</v>
      </c>
      <c r="L330" s="5"/>
      <c r="M330" s="40">
        <v>5337407</v>
      </c>
      <c r="N330" s="5"/>
      <c r="O330" s="5"/>
      <c r="P330" s="9"/>
    </row>
    <row r="331" spans="7:16">
      <c r="G331" s="31"/>
      <c r="K331" s="13" t="s">
        <v>341</v>
      </c>
      <c r="L331" s="5"/>
      <c r="M331" s="40">
        <v>91569663</v>
      </c>
      <c r="N331" s="5"/>
      <c r="O331" s="5"/>
      <c r="P331" s="9"/>
    </row>
    <row r="332" spans="7:16">
      <c r="G332" s="51"/>
      <c r="K332" s="13"/>
      <c r="L332" s="5"/>
      <c r="M332" s="40"/>
      <c r="N332" s="5"/>
      <c r="O332" s="5"/>
      <c r="P332" s="9"/>
    </row>
    <row r="333" spans="7:16">
      <c r="G333" s="51"/>
      <c r="K333" s="17" t="s">
        <v>18</v>
      </c>
      <c r="L333" s="11"/>
      <c r="M333" s="225">
        <v>-57426913</v>
      </c>
      <c r="N333" s="11" t="s">
        <v>19</v>
      </c>
      <c r="O333" s="11"/>
      <c r="P333" s="223">
        <v>5451636</v>
      </c>
    </row>
    <row r="334" spans="7:16">
      <c r="K334" s="13" t="s">
        <v>342</v>
      </c>
      <c r="L334" s="5"/>
      <c r="M334" s="46">
        <v>0</v>
      </c>
      <c r="N334" s="5" t="s">
        <v>62</v>
      </c>
      <c r="O334" s="5"/>
      <c r="P334" s="49">
        <v>5451636</v>
      </c>
    </row>
    <row r="335" spans="7:16">
      <c r="K335" s="13" t="s">
        <v>343</v>
      </c>
      <c r="L335" s="5"/>
      <c r="M335" s="40">
        <v>0</v>
      </c>
      <c r="N335" s="5" t="s">
        <v>63</v>
      </c>
      <c r="O335" s="5"/>
      <c r="P335" s="49">
        <v>0</v>
      </c>
    </row>
    <row r="336" spans="7:16">
      <c r="K336" s="13" t="s">
        <v>65</v>
      </c>
      <c r="L336" s="5"/>
      <c r="M336" s="40">
        <v>0</v>
      </c>
      <c r="N336" s="5"/>
      <c r="O336" s="5"/>
      <c r="P336" s="49"/>
    </row>
    <row r="337" spans="11:16">
      <c r="K337" s="13" t="s">
        <v>344</v>
      </c>
      <c r="L337" s="5"/>
      <c r="M337" s="40">
        <v>-57426913</v>
      </c>
      <c r="N337" s="5"/>
      <c r="O337" s="5"/>
      <c r="P337" s="49"/>
    </row>
    <row r="338" spans="11:16">
      <c r="K338" s="13"/>
      <c r="L338" s="5"/>
      <c r="M338" s="40"/>
      <c r="N338" s="5"/>
      <c r="O338" s="190"/>
      <c r="P338" s="34"/>
    </row>
    <row r="339" spans="11:16">
      <c r="K339" s="13"/>
      <c r="L339" s="5"/>
      <c r="M339" s="40"/>
      <c r="N339" s="55"/>
      <c r="O339" s="5"/>
      <c r="P339" s="9"/>
    </row>
    <row r="340" spans="11:16">
      <c r="K340" s="13"/>
      <c r="L340" s="5"/>
      <c r="M340" s="40"/>
      <c r="N340" s="5"/>
      <c r="O340" s="5"/>
      <c r="P340" s="9"/>
    </row>
    <row r="341" spans="11:16">
      <c r="K341" s="14" t="s">
        <v>8</v>
      </c>
      <c r="L341" s="15"/>
      <c r="M341" s="16">
        <v>336405987</v>
      </c>
      <c r="N341" s="15" t="s">
        <v>9</v>
      </c>
      <c r="O341" s="15"/>
      <c r="P341" s="22">
        <v>280951636</v>
      </c>
    </row>
    <row r="342" spans="11:16">
      <c r="N342" s="4"/>
      <c r="O342" s="7"/>
      <c r="P342" s="5"/>
    </row>
    <row r="343" spans="11:16">
      <c r="K343" s="23" t="s">
        <v>66</v>
      </c>
      <c r="L343" s="23"/>
      <c r="M343" s="24">
        <v>-62878549</v>
      </c>
      <c r="N343" s="3"/>
      <c r="O343" s="3"/>
      <c r="P343" s="33"/>
    </row>
    <row r="344" spans="11:16">
      <c r="K344" s="23" t="s">
        <v>10</v>
      </c>
      <c r="L344" s="23"/>
      <c r="M344" s="25">
        <v>55454351</v>
      </c>
      <c r="O344" s="3"/>
      <c r="P344" s="3"/>
    </row>
    <row r="346" spans="11:16">
      <c r="K346" s="107" t="s">
        <v>229</v>
      </c>
      <c r="L346" s="108"/>
      <c r="M346" s="109"/>
      <c r="N346" s="110"/>
      <c r="O346" s="108"/>
      <c r="P346" s="111">
        <v>44556</v>
      </c>
    </row>
    <row r="347" spans="11:16" ht="14.4" thickBot="1">
      <c r="K347" s="42" t="s">
        <v>6</v>
      </c>
      <c r="L347" s="43"/>
      <c r="M347" s="44" t="s">
        <v>1</v>
      </c>
      <c r="N347" s="43" t="s">
        <v>7</v>
      </c>
      <c r="O347" s="43"/>
      <c r="P347" s="45" t="s">
        <v>1</v>
      </c>
    </row>
    <row r="348" spans="11:16" ht="14.4" thickTop="1">
      <c r="K348" s="10"/>
      <c r="L348" s="5"/>
      <c r="M348" s="5"/>
      <c r="N348" s="1"/>
      <c r="O348" s="5"/>
      <c r="P348" s="36"/>
    </row>
    <row r="349" spans="11:16">
      <c r="K349" s="17" t="s">
        <v>17</v>
      </c>
      <c r="L349" s="11"/>
      <c r="M349" s="224">
        <v>393174078</v>
      </c>
      <c r="N349" s="18" t="s">
        <v>20</v>
      </c>
      <c r="O349" s="11"/>
      <c r="P349" s="222">
        <v>275500000</v>
      </c>
    </row>
    <row r="350" spans="11:16" ht="14.4">
      <c r="K350" s="221" t="s">
        <v>335</v>
      </c>
      <c r="L350" s="219"/>
      <c r="M350" s="220">
        <v>290000000</v>
      </c>
      <c r="N350" s="152" t="s">
        <v>336</v>
      </c>
      <c r="O350" s="5"/>
      <c r="P350" s="34">
        <v>232000000</v>
      </c>
    </row>
    <row r="351" spans="11:16" ht="14.4">
      <c r="K351" s="13" t="s">
        <v>337</v>
      </c>
      <c r="L351" s="5"/>
      <c r="M351" s="40">
        <v>6875830</v>
      </c>
      <c r="N351" s="152" t="s">
        <v>352</v>
      </c>
      <c r="O351" s="5"/>
      <c r="P351" s="34">
        <v>6500000</v>
      </c>
    </row>
    <row r="352" spans="11:16">
      <c r="K352" s="13" t="s">
        <v>339</v>
      </c>
      <c r="L352" s="5"/>
      <c r="M352" s="40">
        <v>50000</v>
      </c>
      <c r="N352" s="5" t="s">
        <v>354</v>
      </c>
      <c r="O352" s="5"/>
      <c r="P352" s="34">
        <v>37000000</v>
      </c>
    </row>
    <row r="353" spans="11:16">
      <c r="K353" s="13" t="s">
        <v>387</v>
      </c>
      <c r="L353" s="5"/>
      <c r="M353" s="40">
        <v>5337407</v>
      </c>
      <c r="N353" s="5"/>
      <c r="O353" s="5"/>
      <c r="P353" s="9"/>
    </row>
    <row r="354" spans="11:16">
      <c r="K354" s="13" t="s">
        <v>341</v>
      </c>
      <c r="L354" s="5"/>
      <c r="M354" s="40">
        <v>90910841</v>
      </c>
      <c r="N354" s="5"/>
      <c r="O354" s="5"/>
      <c r="P354" s="9"/>
    </row>
    <row r="355" spans="11:16">
      <c r="K355" s="13"/>
      <c r="L355" s="5"/>
      <c r="M355" s="40"/>
      <c r="N355" s="5"/>
      <c r="O355" s="5"/>
      <c r="P355" s="9"/>
    </row>
    <row r="356" spans="11:16">
      <c r="K356" s="17" t="s">
        <v>18</v>
      </c>
      <c r="L356" s="11"/>
      <c r="M356" s="225">
        <v>-53459871</v>
      </c>
      <c r="N356" s="11" t="s">
        <v>19</v>
      </c>
      <c r="O356" s="11"/>
      <c r="P356" s="223">
        <v>6379434</v>
      </c>
    </row>
    <row r="357" spans="11:16">
      <c r="K357" s="13" t="s">
        <v>342</v>
      </c>
      <c r="L357" s="5"/>
      <c r="M357" s="46">
        <v>0</v>
      </c>
      <c r="N357" s="5" t="s">
        <v>62</v>
      </c>
      <c r="O357" s="5"/>
      <c r="P357" s="49">
        <v>6379434</v>
      </c>
    </row>
    <row r="358" spans="11:16">
      <c r="K358" s="13" t="s">
        <v>343</v>
      </c>
      <c r="L358" s="5"/>
      <c r="M358" s="40">
        <v>0</v>
      </c>
      <c r="N358" s="5" t="s">
        <v>63</v>
      </c>
      <c r="O358" s="5"/>
      <c r="P358" s="49">
        <v>0</v>
      </c>
    </row>
    <row r="359" spans="11:16">
      <c r="K359" s="13" t="s">
        <v>65</v>
      </c>
      <c r="L359" s="5"/>
      <c r="M359" s="40">
        <v>0</v>
      </c>
      <c r="N359" s="5"/>
      <c r="O359" s="5"/>
      <c r="P359" s="49"/>
    </row>
    <row r="360" spans="11:16">
      <c r="K360" s="13" t="s">
        <v>344</v>
      </c>
      <c r="L360" s="5"/>
      <c r="M360" s="40">
        <v>-53459871</v>
      </c>
      <c r="N360" s="5"/>
      <c r="O360" s="5"/>
      <c r="P360" s="49"/>
    </row>
    <row r="361" spans="11:16">
      <c r="K361" s="13"/>
      <c r="L361" s="5"/>
      <c r="M361" s="40"/>
      <c r="N361" s="5"/>
      <c r="O361" s="190"/>
      <c r="P361" s="34"/>
    </row>
    <row r="362" spans="11:16">
      <c r="K362" s="13"/>
      <c r="L362" s="5"/>
      <c r="M362" s="40"/>
      <c r="N362" s="55"/>
      <c r="O362" s="5"/>
      <c r="P362" s="9"/>
    </row>
    <row r="363" spans="11:16">
      <c r="K363" s="13"/>
      <c r="L363" s="5"/>
      <c r="M363" s="40"/>
      <c r="N363" s="5"/>
      <c r="O363" s="5"/>
      <c r="P363" s="9"/>
    </row>
    <row r="364" spans="11:16">
      <c r="K364" s="14" t="s">
        <v>8</v>
      </c>
      <c r="L364" s="15"/>
      <c r="M364" s="16">
        <v>339714207</v>
      </c>
      <c r="N364" s="15" t="s">
        <v>9</v>
      </c>
      <c r="O364" s="15"/>
      <c r="P364" s="22">
        <v>281879434</v>
      </c>
    </row>
    <row r="365" spans="11:16">
      <c r="N365" s="4"/>
      <c r="O365" s="7"/>
      <c r="P365" s="5"/>
    </row>
    <row r="366" spans="11:16">
      <c r="K366" s="23" t="s">
        <v>66</v>
      </c>
      <c r="L366" s="23"/>
      <c r="M366" s="24">
        <v>-59839305</v>
      </c>
      <c r="N366" s="3"/>
      <c r="O366" s="3"/>
      <c r="P366" s="33"/>
    </row>
    <row r="367" spans="11:16">
      <c r="K367" s="23" t="s">
        <v>10</v>
      </c>
      <c r="L367" s="23"/>
      <c r="M367" s="25">
        <v>57834773</v>
      </c>
      <c r="O367" s="3"/>
      <c r="P367" s="3"/>
    </row>
    <row r="633" spans="15:16">
      <c r="O633" s="3"/>
      <c r="P633" s="33"/>
    </row>
    <row r="634" spans="15:16">
      <c r="O634" s="3"/>
      <c r="P634" s="3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9FF"/>
  </sheetPr>
  <dimension ref="B1:N177"/>
  <sheetViews>
    <sheetView showGridLines="0" zoomScaleNormal="100" workbookViewId="0">
      <pane ySplit="1" topLeftCell="A2" activePane="bottomLeft" state="frozen"/>
      <selection activeCell="H66" sqref="H66"/>
      <selection pane="bottomLeft" activeCell="H66" sqref="H66"/>
    </sheetView>
  </sheetViews>
  <sheetFormatPr defaultColWidth="8.8984375" defaultRowHeight="15.6"/>
  <cols>
    <col min="1" max="1" width="3.69921875" style="77" customWidth="1"/>
    <col min="2" max="3" width="8.8984375" style="77" customWidth="1"/>
    <col min="4" max="4" width="11.09765625" style="77" customWidth="1"/>
    <col min="5" max="5" width="12.09765625" style="77" customWidth="1"/>
    <col min="6" max="6" width="8.8984375" style="77" customWidth="1"/>
    <col min="7" max="7" width="18.796875" style="77" customWidth="1"/>
    <col min="8" max="9" width="3.59765625" style="77" customWidth="1"/>
    <col min="10" max="10" width="27.296875" style="77" customWidth="1"/>
    <col min="11" max="11" width="18.796875" style="77" customWidth="1"/>
    <col min="12" max="12" width="7.5" style="77" bestFit="1" customWidth="1"/>
    <col min="13" max="13" width="11.59765625" style="77" customWidth="1"/>
    <col min="14" max="14" width="13.59765625" style="77" customWidth="1"/>
    <col min="15" max="21" width="11.59765625" style="77" customWidth="1"/>
    <col min="22" max="22" width="8.8984375" style="77" customWidth="1"/>
    <col min="23" max="26" width="8.8984375" style="77"/>
    <col min="27" max="27" width="11.59765625" style="77" bestFit="1" customWidth="1"/>
    <col min="28" max="28" width="8.8984375" style="77"/>
    <col min="29" max="29" width="11.59765625" style="77" bestFit="1" customWidth="1"/>
    <col min="30" max="16384" width="8.8984375" style="77"/>
  </cols>
  <sheetData>
    <row r="1" spans="2:14">
      <c r="F1" s="105"/>
      <c r="H1" s="78"/>
      <c r="K1" s="94"/>
      <c r="L1" s="89"/>
    </row>
    <row r="2" spans="2:14" ht="16.2" thickBot="1">
      <c r="B2" s="441" t="s">
        <v>16</v>
      </c>
      <c r="C2" s="442"/>
      <c r="D2" s="442"/>
      <c r="E2" s="442"/>
      <c r="F2" s="442"/>
      <c r="G2" s="443"/>
      <c r="H2" s="74"/>
      <c r="I2" s="74"/>
      <c r="J2" s="444" t="s">
        <v>16</v>
      </c>
      <c r="K2" s="444"/>
      <c r="M2" s="57" t="s">
        <v>282</v>
      </c>
      <c r="N2" s="56"/>
    </row>
    <row r="3" spans="2:14">
      <c r="B3" s="186" t="s">
        <v>0</v>
      </c>
      <c r="C3" s="187"/>
      <c r="D3" s="187"/>
      <c r="E3" s="187"/>
      <c r="F3" s="189"/>
      <c r="G3" s="188" t="s">
        <v>29</v>
      </c>
      <c r="H3" s="74"/>
      <c r="I3" s="74"/>
      <c r="J3" s="84" t="s">
        <v>0</v>
      </c>
      <c r="K3" s="91" t="s">
        <v>29</v>
      </c>
      <c r="M3" s="191"/>
      <c r="N3" s="211" t="s">
        <v>274</v>
      </c>
    </row>
    <row r="4" spans="2:14">
      <c r="B4" s="75" t="s">
        <v>3</v>
      </c>
      <c r="C4" s="76"/>
      <c r="F4" s="80"/>
      <c r="G4" s="100">
        <f>SUM(G5:G6)</f>
        <v>4268915</v>
      </c>
      <c r="H4" s="78"/>
      <c r="I4" s="78"/>
      <c r="J4" s="106" t="s">
        <v>236</v>
      </c>
      <c r="K4" s="92"/>
      <c r="M4" s="191" t="s">
        <v>235</v>
      </c>
      <c r="N4" s="212" t="s">
        <v>273</v>
      </c>
    </row>
    <row r="5" spans="2:14" ht="16.2">
      <c r="B5" s="79" t="s">
        <v>349</v>
      </c>
      <c r="F5" s="80"/>
      <c r="G5" s="101">
        <f>K8</f>
        <v>4268915</v>
      </c>
      <c r="H5" s="78"/>
      <c r="I5" s="78"/>
      <c r="J5" s="93" t="s">
        <v>14</v>
      </c>
      <c r="K5" s="97">
        <v>60000000</v>
      </c>
      <c r="M5" s="193" t="s">
        <v>242</v>
      </c>
      <c r="N5" s="213">
        <v>290000000</v>
      </c>
    </row>
    <row r="6" spans="2:14">
      <c r="B6" s="79"/>
      <c r="F6" s="80"/>
      <c r="G6" s="101"/>
      <c r="H6" s="78"/>
      <c r="I6" s="78"/>
      <c r="J6" s="77" t="s">
        <v>15</v>
      </c>
      <c r="K6" s="88">
        <f>K5/12</f>
        <v>5000000</v>
      </c>
      <c r="M6" s="56" t="s">
        <v>243</v>
      </c>
      <c r="N6" s="215">
        <f>N5*0.8</f>
        <v>232000000</v>
      </c>
    </row>
    <row r="7" spans="2:14">
      <c r="B7" s="79" t="s">
        <v>11</v>
      </c>
      <c r="F7" s="80"/>
      <c r="G7" s="101">
        <v>0</v>
      </c>
      <c r="H7" s="78"/>
      <c r="I7" s="78"/>
      <c r="J7" s="77" t="s">
        <v>30</v>
      </c>
      <c r="K7" s="95">
        <v>0.14621700000000001</v>
      </c>
      <c r="M7" s="56" t="s">
        <v>244</v>
      </c>
      <c r="N7" s="216">
        <f>N5-N6</f>
        <v>58000000</v>
      </c>
    </row>
    <row r="8" spans="2:14">
      <c r="B8" s="79"/>
      <c r="F8" s="80"/>
      <c r="G8" s="101"/>
      <c r="H8" s="78"/>
      <c r="I8" s="78"/>
      <c r="J8" s="93" t="s">
        <v>31</v>
      </c>
      <c r="K8" s="88">
        <f>K6*(1-K7)</f>
        <v>4268915</v>
      </c>
      <c r="M8" s="192" t="s">
        <v>272</v>
      </c>
      <c r="N8" s="217">
        <v>2.6100000000000002E-2</v>
      </c>
    </row>
    <row r="9" spans="2:14">
      <c r="B9" s="75" t="s">
        <v>12</v>
      </c>
      <c r="F9" s="82"/>
      <c r="G9" s="102">
        <f>G10+G177+G22+G17</f>
        <v>2381956.666666667</v>
      </c>
      <c r="H9" s="78"/>
      <c r="I9" s="78"/>
      <c r="J9" s="77" t="s">
        <v>240</v>
      </c>
      <c r="K9" s="94">
        <v>700000</v>
      </c>
      <c r="M9" s="193" t="s">
        <v>245</v>
      </c>
      <c r="N9" s="213">
        <f>N6*N8</f>
        <v>6055200</v>
      </c>
    </row>
    <row r="10" spans="2:14">
      <c r="B10" s="83" t="s">
        <v>2</v>
      </c>
      <c r="F10" s="80"/>
      <c r="G10" s="101">
        <f>SUM(G11:G16)</f>
        <v>881956.66666666674</v>
      </c>
      <c r="H10" s="78"/>
      <c r="I10" s="78"/>
      <c r="J10" s="106" t="s">
        <v>32</v>
      </c>
      <c r="M10" s="192" t="s">
        <v>246</v>
      </c>
      <c r="N10" s="215">
        <f t="shared" ref="N10" si="0">100000*12</f>
        <v>1200000</v>
      </c>
    </row>
    <row r="11" spans="2:14">
      <c r="B11" s="79" t="s">
        <v>42</v>
      </c>
      <c r="F11" s="80"/>
      <c r="G11" s="101">
        <f>K15/12</f>
        <v>485266.66666666669</v>
      </c>
      <c r="H11" s="78"/>
      <c r="I11" s="78"/>
      <c r="J11" s="77" t="s">
        <v>237</v>
      </c>
      <c r="K11" s="77">
        <v>1</v>
      </c>
      <c r="M11" s="192" t="s">
        <v>247</v>
      </c>
      <c r="N11" s="215">
        <v>1000000</v>
      </c>
    </row>
    <row r="12" spans="2:14">
      <c r="B12" s="79" t="s">
        <v>283</v>
      </c>
      <c r="F12" s="80"/>
      <c r="G12" s="101">
        <v>200000</v>
      </c>
      <c r="H12" s="78"/>
      <c r="I12" s="78"/>
      <c r="J12" s="89" t="s">
        <v>34</v>
      </c>
      <c r="K12" s="96">
        <v>2.5100000000000001E-2</v>
      </c>
      <c r="M12" s="208" t="s">
        <v>275</v>
      </c>
      <c r="N12" s="218">
        <f>N11+N9</f>
        <v>7055200</v>
      </c>
    </row>
    <row r="13" spans="2:14" ht="16.2" thickBot="1">
      <c r="B13" s="79" t="s">
        <v>13</v>
      </c>
      <c r="F13" s="80"/>
      <c r="G13" s="101">
        <f>1300*2*5*2*2</f>
        <v>52000</v>
      </c>
      <c r="H13" s="78"/>
      <c r="I13" s="78"/>
      <c r="J13" s="89" t="s">
        <v>35</v>
      </c>
      <c r="K13" s="90">
        <f>290000000</f>
        <v>290000000</v>
      </c>
      <c r="M13" s="208" t="s">
        <v>276</v>
      </c>
      <c r="N13" s="214">
        <f>N12/12</f>
        <v>587933.33333333337</v>
      </c>
    </row>
    <row r="14" spans="2:14">
      <c r="B14" s="79" t="s">
        <v>4</v>
      </c>
      <c r="F14" s="80"/>
      <c r="G14" s="101">
        <v>80690</v>
      </c>
      <c r="H14" s="78"/>
      <c r="I14" s="78"/>
      <c r="J14" s="89" t="s">
        <v>36</v>
      </c>
      <c r="K14" s="90">
        <f>K13*0.8</f>
        <v>232000000</v>
      </c>
    </row>
    <row r="15" spans="2:14">
      <c r="B15" s="79" t="s">
        <v>313</v>
      </c>
      <c r="F15" s="80"/>
      <c r="G15" s="101">
        <v>44000</v>
      </c>
      <c r="H15" s="78"/>
      <c r="I15" s="78"/>
      <c r="J15" s="89" t="s">
        <v>238</v>
      </c>
      <c r="K15" s="90">
        <f>(K14*K12)</f>
        <v>5823200</v>
      </c>
    </row>
    <row r="16" spans="2:14">
      <c r="B16" s="79" t="s">
        <v>312</v>
      </c>
      <c r="F16" s="80"/>
      <c r="G16" s="101">
        <v>20000</v>
      </c>
      <c r="H16" s="78"/>
      <c r="I16" s="78"/>
      <c r="N16" s="226"/>
    </row>
    <row r="17" spans="2:11">
      <c r="B17" s="83" t="s">
        <v>5</v>
      </c>
      <c r="F17" s="80"/>
      <c r="G17" s="101">
        <f>SUM(G18:G20)</f>
        <v>1500000</v>
      </c>
      <c r="H17" s="78"/>
      <c r="I17" s="78"/>
    </row>
    <row r="18" spans="2:11">
      <c r="B18" s="248" t="s">
        <v>239</v>
      </c>
      <c r="C18" s="249"/>
      <c r="D18" s="249"/>
      <c r="E18" s="249"/>
      <c r="F18" s="250"/>
      <c r="G18" s="251">
        <v>1000000</v>
      </c>
      <c r="H18" s="85"/>
      <c r="I18" s="85"/>
    </row>
    <row r="19" spans="2:11">
      <c r="B19" s="248" t="s">
        <v>348</v>
      </c>
      <c r="C19" s="249"/>
      <c r="D19" s="249"/>
      <c r="E19" s="249"/>
      <c r="F19" s="250"/>
      <c r="G19" s="251">
        <v>500000</v>
      </c>
      <c r="H19" s="85"/>
      <c r="I19" s="85"/>
    </row>
    <row r="20" spans="2:11">
      <c r="B20" s="79"/>
      <c r="F20" s="80"/>
      <c r="G20" s="101"/>
      <c r="H20" s="78"/>
      <c r="I20" s="78"/>
    </row>
    <row r="21" spans="2:11">
      <c r="B21" s="79"/>
      <c r="F21" s="80"/>
      <c r="G21" s="101"/>
      <c r="H21" s="78"/>
      <c r="I21" s="78"/>
    </row>
    <row r="22" spans="2:11">
      <c r="B22" s="83" t="s">
        <v>127</v>
      </c>
      <c r="F22" s="80"/>
      <c r="G22" s="101"/>
      <c r="H22" s="78"/>
      <c r="I22" s="78"/>
      <c r="J22" s="89"/>
      <c r="K22" s="90"/>
    </row>
    <row r="23" spans="2:11">
      <c r="B23" s="81"/>
      <c r="F23" s="80"/>
      <c r="G23" s="80"/>
      <c r="H23" s="78"/>
      <c r="I23" s="78"/>
    </row>
    <row r="24" spans="2:11">
      <c r="B24" s="103" t="s">
        <v>128</v>
      </c>
      <c r="C24" s="98"/>
      <c r="D24" s="98"/>
      <c r="E24" s="98"/>
      <c r="F24" s="99"/>
      <c r="G24" s="104">
        <f>G4-G9</f>
        <v>1886958.333333333</v>
      </c>
      <c r="I24" s="78"/>
      <c r="J24" s="89"/>
      <c r="K24" s="86"/>
    </row>
    <row r="25" spans="2:11">
      <c r="H25" s="78"/>
      <c r="I25" s="78"/>
      <c r="K25" s="87"/>
    </row>
    <row r="26" spans="2:11">
      <c r="G26" s="88"/>
    </row>
    <row r="27" spans="2:11">
      <c r="G27" s="247"/>
    </row>
    <row r="28" spans="2:11">
      <c r="J28" s="243"/>
    </row>
    <row r="29" spans="2:11">
      <c r="G29" s="87"/>
    </row>
    <row r="32" spans="2:11">
      <c r="C32" s="76"/>
    </row>
    <row r="33" spans="3:3">
      <c r="C33" s="76"/>
    </row>
    <row r="34" spans="3:3">
      <c r="C34" s="76"/>
    </row>
    <row r="35" spans="3:3">
      <c r="C35" s="76"/>
    </row>
    <row r="36" spans="3:3">
      <c r="C36" s="76"/>
    </row>
    <row r="37" spans="3:3">
      <c r="C37" s="76"/>
    </row>
    <row r="38" spans="3:3">
      <c r="C38" s="76"/>
    </row>
    <row r="39" spans="3:3">
      <c r="C39" s="76"/>
    </row>
    <row r="40" spans="3:3">
      <c r="C40" s="76"/>
    </row>
    <row r="41" spans="3:3">
      <c r="C41" s="76"/>
    </row>
    <row r="42" spans="3:3">
      <c r="C42" s="76"/>
    </row>
    <row r="43" spans="3:3">
      <c r="C43" s="76"/>
    </row>
    <row r="44" spans="3:3">
      <c r="C44" s="76"/>
    </row>
    <row r="45" spans="3:3">
      <c r="C45" s="76"/>
    </row>
    <row r="46" spans="3:3">
      <c r="C46" s="76"/>
    </row>
    <row r="47" spans="3:3">
      <c r="C47" s="76"/>
    </row>
    <row r="48" spans="3:3">
      <c r="C48" s="76"/>
    </row>
    <row r="49" spans="3:3">
      <c r="C49" s="76"/>
    </row>
    <row r="50" spans="3:3">
      <c r="C50" s="76"/>
    </row>
    <row r="51" spans="3:3">
      <c r="C51" s="76"/>
    </row>
    <row r="52" spans="3:3">
      <c r="C52" s="76"/>
    </row>
    <row r="53" spans="3:3">
      <c r="C53" s="76"/>
    </row>
    <row r="54" spans="3:3">
      <c r="C54" s="76"/>
    </row>
    <row r="55" spans="3:3">
      <c r="C55" s="76"/>
    </row>
    <row r="56" spans="3:3">
      <c r="C56" s="76"/>
    </row>
    <row r="57" spans="3:3">
      <c r="C57" s="76"/>
    </row>
    <row r="58" spans="3:3">
      <c r="C58" s="76"/>
    </row>
    <row r="59" spans="3:3">
      <c r="C59" s="76"/>
    </row>
    <row r="60" spans="3:3">
      <c r="C60" s="76"/>
    </row>
    <row r="61" spans="3:3">
      <c r="C61" s="76"/>
    </row>
    <row r="62" spans="3:3">
      <c r="C62" s="76"/>
    </row>
    <row r="63" spans="3:3">
      <c r="C63" s="76"/>
    </row>
    <row r="64" spans="3:3">
      <c r="C64" s="76"/>
    </row>
    <row r="65" spans="3:3">
      <c r="C65" s="76"/>
    </row>
    <row r="66" spans="3:3">
      <c r="C66" s="76"/>
    </row>
    <row r="67" spans="3:3">
      <c r="C67" s="76"/>
    </row>
    <row r="68" spans="3:3">
      <c r="C68" s="76"/>
    </row>
    <row r="69" spans="3:3">
      <c r="C69" s="76"/>
    </row>
    <row r="70" spans="3:3">
      <c r="C70" s="76"/>
    </row>
    <row r="71" spans="3:3">
      <c r="C71" s="76"/>
    </row>
    <row r="72" spans="3:3">
      <c r="C72" s="76"/>
    </row>
    <row r="73" spans="3:3">
      <c r="C73" s="76"/>
    </row>
    <row r="74" spans="3:3">
      <c r="C74" s="76"/>
    </row>
    <row r="75" spans="3:3">
      <c r="C75" s="76"/>
    </row>
    <row r="76" spans="3:3">
      <c r="C76" s="76"/>
    </row>
    <row r="77" spans="3:3">
      <c r="C77" s="76"/>
    </row>
    <row r="78" spans="3:3">
      <c r="C78" s="76"/>
    </row>
    <row r="79" spans="3:3">
      <c r="C79" s="76"/>
    </row>
    <row r="80" spans="3:3">
      <c r="C80" s="76"/>
    </row>
    <row r="81" spans="3:3">
      <c r="C81" s="76"/>
    </row>
    <row r="82" spans="3:3">
      <c r="C82" s="76"/>
    </row>
    <row r="83" spans="3:3">
      <c r="C83" s="76"/>
    </row>
    <row r="84" spans="3:3">
      <c r="C84" s="76"/>
    </row>
    <row r="85" spans="3:3">
      <c r="C85" s="76"/>
    </row>
    <row r="86" spans="3:3">
      <c r="C86" s="76"/>
    </row>
    <row r="87" spans="3:3">
      <c r="C87" s="76"/>
    </row>
    <row r="88" spans="3:3">
      <c r="C88" s="76"/>
    </row>
    <row r="89" spans="3:3">
      <c r="C89" s="76"/>
    </row>
    <row r="90" spans="3:3">
      <c r="C90" s="76"/>
    </row>
    <row r="91" spans="3:3">
      <c r="C91" s="76"/>
    </row>
    <row r="92" spans="3:3">
      <c r="C92" s="76"/>
    </row>
    <row r="93" spans="3:3">
      <c r="C93" s="76"/>
    </row>
    <row r="94" spans="3:3">
      <c r="C94" s="76"/>
    </row>
    <row r="95" spans="3:3">
      <c r="C95" s="76"/>
    </row>
    <row r="96" spans="3:3">
      <c r="C96" s="76"/>
    </row>
    <row r="97" spans="3:3">
      <c r="C97" s="76"/>
    </row>
    <row r="98" spans="3:3">
      <c r="C98" s="76"/>
    </row>
    <row r="99" spans="3:3">
      <c r="C99" s="76"/>
    </row>
    <row r="100" spans="3:3">
      <c r="C100" s="76"/>
    </row>
    <row r="101" spans="3:3">
      <c r="C101" s="76"/>
    </row>
    <row r="102" spans="3:3">
      <c r="C102" s="76"/>
    </row>
    <row r="103" spans="3:3">
      <c r="C103" s="76"/>
    </row>
    <row r="104" spans="3:3">
      <c r="C104" s="76"/>
    </row>
    <row r="105" spans="3:3">
      <c r="C105" s="76"/>
    </row>
    <row r="106" spans="3:3">
      <c r="C106" s="76"/>
    </row>
    <row r="107" spans="3:3">
      <c r="C107" s="76"/>
    </row>
    <row r="108" spans="3:3">
      <c r="C108" s="76"/>
    </row>
    <row r="109" spans="3:3">
      <c r="C109" s="76"/>
    </row>
    <row r="110" spans="3:3">
      <c r="C110" s="76"/>
    </row>
    <row r="111" spans="3:3">
      <c r="C111" s="76"/>
    </row>
    <row r="112" spans="3:3">
      <c r="C112" s="76"/>
    </row>
    <row r="113" spans="3:3">
      <c r="C113" s="76"/>
    </row>
    <row r="114" spans="3:3">
      <c r="C114" s="76"/>
    </row>
    <row r="115" spans="3:3">
      <c r="C115" s="76"/>
    </row>
    <row r="116" spans="3:3">
      <c r="C116" s="76"/>
    </row>
    <row r="117" spans="3:3">
      <c r="C117" s="76"/>
    </row>
    <row r="118" spans="3:3">
      <c r="C118" s="76"/>
    </row>
    <row r="119" spans="3:3">
      <c r="C119" s="76"/>
    </row>
    <row r="120" spans="3:3">
      <c r="C120" s="76"/>
    </row>
    <row r="121" spans="3:3">
      <c r="C121" s="76"/>
    </row>
    <row r="122" spans="3:3">
      <c r="C122" s="76"/>
    </row>
    <row r="123" spans="3:3">
      <c r="C123" s="76"/>
    </row>
    <row r="124" spans="3:3">
      <c r="C124" s="76"/>
    </row>
    <row r="125" spans="3:3">
      <c r="C125" s="76"/>
    </row>
    <row r="126" spans="3:3">
      <c r="C126" s="76"/>
    </row>
    <row r="127" spans="3:3">
      <c r="C127" s="76"/>
    </row>
    <row r="128" spans="3:3">
      <c r="C128" s="76"/>
    </row>
    <row r="129" spans="3:3">
      <c r="C129" s="76"/>
    </row>
    <row r="130" spans="3:3">
      <c r="C130" s="76"/>
    </row>
    <row r="131" spans="3:3">
      <c r="C131" s="76"/>
    </row>
    <row r="132" spans="3:3">
      <c r="C132" s="76"/>
    </row>
    <row r="133" spans="3:3">
      <c r="C133" s="76"/>
    </row>
    <row r="134" spans="3:3">
      <c r="C134" s="76"/>
    </row>
    <row r="135" spans="3:3">
      <c r="C135" s="76"/>
    </row>
    <row r="136" spans="3:3">
      <c r="C136" s="76"/>
    </row>
    <row r="137" spans="3:3">
      <c r="C137" s="76"/>
    </row>
    <row r="138" spans="3:3">
      <c r="C138" s="76"/>
    </row>
    <row r="139" spans="3:3">
      <c r="C139" s="76"/>
    </row>
    <row r="140" spans="3:3">
      <c r="C140" s="76"/>
    </row>
    <row r="141" spans="3:3">
      <c r="C141" s="76"/>
    </row>
    <row r="142" spans="3:3">
      <c r="C142" s="76"/>
    </row>
    <row r="143" spans="3:3">
      <c r="C143" s="76"/>
    </row>
    <row r="144" spans="3:3">
      <c r="C144" s="76"/>
    </row>
    <row r="145" spans="3:3">
      <c r="C145" s="76"/>
    </row>
    <row r="146" spans="3:3">
      <c r="C146" s="76"/>
    </row>
    <row r="147" spans="3:3">
      <c r="C147" s="76"/>
    </row>
    <row r="148" spans="3:3">
      <c r="C148" s="76"/>
    </row>
    <row r="149" spans="3:3">
      <c r="C149" s="76"/>
    </row>
    <row r="150" spans="3:3">
      <c r="C150" s="76"/>
    </row>
    <row r="151" spans="3:3">
      <c r="C151" s="76"/>
    </row>
    <row r="152" spans="3:3">
      <c r="C152" s="76"/>
    </row>
    <row r="153" spans="3:3">
      <c r="C153" s="76"/>
    </row>
    <row r="154" spans="3:3">
      <c r="C154" s="76"/>
    </row>
    <row r="155" spans="3:3">
      <c r="C155" s="76"/>
    </row>
    <row r="156" spans="3:3">
      <c r="C156" s="76"/>
    </row>
    <row r="157" spans="3:3">
      <c r="C157" s="76"/>
    </row>
    <row r="158" spans="3:3">
      <c r="C158" s="76"/>
    </row>
    <row r="159" spans="3:3">
      <c r="C159" s="76"/>
    </row>
    <row r="160" spans="3:3">
      <c r="C160" s="76"/>
    </row>
    <row r="161" spans="3:3">
      <c r="C161" s="76"/>
    </row>
    <row r="162" spans="3:3">
      <c r="C162" s="76"/>
    </row>
    <row r="163" spans="3:3">
      <c r="C163" s="76"/>
    </row>
    <row r="164" spans="3:3">
      <c r="C164" s="76"/>
    </row>
    <row r="165" spans="3:3">
      <c r="C165" s="76"/>
    </row>
    <row r="166" spans="3:3">
      <c r="C166" s="76"/>
    </row>
    <row r="167" spans="3:3">
      <c r="C167" s="76"/>
    </row>
    <row r="168" spans="3:3">
      <c r="C168" s="76"/>
    </row>
    <row r="169" spans="3:3">
      <c r="C169" s="76"/>
    </row>
    <row r="170" spans="3:3">
      <c r="C170" s="76"/>
    </row>
    <row r="171" spans="3:3">
      <c r="C171" s="76"/>
    </row>
    <row r="172" spans="3:3">
      <c r="C172" s="76"/>
    </row>
    <row r="173" spans="3:3">
      <c r="C173" s="76"/>
    </row>
    <row r="174" spans="3:3">
      <c r="C174" s="76"/>
    </row>
    <row r="175" spans="3:3">
      <c r="C175" s="76"/>
    </row>
    <row r="176" spans="3:3">
      <c r="C176" s="76"/>
    </row>
    <row r="177" spans="3:3">
      <c r="C177" s="76"/>
    </row>
  </sheetData>
  <mergeCells count="2">
    <mergeCell ref="B2:G2"/>
    <mergeCell ref="J2:K2"/>
  </mergeCells>
  <phoneticPr fontId="10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99FF"/>
  </sheetPr>
  <dimension ref="A1:AS160"/>
  <sheetViews>
    <sheetView showGridLines="0" zoomScale="85" zoomScaleNormal="85" workbookViewId="0">
      <pane ySplit="2" topLeftCell="A35" activePane="bottomLeft" state="frozen"/>
      <selection activeCell="H66" sqref="H66"/>
      <selection pane="bottomLeft" activeCell="H66" sqref="H66"/>
    </sheetView>
  </sheetViews>
  <sheetFormatPr defaultColWidth="8.8984375" defaultRowHeight="13.8"/>
  <cols>
    <col min="1" max="1" width="3.59765625" style="2" customWidth="1"/>
    <col min="2" max="2" width="15.19921875" style="2" customWidth="1"/>
    <col min="3" max="3" width="19.3984375" style="2" bestFit="1" customWidth="1"/>
    <col min="4" max="4" width="16.09765625" style="2" customWidth="1"/>
    <col min="5" max="5" width="19.69921875" style="2" customWidth="1"/>
    <col min="6" max="6" width="15.19921875" style="2" customWidth="1"/>
    <col min="7" max="7" width="16.09765625" style="2" customWidth="1"/>
    <col min="8" max="8" width="1.69921875" style="20" customWidth="1"/>
    <col min="9" max="9" width="1" style="28" customWidth="1"/>
    <col min="10" max="10" width="1.69921875" style="2" customWidth="1"/>
    <col min="11" max="13" width="8.8984375" style="2"/>
    <col min="14" max="17" width="12.09765625" style="2" bestFit="1" customWidth="1"/>
    <col min="18" max="26" width="13.19921875" style="2" bestFit="1" customWidth="1"/>
    <col min="27" max="27" width="8.8984375" style="2"/>
    <col min="28" max="28" width="3.09765625" style="2" customWidth="1"/>
    <col min="29" max="31" width="8.8984375" style="2"/>
    <col min="32" max="44" width="12.09765625" style="2" bestFit="1" customWidth="1"/>
    <col min="45" max="45" width="10.3984375" style="2" bestFit="1" customWidth="1"/>
    <col min="46" max="16384" width="8.8984375" style="2"/>
  </cols>
  <sheetData>
    <row r="1" spans="2:45">
      <c r="H1" s="6"/>
      <c r="I1" s="26"/>
      <c r="K1" s="47" t="s">
        <v>163</v>
      </c>
      <c r="O1" s="119" t="e">
        <f>O3-N3</f>
        <v>#REF!</v>
      </c>
      <c r="P1" s="119" t="e">
        <f t="shared" ref="P1:Y1" si="0">P3-O3</f>
        <v>#REF!</v>
      </c>
      <c r="Q1" s="119" t="e">
        <f t="shared" si="0"/>
        <v>#REF!</v>
      </c>
      <c r="R1" s="119" t="e">
        <f t="shared" si="0"/>
        <v>#REF!</v>
      </c>
      <c r="S1" s="119" t="e">
        <f t="shared" si="0"/>
        <v>#REF!</v>
      </c>
      <c r="T1" s="119" t="e">
        <f t="shared" si="0"/>
        <v>#REF!</v>
      </c>
      <c r="U1" s="119" t="e">
        <f t="shared" si="0"/>
        <v>#REF!</v>
      </c>
      <c r="V1" s="119" t="e">
        <f t="shared" si="0"/>
        <v>#REF!</v>
      </c>
      <c r="W1" s="119" t="e">
        <f t="shared" si="0"/>
        <v>#REF!</v>
      </c>
      <c r="X1" s="119" t="e">
        <f>X3-W3</f>
        <v>#REF!</v>
      </c>
      <c r="Y1" s="119" t="e">
        <f t="shared" si="0"/>
        <v>#REF!</v>
      </c>
      <c r="Z1" s="119"/>
      <c r="AC1" s="47" t="s">
        <v>163</v>
      </c>
      <c r="AG1" s="119" t="e">
        <f>AG3-AF3</f>
        <v>#REF!</v>
      </c>
      <c r="AH1" s="119" t="e">
        <f t="shared" ref="AH1" si="1">AH3-AG3</f>
        <v>#REF!</v>
      </c>
      <c r="AI1" s="119" t="e">
        <f t="shared" ref="AI1" si="2">AI3-AH3</f>
        <v>#REF!</v>
      </c>
      <c r="AJ1" s="119" t="e">
        <f t="shared" ref="AJ1" si="3">AJ3-AI3</f>
        <v>#REF!</v>
      </c>
      <c r="AK1" s="119" t="e">
        <f t="shared" ref="AK1" si="4">AK3-AJ3</f>
        <v>#REF!</v>
      </c>
      <c r="AL1" s="119" t="e">
        <f t="shared" ref="AL1" si="5">AL3-AK3</f>
        <v>#REF!</v>
      </c>
      <c r="AM1" s="119" t="e">
        <f t="shared" ref="AM1" si="6">AM3-AL3</f>
        <v>#REF!</v>
      </c>
      <c r="AN1" s="119" t="e">
        <f t="shared" ref="AN1" si="7">AN3-AM3</f>
        <v>#REF!</v>
      </c>
      <c r="AO1" s="119" t="e">
        <f t="shared" ref="AO1" si="8">AO3-AN3</f>
        <v>#REF!</v>
      </c>
      <c r="AP1" s="119" t="e">
        <f>AP3-AO3</f>
        <v>#REF!</v>
      </c>
      <c r="AQ1" s="119" t="e">
        <f t="shared" ref="AQ1" si="9">AQ3-AP3</f>
        <v>#REF!</v>
      </c>
      <c r="AR1" s="119"/>
    </row>
    <row r="2" spans="2:45" ht="14.4">
      <c r="B2" s="107" t="s">
        <v>53</v>
      </c>
      <c r="C2" s="108"/>
      <c r="D2" s="109"/>
      <c r="E2" s="110"/>
      <c r="F2" s="108"/>
      <c r="G2" s="111">
        <f ca="1">TODAY()</f>
        <v>44556</v>
      </c>
      <c r="H2" s="19"/>
      <c r="I2" s="27"/>
      <c r="K2" s="116" t="s">
        <v>134</v>
      </c>
      <c r="L2" s="115"/>
      <c r="M2" s="115"/>
      <c r="N2" s="114" t="s">
        <v>136</v>
      </c>
      <c r="O2" s="114" t="s">
        <v>137</v>
      </c>
      <c r="P2" s="114" t="s">
        <v>138</v>
      </c>
      <c r="Q2" s="114" t="s">
        <v>139</v>
      </c>
      <c r="R2" s="114" t="s">
        <v>140</v>
      </c>
      <c r="S2" s="114" t="s">
        <v>141</v>
      </c>
      <c r="T2" s="114" t="s">
        <v>142</v>
      </c>
      <c r="U2" s="114" t="s">
        <v>143</v>
      </c>
      <c r="V2" s="114" t="s">
        <v>144</v>
      </c>
      <c r="W2" s="114" t="s">
        <v>145</v>
      </c>
      <c r="X2" s="114" t="s">
        <v>146</v>
      </c>
      <c r="Y2" s="114" t="s">
        <v>147</v>
      </c>
      <c r="Z2" s="114" t="s">
        <v>135</v>
      </c>
      <c r="AA2" s="114" t="s">
        <v>157</v>
      </c>
      <c r="AC2" s="169" t="s">
        <v>220</v>
      </c>
      <c r="AD2" s="115"/>
      <c r="AE2" s="115"/>
      <c r="AF2" s="114" t="s">
        <v>136</v>
      </c>
      <c r="AG2" s="114" t="s">
        <v>137</v>
      </c>
      <c r="AH2" s="114" t="s">
        <v>138</v>
      </c>
      <c r="AI2" s="114" t="s">
        <v>139</v>
      </c>
      <c r="AJ2" s="114" t="s">
        <v>140</v>
      </c>
      <c r="AK2" s="114" t="s">
        <v>141</v>
      </c>
      <c r="AL2" s="114" t="s">
        <v>142</v>
      </c>
      <c r="AM2" s="114" t="s">
        <v>143</v>
      </c>
      <c r="AN2" s="114" t="s">
        <v>144</v>
      </c>
      <c r="AO2" s="114" t="s">
        <v>145</v>
      </c>
      <c r="AP2" s="114" t="s">
        <v>146</v>
      </c>
      <c r="AQ2" s="114" t="s">
        <v>147</v>
      </c>
      <c r="AR2" s="114" t="s">
        <v>135</v>
      </c>
      <c r="AS2" s="114" t="s">
        <v>157</v>
      </c>
    </row>
    <row r="3" spans="2:45" ht="14.4" thickBot="1">
      <c r="B3" s="42" t="s">
        <v>6</v>
      </c>
      <c r="C3" s="43"/>
      <c r="D3" s="44" t="s">
        <v>1</v>
      </c>
      <c r="E3" s="43" t="s">
        <v>7</v>
      </c>
      <c r="F3" s="43"/>
      <c r="G3" s="45" t="s">
        <v>38</v>
      </c>
      <c r="H3" s="19"/>
      <c r="I3" s="27"/>
      <c r="K3" s="47" t="s">
        <v>162</v>
      </c>
      <c r="L3" s="47"/>
      <c r="M3" s="47"/>
      <c r="N3" s="160" t="e">
        <f>N4+N5+N7+N8+N10+N11+N13+N14+N16+N19+N21+N22+N24+N25+N26+N27</f>
        <v>#REF!</v>
      </c>
      <c r="O3" s="160" t="e">
        <f>N3+O4+O5+O8+O11+O14+O22+O24+O25+O26+O27+O17</f>
        <v>#REF!</v>
      </c>
      <c r="P3" s="160" t="e">
        <f t="shared" ref="P3" si="10">O3+P4+P5+P8+P11+P14+P22+P24+P25+P26+P27+P17</f>
        <v>#REF!</v>
      </c>
      <c r="Q3" s="160" t="e">
        <f t="shared" ref="Q3" si="11">P3+Q4+Q5+Q8+Q11+Q14+Q22+Q24+Q25+Q26+Q27+Q17</f>
        <v>#REF!</v>
      </c>
      <c r="R3" s="160" t="e">
        <f t="shared" ref="R3" si="12">Q3+R4+R5+R8+R11+R14+R22+R24+R25+R26+R27+R17</f>
        <v>#REF!</v>
      </c>
      <c r="S3" s="160" t="e">
        <f t="shared" ref="S3" si="13">R3+S4+S5+S8+S11+S14+S22+S24+S25+S26+S27+S17</f>
        <v>#REF!</v>
      </c>
      <c r="T3" s="160" t="e">
        <f t="shared" ref="T3" si="14">S3+T4+T5+T8+T11+T14+T22+T24+T25+T26+T27+T17</f>
        <v>#REF!</v>
      </c>
      <c r="U3" s="160" t="e">
        <f t="shared" ref="U3" si="15">T3+U4+U5+U8+U11+U14+U22+U24+U25+U26+U27+U17</f>
        <v>#REF!</v>
      </c>
      <c r="V3" s="160" t="e">
        <f t="shared" ref="V3" si="16">U3+V4+V5+V8+V11+V14+V22+V24+V25+V26+V27+V17</f>
        <v>#REF!</v>
      </c>
      <c r="W3" s="160" t="e">
        <f t="shared" ref="W3" si="17">V3+W4+W5+W8+W11+W14+W22+W24+W25+W26+W27+W17</f>
        <v>#REF!</v>
      </c>
      <c r="X3" s="160" t="e">
        <f t="shared" ref="X3" si="18">W3+X4+X5+X8+X11+X14+X22+X24+X25+X26+X27+X17</f>
        <v>#REF!</v>
      </c>
      <c r="Y3" s="161" t="e">
        <f t="shared" ref="Y3" si="19">X3+Y4+Y5+Y8+Y11+Y14+Y22+Y24+Y25+Y26+Y27+Y17</f>
        <v>#REF!</v>
      </c>
      <c r="Z3" s="113" t="e">
        <f>Z4+Z5+Z7+Z8+Z10+Z11+Z13+Z14+Z16+Z19+Z21+Z22+Z24+Z25+Z26+Z27</f>
        <v>#REF!</v>
      </c>
      <c r="AA3" s="47"/>
      <c r="AC3" s="47" t="s">
        <v>162</v>
      </c>
      <c r="AD3" s="47"/>
      <c r="AE3" s="47"/>
      <c r="AF3" s="117" t="e">
        <f t="shared" ref="AF3:AF27" si="20">N3-N33</f>
        <v>#REF!</v>
      </c>
      <c r="AG3" s="117" t="e">
        <f t="shared" ref="AG3:AG27" si="21">O3-O33</f>
        <v>#REF!</v>
      </c>
      <c r="AH3" s="117" t="e">
        <f t="shared" ref="AH3:AH27" si="22">P3-P33</f>
        <v>#REF!</v>
      </c>
      <c r="AI3" s="117" t="e">
        <f t="shared" ref="AI3:AI27" si="23">Q3-Q33</f>
        <v>#REF!</v>
      </c>
      <c r="AJ3" s="117" t="e">
        <f t="shared" ref="AJ3:AJ27" si="24">R3-R33</f>
        <v>#REF!</v>
      </c>
      <c r="AK3" s="117" t="e">
        <f t="shared" ref="AK3:AK27" si="25">S3-S33</f>
        <v>#REF!</v>
      </c>
      <c r="AL3" s="117" t="e">
        <f t="shared" ref="AL3:AL27" si="26">T3-T33</f>
        <v>#REF!</v>
      </c>
      <c r="AM3" s="117" t="e">
        <f t="shared" ref="AM3:AM27" si="27">U3-U33</f>
        <v>#REF!</v>
      </c>
      <c r="AN3" s="117" t="e">
        <f t="shared" ref="AN3:AN27" si="28">V3-V33</f>
        <v>#REF!</v>
      </c>
      <c r="AO3" s="117" t="e">
        <f t="shared" ref="AO3:AO27" si="29">W3-W33</f>
        <v>#REF!</v>
      </c>
      <c r="AP3" s="117" t="e">
        <f t="shared" ref="AP3:AP27" si="30">X3-X33</f>
        <v>#REF!</v>
      </c>
      <c r="AQ3" s="170" t="e">
        <f t="shared" ref="AQ3:AQ27" si="31">Y3-Y33</f>
        <v>#REF!</v>
      </c>
      <c r="AR3" s="118" t="e">
        <f t="shared" ref="AR3:AR27" si="32">Z3-Z33</f>
        <v>#REF!</v>
      </c>
      <c r="AS3" s="47">
        <f t="shared" ref="AS3:AS27" si="33">AA3-AA33</f>
        <v>0</v>
      </c>
    </row>
    <row r="4" spans="2:45" ht="15" thickTop="1">
      <c r="B4" s="10"/>
      <c r="C4" s="5"/>
      <c r="D4" s="5"/>
      <c r="E4" s="1"/>
      <c r="F4" s="5"/>
      <c r="G4" s="36"/>
      <c r="H4" s="6"/>
      <c r="I4" s="26"/>
      <c r="K4" s="2" t="s">
        <v>175</v>
      </c>
      <c r="N4" s="32" t="e">
        <f>#REF!</f>
        <v>#REF!</v>
      </c>
      <c r="O4" s="32" t="e">
        <f>#REF!</f>
        <v>#REF!</v>
      </c>
      <c r="P4" s="32" t="e">
        <f>#REF!</f>
        <v>#REF!</v>
      </c>
      <c r="Q4" s="32" t="e">
        <f>#REF!</f>
        <v>#REF!</v>
      </c>
      <c r="R4" s="32" t="e">
        <f>#REF!</f>
        <v>#REF!</v>
      </c>
      <c r="S4" s="32" t="e">
        <f>#REF!</f>
        <v>#REF!</v>
      </c>
      <c r="T4" s="32" t="e">
        <f>#REF!</f>
        <v>#REF!</v>
      </c>
      <c r="U4" s="32" t="e">
        <f>#REF!</f>
        <v>#REF!</v>
      </c>
      <c r="V4" s="32" t="e">
        <f>#REF!</f>
        <v>#REF!</v>
      </c>
      <c r="W4" s="32" t="e">
        <f>#REF!</f>
        <v>#REF!</v>
      </c>
      <c r="X4" s="32" t="e">
        <f>#REF!</f>
        <v>#REF!</v>
      </c>
      <c r="Y4" s="162" t="e">
        <f>#REF!</f>
        <v>#REF!</v>
      </c>
      <c r="Z4" s="113" t="e">
        <f>SUM(N4:Y4)</f>
        <v>#REF!</v>
      </c>
      <c r="AC4" s="2" t="s">
        <v>175</v>
      </c>
      <c r="AF4" s="171" t="e">
        <f t="shared" si="20"/>
        <v>#REF!</v>
      </c>
      <c r="AG4" s="171" t="e">
        <f t="shared" si="21"/>
        <v>#REF!</v>
      </c>
      <c r="AH4" s="171" t="e">
        <f t="shared" si="22"/>
        <v>#REF!</v>
      </c>
      <c r="AI4" s="171" t="e">
        <f t="shared" si="23"/>
        <v>#REF!</v>
      </c>
      <c r="AJ4" s="171" t="e">
        <f t="shared" si="24"/>
        <v>#REF!</v>
      </c>
      <c r="AK4" s="171" t="e">
        <f t="shared" si="25"/>
        <v>#REF!</v>
      </c>
      <c r="AL4" s="171" t="e">
        <f t="shared" si="26"/>
        <v>#REF!</v>
      </c>
      <c r="AM4" s="171" t="e">
        <f t="shared" si="27"/>
        <v>#REF!</v>
      </c>
      <c r="AN4" s="171" t="e">
        <f t="shared" si="28"/>
        <v>#REF!</v>
      </c>
      <c r="AO4" s="171" t="e">
        <f t="shared" si="29"/>
        <v>#REF!</v>
      </c>
      <c r="AP4" s="171" t="e">
        <f t="shared" si="30"/>
        <v>#REF!</v>
      </c>
      <c r="AQ4" s="172" t="e">
        <f t="shared" si="31"/>
        <v>#REF!</v>
      </c>
      <c r="AR4" s="118" t="e">
        <f t="shared" si="32"/>
        <v>#REF!</v>
      </c>
      <c r="AS4" s="2">
        <f t="shared" si="33"/>
        <v>0</v>
      </c>
    </row>
    <row r="5" spans="2:45" ht="14.4">
      <c r="B5" s="17" t="s">
        <v>17</v>
      </c>
      <c r="C5" s="5"/>
      <c r="D5" s="39">
        <f>SUM(D6:D10)</f>
        <v>41490830</v>
      </c>
      <c r="E5" s="18" t="s">
        <v>20</v>
      </c>
      <c r="F5" s="5"/>
      <c r="G5" s="37">
        <f>SUM(G6:G8)</f>
        <v>0</v>
      </c>
      <c r="H5" s="6"/>
      <c r="I5" s="26"/>
      <c r="K5" s="120" t="s">
        <v>176</v>
      </c>
      <c r="L5" s="120"/>
      <c r="M5" s="120"/>
      <c r="N5" s="126" t="e">
        <f>N4*$F$40/12</f>
        <v>#REF!</v>
      </c>
      <c r="O5" s="126" t="e">
        <f>(SUM(N4:O4))*$F$40/12</f>
        <v>#REF!</v>
      </c>
      <c r="P5" s="126" t="e">
        <f>(SUM(N4:P4))*$F$40/12</f>
        <v>#REF!</v>
      </c>
      <c r="Q5" s="126" t="e">
        <f>(SUM(N4:Q4))*$F$40/12</f>
        <v>#REF!</v>
      </c>
      <c r="R5" s="126" t="e">
        <f>(SUM(N4:R4))*$F$40/12</f>
        <v>#REF!</v>
      </c>
      <c r="S5" s="126" t="e">
        <f>(SUM(N4:S4))*$F$40/12</f>
        <v>#REF!</v>
      </c>
      <c r="T5" s="126" t="e">
        <f>(SUM(N4:T4))*$F$40/12</f>
        <v>#REF!</v>
      </c>
      <c r="U5" s="126" t="e">
        <f>(SUM(N4:U4))*$F$40/12</f>
        <v>#REF!</v>
      </c>
      <c r="V5" s="126" t="e">
        <f>(SUM(N4:V4))*$F$40/12</f>
        <v>#REF!</v>
      </c>
      <c r="W5" s="126" t="e">
        <f>(SUM(N4:W4))*$F$40/12</f>
        <v>#REF!</v>
      </c>
      <c r="X5" s="126" t="e">
        <f>(SUM(N4:X4))*$F$40/12</f>
        <v>#REF!</v>
      </c>
      <c r="Y5" s="163" t="e">
        <f>(SUM(N4:Y4))*$F$40/12</f>
        <v>#REF!</v>
      </c>
      <c r="Z5" s="121" t="e">
        <f>SUM(N5:Y5)</f>
        <v>#REF!</v>
      </c>
      <c r="AA5" s="122" t="e">
        <f>Z5/Z4</f>
        <v>#REF!</v>
      </c>
      <c r="AC5" s="120" t="s">
        <v>176</v>
      </c>
      <c r="AD5" s="120"/>
      <c r="AE5" s="120"/>
      <c r="AF5" s="173" t="e">
        <f t="shared" si="20"/>
        <v>#REF!</v>
      </c>
      <c r="AG5" s="173" t="e">
        <f t="shared" si="21"/>
        <v>#REF!</v>
      </c>
      <c r="AH5" s="173" t="e">
        <f t="shared" si="22"/>
        <v>#REF!</v>
      </c>
      <c r="AI5" s="173" t="e">
        <f t="shared" si="23"/>
        <v>#REF!</v>
      </c>
      <c r="AJ5" s="173" t="e">
        <f t="shared" si="24"/>
        <v>#REF!</v>
      </c>
      <c r="AK5" s="173" t="e">
        <f t="shared" si="25"/>
        <v>#REF!</v>
      </c>
      <c r="AL5" s="173" t="e">
        <f t="shared" si="26"/>
        <v>#REF!</v>
      </c>
      <c r="AM5" s="173" t="e">
        <f t="shared" si="27"/>
        <v>#REF!</v>
      </c>
      <c r="AN5" s="173" t="e">
        <f t="shared" si="28"/>
        <v>#REF!</v>
      </c>
      <c r="AO5" s="173" t="e">
        <f t="shared" si="29"/>
        <v>#REF!</v>
      </c>
      <c r="AP5" s="173" t="e">
        <f t="shared" si="30"/>
        <v>#REF!</v>
      </c>
      <c r="AQ5" s="174" t="e">
        <f t="shared" si="31"/>
        <v>#REF!</v>
      </c>
      <c r="AR5" s="123" t="e">
        <f t="shared" si="32"/>
        <v>#REF!</v>
      </c>
      <c r="AS5" s="122" t="e">
        <f t="shared" si="33"/>
        <v>#REF!</v>
      </c>
    </row>
    <row r="6" spans="2:45">
      <c r="B6" s="13" t="s">
        <v>37</v>
      </c>
      <c r="C6" s="5"/>
      <c r="D6" s="40">
        <v>14000000</v>
      </c>
      <c r="E6" s="5"/>
      <c r="F6" s="5"/>
      <c r="G6" s="9"/>
      <c r="H6" s="6"/>
      <c r="I6" s="26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162"/>
      <c r="Z6" s="117"/>
      <c r="AA6" s="54"/>
      <c r="AF6" s="171">
        <f t="shared" si="20"/>
        <v>0</v>
      </c>
      <c r="AG6" s="171">
        <f t="shared" si="21"/>
        <v>0</v>
      </c>
      <c r="AH6" s="171">
        <f t="shared" si="22"/>
        <v>0</v>
      </c>
      <c r="AI6" s="171">
        <f t="shared" si="23"/>
        <v>0</v>
      </c>
      <c r="AJ6" s="171">
        <f t="shared" si="24"/>
        <v>0</v>
      </c>
      <c r="AK6" s="171">
        <f t="shared" si="25"/>
        <v>0</v>
      </c>
      <c r="AL6" s="171">
        <f t="shared" si="26"/>
        <v>0</v>
      </c>
      <c r="AM6" s="171">
        <f t="shared" si="27"/>
        <v>0</v>
      </c>
      <c r="AN6" s="171">
        <f t="shared" si="28"/>
        <v>0</v>
      </c>
      <c r="AO6" s="171">
        <f t="shared" si="29"/>
        <v>0</v>
      </c>
      <c r="AP6" s="171">
        <f t="shared" si="30"/>
        <v>0</v>
      </c>
      <c r="AQ6" s="172">
        <f t="shared" si="31"/>
        <v>0</v>
      </c>
      <c r="AR6" s="117">
        <f t="shared" si="32"/>
        <v>0</v>
      </c>
      <c r="AS6" s="54">
        <f t="shared" si="33"/>
        <v>0</v>
      </c>
    </row>
    <row r="7" spans="2:45" ht="14.4">
      <c r="B7" s="13" t="s">
        <v>56</v>
      </c>
      <c r="C7" s="5"/>
      <c r="D7" s="40">
        <v>6855830</v>
      </c>
      <c r="E7" s="5"/>
      <c r="F7" s="5"/>
      <c r="G7" s="9"/>
      <c r="H7" s="6"/>
      <c r="I7" s="26"/>
      <c r="K7" s="2" t="s">
        <v>164</v>
      </c>
      <c r="N7" s="32">
        <f>$D$14</f>
        <v>4659000</v>
      </c>
      <c r="O7" s="32">
        <f t="shared" ref="O7:Y7" si="34">$N$7</f>
        <v>4659000</v>
      </c>
      <c r="P7" s="32">
        <f t="shared" si="34"/>
        <v>4659000</v>
      </c>
      <c r="Q7" s="32">
        <f t="shared" si="34"/>
        <v>4659000</v>
      </c>
      <c r="R7" s="32">
        <f t="shared" si="34"/>
        <v>4659000</v>
      </c>
      <c r="S7" s="32">
        <f t="shared" si="34"/>
        <v>4659000</v>
      </c>
      <c r="T7" s="32">
        <f t="shared" si="34"/>
        <v>4659000</v>
      </c>
      <c r="U7" s="32">
        <f t="shared" si="34"/>
        <v>4659000</v>
      </c>
      <c r="V7" s="32">
        <f t="shared" si="34"/>
        <v>4659000</v>
      </c>
      <c r="W7" s="32">
        <f t="shared" si="34"/>
        <v>4659000</v>
      </c>
      <c r="X7" s="32">
        <f t="shared" si="34"/>
        <v>4659000</v>
      </c>
      <c r="Y7" s="162">
        <f t="shared" si="34"/>
        <v>4659000</v>
      </c>
      <c r="Z7" s="117">
        <f>Y7</f>
        <v>4659000</v>
      </c>
      <c r="AA7" s="54"/>
      <c r="AC7" s="2" t="s">
        <v>164</v>
      </c>
      <c r="AF7" s="171">
        <f t="shared" si="20"/>
        <v>0</v>
      </c>
      <c r="AG7" s="171">
        <f t="shared" si="21"/>
        <v>0</v>
      </c>
      <c r="AH7" s="171">
        <f t="shared" si="22"/>
        <v>0</v>
      </c>
      <c r="AI7" s="171">
        <f t="shared" si="23"/>
        <v>0</v>
      </c>
      <c r="AJ7" s="171">
        <f t="shared" si="24"/>
        <v>0</v>
      </c>
      <c r="AK7" s="171">
        <f t="shared" si="25"/>
        <v>0</v>
      </c>
      <c r="AL7" s="171">
        <f t="shared" si="26"/>
        <v>0</v>
      </c>
      <c r="AM7" s="171">
        <f t="shared" si="27"/>
        <v>0</v>
      </c>
      <c r="AN7" s="171">
        <f t="shared" si="28"/>
        <v>0</v>
      </c>
      <c r="AO7" s="171">
        <f t="shared" si="29"/>
        <v>0</v>
      </c>
      <c r="AP7" s="171">
        <f t="shared" si="30"/>
        <v>0</v>
      </c>
      <c r="AQ7" s="172">
        <f t="shared" si="31"/>
        <v>0</v>
      </c>
      <c r="AR7" s="117">
        <f t="shared" si="32"/>
        <v>0</v>
      </c>
      <c r="AS7" s="54">
        <f t="shared" si="33"/>
        <v>0</v>
      </c>
    </row>
    <row r="8" spans="2:45" ht="14.4">
      <c r="B8" s="13" t="s">
        <v>148</v>
      </c>
      <c r="C8" s="5"/>
      <c r="D8" s="46">
        <v>0</v>
      </c>
      <c r="E8" s="5"/>
      <c r="F8" s="5"/>
      <c r="G8" s="9"/>
      <c r="H8" s="6"/>
      <c r="I8" s="26"/>
      <c r="K8" s="120" t="s">
        <v>165</v>
      </c>
      <c r="L8" s="120"/>
      <c r="M8" s="120"/>
      <c r="N8" s="126">
        <v>0</v>
      </c>
      <c r="O8" s="126">
        <v>0</v>
      </c>
      <c r="P8" s="126">
        <v>0</v>
      </c>
      <c r="Q8" s="126">
        <v>0</v>
      </c>
      <c r="R8" s="126">
        <f>N7*F43/2</f>
        <v>41931</v>
      </c>
      <c r="S8" s="126">
        <v>0</v>
      </c>
      <c r="T8" s="126">
        <v>0</v>
      </c>
      <c r="U8" s="126">
        <v>0</v>
      </c>
      <c r="V8" s="126">
        <v>0</v>
      </c>
      <c r="W8" s="126">
        <v>0</v>
      </c>
      <c r="X8" s="126">
        <v>0</v>
      </c>
      <c r="Y8" s="163">
        <f>(N7+R8)*F43/2</f>
        <v>42308.378999999994</v>
      </c>
      <c r="Z8" s="123">
        <f>SUM(N8:Y8)</f>
        <v>84239.378999999986</v>
      </c>
      <c r="AA8" s="122">
        <f>Z8/Z7</f>
        <v>1.8080999999999996E-2</v>
      </c>
      <c r="AC8" s="120" t="s">
        <v>165</v>
      </c>
      <c r="AD8" s="120"/>
      <c r="AE8" s="120"/>
      <c r="AF8" s="173">
        <f t="shared" si="20"/>
        <v>0</v>
      </c>
      <c r="AG8" s="173">
        <f t="shared" si="21"/>
        <v>0</v>
      </c>
      <c r="AH8" s="173">
        <f t="shared" si="22"/>
        <v>0</v>
      </c>
      <c r="AI8" s="173">
        <f t="shared" si="23"/>
        <v>0</v>
      </c>
      <c r="AJ8" s="173">
        <f t="shared" si="24"/>
        <v>0</v>
      </c>
      <c r="AK8" s="173">
        <f t="shared" si="25"/>
        <v>0</v>
      </c>
      <c r="AL8" s="173">
        <f t="shared" si="26"/>
        <v>0</v>
      </c>
      <c r="AM8" s="173">
        <f t="shared" si="27"/>
        <v>0</v>
      </c>
      <c r="AN8" s="173">
        <f t="shared" si="28"/>
        <v>0</v>
      </c>
      <c r="AO8" s="173">
        <f t="shared" si="29"/>
        <v>0</v>
      </c>
      <c r="AP8" s="173">
        <f t="shared" si="30"/>
        <v>0</v>
      </c>
      <c r="AQ8" s="174">
        <f t="shared" si="31"/>
        <v>0</v>
      </c>
      <c r="AR8" s="123">
        <f t="shared" si="32"/>
        <v>0</v>
      </c>
      <c r="AS8" s="122">
        <f t="shared" si="33"/>
        <v>0</v>
      </c>
    </row>
    <row r="9" spans="2:45">
      <c r="B9" s="13" t="s">
        <v>87</v>
      </c>
      <c r="C9" s="5"/>
      <c r="D9" s="46">
        <v>3671000</v>
      </c>
      <c r="E9" s="5"/>
      <c r="F9" s="5"/>
      <c r="G9" s="9"/>
      <c r="H9" s="6"/>
      <c r="I9" s="2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162"/>
      <c r="Z9" s="117"/>
      <c r="AA9" s="54"/>
      <c r="AF9" s="171">
        <f t="shared" si="20"/>
        <v>0</v>
      </c>
      <c r="AG9" s="171">
        <f t="shared" si="21"/>
        <v>0</v>
      </c>
      <c r="AH9" s="171">
        <f t="shared" si="22"/>
        <v>0</v>
      </c>
      <c r="AI9" s="171">
        <f t="shared" si="23"/>
        <v>0</v>
      </c>
      <c r="AJ9" s="171">
        <f t="shared" si="24"/>
        <v>0</v>
      </c>
      <c r="AK9" s="171">
        <f t="shared" si="25"/>
        <v>0</v>
      </c>
      <c r="AL9" s="171">
        <f t="shared" si="26"/>
        <v>0</v>
      </c>
      <c r="AM9" s="171">
        <f t="shared" si="27"/>
        <v>0</v>
      </c>
      <c r="AN9" s="171">
        <f t="shared" si="28"/>
        <v>0</v>
      </c>
      <c r="AO9" s="171">
        <f t="shared" si="29"/>
        <v>0</v>
      </c>
      <c r="AP9" s="171">
        <f t="shared" si="30"/>
        <v>0</v>
      </c>
      <c r="AQ9" s="172">
        <f t="shared" si="31"/>
        <v>0</v>
      </c>
      <c r="AR9" s="117">
        <f t="shared" si="32"/>
        <v>0</v>
      </c>
      <c r="AS9" s="54">
        <f t="shared" si="33"/>
        <v>0</v>
      </c>
    </row>
    <row r="10" spans="2:45" ht="14.4">
      <c r="B10" s="13" t="s">
        <v>191</v>
      </c>
      <c r="C10" s="5"/>
      <c r="D10" s="40">
        <v>16964000</v>
      </c>
      <c r="E10" s="5"/>
      <c r="F10" s="5"/>
      <c r="G10" s="9"/>
      <c r="K10" s="2" t="s">
        <v>166</v>
      </c>
      <c r="N10" s="32">
        <f>D9</f>
        <v>3671000</v>
      </c>
      <c r="O10" s="32">
        <f>N10</f>
        <v>3671000</v>
      </c>
      <c r="P10" s="32">
        <f t="shared" ref="P10:Y10" si="35">O10</f>
        <v>3671000</v>
      </c>
      <c r="Q10" s="32">
        <f t="shared" si="35"/>
        <v>3671000</v>
      </c>
      <c r="R10" s="32">
        <f t="shared" si="35"/>
        <v>3671000</v>
      </c>
      <c r="S10" s="32">
        <f t="shared" si="35"/>
        <v>3671000</v>
      </c>
      <c r="T10" s="32">
        <f t="shared" si="35"/>
        <v>3671000</v>
      </c>
      <c r="U10" s="32">
        <f t="shared" si="35"/>
        <v>3671000</v>
      </c>
      <c r="V10" s="32">
        <f t="shared" si="35"/>
        <v>3671000</v>
      </c>
      <c r="W10" s="32">
        <f t="shared" si="35"/>
        <v>3671000</v>
      </c>
      <c r="X10" s="32">
        <f t="shared" si="35"/>
        <v>3671000</v>
      </c>
      <c r="Y10" s="162">
        <f t="shared" si="35"/>
        <v>3671000</v>
      </c>
      <c r="Z10" s="117">
        <f>Y10</f>
        <v>3671000</v>
      </c>
      <c r="AA10" s="54"/>
      <c r="AC10" s="2" t="s">
        <v>166</v>
      </c>
      <c r="AF10" s="171">
        <f t="shared" si="20"/>
        <v>0</v>
      </c>
      <c r="AG10" s="171">
        <f t="shared" si="21"/>
        <v>0</v>
      </c>
      <c r="AH10" s="171">
        <f t="shared" si="22"/>
        <v>0</v>
      </c>
      <c r="AI10" s="171">
        <f t="shared" si="23"/>
        <v>0</v>
      </c>
      <c r="AJ10" s="171">
        <f t="shared" si="24"/>
        <v>0</v>
      </c>
      <c r="AK10" s="171">
        <f t="shared" si="25"/>
        <v>0</v>
      </c>
      <c r="AL10" s="171">
        <f t="shared" si="26"/>
        <v>0</v>
      </c>
      <c r="AM10" s="171">
        <f t="shared" si="27"/>
        <v>0</v>
      </c>
      <c r="AN10" s="171">
        <f t="shared" si="28"/>
        <v>0</v>
      </c>
      <c r="AO10" s="171">
        <f t="shared" si="29"/>
        <v>0</v>
      </c>
      <c r="AP10" s="171">
        <f t="shared" si="30"/>
        <v>0</v>
      </c>
      <c r="AQ10" s="172">
        <f t="shared" si="31"/>
        <v>0</v>
      </c>
      <c r="AR10" s="117">
        <f t="shared" si="32"/>
        <v>0</v>
      </c>
      <c r="AS10" s="54">
        <f t="shared" si="33"/>
        <v>0</v>
      </c>
    </row>
    <row r="11" spans="2:45" ht="14.4">
      <c r="B11" s="13"/>
      <c r="C11" s="5"/>
      <c r="D11" s="40"/>
      <c r="E11" s="5"/>
      <c r="F11" s="5"/>
      <c r="G11" s="9"/>
      <c r="H11" s="6"/>
      <c r="I11" s="26"/>
      <c r="K11" s="120" t="s">
        <v>167</v>
      </c>
      <c r="L11" s="120"/>
      <c r="M11" s="120"/>
      <c r="N11" s="126">
        <v>0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6">
        <v>0</v>
      </c>
      <c r="U11" s="126">
        <v>0</v>
      </c>
      <c r="V11" s="126">
        <v>0</v>
      </c>
      <c r="W11" s="126">
        <v>0</v>
      </c>
      <c r="X11" s="126">
        <v>0</v>
      </c>
      <c r="Y11" s="163">
        <f>N10*F44</f>
        <v>91775</v>
      </c>
      <c r="Z11" s="123">
        <f>SUM(N11:Y11)</f>
        <v>91775</v>
      </c>
      <c r="AA11" s="122">
        <f>Z11/Z10</f>
        <v>2.5000000000000001E-2</v>
      </c>
      <c r="AC11" s="120" t="s">
        <v>167</v>
      </c>
      <c r="AD11" s="120"/>
      <c r="AE11" s="120"/>
      <c r="AF11" s="173">
        <f t="shared" si="20"/>
        <v>0</v>
      </c>
      <c r="AG11" s="173">
        <f t="shared" si="21"/>
        <v>0</v>
      </c>
      <c r="AH11" s="173">
        <f t="shared" si="22"/>
        <v>0</v>
      </c>
      <c r="AI11" s="173">
        <f t="shared" si="23"/>
        <v>0</v>
      </c>
      <c r="AJ11" s="173">
        <f t="shared" si="24"/>
        <v>0</v>
      </c>
      <c r="AK11" s="173">
        <f t="shared" si="25"/>
        <v>0</v>
      </c>
      <c r="AL11" s="173">
        <f t="shared" si="26"/>
        <v>0</v>
      </c>
      <c r="AM11" s="173">
        <f t="shared" si="27"/>
        <v>0</v>
      </c>
      <c r="AN11" s="173">
        <f t="shared" si="28"/>
        <v>0</v>
      </c>
      <c r="AO11" s="173">
        <f t="shared" si="29"/>
        <v>0</v>
      </c>
      <c r="AP11" s="173">
        <f t="shared" si="30"/>
        <v>0</v>
      </c>
      <c r="AQ11" s="174">
        <f t="shared" si="31"/>
        <v>0</v>
      </c>
      <c r="AR11" s="123">
        <f t="shared" si="32"/>
        <v>0</v>
      </c>
      <c r="AS11" s="122">
        <f t="shared" si="33"/>
        <v>0</v>
      </c>
    </row>
    <row r="12" spans="2:45">
      <c r="B12" s="17" t="s">
        <v>18</v>
      </c>
      <c r="C12" s="5"/>
      <c r="D12" s="41">
        <f>SUM(D13:D19)</f>
        <v>52307250</v>
      </c>
      <c r="E12" s="11" t="s">
        <v>19</v>
      </c>
      <c r="F12" s="5"/>
      <c r="G12" s="38">
        <f>SUM(G13:G19)</f>
        <v>1125626</v>
      </c>
      <c r="H12" s="6"/>
      <c r="I12" s="26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162"/>
      <c r="Z12" s="117"/>
      <c r="AA12" s="54"/>
      <c r="AF12" s="171">
        <f t="shared" si="20"/>
        <v>0</v>
      </c>
      <c r="AG12" s="171">
        <f t="shared" si="21"/>
        <v>0</v>
      </c>
      <c r="AH12" s="171">
        <f t="shared" si="22"/>
        <v>0</v>
      </c>
      <c r="AI12" s="171">
        <f t="shared" si="23"/>
        <v>0</v>
      </c>
      <c r="AJ12" s="171">
        <f t="shared" si="24"/>
        <v>0</v>
      </c>
      <c r="AK12" s="171">
        <f t="shared" si="25"/>
        <v>0</v>
      </c>
      <c r="AL12" s="171">
        <f t="shared" si="26"/>
        <v>0</v>
      </c>
      <c r="AM12" s="171">
        <f t="shared" si="27"/>
        <v>0</v>
      </c>
      <c r="AN12" s="171">
        <f t="shared" si="28"/>
        <v>0</v>
      </c>
      <c r="AO12" s="171">
        <f t="shared" si="29"/>
        <v>0</v>
      </c>
      <c r="AP12" s="171">
        <f t="shared" si="30"/>
        <v>0</v>
      </c>
      <c r="AQ12" s="172">
        <f t="shared" si="31"/>
        <v>0</v>
      </c>
      <c r="AR12" s="117">
        <f t="shared" si="32"/>
        <v>0</v>
      </c>
      <c r="AS12" s="54">
        <f t="shared" si="33"/>
        <v>0</v>
      </c>
    </row>
    <row r="13" spans="2:45" ht="14.4">
      <c r="B13" s="13" t="s">
        <v>39</v>
      </c>
      <c r="C13" s="5"/>
      <c r="D13" s="40">
        <v>47000000</v>
      </c>
      <c r="E13" s="5" t="s">
        <v>40</v>
      </c>
      <c r="F13" s="5"/>
      <c r="G13" s="49">
        <v>1125626</v>
      </c>
      <c r="H13" s="6"/>
      <c r="I13" s="26"/>
      <c r="K13" s="2" t="s">
        <v>168</v>
      </c>
      <c r="N13" s="32">
        <f>D14</f>
        <v>4659000</v>
      </c>
      <c r="O13" s="32">
        <f>N13+N14</f>
        <v>4663659</v>
      </c>
      <c r="P13" s="32">
        <f t="shared" ref="P13:Y13" si="36">O13+O14</f>
        <v>4668322.659</v>
      </c>
      <c r="Q13" s="32">
        <f t="shared" si="36"/>
        <v>4672990.9816589998</v>
      </c>
      <c r="R13" s="32">
        <f t="shared" si="36"/>
        <v>4677663.9726406587</v>
      </c>
      <c r="S13" s="32">
        <f t="shared" si="36"/>
        <v>4682341.6366132991</v>
      </c>
      <c r="T13" s="32">
        <f t="shared" si="36"/>
        <v>4687023.9782499122</v>
      </c>
      <c r="U13" s="32">
        <f t="shared" si="36"/>
        <v>4691711.0022281623</v>
      </c>
      <c r="V13" s="32">
        <f t="shared" si="36"/>
        <v>4696402.7132303901</v>
      </c>
      <c r="W13" s="32">
        <f t="shared" si="36"/>
        <v>4701099.1159436209</v>
      </c>
      <c r="X13" s="32">
        <f t="shared" si="36"/>
        <v>4705800.2150595644</v>
      </c>
      <c r="Y13" s="162">
        <f t="shared" si="36"/>
        <v>4710506.0152746243</v>
      </c>
      <c r="Z13" s="117">
        <f>Y13</f>
        <v>4710506.0152746243</v>
      </c>
      <c r="AA13" s="54"/>
      <c r="AC13" s="2" t="s">
        <v>168</v>
      </c>
      <c r="AF13" s="171">
        <f t="shared" si="20"/>
        <v>1659000</v>
      </c>
      <c r="AG13" s="171">
        <f t="shared" si="21"/>
        <v>1660659</v>
      </c>
      <c r="AH13" s="171">
        <f t="shared" si="22"/>
        <v>1662319.659</v>
      </c>
      <c r="AI13" s="171">
        <f t="shared" si="23"/>
        <v>1663981.9786589998</v>
      </c>
      <c r="AJ13" s="171">
        <f t="shared" si="24"/>
        <v>1665645.9606376588</v>
      </c>
      <c r="AK13" s="171">
        <f t="shared" si="25"/>
        <v>1667311.6065982962</v>
      </c>
      <c r="AL13" s="171">
        <f t="shared" si="26"/>
        <v>1668978.9182048943</v>
      </c>
      <c r="AM13" s="171">
        <f t="shared" si="27"/>
        <v>1670647.8971230993</v>
      </c>
      <c r="AN13" s="171">
        <f t="shared" si="28"/>
        <v>1672318.5450202222</v>
      </c>
      <c r="AO13" s="171">
        <f t="shared" si="29"/>
        <v>1673990.8635652428</v>
      </c>
      <c r="AP13" s="171">
        <f t="shared" si="30"/>
        <v>1675664.8544288082</v>
      </c>
      <c r="AQ13" s="172">
        <f t="shared" si="31"/>
        <v>1677340.5192832374</v>
      </c>
      <c r="AR13" s="117">
        <f t="shared" si="32"/>
        <v>1677340.5192832374</v>
      </c>
      <c r="AS13" s="54">
        <f t="shared" si="33"/>
        <v>0</v>
      </c>
    </row>
    <row r="14" spans="2:45" ht="14.4">
      <c r="B14" s="13" t="s">
        <v>190</v>
      </c>
      <c r="C14" s="5"/>
      <c r="D14" s="46">
        <v>4659000</v>
      </c>
      <c r="E14" s="5" t="s">
        <v>52</v>
      </c>
      <c r="F14" s="5"/>
      <c r="G14" s="49">
        <v>0</v>
      </c>
      <c r="K14" s="120" t="s">
        <v>169</v>
      </c>
      <c r="L14" s="120"/>
      <c r="M14" s="120"/>
      <c r="N14" s="126">
        <f t="shared" ref="N14:Y14" si="37">N13*$F$42/12</f>
        <v>4659</v>
      </c>
      <c r="O14" s="126">
        <f t="shared" si="37"/>
        <v>4663.6590000000006</v>
      </c>
      <c r="P14" s="126">
        <f t="shared" si="37"/>
        <v>4668.3226590000004</v>
      </c>
      <c r="Q14" s="126">
        <f t="shared" si="37"/>
        <v>4672.9909816589998</v>
      </c>
      <c r="R14" s="126">
        <f t="shared" si="37"/>
        <v>4677.6639726406584</v>
      </c>
      <c r="S14" s="126">
        <f t="shared" si="37"/>
        <v>4682.3416366132997</v>
      </c>
      <c r="T14" s="126">
        <f t="shared" si="37"/>
        <v>4687.023978249912</v>
      </c>
      <c r="U14" s="126">
        <f t="shared" si="37"/>
        <v>4691.7110022281622</v>
      </c>
      <c r="V14" s="126">
        <f t="shared" si="37"/>
        <v>4696.40271323039</v>
      </c>
      <c r="W14" s="126">
        <f t="shared" si="37"/>
        <v>4701.0991159436207</v>
      </c>
      <c r="X14" s="126">
        <f t="shared" si="37"/>
        <v>4705.8002150595648</v>
      </c>
      <c r="Y14" s="163">
        <f t="shared" si="37"/>
        <v>4710.5060152746246</v>
      </c>
      <c r="Z14" s="123">
        <f>SUM(N14:Y14)</f>
        <v>56216.521289899232</v>
      </c>
      <c r="AA14" s="122">
        <f>Z14/Z13</f>
        <v>1.1934285001995011E-2</v>
      </c>
      <c r="AC14" s="120" t="s">
        <v>169</v>
      </c>
      <c r="AD14" s="120"/>
      <c r="AE14" s="120"/>
      <c r="AF14" s="173">
        <f t="shared" si="20"/>
        <v>1659</v>
      </c>
      <c r="AG14" s="173">
        <f t="shared" si="21"/>
        <v>1660.6590000000006</v>
      </c>
      <c r="AH14" s="173">
        <f t="shared" si="22"/>
        <v>1662.3196590000002</v>
      </c>
      <c r="AI14" s="173">
        <f t="shared" si="23"/>
        <v>1663.9819786590001</v>
      </c>
      <c r="AJ14" s="173">
        <f t="shared" si="24"/>
        <v>1665.6459606376584</v>
      </c>
      <c r="AK14" s="173">
        <f t="shared" si="25"/>
        <v>1667.3116065982967</v>
      </c>
      <c r="AL14" s="173">
        <f t="shared" si="26"/>
        <v>1668.9789182048939</v>
      </c>
      <c r="AM14" s="173">
        <f t="shared" si="27"/>
        <v>1670.6478971230995</v>
      </c>
      <c r="AN14" s="173">
        <f t="shared" si="28"/>
        <v>1672.3185450202222</v>
      </c>
      <c r="AO14" s="173">
        <f t="shared" si="29"/>
        <v>1673.9908635652423</v>
      </c>
      <c r="AP14" s="173">
        <f t="shared" si="30"/>
        <v>1675.6648544288087</v>
      </c>
      <c r="AQ14" s="174">
        <f t="shared" si="31"/>
        <v>1677.3405192832379</v>
      </c>
      <c r="AR14" s="123">
        <f t="shared" si="32"/>
        <v>20017.859802520463</v>
      </c>
      <c r="AS14" s="122">
        <f t="shared" si="33"/>
        <v>0</v>
      </c>
    </row>
    <row r="15" spans="2:45">
      <c r="B15" s="12" t="s">
        <v>51</v>
      </c>
      <c r="C15" s="5"/>
      <c r="D15" s="40">
        <f>1250*141</f>
        <v>176250</v>
      </c>
      <c r="E15" s="33"/>
      <c r="F15" s="40"/>
      <c r="G15" s="34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162"/>
      <c r="Z15" s="117"/>
      <c r="AA15" s="54"/>
      <c r="AF15" s="171">
        <f t="shared" si="20"/>
        <v>0</v>
      </c>
      <c r="AG15" s="171">
        <f t="shared" si="21"/>
        <v>0</v>
      </c>
      <c r="AH15" s="171">
        <f t="shared" si="22"/>
        <v>0</v>
      </c>
      <c r="AI15" s="171">
        <f t="shared" si="23"/>
        <v>0</v>
      </c>
      <c r="AJ15" s="171">
        <f t="shared" si="24"/>
        <v>0</v>
      </c>
      <c r="AK15" s="171">
        <f t="shared" si="25"/>
        <v>0</v>
      </c>
      <c r="AL15" s="171">
        <f t="shared" si="26"/>
        <v>0</v>
      </c>
      <c r="AM15" s="171">
        <f t="shared" si="27"/>
        <v>0</v>
      </c>
      <c r="AN15" s="171">
        <f t="shared" si="28"/>
        <v>0</v>
      </c>
      <c r="AO15" s="171">
        <f t="shared" si="29"/>
        <v>0</v>
      </c>
      <c r="AP15" s="171">
        <f t="shared" si="30"/>
        <v>0</v>
      </c>
      <c r="AQ15" s="172">
        <f t="shared" si="31"/>
        <v>0</v>
      </c>
      <c r="AR15" s="117">
        <f t="shared" si="32"/>
        <v>0</v>
      </c>
      <c r="AS15" s="54">
        <f t="shared" si="33"/>
        <v>0</v>
      </c>
    </row>
    <row r="16" spans="2:45" ht="14.4">
      <c r="B16" s="13" t="s">
        <v>33</v>
      </c>
      <c r="C16" s="5"/>
      <c r="D16" s="40">
        <v>0</v>
      </c>
      <c r="E16" s="33"/>
      <c r="F16" s="5"/>
      <c r="G16" s="34"/>
      <c r="K16" s="2" t="s">
        <v>170</v>
      </c>
      <c r="N16" s="32">
        <f>D13</f>
        <v>47000000</v>
      </c>
      <c r="O16" s="32">
        <f t="shared" ref="O16:Y16" si="38">N16+N17</f>
        <v>47000000</v>
      </c>
      <c r="P16" s="32">
        <f t="shared" si="38"/>
        <v>62102102.102102101</v>
      </c>
      <c r="Q16" s="32">
        <f t="shared" si="38"/>
        <v>62102102.102102101</v>
      </c>
      <c r="R16" s="32">
        <f t="shared" si="38"/>
        <v>62102102.102102101</v>
      </c>
      <c r="S16" s="32">
        <f t="shared" si="38"/>
        <v>97589017.589017585</v>
      </c>
      <c r="T16" s="32">
        <f t="shared" si="38"/>
        <v>122240940.61254811</v>
      </c>
      <c r="U16" s="32">
        <f t="shared" si="38"/>
        <v>122240940.61254811</v>
      </c>
      <c r="V16" s="32">
        <f t="shared" si="38"/>
        <v>122240940.61254811</v>
      </c>
      <c r="W16" s="32">
        <f t="shared" si="38"/>
        <v>122240940.61254811</v>
      </c>
      <c r="X16" s="32">
        <f t="shared" si="38"/>
        <v>122240940.61254811</v>
      </c>
      <c r="Y16" s="162">
        <f t="shared" si="38"/>
        <v>122240940.61254811</v>
      </c>
      <c r="Z16" s="117">
        <f>Y16</f>
        <v>122240940.61254811</v>
      </c>
      <c r="AA16" s="54"/>
      <c r="AC16" s="2" t="s">
        <v>170</v>
      </c>
      <c r="AF16" s="171">
        <f t="shared" si="20"/>
        <v>16870771</v>
      </c>
      <c r="AG16" s="171">
        <f t="shared" si="21"/>
        <v>16870771</v>
      </c>
      <c r="AH16" s="171">
        <f t="shared" si="22"/>
        <v>22291709.429429427</v>
      </c>
      <c r="AI16" s="171">
        <f t="shared" si="23"/>
        <v>22291709.429429427</v>
      </c>
      <c r="AJ16" s="171">
        <f t="shared" si="24"/>
        <v>22291709.429429427</v>
      </c>
      <c r="AK16" s="171">
        <f t="shared" si="25"/>
        <v>35029829.103389099</v>
      </c>
      <c r="AL16" s="171">
        <f t="shared" si="26"/>
        <v>43878700.338274434</v>
      </c>
      <c r="AM16" s="171">
        <f t="shared" si="27"/>
        <v>43878700.338274434</v>
      </c>
      <c r="AN16" s="171">
        <f t="shared" si="28"/>
        <v>43878700.338274434</v>
      </c>
      <c r="AO16" s="171">
        <f t="shared" si="29"/>
        <v>43878700.338274434</v>
      </c>
      <c r="AP16" s="171">
        <f t="shared" si="30"/>
        <v>43878700.338274434</v>
      </c>
      <c r="AQ16" s="172">
        <f t="shared" si="31"/>
        <v>43878700.338274434</v>
      </c>
      <c r="AR16" s="117">
        <f t="shared" si="32"/>
        <v>43878700.338274434</v>
      </c>
      <c r="AS16" s="54">
        <f t="shared" si="33"/>
        <v>0</v>
      </c>
    </row>
    <row r="17" spans="1:45" ht="14.4">
      <c r="B17" s="13" t="s">
        <v>195</v>
      </c>
      <c r="C17" s="5"/>
      <c r="D17" s="40">
        <v>350000</v>
      </c>
      <c r="E17" s="5"/>
      <c r="F17" s="55"/>
      <c r="G17" s="34"/>
      <c r="K17" s="127" t="s">
        <v>171</v>
      </c>
      <c r="L17" s="127"/>
      <c r="M17" s="127"/>
      <c r="N17" s="128"/>
      <c r="O17" s="128">
        <f>N16*F29</f>
        <v>15102102.102102101</v>
      </c>
      <c r="P17" s="128"/>
      <c r="Q17" s="128"/>
      <c r="R17" s="128">
        <f>(N16+O17)*F32</f>
        <v>35486915.486915484</v>
      </c>
      <c r="S17" s="128">
        <f>(D13+G29+G32)*F35</f>
        <v>24651923.023530535</v>
      </c>
      <c r="T17" s="128"/>
      <c r="U17" s="128"/>
      <c r="V17" s="128"/>
      <c r="W17" s="128"/>
      <c r="X17" s="128"/>
      <c r="Y17" s="164"/>
      <c r="Z17" s="129">
        <f>SUM(N17:Y17)</f>
        <v>75240940.612548113</v>
      </c>
      <c r="AA17" s="130">
        <f>Z17/Z16</f>
        <v>0.61551342975206602</v>
      </c>
      <c r="AC17" s="127" t="s">
        <v>171</v>
      </c>
      <c r="AD17" s="127"/>
      <c r="AE17" s="127"/>
      <c r="AF17" s="175">
        <f t="shared" si="20"/>
        <v>0</v>
      </c>
      <c r="AG17" s="175">
        <f t="shared" si="21"/>
        <v>5420938.4294294287</v>
      </c>
      <c r="AH17" s="175">
        <f t="shared" si="22"/>
        <v>0</v>
      </c>
      <c r="AI17" s="175">
        <f t="shared" si="23"/>
        <v>0</v>
      </c>
      <c r="AJ17" s="175">
        <f t="shared" si="24"/>
        <v>12738119.673959672</v>
      </c>
      <c r="AK17" s="175">
        <f t="shared" si="25"/>
        <v>8848871.2348853443</v>
      </c>
      <c r="AL17" s="175">
        <f t="shared" si="26"/>
        <v>0</v>
      </c>
      <c r="AM17" s="175">
        <f t="shared" si="27"/>
        <v>0</v>
      </c>
      <c r="AN17" s="175">
        <f t="shared" si="28"/>
        <v>0</v>
      </c>
      <c r="AO17" s="175">
        <f t="shared" si="29"/>
        <v>0</v>
      </c>
      <c r="AP17" s="175">
        <f t="shared" si="30"/>
        <v>0</v>
      </c>
      <c r="AQ17" s="176">
        <f t="shared" si="31"/>
        <v>0</v>
      </c>
      <c r="AR17" s="129">
        <f t="shared" si="32"/>
        <v>27007929.338274434</v>
      </c>
      <c r="AS17" s="130">
        <f t="shared" si="33"/>
        <v>0</v>
      </c>
    </row>
    <row r="18" spans="1:45" ht="14.4">
      <c r="B18" s="168" t="s">
        <v>196</v>
      </c>
      <c r="C18" s="5"/>
      <c r="D18" s="40">
        <v>122000</v>
      </c>
      <c r="E18" s="5"/>
      <c r="F18" s="5"/>
      <c r="G18" s="9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131"/>
      <c r="Z18" s="47"/>
      <c r="AF18" s="177">
        <f t="shared" si="20"/>
        <v>0</v>
      </c>
      <c r="AG18" s="177">
        <f t="shared" si="21"/>
        <v>0</v>
      </c>
      <c r="AH18" s="177">
        <f t="shared" si="22"/>
        <v>0</v>
      </c>
      <c r="AI18" s="177">
        <f t="shared" si="23"/>
        <v>0</v>
      </c>
      <c r="AJ18" s="177">
        <f t="shared" si="24"/>
        <v>0</v>
      </c>
      <c r="AK18" s="177">
        <f t="shared" si="25"/>
        <v>0</v>
      </c>
      <c r="AL18" s="177">
        <f t="shared" si="26"/>
        <v>0</v>
      </c>
      <c r="AM18" s="177">
        <f t="shared" si="27"/>
        <v>0</v>
      </c>
      <c r="AN18" s="177">
        <f t="shared" si="28"/>
        <v>0</v>
      </c>
      <c r="AO18" s="177">
        <f t="shared" si="29"/>
        <v>0</v>
      </c>
      <c r="AP18" s="177">
        <f t="shared" si="30"/>
        <v>0</v>
      </c>
      <c r="AQ18" s="178">
        <f t="shared" si="31"/>
        <v>0</v>
      </c>
      <c r="AR18" s="118">
        <f t="shared" si="32"/>
        <v>0</v>
      </c>
      <c r="AS18" s="2">
        <f t="shared" si="33"/>
        <v>0</v>
      </c>
    </row>
    <row r="19" spans="1:45" ht="14.4">
      <c r="B19" s="13"/>
      <c r="C19" s="5"/>
      <c r="D19" s="40"/>
      <c r="E19" s="5"/>
      <c r="F19" s="5"/>
      <c r="G19" s="9"/>
      <c r="K19" s="124" t="s">
        <v>172</v>
      </c>
      <c r="L19" s="120"/>
      <c r="M19" s="120"/>
      <c r="N19" s="126">
        <f>D6</f>
        <v>14000000</v>
      </c>
      <c r="O19" s="126">
        <f t="shared" ref="O19:Y19" si="39">$N$19</f>
        <v>14000000</v>
      </c>
      <c r="P19" s="126">
        <f t="shared" si="39"/>
        <v>14000000</v>
      </c>
      <c r="Q19" s="126">
        <f t="shared" si="39"/>
        <v>14000000</v>
      </c>
      <c r="R19" s="126">
        <f t="shared" si="39"/>
        <v>14000000</v>
      </c>
      <c r="S19" s="126">
        <f t="shared" si="39"/>
        <v>14000000</v>
      </c>
      <c r="T19" s="126">
        <f t="shared" si="39"/>
        <v>14000000</v>
      </c>
      <c r="U19" s="126">
        <f t="shared" si="39"/>
        <v>14000000</v>
      </c>
      <c r="V19" s="126">
        <f t="shared" si="39"/>
        <v>14000000</v>
      </c>
      <c r="W19" s="126">
        <f t="shared" si="39"/>
        <v>14000000</v>
      </c>
      <c r="X19" s="126">
        <f t="shared" si="39"/>
        <v>14000000</v>
      </c>
      <c r="Y19" s="163">
        <f t="shared" si="39"/>
        <v>14000000</v>
      </c>
      <c r="Z19" s="125">
        <f>Y19</f>
        <v>14000000</v>
      </c>
      <c r="AA19" s="122"/>
      <c r="AC19" s="124" t="s">
        <v>172</v>
      </c>
      <c r="AD19" s="120"/>
      <c r="AE19" s="120"/>
      <c r="AF19" s="173">
        <f t="shared" si="20"/>
        <v>0</v>
      </c>
      <c r="AG19" s="173">
        <f t="shared" si="21"/>
        <v>0</v>
      </c>
      <c r="AH19" s="173">
        <f t="shared" si="22"/>
        <v>0</v>
      </c>
      <c r="AI19" s="173">
        <f t="shared" si="23"/>
        <v>0</v>
      </c>
      <c r="AJ19" s="173">
        <f t="shared" si="24"/>
        <v>0</v>
      </c>
      <c r="AK19" s="173">
        <f t="shared" si="25"/>
        <v>0</v>
      </c>
      <c r="AL19" s="173">
        <f t="shared" si="26"/>
        <v>0</v>
      </c>
      <c r="AM19" s="173">
        <f t="shared" si="27"/>
        <v>0</v>
      </c>
      <c r="AN19" s="173">
        <f t="shared" si="28"/>
        <v>0</v>
      </c>
      <c r="AO19" s="173">
        <f t="shared" si="29"/>
        <v>0</v>
      </c>
      <c r="AP19" s="173">
        <f t="shared" si="30"/>
        <v>0</v>
      </c>
      <c r="AQ19" s="174">
        <f t="shared" si="31"/>
        <v>0</v>
      </c>
      <c r="AR19" s="125">
        <f t="shared" si="32"/>
        <v>0</v>
      </c>
      <c r="AS19" s="122">
        <f t="shared" si="33"/>
        <v>0</v>
      </c>
    </row>
    <row r="20" spans="1:45">
      <c r="B20" s="153" t="s">
        <v>8</v>
      </c>
      <c r="C20" s="154"/>
      <c r="D20" s="155">
        <f>D5+D12</f>
        <v>93798080</v>
      </c>
      <c r="E20" s="154" t="s">
        <v>9</v>
      </c>
      <c r="F20" s="154"/>
      <c r="G20" s="156">
        <f>G5+G12</f>
        <v>1125626</v>
      </c>
      <c r="H20" s="33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162"/>
      <c r="Z20" s="118"/>
      <c r="AF20" s="171">
        <f t="shared" si="20"/>
        <v>0</v>
      </c>
      <c r="AG20" s="171">
        <f t="shared" si="21"/>
        <v>0</v>
      </c>
      <c r="AH20" s="171">
        <f t="shared" si="22"/>
        <v>0</v>
      </c>
      <c r="AI20" s="171">
        <f t="shared" si="23"/>
        <v>0</v>
      </c>
      <c r="AJ20" s="171">
        <f t="shared" si="24"/>
        <v>0</v>
      </c>
      <c r="AK20" s="171">
        <f t="shared" si="25"/>
        <v>0</v>
      </c>
      <c r="AL20" s="171">
        <f t="shared" si="26"/>
        <v>0</v>
      </c>
      <c r="AM20" s="171">
        <f t="shared" si="27"/>
        <v>0</v>
      </c>
      <c r="AN20" s="171">
        <f t="shared" si="28"/>
        <v>0</v>
      </c>
      <c r="AO20" s="171">
        <f t="shared" si="29"/>
        <v>0</v>
      </c>
      <c r="AP20" s="171">
        <f t="shared" si="30"/>
        <v>0</v>
      </c>
      <c r="AQ20" s="172">
        <f t="shared" si="31"/>
        <v>0</v>
      </c>
      <c r="AR20" s="118">
        <f t="shared" si="32"/>
        <v>0</v>
      </c>
      <c r="AS20" s="2">
        <f t="shared" si="33"/>
        <v>0</v>
      </c>
    </row>
    <row r="21" spans="1:45" ht="14.4">
      <c r="B21" s="132" t="s">
        <v>41</v>
      </c>
      <c r="C21" s="132"/>
      <c r="D21" s="133">
        <f>D12-G12</f>
        <v>51181624</v>
      </c>
      <c r="K21" s="2" t="s">
        <v>173</v>
      </c>
      <c r="N21" s="32">
        <f>D7</f>
        <v>6855830</v>
      </c>
      <c r="O21" s="32">
        <f t="shared" ref="O21:Y21" si="40">$N$21</f>
        <v>6855830</v>
      </c>
      <c r="P21" s="32">
        <f t="shared" si="40"/>
        <v>6855830</v>
      </c>
      <c r="Q21" s="32">
        <f t="shared" si="40"/>
        <v>6855830</v>
      </c>
      <c r="R21" s="32">
        <f t="shared" si="40"/>
        <v>6855830</v>
      </c>
      <c r="S21" s="32">
        <f t="shared" si="40"/>
        <v>6855830</v>
      </c>
      <c r="T21" s="32">
        <f t="shared" si="40"/>
        <v>6855830</v>
      </c>
      <c r="U21" s="32">
        <f t="shared" si="40"/>
        <v>6855830</v>
      </c>
      <c r="V21" s="32">
        <f t="shared" si="40"/>
        <v>6855830</v>
      </c>
      <c r="W21" s="32">
        <f t="shared" si="40"/>
        <v>6855830</v>
      </c>
      <c r="X21" s="32">
        <f t="shared" si="40"/>
        <v>6855830</v>
      </c>
      <c r="Y21" s="162">
        <f t="shared" si="40"/>
        <v>6855830</v>
      </c>
      <c r="Z21" s="117">
        <f>Y21</f>
        <v>6855830</v>
      </c>
      <c r="AA21" s="54"/>
      <c r="AC21" s="2" t="s">
        <v>173</v>
      </c>
      <c r="AF21" s="171">
        <f t="shared" si="20"/>
        <v>60000</v>
      </c>
      <c r="AG21" s="171">
        <f t="shared" si="21"/>
        <v>60000</v>
      </c>
      <c r="AH21" s="171">
        <f t="shared" si="22"/>
        <v>60000</v>
      </c>
      <c r="AI21" s="171">
        <f t="shared" si="23"/>
        <v>60000</v>
      </c>
      <c r="AJ21" s="171">
        <f t="shared" si="24"/>
        <v>60000</v>
      </c>
      <c r="AK21" s="171">
        <f t="shared" si="25"/>
        <v>60000</v>
      </c>
      <c r="AL21" s="171">
        <f t="shared" si="26"/>
        <v>60000</v>
      </c>
      <c r="AM21" s="171">
        <f t="shared" si="27"/>
        <v>60000</v>
      </c>
      <c r="AN21" s="171">
        <f t="shared" si="28"/>
        <v>60000</v>
      </c>
      <c r="AO21" s="171">
        <f t="shared" si="29"/>
        <v>60000</v>
      </c>
      <c r="AP21" s="171">
        <f t="shared" si="30"/>
        <v>60000</v>
      </c>
      <c r="AQ21" s="172">
        <f t="shared" si="31"/>
        <v>60000</v>
      </c>
      <c r="AR21" s="117">
        <f t="shared" si="32"/>
        <v>60000</v>
      </c>
      <c r="AS21" s="54">
        <f t="shared" si="33"/>
        <v>0</v>
      </c>
    </row>
    <row r="22" spans="1:45" ht="14.4">
      <c r="B22" s="132" t="s">
        <v>10</v>
      </c>
      <c r="C22" s="132"/>
      <c r="D22" s="134">
        <f>D20-G20</f>
        <v>92672454</v>
      </c>
      <c r="K22" s="120" t="s">
        <v>174</v>
      </c>
      <c r="L22" s="120"/>
      <c r="M22" s="120"/>
      <c r="N22" s="126">
        <f t="shared" ref="N22:Y22" si="41">N21*$F$41/12</f>
        <v>8569.7875000000004</v>
      </c>
      <c r="O22" s="126">
        <f t="shared" si="41"/>
        <v>8569.7875000000004</v>
      </c>
      <c r="P22" s="126">
        <f t="shared" si="41"/>
        <v>8569.7875000000004</v>
      </c>
      <c r="Q22" s="126">
        <f t="shared" si="41"/>
        <v>8569.7875000000004</v>
      </c>
      <c r="R22" s="126">
        <f t="shared" si="41"/>
        <v>8569.7875000000004</v>
      </c>
      <c r="S22" s="126">
        <f t="shared" si="41"/>
        <v>8569.7875000000004</v>
      </c>
      <c r="T22" s="126">
        <f t="shared" si="41"/>
        <v>8569.7875000000004</v>
      </c>
      <c r="U22" s="126">
        <f t="shared" si="41"/>
        <v>8569.7875000000004</v>
      </c>
      <c r="V22" s="126">
        <f t="shared" si="41"/>
        <v>8569.7875000000004</v>
      </c>
      <c r="W22" s="126">
        <f t="shared" si="41"/>
        <v>8569.7875000000004</v>
      </c>
      <c r="X22" s="126">
        <f t="shared" si="41"/>
        <v>8569.7875000000004</v>
      </c>
      <c r="Y22" s="163">
        <f t="shared" si="41"/>
        <v>8569.7875000000004</v>
      </c>
      <c r="Z22" s="123">
        <f>SUM(N22:Y22)</f>
        <v>102837.45000000003</v>
      </c>
      <c r="AA22" s="122">
        <f>Z22/Z21</f>
        <v>1.5000000000000005E-2</v>
      </c>
      <c r="AC22" s="120" t="s">
        <v>174</v>
      </c>
      <c r="AD22" s="120"/>
      <c r="AE22" s="120"/>
      <c r="AF22" s="173">
        <f t="shared" si="20"/>
        <v>75</v>
      </c>
      <c r="AG22" s="173">
        <f t="shared" si="21"/>
        <v>75</v>
      </c>
      <c r="AH22" s="173">
        <f t="shared" si="22"/>
        <v>75</v>
      </c>
      <c r="AI22" s="173">
        <f t="shared" si="23"/>
        <v>75</v>
      </c>
      <c r="AJ22" s="173">
        <f t="shared" si="24"/>
        <v>75</v>
      </c>
      <c r="AK22" s="173">
        <f t="shared" si="25"/>
        <v>75</v>
      </c>
      <c r="AL22" s="173">
        <f t="shared" si="26"/>
        <v>75</v>
      </c>
      <c r="AM22" s="173">
        <f t="shared" si="27"/>
        <v>75</v>
      </c>
      <c r="AN22" s="173">
        <f t="shared" si="28"/>
        <v>75</v>
      </c>
      <c r="AO22" s="173">
        <f t="shared" si="29"/>
        <v>75</v>
      </c>
      <c r="AP22" s="173">
        <f t="shared" si="30"/>
        <v>75</v>
      </c>
      <c r="AQ22" s="174">
        <f t="shared" si="31"/>
        <v>75</v>
      </c>
      <c r="AR22" s="123">
        <f t="shared" si="32"/>
        <v>900</v>
      </c>
      <c r="AS22" s="122">
        <f t="shared" si="33"/>
        <v>0</v>
      </c>
    </row>
    <row r="23" spans="1:45">
      <c r="B23" s="132" t="s">
        <v>131</v>
      </c>
      <c r="C23" s="132"/>
      <c r="D23" s="135">
        <f>SNAPSHOT!I20*10000</f>
        <v>10000</v>
      </c>
      <c r="E23" s="3"/>
      <c r="F23" s="30"/>
      <c r="G23" s="136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162"/>
      <c r="Z23" s="117"/>
      <c r="AF23" s="171">
        <f t="shared" si="20"/>
        <v>0</v>
      </c>
      <c r="AG23" s="171">
        <f t="shared" si="21"/>
        <v>0</v>
      </c>
      <c r="AH23" s="171">
        <f t="shared" si="22"/>
        <v>0</v>
      </c>
      <c r="AI23" s="171">
        <f t="shared" si="23"/>
        <v>0</v>
      </c>
      <c r="AJ23" s="171">
        <f t="shared" si="24"/>
        <v>0</v>
      </c>
      <c r="AK23" s="171">
        <f t="shared" si="25"/>
        <v>0</v>
      </c>
      <c r="AL23" s="171">
        <f t="shared" si="26"/>
        <v>0</v>
      </c>
      <c r="AM23" s="171">
        <f t="shared" si="27"/>
        <v>0</v>
      </c>
      <c r="AN23" s="171">
        <f t="shared" si="28"/>
        <v>0</v>
      </c>
      <c r="AO23" s="171">
        <f t="shared" si="29"/>
        <v>0</v>
      </c>
      <c r="AP23" s="171">
        <f t="shared" si="30"/>
        <v>0</v>
      </c>
      <c r="AQ23" s="172">
        <f t="shared" si="31"/>
        <v>0</v>
      </c>
      <c r="AR23" s="117">
        <f t="shared" si="32"/>
        <v>0</v>
      </c>
      <c r="AS23" s="2">
        <f t="shared" si="33"/>
        <v>0</v>
      </c>
    </row>
    <row r="24" spans="1:45">
      <c r="F24" s="35"/>
      <c r="G24" s="3"/>
      <c r="K24" s="2" t="s">
        <v>160</v>
      </c>
      <c r="N24" s="32">
        <v>450000</v>
      </c>
      <c r="O24" s="32">
        <v>500000</v>
      </c>
      <c r="P24" s="32">
        <v>500000</v>
      </c>
      <c r="Q24" s="32">
        <v>500000</v>
      </c>
      <c r="R24" s="32">
        <v>500000</v>
      </c>
      <c r="S24" s="32">
        <v>500000</v>
      </c>
      <c r="T24" s="32">
        <v>500000</v>
      </c>
      <c r="U24" s="32">
        <v>500000</v>
      </c>
      <c r="V24" s="32">
        <v>500000</v>
      </c>
      <c r="W24" s="32">
        <v>500000</v>
      </c>
      <c r="X24" s="32">
        <v>500000</v>
      </c>
      <c r="Y24" s="162">
        <v>500000</v>
      </c>
      <c r="Z24" s="118">
        <f>SUM(N24:Y24)</f>
        <v>5950000</v>
      </c>
      <c r="AC24" s="2" t="s">
        <v>160</v>
      </c>
      <c r="AF24" s="171">
        <f t="shared" si="20"/>
        <v>-501246</v>
      </c>
      <c r="AG24" s="171">
        <f t="shared" si="21"/>
        <v>0</v>
      </c>
      <c r="AH24" s="171">
        <f t="shared" si="22"/>
        <v>0</v>
      </c>
      <c r="AI24" s="171">
        <f t="shared" si="23"/>
        <v>0</v>
      </c>
      <c r="AJ24" s="171">
        <f t="shared" si="24"/>
        <v>0</v>
      </c>
      <c r="AK24" s="171">
        <f t="shared" si="25"/>
        <v>0</v>
      </c>
      <c r="AL24" s="171">
        <f t="shared" si="26"/>
        <v>0</v>
      </c>
      <c r="AM24" s="171">
        <f t="shared" si="27"/>
        <v>0</v>
      </c>
      <c r="AN24" s="171">
        <f t="shared" si="28"/>
        <v>0</v>
      </c>
      <c r="AO24" s="171">
        <f t="shared" si="29"/>
        <v>0</v>
      </c>
      <c r="AP24" s="171">
        <f t="shared" si="30"/>
        <v>0</v>
      </c>
      <c r="AQ24" s="172">
        <f t="shared" si="31"/>
        <v>0</v>
      </c>
      <c r="AR24" s="118">
        <f t="shared" si="32"/>
        <v>-501246</v>
      </c>
      <c r="AS24" s="2">
        <f t="shared" si="33"/>
        <v>0</v>
      </c>
    </row>
    <row r="25" spans="1:45">
      <c r="E25" s="3"/>
      <c r="K25" s="2" t="s">
        <v>158</v>
      </c>
      <c r="N25" s="182"/>
      <c r="O25" s="182">
        <v>-1049300</v>
      </c>
      <c r="P25" s="182"/>
      <c r="Q25" s="182"/>
      <c r="R25" s="182"/>
      <c r="T25" s="182"/>
      <c r="U25" s="182"/>
      <c r="V25" s="182">
        <v>-1000000</v>
      </c>
      <c r="W25" s="182"/>
      <c r="X25" s="182"/>
      <c r="Y25" s="183"/>
      <c r="Z25" s="118">
        <f>SUM(N25:Y25)</f>
        <v>-2049300</v>
      </c>
      <c r="AC25" s="2" t="s">
        <v>158</v>
      </c>
      <c r="AF25" s="171">
        <f t="shared" si="20"/>
        <v>0</v>
      </c>
      <c r="AG25" s="171">
        <f t="shared" si="21"/>
        <v>-1049300</v>
      </c>
      <c r="AH25" s="171">
        <f t="shared" si="22"/>
        <v>0</v>
      </c>
      <c r="AI25" s="171">
        <f t="shared" si="23"/>
        <v>0</v>
      </c>
      <c r="AJ25" s="171">
        <f t="shared" si="24"/>
        <v>0</v>
      </c>
      <c r="AK25" s="171">
        <f>S28-S55</f>
        <v>76758609</v>
      </c>
      <c r="AL25" s="171">
        <f t="shared" si="26"/>
        <v>0</v>
      </c>
      <c r="AM25" s="171">
        <f t="shared" si="27"/>
        <v>0</v>
      </c>
      <c r="AN25" s="171">
        <f t="shared" si="28"/>
        <v>0</v>
      </c>
      <c r="AO25" s="171">
        <f t="shared" si="29"/>
        <v>0</v>
      </c>
      <c r="AP25" s="171">
        <f t="shared" si="30"/>
        <v>0</v>
      </c>
      <c r="AQ25" s="172">
        <f t="shared" si="31"/>
        <v>0</v>
      </c>
      <c r="AR25" s="118">
        <f t="shared" si="32"/>
        <v>-49300</v>
      </c>
      <c r="AS25" s="2">
        <f t="shared" si="33"/>
        <v>0</v>
      </c>
    </row>
    <row r="26" spans="1:45" ht="14.4">
      <c r="E26" s="35"/>
      <c r="F26" s="35"/>
      <c r="G26" s="35"/>
      <c r="H26" s="21"/>
      <c r="I26" s="29"/>
      <c r="K26" s="50" t="s">
        <v>159</v>
      </c>
      <c r="N26" s="182"/>
      <c r="O26" s="182"/>
      <c r="P26" s="182"/>
      <c r="Q26" s="182"/>
      <c r="R26" s="182"/>
      <c r="S26" s="182">
        <v>-1000000</v>
      </c>
      <c r="T26" s="182"/>
      <c r="U26" s="182"/>
      <c r="V26" s="182">
        <v>-1500000</v>
      </c>
      <c r="W26" s="182"/>
      <c r="X26" s="182"/>
      <c r="Y26" s="183"/>
      <c r="Z26" s="118">
        <f>SUM(N26:Y26)</f>
        <v>-2500000</v>
      </c>
      <c r="AC26" s="50" t="s">
        <v>159</v>
      </c>
      <c r="AF26" s="171">
        <f t="shared" si="20"/>
        <v>0</v>
      </c>
      <c r="AG26" s="171">
        <f t="shared" si="21"/>
        <v>0</v>
      </c>
      <c r="AH26" s="171">
        <f t="shared" si="22"/>
        <v>0</v>
      </c>
      <c r="AI26" s="171">
        <f t="shared" si="23"/>
        <v>0</v>
      </c>
      <c r="AJ26" s="171">
        <f t="shared" si="24"/>
        <v>0</v>
      </c>
      <c r="AK26" s="171">
        <f t="shared" si="25"/>
        <v>500000</v>
      </c>
      <c r="AL26" s="171">
        <f t="shared" si="26"/>
        <v>0</v>
      </c>
      <c r="AM26" s="171">
        <f t="shared" si="27"/>
        <v>0</v>
      </c>
      <c r="AN26" s="171">
        <f t="shared" si="28"/>
        <v>0</v>
      </c>
      <c r="AO26" s="171">
        <f t="shared" si="29"/>
        <v>0</v>
      </c>
      <c r="AP26" s="171">
        <f t="shared" si="30"/>
        <v>0</v>
      </c>
      <c r="AQ26" s="172">
        <f t="shared" si="31"/>
        <v>0</v>
      </c>
      <c r="AR26" s="118">
        <f t="shared" si="32"/>
        <v>500000</v>
      </c>
      <c r="AS26" s="2">
        <f t="shared" si="33"/>
        <v>0</v>
      </c>
    </row>
    <row r="27" spans="1:45">
      <c r="A27" s="5"/>
      <c r="B27" s="107" t="s">
        <v>84</v>
      </c>
      <c r="C27" s="108"/>
      <c r="D27" s="109"/>
      <c r="E27" s="110"/>
      <c r="F27" s="108"/>
      <c r="G27" s="111"/>
      <c r="H27" s="6"/>
      <c r="I27" s="26"/>
      <c r="K27" s="120" t="s">
        <v>161</v>
      </c>
      <c r="L27" s="120"/>
      <c r="M27" s="120"/>
      <c r="N27" s="184"/>
      <c r="O27" s="184">
        <v>-1076065</v>
      </c>
      <c r="P27" s="184"/>
      <c r="Q27" s="184"/>
      <c r="R27" s="184"/>
      <c r="S27" s="184"/>
      <c r="T27" s="184"/>
      <c r="U27" s="184">
        <f>-650*1120</f>
        <v>-728000</v>
      </c>
      <c r="V27" s="184"/>
      <c r="W27" s="184"/>
      <c r="X27" s="184"/>
      <c r="Y27" s="185"/>
      <c r="Z27" s="123">
        <f>SUM(N27:Y27)</f>
        <v>-1804065</v>
      </c>
      <c r="AA27" s="120"/>
      <c r="AC27" s="120" t="s">
        <v>161</v>
      </c>
      <c r="AD27" s="120"/>
      <c r="AE27" s="120"/>
      <c r="AF27" s="173">
        <f t="shared" si="20"/>
        <v>0</v>
      </c>
      <c r="AG27" s="173">
        <f t="shared" si="21"/>
        <v>0</v>
      </c>
      <c r="AH27" s="173">
        <f t="shared" si="22"/>
        <v>0</v>
      </c>
      <c r="AI27" s="173">
        <f t="shared" si="23"/>
        <v>0</v>
      </c>
      <c r="AJ27" s="173">
        <f t="shared" si="24"/>
        <v>0</v>
      </c>
      <c r="AK27" s="173">
        <f t="shared" si="25"/>
        <v>0</v>
      </c>
      <c r="AL27" s="173">
        <f t="shared" si="26"/>
        <v>0</v>
      </c>
      <c r="AM27" s="173">
        <f t="shared" si="27"/>
        <v>0</v>
      </c>
      <c r="AN27" s="173">
        <f t="shared" si="28"/>
        <v>0</v>
      </c>
      <c r="AO27" s="173">
        <f t="shared" si="29"/>
        <v>0</v>
      </c>
      <c r="AP27" s="173">
        <f t="shared" si="30"/>
        <v>0</v>
      </c>
      <c r="AQ27" s="174">
        <f t="shared" si="31"/>
        <v>0</v>
      </c>
      <c r="AR27" s="123">
        <f t="shared" si="32"/>
        <v>-12065</v>
      </c>
      <c r="AS27" s="120">
        <f t="shared" si="33"/>
        <v>0</v>
      </c>
    </row>
    <row r="28" spans="1:45" ht="14.4">
      <c r="B28" s="139"/>
      <c r="C28" s="140" t="s">
        <v>149</v>
      </c>
      <c r="D28" s="141"/>
      <c r="E28" s="138" t="s">
        <v>150</v>
      </c>
      <c r="F28" s="137" t="s">
        <v>151</v>
      </c>
      <c r="G28" s="144" t="s">
        <v>178</v>
      </c>
      <c r="K28" s="47" t="s">
        <v>221</v>
      </c>
      <c r="N28" s="51">
        <v>69812286</v>
      </c>
      <c r="O28" s="51"/>
      <c r="P28" s="51"/>
      <c r="Q28" s="51"/>
      <c r="R28" s="51"/>
      <c r="S28" s="134">
        <v>75758609</v>
      </c>
      <c r="T28" s="51"/>
      <c r="U28" s="51"/>
      <c r="V28" s="134">
        <v>83628440</v>
      </c>
      <c r="W28" s="51"/>
      <c r="X28" s="51"/>
      <c r="Y28" s="51"/>
    </row>
    <row r="29" spans="1:45" ht="14.4">
      <c r="B29" s="8" t="s">
        <v>133</v>
      </c>
      <c r="C29" s="152" t="s">
        <v>182</v>
      </c>
      <c r="D29" s="5"/>
      <c r="E29" s="33">
        <v>16650</v>
      </c>
      <c r="F29" s="136">
        <f>($E$30-E29)/E29</f>
        <v>0.3213213213213213</v>
      </c>
      <c r="G29" s="34">
        <f>$D$13*(F29)</f>
        <v>15102102.102102101</v>
      </c>
      <c r="K29" s="179" t="s">
        <v>222</v>
      </c>
      <c r="L29" s="180"/>
      <c r="M29" s="180"/>
      <c r="N29" s="181">
        <f>N28-N33</f>
        <v>4241288.0696666613</v>
      </c>
      <c r="O29" s="181"/>
      <c r="P29" s="181"/>
      <c r="Q29" s="181"/>
      <c r="R29" s="181"/>
      <c r="S29" s="181" t="e">
        <f>S28-S3</f>
        <v>#REF!</v>
      </c>
      <c r="T29" s="181"/>
      <c r="U29" s="181"/>
      <c r="V29" s="181" t="e">
        <f>V28-V3</f>
        <v>#REF!</v>
      </c>
      <c r="W29" s="181"/>
      <c r="X29" s="181"/>
      <c r="Y29" s="181"/>
      <c r="Z29" s="180"/>
      <c r="AA29" s="180"/>
    </row>
    <row r="30" spans="1:45" ht="15" customHeight="1">
      <c r="B30" s="142"/>
      <c r="C30" s="124" t="s">
        <v>183</v>
      </c>
      <c r="D30" s="120"/>
      <c r="E30" s="145">
        <v>22000</v>
      </c>
      <c r="F30" s="120"/>
      <c r="G30" s="143"/>
      <c r="N30" s="51"/>
    </row>
    <row r="31" spans="1:45" ht="14.4">
      <c r="B31" s="146"/>
      <c r="C31" s="147" t="s">
        <v>179</v>
      </c>
      <c r="D31" s="148"/>
      <c r="E31" s="149" t="s">
        <v>150</v>
      </c>
      <c r="F31" s="150" t="s">
        <v>151</v>
      </c>
      <c r="G31" s="151" t="s">
        <v>178</v>
      </c>
      <c r="K31" s="47" t="s">
        <v>197</v>
      </c>
      <c r="O31" s="119">
        <v>11487142.412506007</v>
      </c>
      <c r="P31" s="119">
        <v>2875264.5523333251</v>
      </c>
      <c r="Q31" s="119">
        <v>2880550.3678363264</v>
      </c>
      <c r="R31" s="119">
        <v>25676562.999301136</v>
      </c>
      <c r="S31" s="119">
        <v>16194173.796508521</v>
      </c>
      <c r="T31" s="119">
        <v>2896407.8323933631</v>
      </c>
      <c r="U31" s="119">
        <v>2173693.6599384248</v>
      </c>
      <c r="V31" s="119">
        <v>406979.49050153792</v>
      </c>
      <c r="W31" s="119">
        <v>2912265.3240856975</v>
      </c>
      <c r="X31" s="119">
        <v>2917551.1606939733</v>
      </c>
      <c r="Y31" s="119">
        <v>3056920.3793293238</v>
      </c>
      <c r="Z31" s="119"/>
    </row>
    <row r="32" spans="1:45" ht="14.4">
      <c r="B32" s="8" t="s">
        <v>180</v>
      </c>
      <c r="C32" s="152" t="s">
        <v>182</v>
      </c>
      <c r="D32" s="5"/>
      <c r="E32" s="33">
        <v>14000</v>
      </c>
      <c r="F32" s="136">
        <f>(E33-E32)/E32</f>
        <v>0.5714285714285714</v>
      </c>
      <c r="G32" s="34">
        <f>(D13+G29)*F32</f>
        <v>35486915.486915484</v>
      </c>
      <c r="K32" s="169" t="s">
        <v>219</v>
      </c>
      <c r="L32" s="115"/>
      <c r="M32" s="115"/>
      <c r="N32" s="114" t="s">
        <v>198</v>
      </c>
      <c r="O32" s="114" t="s">
        <v>137</v>
      </c>
      <c r="P32" s="114" t="s">
        <v>138</v>
      </c>
      <c r="Q32" s="114" t="s">
        <v>139</v>
      </c>
      <c r="R32" s="114" t="s">
        <v>140</v>
      </c>
      <c r="S32" s="114" t="s">
        <v>141</v>
      </c>
      <c r="T32" s="114" t="s">
        <v>142</v>
      </c>
      <c r="U32" s="114" t="s">
        <v>143</v>
      </c>
      <c r="V32" s="114" t="s">
        <v>144</v>
      </c>
      <c r="W32" s="114" t="s">
        <v>145</v>
      </c>
      <c r="X32" s="114" t="s">
        <v>146</v>
      </c>
      <c r="Y32" s="114" t="s">
        <v>147</v>
      </c>
      <c r="Z32" s="114" t="s">
        <v>199</v>
      </c>
      <c r="AA32" s="114" t="s">
        <v>200</v>
      </c>
    </row>
    <row r="33" spans="2:27" ht="14.4">
      <c r="B33" s="142"/>
      <c r="C33" s="124" t="s">
        <v>183</v>
      </c>
      <c r="D33" s="120"/>
      <c r="E33" s="145">
        <v>22000</v>
      </c>
      <c r="F33" s="120"/>
      <c r="G33" s="143"/>
      <c r="K33" s="47" t="s">
        <v>201</v>
      </c>
      <c r="L33" s="47"/>
      <c r="M33" s="47"/>
      <c r="N33" s="117">
        <v>65570997.930333339</v>
      </c>
      <c r="O33" s="117">
        <v>77058140.342839345</v>
      </c>
      <c r="P33" s="117">
        <v>79933404.89517267</v>
      </c>
      <c r="Q33" s="117">
        <v>82813955.263008997</v>
      </c>
      <c r="R33" s="117">
        <v>108490518.26231</v>
      </c>
      <c r="S33" s="117">
        <v>124684692.05881865</v>
      </c>
      <c r="T33" s="117">
        <v>127581099.89121202</v>
      </c>
      <c r="U33" s="117">
        <v>129754793.55115044</v>
      </c>
      <c r="V33" s="117">
        <v>130161773.04165198</v>
      </c>
      <c r="W33" s="117">
        <v>133074038.36573768</v>
      </c>
      <c r="X33" s="117">
        <v>135991589.52643165</v>
      </c>
      <c r="Y33" s="170">
        <v>139048509.90576097</v>
      </c>
      <c r="Z33" s="113">
        <v>139081675.40175241</v>
      </c>
      <c r="AA33" s="47"/>
    </row>
    <row r="34" spans="2:27" ht="14.4">
      <c r="B34" s="146"/>
      <c r="C34" s="147" t="s">
        <v>194</v>
      </c>
      <c r="D34" s="148"/>
      <c r="E34" s="149" t="s">
        <v>132</v>
      </c>
      <c r="F34" s="150" t="s">
        <v>184</v>
      </c>
      <c r="G34" s="151" t="s">
        <v>177</v>
      </c>
      <c r="K34" s="2" t="s">
        <v>202</v>
      </c>
      <c r="N34" s="171">
        <v>2347915.3333333335</v>
      </c>
      <c r="O34" s="171">
        <v>2347915.3333333335</v>
      </c>
      <c r="P34" s="171">
        <v>2347915.3333333335</v>
      </c>
      <c r="Q34" s="171">
        <v>2347915.3333333335</v>
      </c>
      <c r="R34" s="171">
        <v>2347915.3333333335</v>
      </c>
      <c r="S34" s="171">
        <v>2347915.3333333335</v>
      </c>
      <c r="T34" s="171">
        <v>2347915.3333333335</v>
      </c>
      <c r="U34" s="171">
        <v>2347915.3333333335</v>
      </c>
      <c r="V34" s="171">
        <v>2347915.3333333335</v>
      </c>
      <c r="W34" s="171">
        <v>2347915.3333333335</v>
      </c>
      <c r="X34" s="171">
        <v>2347915.3333333335</v>
      </c>
      <c r="Y34" s="172">
        <v>2347915.3333333335</v>
      </c>
      <c r="Z34" s="113">
        <v>28174983.999999996</v>
      </c>
    </row>
    <row r="35" spans="2:27" ht="14.4">
      <c r="B35" s="8" t="s">
        <v>181</v>
      </c>
      <c r="C35" s="152" t="s">
        <v>182</v>
      </c>
      <c r="D35" s="5"/>
      <c r="E35" s="33">
        <v>958</v>
      </c>
      <c r="F35" s="136">
        <f>(E36-E35)/E35</f>
        <v>0.25260960334029225</v>
      </c>
      <c r="G35" s="34">
        <f>(D13+G29+G32)*F35</f>
        <v>24651923.023530535</v>
      </c>
      <c r="K35" s="120" t="s">
        <v>203</v>
      </c>
      <c r="L35" s="120"/>
      <c r="M35" s="120"/>
      <c r="N35" s="173">
        <v>5282.8095000000003</v>
      </c>
      <c r="O35" s="173">
        <v>10565.619000000001</v>
      </c>
      <c r="P35" s="173">
        <v>15848.4285</v>
      </c>
      <c r="Q35" s="173">
        <v>21131.238000000001</v>
      </c>
      <c r="R35" s="173">
        <v>26414.047500000001</v>
      </c>
      <c r="S35" s="173">
        <v>31696.857000000004</v>
      </c>
      <c r="T35" s="173">
        <v>36979.666500000007</v>
      </c>
      <c r="U35" s="173">
        <v>42262.476000000002</v>
      </c>
      <c r="V35" s="173">
        <v>47545.285499999998</v>
      </c>
      <c r="W35" s="173">
        <v>52828.095000000001</v>
      </c>
      <c r="X35" s="173">
        <v>58110.904499999997</v>
      </c>
      <c r="Y35" s="174">
        <v>63393.713999999985</v>
      </c>
      <c r="Z35" s="121">
        <v>412059.141</v>
      </c>
      <c r="AA35" s="122">
        <v>1.4625000000000003E-2</v>
      </c>
    </row>
    <row r="36" spans="2:27" ht="14.4">
      <c r="B36" s="142"/>
      <c r="C36" s="124" t="s">
        <v>183</v>
      </c>
      <c r="D36" s="120"/>
      <c r="E36" s="145">
        <v>1200</v>
      </c>
      <c r="F36" s="120"/>
      <c r="G36" s="143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2"/>
      <c r="Z36" s="117"/>
      <c r="AA36" s="54"/>
    </row>
    <row r="37" spans="2:27" ht="14.4">
      <c r="B37" s="166" t="s">
        <v>193</v>
      </c>
      <c r="C37" s="166"/>
      <c r="D37" s="166"/>
      <c r="E37" s="166"/>
      <c r="F37" s="166"/>
      <c r="G37" s="167">
        <f>D13+G29+G32+G35</f>
        <v>122240940.61254811</v>
      </c>
      <c r="K37" s="2" t="s">
        <v>204</v>
      </c>
      <c r="N37" s="171">
        <v>4659000</v>
      </c>
      <c r="O37" s="171">
        <v>4659000</v>
      </c>
      <c r="P37" s="171">
        <v>4659000</v>
      </c>
      <c r="Q37" s="171">
        <v>4659000</v>
      </c>
      <c r="R37" s="171">
        <v>4659000</v>
      </c>
      <c r="S37" s="171">
        <v>4659000</v>
      </c>
      <c r="T37" s="171">
        <v>4659000</v>
      </c>
      <c r="U37" s="171">
        <v>4659000</v>
      </c>
      <c r="V37" s="171">
        <v>4659000</v>
      </c>
      <c r="W37" s="171">
        <v>4659000</v>
      </c>
      <c r="X37" s="171">
        <v>4659000</v>
      </c>
      <c r="Y37" s="172">
        <v>4659000</v>
      </c>
      <c r="Z37" s="117">
        <v>4659000</v>
      </c>
      <c r="AA37" s="54"/>
    </row>
    <row r="38" spans="2:27">
      <c r="K38" s="120" t="s">
        <v>205</v>
      </c>
      <c r="L38" s="120"/>
      <c r="M38" s="120"/>
      <c r="N38" s="173">
        <v>0</v>
      </c>
      <c r="O38" s="173">
        <v>0</v>
      </c>
      <c r="P38" s="173">
        <v>0</v>
      </c>
      <c r="Q38" s="173">
        <v>0</v>
      </c>
      <c r="R38" s="173">
        <v>41931</v>
      </c>
      <c r="S38" s="173">
        <v>0</v>
      </c>
      <c r="T38" s="173">
        <v>0</v>
      </c>
      <c r="U38" s="173">
        <v>0</v>
      </c>
      <c r="V38" s="173">
        <v>0</v>
      </c>
      <c r="W38" s="173">
        <v>0</v>
      </c>
      <c r="X38" s="173">
        <v>0</v>
      </c>
      <c r="Y38" s="174">
        <v>42308.378999999994</v>
      </c>
      <c r="Z38" s="123">
        <v>84239.378999999986</v>
      </c>
      <c r="AA38" s="122">
        <v>1.8080999999999996E-2</v>
      </c>
    </row>
    <row r="39" spans="2:27" ht="14.4">
      <c r="B39" s="107" t="s">
        <v>186</v>
      </c>
      <c r="C39" s="108"/>
      <c r="D39" s="165" t="s">
        <v>189</v>
      </c>
      <c r="E39" s="157" t="s">
        <v>187</v>
      </c>
      <c r="F39" s="158" t="s">
        <v>185</v>
      </c>
      <c r="G39" s="159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2"/>
      <c r="Z39" s="117"/>
      <c r="AA39" s="54"/>
    </row>
    <row r="40" spans="2:27" ht="14.4">
      <c r="B40" s="2" t="s">
        <v>154</v>
      </c>
      <c r="D40" s="51">
        <v>2329000</v>
      </c>
      <c r="E40" s="2">
        <v>12</v>
      </c>
      <c r="F40" s="112">
        <v>2.7E-2</v>
      </c>
      <c r="G40" s="2" t="s">
        <v>188</v>
      </c>
      <c r="K40" s="2" t="s">
        <v>206</v>
      </c>
      <c r="N40" s="171">
        <v>3671000</v>
      </c>
      <c r="O40" s="171">
        <v>3671000</v>
      </c>
      <c r="P40" s="171">
        <v>3671000</v>
      </c>
      <c r="Q40" s="171">
        <v>3671000</v>
      </c>
      <c r="R40" s="171">
        <v>3671000</v>
      </c>
      <c r="S40" s="171">
        <v>3671000</v>
      </c>
      <c r="T40" s="171">
        <v>3671000</v>
      </c>
      <c r="U40" s="171">
        <v>3671000</v>
      </c>
      <c r="V40" s="171">
        <v>3671000</v>
      </c>
      <c r="W40" s="171">
        <v>3671000</v>
      </c>
      <c r="X40" s="171">
        <v>3671000</v>
      </c>
      <c r="Y40" s="172">
        <v>3671000</v>
      </c>
      <c r="Z40" s="117">
        <v>3671000</v>
      </c>
      <c r="AA40" s="54"/>
    </row>
    <row r="41" spans="2:27" ht="14.4">
      <c r="B41" s="2" t="s">
        <v>153</v>
      </c>
      <c r="D41" s="51">
        <f>N21</f>
        <v>6855830</v>
      </c>
      <c r="E41" s="2">
        <v>12</v>
      </c>
      <c r="F41" s="112">
        <v>1.4999999999999999E-2</v>
      </c>
      <c r="G41" s="2" t="s">
        <v>188</v>
      </c>
      <c r="K41" s="120" t="s">
        <v>207</v>
      </c>
      <c r="L41" s="120"/>
      <c r="M41" s="120"/>
      <c r="N41" s="173">
        <v>0</v>
      </c>
      <c r="O41" s="173">
        <v>0</v>
      </c>
      <c r="P41" s="173">
        <v>0</v>
      </c>
      <c r="Q41" s="173">
        <v>0</v>
      </c>
      <c r="R41" s="173">
        <v>0</v>
      </c>
      <c r="S41" s="173">
        <v>0</v>
      </c>
      <c r="T41" s="173">
        <v>0</v>
      </c>
      <c r="U41" s="173">
        <v>0</v>
      </c>
      <c r="V41" s="173">
        <v>0</v>
      </c>
      <c r="W41" s="173">
        <v>0</v>
      </c>
      <c r="X41" s="173">
        <v>0</v>
      </c>
      <c r="Y41" s="174">
        <v>91775</v>
      </c>
      <c r="Z41" s="123">
        <v>91775</v>
      </c>
      <c r="AA41" s="122">
        <v>2.5000000000000001E-2</v>
      </c>
    </row>
    <row r="42" spans="2:27">
      <c r="B42" s="2" t="s">
        <v>152</v>
      </c>
      <c r="D42" s="51">
        <f>N13</f>
        <v>4659000</v>
      </c>
      <c r="E42" s="2">
        <v>12</v>
      </c>
      <c r="F42" s="112">
        <v>1.2E-2</v>
      </c>
      <c r="G42" s="2" t="s">
        <v>188</v>
      </c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2"/>
      <c r="Z42" s="117"/>
      <c r="AA42" s="54"/>
    </row>
    <row r="43" spans="2:27">
      <c r="B43" s="2" t="s">
        <v>155</v>
      </c>
      <c r="D43" s="51">
        <f>N7</f>
        <v>4659000</v>
      </c>
      <c r="E43" s="31">
        <v>6</v>
      </c>
      <c r="F43" s="112">
        <v>1.7999999999999999E-2</v>
      </c>
      <c r="G43" s="2" t="s">
        <v>188</v>
      </c>
      <c r="K43" s="2" t="s">
        <v>208</v>
      </c>
      <c r="N43" s="171">
        <v>3000000</v>
      </c>
      <c r="O43" s="171">
        <v>3003000</v>
      </c>
      <c r="P43" s="171">
        <v>3006003</v>
      </c>
      <c r="Q43" s="171">
        <v>3009009.003</v>
      </c>
      <c r="R43" s="171">
        <v>3012018.0120029999</v>
      </c>
      <c r="S43" s="171">
        <v>3015030.0300150029</v>
      </c>
      <c r="T43" s="171">
        <v>3018045.0600450179</v>
      </c>
      <c r="U43" s="171">
        <v>3021063.1051050629</v>
      </c>
      <c r="V43" s="171">
        <v>3024084.1682101679</v>
      </c>
      <c r="W43" s="171">
        <v>3027108.2523783781</v>
      </c>
      <c r="X43" s="171">
        <v>3030135.3606307562</v>
      </c>
      <c r="Y43" s="172">
        <v>3033165.4959913869</v>
      </c>
      <c r="Z43" s="117">
        <v>3033165.4959913869</v>
      </c>
      <c r="AA43" s="54"/>
    </row>
    <row r="44" spans="2:27">
      <c r="B44" s="2" t="s">
        <v>156</v>
      </c>
      <c r="D44" s="51">
        <f>N10</f>
        <v>3671000</v>
      </c>
      <c r="E44" s="31">
        <v>12</v>
      </c>
      <c r="F44" s="112">
        <v>2.5000000000000001E-2</v>
      </c>
      <c r="G44" s="2" t="s">
        <v>188</v>
      </c>
      <c r="K44" s="120" t="s">
        <v>209</v>
      </c>
      <c r="L44" s="120"/>
      <c r="M44" s="120"/>
      <c r="N44" s="173">
        <v>3000</v>
      </c>
      <c r="O44" s="173">
        <v>3003</v>
      </c>
      <c r="P44" s="173">
        <v>3006.0030000000002</v>
      </c>
      <c r="Q44" s="173">
        <v>3009.0090029999997</v>
      </c>
      <c r="R44" s="173">
        <v>3012.018012003</v>
      </c>
      <c r="S44" s="173">
        <v>3015.0300300150029</v>
      </c>
      <c r="T44" s="173">
        <v>3018.0450600450181</v>
      </c>
      <c r="U44" s="173">
        <v>3021.0631051050627</v>
      </c>
      <c r="V44" s="173">
        <v>3024.0841682101677</v>
      </c>
      <c r="W44" s="173">
        <v>3027.1082523783784</v>
      </c>
      <c r="X44" s="173">
        <v>3030.1353606307562</v>
      </c>
      <c r="Y44" s="174">
        <v>3033.1654959913867</v>
      </c>
      <c r="Z44" s="123">
        <v>36198.661487378769</v>
      </c>
      <c r="AA44" s="122">
        <v>1.1934285001995011E-2</v>
      </c>
    </row>
    <row r="45" spans="2:27">
      <c r="B45" s="5"/>
      <c r="D45" s="3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2"/>
      <c r="Z45" s="117"/>
      <c r="AA45" s="54"/>
    </row>
    <row r="46" spans="2:27">
      <c r="B46" s="30"/>
      <c r="D46" s="31"/>
      <c r="K46" s="2" t="s">
        <v>210</v>
      </c>
      <c r="N46" s="171">
        <v>30129229</v>
      </c>
      <c r="O46" s="171">
        <v>30129229</v>
      </c>
      <c r="P46" s="171">
        <v>39810392.672672674</v>
      </c>
      <c r="Q46" s="171">
        <v>39810392.672672674</v>
      </c>
      <c r="R46" s="171">
        <v>39810392.672672674</v>
      </c>
      <c r="S46" s="171">
        <v>62559188.485628486</v>
      </c>
      <c r="T46" s="171">
        <v>78362240.274273679</v>
      </c>
      <c r="U46" s="171">
        <v>78362240.274273679</v>
      </c>
      <c r="V46" s="171">
        <v>78362240.274273679</v>
      </c>
      <c r="W46" s="171">
        <v>78362240.274273679</v>
      </c>
      <c r="X46" s="171">
        <v>78362240.274273679</v>
      </c>
      <c r="Y46" s="172">
        <v>78362240.274273679</v>
      </c>
      <c r="Z46" s="117">
        <v>78362240.274273679</v>
      </c>
      <c r="AA46" s="54"/>
    </row>
    <row r="47" spans="2:27">
      <c r="D47" s="31"/>
      <c r="K47" s="127" t="s">
        <v>211</v>
      </c>
      <c r="L47" s="127"/>
      <c r="M47" s="127"/>
      <c r="N47" s="175"/>
      <c r="O47" s="175">
        <v>9681163.6726726722</v>
      </c>
      <c r="P47" s="175"/>
      <c r="Q47" s="175"/>
      <c r="R47" s="175">
        <v>22748795.812955812</v>
      </c>
      <c r="S47" s="175">
        <v>15803051.788645191</v>
      </c>
      <c r="T47" s="175"/>
      <c r="U47" s="175"/>
      <c r="V47" s="175"/>
      <c r="W47" s="175"/>
      <c r="X47" s="175"/>
      <c r="Y47" s="176"/>
      <c r="Z47" s="129">
        <v>48233011.274273679</v>
      </c>
      <c r="AA47" s="130">
        <v>0.61551342975206613</v>
      </c>
    </row>
    <row r="48" spans="2:27">
      <c r="D48" s="31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8"/>
      <c r="Z48" s="47"/>
    </row>
    <row r="49" spans="11:27" ht="14.4">
      <c r="K49" s="124" t="s">
        <v>212</v>
      </c>
      <c r="L49" s="120"/>
      <c r="M49" s="120"/>
      <c r="N49" s="173">
        <v>14000000</v>
      </c>
      <c r="O49" s="173">
        <v>14000000</v>
      </c>
      <c r="P49" s="173">
        <v>14000000</v>
      </c>
      <c r="Q49" s="173">
        <v>14000000</v>
      </c>
      <c r="R49" s="173">
        <v>14000000</v>
      </c>
      <c r="S49" s="173">
        <v>14000000</v>
      </c>
      <c r="T49" s="173">
        <v>14000000</v>
      </c>
      <c r="U49" s="173">
        <v>14000000</v>
      </c>
      <c r="V49" s="173">
        <v>14000000</v>
      </c>
      <c r="W49" s="173">
        <v>14000000</v>
      </c>
      <c r="X49" s="173">
        <v>14000000</v>
      </c>
      <c r="Y49" s="174">
        <v>14000000</v>
      </c>
      <c r="Z49" s="125">
        <v>14000000</v>
      </c>
      <c r="AA49" s="122"/>
    </row>
    <row r="50" spans="11:27"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2"/>
      <c r="Z50" s="118"/>
    </row>
    <row r="51" spans="11:27">
      <c r="K51" s="2" t="s">
        <v>213</v>
      </c>
      <c r="N51" s="171">
        <v>6795830</v>
      </c>
      <c r="O51" s="171">
        <v>6795830</v>
      </c>
      <c r="P51" s="171">
        <v>6795830</v>
      </c>
      <c r="Q51" s="171">
        <v>6795830</v>
      </c>
      <c r="R51" s="171">
        <v>6795830</v>
      </c>
      <c r="S51" s="171">
        <v>6795830</v>
      </c>
      <c r="T51" s="171">
        <v>6795830</v>
      </c>
      <c r="U51" s="171">
        <v>6795830</v>
      </c>
      <c r="V51" s="171">
        <v>6795830</v>
      </c>
      <c r="W51" s="171">
        <v>6795830</v>
      </c>
      <c r="X51" s="171">
        <v>6795830</v>
      </c>
      <c r="Y51" s="172">
        <v>6795830</v>
      </c>
      <c r="Z51" s="117">
        <v>6795830</v>
      </c>
      <c r="AA51" s="54"/>
    </row>
    <row r="52" spans="11:27">
      <c r="K52" s="120" t="s">
        <v>214</v>
      </c>
      <c r="L52" s="120"/>
      <c r="M52" s="120"/>
      <c r="N52" s="173">
        <v>8494.7875000000004</v>
      </c>
      <c r="O52" s="173">
        <v>8494.7875000000004</v>
      </c>
      <c r="P52" s="173">
        <v>8494.7875000000004</v>
      </c>
      <c r="Q52" s="173">
        <v>8494.7875000000004</v>
      </c>
      <c r="R52" s="173">
        <v>8494.7875000000004</v>
      </c>
      <c r="S52" s="173">
        <v>8494.7875000000004</v>
      </c>
      <c r="T52" s="173">
        <v>8494.7875000000004</v>
      </c>
      <c r="U52" s="173">
        <v>8494.7875000000004</v>
      </c>
      <c r="V52" s="173">
        <v>8494.7875000000004</v>
      </c>
      <c r="W52" s="173">
        <v>8494.7875000000004</v>
      </c>
      <c r="X52" s="173">
        <v>8494.7875000000004</v>
      </c>
      <c r="Y52" s="174">
        <v>8494.7875000000004</v>
      </c>
      <c r="Z52" s="123">
        <v>101937.45000000003</v>
      </c>
      <c r="AA52" s="122">
        <v>1.5000000000000005E-2</v>
      </c>
    </row>
    <row r="53" spans="11:27"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2"/>
      <c r="Z53" s="117"/>
    </row>
    <row r="54" spans="11:27">
      <c r="K54" s="2" t="s">
        <v>215</v>
      </c>
      <c r="N54" s="171">
        <v>951246</v>
      </c>
      <c r="O54" s="171">
        <v>500000</v>
      </c>
      <c r="P54" s="171">
        <v>500000</v>
      </c>
      <c r="Q54" s="171">
        <v>500000</v>
      </c>
      <c r="R54" s="171">
        <v>500000</v>
      </c>
      <c r="S54" s="171">
        <v>500000</v>
      </c>
      <c r="T54" s="171">
        <v>500000</v>
      </c>
      <c r="U54" s="171">
        <v>500000</v>
      </c>
      <c r="V54" s="171">
        <v>500000</v>
      </c>
      <c r="W54" s="171">
        <v>500000</v>
      </c>
      <c r="X54" s="171">
        <v>500000</v>
      </c>
      <c r="Y54" s="172">
        <v>500000</v>
      </c>
      <c r="Z54" s="118">
        <v>6451246</v>
      </c>
    </row>
    <row r="55" spans="11:27">
      <c r="K55" s="2" t="s">
        <v>216</v>
      </c>
      <c r="N55" s="171"/>
      <c r="O55" s="171"/>
      <c r="P55" s="171"/>
      <c r="Q55" s="171"/>
      <c r="R55" s="171"/>
      <c r="S55" s="171">
        <v>-1000000</v>
      </c>
      <c r="T55" s="171"/>
      <c r="U55" s="171"/>
      <c r="V55" s="171">
        <v>-1000000</v>
      </c>
      <c r="W55" s="171"/>
      <c r="X55" s="171"/>
      <c r="Y55" s="172"/>
      <c r="Z55" s="118">
        <v>-2000000</v>
      </c>
    </row>
    <row r="56" spans="11:27" ht="14.4">
      <c r="K56" s="50" t="s">
        <v>217</v>
      </c>
      <c r="N56" s="171"/>
      <c r="O56" s="171"/>
      <c r="P56" s="171"/>
      <c r="Q56" s="171"/>
      <c r="R56" s="171"/>
      <c r="S56" s="171">
        <v>-1500000</v>
      </c>
      <c r="T56" s="171"/>
      <c r="U56" s="171"/>
      <c r="V56" s="171">
        <v>-1500000</v>
      </c>
      <c r="W56" s="171"/>
      <c r="X56" s="171"/>
      <c r="Y56" s="172"/>
      <c r="Z56" s="118">
        <v>-3000000</v>
      </c>
    </row>
    <row r="57" spans="11:27">
      <c r="K57" s="120" t="s">
        <v>218</v>
      </c>
      <c r="L57" s="120"/>
      <c r="M57" s="120"/>
      <c r="N57" s="173"/>
      <c r="O57" s="173">
        <v>-1076065</v>
      </c>
      <c r="P57" s="173"/>
      <c r="Q57" s="173"/>
      <c r="R57" s="173"/>
      <c r="S57" s="173"/>
      <c r="T57" s="173"/>
      <c r="U57" s="173">
        <v>-728000</v>
      </c>
      <c r="V57" s="173"/>
      <c r="W57" s="173"/>
      <c r="X57" s="173"/>
      <c r="Y57" s="174"/>
      <c r="Z57" s="123">
        <v>-1792000</v>
      </c>
      <c r="AA57" s="120"/>
    </row>
    <row r="67" ht="15" customHeight="1"/>
    <row r="92" ht="15.75" customHeight="1"/>
    <row r="113" ht="15" customHeight="1"/>
    <row r="160" ht="15" customHeight="1"/>
  </sheetData>
  <phoneticPr fontId="1" type="noConversion"/>
  <pageMargins left="0.7" right="0.7" top="0.75" bottom="0.75" header="0.3" footer="0.3"/>
  <pageSetup orientation="portrait" r:id="rId1"/>
  <ignoredErrors>
    <ignoredError sqref="D5:G6 E8:G9 E10:G10 E7:G7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S59"/>
  <sheetViews>
    <sheetView showGridLines="0" zoomScale="85" zoomScaleNormal="85" workbookViewId="0">
      <selection activeCell="D26" sqref="D26"/>
    </sheetView>
  </sheetViews>
  <sheetFormatPr defaultColWidth="8.8984375" defaultRowHeight="13.8"/>
  <cols>
    <col min="1" max="1" width="3.8984375" style="230" customWidth="1"/>
    <col min="2" max="2" width="13.5" style="230" customWidth="1"/>
    <col min="3" max="3" width="22.69921875" style="230" bestFit="1" customWidth="1"/>
    <col min="4" max="4" width="16.3984375" style="230" customWidth="1"/>
    <col min="5" max="5" width="17.3984375" style="230" customWidth="1"/>
    <col min="6" max="11" width="14.296875" style="230" customWidth="1"/>
    <col min="12" max="12" width="12.3984375" style="230" customWidth="1"/>
    <col min="13" max="13" width="14.296875" style="233" customWidth="1"/>
    <col min="14" max="14" width="15.3984375" style="233" bestFit="1" customWidth="1"/>
    <col min="15" max="15" width="13.09765625" style="233" bestFit="1" customWidth="1"/>
    <col min="16" max="16" width="14.19921875" style="233" bestFit="1" customWidth="1"/>
    <col min="17" max="17" width="14.19921875" style="233" customWidth="1"/>
    <col min="18" max="18" width="18.3984375" style="233" bestFit="1" customWidth="1"/>
    <col min="19" max="19" width="14.19921875" style="233" bestFit="1" customWidth="1"/>
    <col min="20" max="20" width="14.19921875" style="230" bestFit="1" customWidth="1"/>
    <col min="21" max="16384" width="8.8984375" style="230"/>
  </cols>
  <sheetData>
    <row r="1" spans="2:14" ht="14.4" thickBot="1"/>
    <row r="2" spans="2:14" ht="17.399999999999999">
      <c r="B2" s="268" t="s">
        <v>345</v>
      </c>
      <c r="C2" s="269"/>
      <c r="D2" s="269" t="s">
        <v>522</v>
      </c>
      <c r="E2" s="270"/>
    </row>
    <row r="3" spans="2:14">
      <c r="B3" s="271" t="s">
        <v>289</v>
      </c>
      <c r="C3" s="272"/>
      <c r="D3" s="272"/>
      <c r="E3" s="273"/>
      <c r="G3" s="231"/>
      <c r="H3" s="231"/>
      <c r="I3" s="231"/>
    </row>
    <row r="4" spans="2:14">
      <c r="B4" s="271" t="s">
        <v>290</v>
      </c>
      <c r="C4" s="272"/>
      <c r="D4" s="272" t="s">
        <v>523</v>
      </c>
      <c r="E4" s="273"/>
      <c r="G4" s="232"/>
      <c r="H4" s="232"/>
      <c r="I4" s="232"/>
    </row>
    <row r="5" spans="2:14" ht="14.4" thickBot="1">
      <c r="B5" s="274" t="s">
        <v>291</v>
      </c>
      <c r="C5" s="275"/>
      <c r="D5" s="275"/>
      <c r="E5" s="276"/>
      <c r="G5" s="231"/>
      <c r="H5" s="231"/>
      <c r="I5" s="231"/>
    </row>
    <row r="6" spans="2:14">
      <c r="G6" s="231"/>
      <c r="H6" s="231"/>
      <c r="I6" s="231"/>
    </row>
    <row r="7" spans="2:14" ht="14.4" thickBot="1">
      <c r="B7" s="241" t="s">
        <v>308</v>
      </c>
    </row>
    <row r="8" spans="2:14" ht="28.2" thickTop="1">
      <c r="B8" s="234" t="s">
        <v>360</v>
      </c>
      <c r="C8" s="235" t="s">
        <v>288</v>
      </c>
      <c r="D8" s="236" t="s">
        <v>287</v>
      </c>
      <c r="E8" s="237" t="s">
        <v>307</v>
      </c>
      <c r="F8" s="238" t="s">
        <v>306</v>
      </c>
      <c r="G8" s="238" t="s">
        <v>305</v>
      </c>
      <c r="H8" s="238" t="s">
        <v>528</v>
      </c>
      <c r="I8" s="238" t="s">
        <v>527</v>
      </c>
      <c r="J8" s="261" t="s">
        <v>362</v>
      </c>
      <c r="K8" s="264" t="s">
        <v>301</v>
      </c>
      <c r="L8" s="239" t="s">
        <v>302</v>
      </c>
      <c r="M8" s="237" t="s">
        <v>303</v>
      </c>
      <c r="N8" s="291" t="s">
        <v>304</v>
      </c>
    </row>
    <row r="9" spans="2:14">
      <c r="B9" s="258" t="s">
        <v>361</v>
      </c>
      <c r="C9" s="258" t="s">
        <v>521</v>
      </c>
      <c r="D9" s="259">
        <v>99</v>
      </c>
      <c r="E9" s="259">
        <v>8980</v>
      </c>
      <c r="F9" s="242">
        <f t="shared" ref="F9:F16" si="0">D9*E9</f>
        <v>889020</v>
      </c>
      <c r="G9" s="259">
        <v>6022</v>
      </c>
      <c r="H9" s="242">
        <f t="shared" ref="H9:H16" si="1">G9*D9</f>
        <v>596178</v>
      </c>
      <c r="I9" s="427">
        <f t="shared" ref="I9:I16" si="2">H9/$H$17</f>
        <v>6.5470201618434351E-3</v>
      </c>
      <c r="J9" s="262">
        <f t="shared" ref="J9:J16" si="3">G9/E9-1</f>
        <v>-0.32939866369710469</v>
      </c>
      <c r="K9" s="265">
        <f t="shared" ref="K9:K16" si="4">(G9-E9)*D9</f>
        <v>-292842</v>
      </c>
      <c r="L9" s="260">
        <v>0.2</v>
      </c>
      <c r="M9" s="246">
        <f t="shared" ref="M9:M16" si="5">E9*L9+E9</f>
        <v>10776</v>
      </c>
      <c r="N9" s="292">
        <f t="shared" ref="N9:N16" si="6">(M9-E9)*D9</f>
        <v>177804</v>
      </c>
    </row>
    <row r="10" spans="2:14">
      <c r="B10" s="258" t="s">
        <v>361</v>
      </c>
      <c r="C10" s="258" t="s">
        <v>359</v>
      </c>
      <c r="D10" s="259">
        <v>47</v>
      </c>
      <c r="E10" s="259">
        <v>88974.46</v>
      </c>
      <c r="F10" s="242">
        <f t="shared" si="0"/>
        <v>4181799.62</v>
      </c>
      <c r="G10" s="259">
        <v>70100</v>
      </c>
      <c r="H10" s="429">
        <f t="shared" si="1"/>
        <v>3294700</v>
      </c>
      <c r="I10" s="427">
        <f t="shared" si="2"/>
        <v>3.6181253463270308E-2</v>
      </c>
      <c r="J10" s="262">
        <f t="shared" si="3"/>
        <v>-0.21213345942195105</v>
      </c>
      <c r="K10" s="265">
        <f t="shared" si="4"/>
        <v>-887099.62000000034</v>
      </c>
      <c r="L10" s="260">
        <v>0.2</v>
      </c>
      <c r="M10" s="246">
        <f t="shared" si="5"/>
        <v>106769.35200000001</v>
      </c>
      <c r="N10" s="292">
        <f t="shared" si="6"/>
        <v>836359.92400000035</v>
      </c>
    </row>
    <row r="11" spans="2:14">
      <c r="B11" s="258" t="s">
        <v>361</v>
      </c>
      <c r="C11" s="258" t="s">
        <v>518</v>
      </c>
      <c r="D11" s="259">
        <v>29</v>
      </c>
      <c r="E11" s="259">
        <v>139655.17000000001</v>
      </c>
      <c r="F11" s="242">
        <f t="shared" si="0"/>
        <v>4049999.93</v>
      </c>
      <c r="G11" s="259">
        <v>121000</v>
      </c>
      <c r="H11" s="429">
        <f t="shared" si="1"/>
        <v>3509000</v>
      </c>
      <c r="I11" s="427">
        <f t="shared" si="2"/>
        <v>3.8534621787299453E-2</v>
      </c>
      <c r="J11" s="262">
        <f t="shared" si="3"/>
        <v>-0.13358023193842383</v>
      </c>
      <c r="K11" s="265">
        <f t="shared" si="4"/>
        <v>-540999.9300000004</v>
      </c>
      <c r="L11" s="260">
        <v>0.3</v>
      </c>
      <c r="M11" s="246">
        <f t="shared" si="5"/>
        <v>181551.72100000002</v>
      </c>
      <c r="N11" s="292">
        <f t="shared" si="6"/>
        <v>1214999.9790000003</v>
      </c>
    </row>
    <row r="12" spans="2:14">
      <c r="B12" s="258" t="s">
        <v>361</v>
      </c>
      <c r="C12" s="258" t="s">
        <v>358</v>
      </c>
      <c r="D12" s="259">
        <v>255</v>
      </c>
      <c r="E12" s="259">
        <v>64109.5</v>
      </c>
      <c r="F12" s="242">
        <f t="shared" si="0"/>
        <v>16347922.5</v>
      </c>
      <c r="G12" s="259">
        <v>52000</v>
      </c>
      <c r="H12" s="429">
        <f t="shared" si="1"/>
        <v>13260000</v>
      </c>
      <c r="I12" s="427">
        <f t="shared" si="2"/>
        <v>0.14561672410931625</v>
      </c>
      <c r="J12" s="262">
        <f t="shared" si="3"/>
        <v>-0.18888776234411442</v>
      </c>
      <c r="K12" s="265">
        <f t="shared" si="4"/>
        <v>-3087922.5</v>
      </c>
      <c r="L12" s="260">
        <v>0.3</v>
      </c>
      <c r="M12" s="246">
        <f t="shared" si="5"/>
        <v>83342.350000000006</v>
      </c>
      <c r="N12" s="292">
        <f t="shared" si="6"/>
        <v>4904376.7500000019</v>
      </c>
    </row>
    <row r="13" spans="2:14">
      <c r="B13" s="258" t="s">
        <v>361</v>
      </c>
      <c r="C13" s="258" t="s">
        <v>519</v>
      </c>
      <c r="D13" s="259">
        <v>1679</v>
      </c>
      <c r="E13" s="259">
        <v>11673</v>
      </c>
      <c r="F13" s="242">
        <f t="shared" si="0"/>
        <v>19598967</v>
      </c>
      <c r="G13" s="259">
        <v>8134</v>
      </c>
      <c r="H13" s="242">
        <f t="shared" si="1"/>
        <v>13656986</v>
      </c>
      <c r="I13" s="427">
        <f t="shared" si="2"/>
        <v>0.14997628676672659</v>
      </c>
      <c r="J13" s="262">
        <f t="shared" si="3"/>
        <v>-0.30317827465090375</v>
      </c>
      <c r="K13" s="265">
        <f t="shared" si="4"/>
        <v>-5941981</v>
      </c>
      <c r="L13" s="260">
        <v>0.15</v>
      </c>
      <c r="M13" s="246">
        <f t="shared" si="5"/>
        <v>13423.95</v>
      </c>
      <c r="N13" s="292">
        <f t="shared" si="6"/>
        <v>2939845.0500000012</v>
      </c>
    </row>
    <row r="14" spans="2:14">
      <c r="B14" s="258" t="s">
        <v>361</v>
      </c>
      <c r="C14" s="258" t="s">
        <v>363</v>
      </c>
      <c r="D14" s="259">
        <v>103</v>
      </c>
      <c r="E14" s="259">
        <v>169218.44</v>
      </c>
      <c r="F14" s="242">
        <f t="shared" si="0"/>
        <v>17429499.32</v>
      </c>
      <c r="G14" s="259">
        <v>153500</v>
      </c>
      <c r="H14" s="429">
        <f t="shared" si="1"/>
        <v>15810500</v>
      </c>
      <c r="I14" s="427">
        <f t="shared" si="2"/>
        <v>0.17362543111088571</v>
      </c>
      <c r="J14" s="262">
        <f t="shared" si="3"/>
        <v>-9.2888458255495077E-2</v>
      </c>
      <c r="K14" s="265">
        <f t="shared" si="4"/>
        <v>-1618999.3200000003</v>
      </c>
      <c r="L14" s="260">
        <v>0.4</v>
      </c>
      <c r="M14" s="246">
        <f t="shared" si="5"/>
        <v>236905.81599999999</v>
      </c>
      <c r="N14" s="292">
        <f t="shared" si="6"/>
        <v>6971799.7279999992</v>
      </c>
    </row>
    <row r="15" spans="2:14">
      <c r="B15" s="258" t="s">
        <v>361</v>
      </c>
      <c r="C15" s="258" t="s">
        <v>357</v>
      </c>
      <c r="D15" s="259">
        <v>213</v>
      </c>
      <c r="E15" s="259">
        <v>86943.13</v>
      </c>
      <c r="F15" s="242">
        <f t="shared" si="0"/>
        <v>18518886.690000001</v>
      </c>
      <c r="G15" s="259">
        <v>79900</v>
      </c>
      <c r="H15" s="242">
        <f t="shared" si="1"/>
        <v>17018700</v>
      </c>
      <c r="I15" s="427">
        <f t="shared" si="2"/>
        <v>0.18689346475107244</v>
      </c>
      <c r="J15" s="262">
        <f t="shared" si="3"/>
        <v>-8.1008470709531655E-2</v>
      </c>
      <c r="K15" s="265">
        <f t="shared" si="4"/>
        <v>-1500186.6900000009</v>
      </c>
      <c r="L15" s="260">
        <v>0.3</v>
      </c>
      <c r="M15" s="246">
        <f t="shared" si="5"/>
        <v>113026.069</v>
      </c>
      <c r="N15" s="292">
        <f t="shared" si="6"/>
        <v>5555666.0069999993</v>
      </c>
    </row>
    <row r="16" spans="2:14">
      <c r="B16" s="258" t="s">
        <v>361</v>
      </c>
      <c r="C16" s="258" t="s">
        <v>520</v>
      </c>
      <c r="D16" s="259">
        <v>541</v>
      </c>
      <c r="E16" s="259">
        <v>49418</v>
      </c>
      <c r="F16" s="242">
        <f t="shared" si="0"/>
        <v>26735138</v>
      </c>
      <c r="G16" s="259">
        <v>44205</v>
      </c>
      <c r="H16" s="242">
        <f t="shared" si="1"/>
        <v>23914905</v>
      </c>
      <c r="I16" s="427">
        <f t="shared" si="2"/>
        <v>0.26262519784958582</v>
      </c>
      <c r="J16" s="262">
        <f t="shared" si="3"/>
        <v>-0.10548787891051847</v>
      </c>
      <c r="K16" s="265">
        <f t="shared" si="4"/>
        <v>-2820233</v>
      </c>
      <c r="L16" s="260"/>
      <c r="M16" s="246">
        <f t="shared" si="5"/>
        <v>49418</v>
      </c>
      <c r="N16" s="292">
        <f t="shared" si="6"/>
        <v>0</v>
      </c>
    </row>
    <row r="17" spans="2:14" ht="14.4" thickBot="1">
      <c r="B17" s="299" t="s">
        <v>135</v>
      </c>
      <c r="C17" s="299"/>
      <c r="D17" s="300">
        <f t="shared" ref="D17:I17" si="7">SUM(D9:D16)</f>
        <v>2966</v>
      </c>
      <c r="E17" s="300">
        <f t="shared" si="7"/>
        <v>618971.69999999995</v>
      </c>
      <c r="F17" s="300">
        <f t="shared" si="7"/>
        <v>107751233.06</v>
      </c>
      <c r="G17" s="300">
        <f t="shared" si="7"/>
        <v>534861</v>
      </c>
      <c r="H17" s="300">
        <f t="shared" si="7"/>
        <v>91060969</v>
      </c>
      <c r="I17" s="301">
        <f t="shared" si="7"/>
        <v>0.99999999999999989</v>
      </c>
      <c r="J17" s="263">
        <f>K17/F17</f>
        <v>-0.15489626973183895</v>
      </c>
      <c r="K17" s="266">
        <f>SUM(K9:K16)</f>
        <v>-16690264.060000002</v>
      </c>
      <c r="L17" s="301">
        <f>N17/F17</f>
        <v>0.20975028123729206</v>
      </c>
      <c r="M17" s="300">
        <f>SUM(M9:M16)</f>
        <v>795213.25800000003</v>
      </c>
      <c r="N17" s="293">
        <f>SUM(N9:N16)</f>
        <v>22600851.438000001</v>
      </c>
    </row>
    <row r="18" spans="2:14" ht="15" thickTop="1" thickBot="1">
      <c r="B18" s="229"/>
      <c r="F18" s="233"/>
    </row>
    <row r="19" spans="2:14">
      <c r="B19" s="268" t="s">
        <v>346</v>
      </c>
      <c r="C19" s="269"/>
      <c r="D19" s="283">
        <f>F17</f>
        <v>107751233.06</v>
      </c>
      <c r="F19" s="430"/>
      <c r="H19" s="233"/>
      <c r="M19" s="230"/>
      <c r="N19" s="230"/>
    </row>
    <row r="20" spans="2:14">
      <c r="B20" s="271" t="s">
        <v>347</v>
      </c>
      <c r="C20" s="272"/>
      <c r="D20" s="280">
        <f>D19+N17</f>
        <v>130352084.498</v>
      </c>
      <c r="M20" s="230"/>
      <c r="N20" s="230"/>
    </row>
    <row r="21" spans="2:14">
      <c r="B21" s="271"/>
      <c r="C21" s="272"/>
      <c r="D21" s="280"/>
      <c r="H21" s="233"/>
      <c r="M21" s="230"/>
      <c r="N21" s="230"/>
    </row>
    <row r="22" spans="2:14">
      <c r="B22" s="271" t="s">
        <v>524</v>
      </c>
      <c r="C22" s="272"/>
      <c r="D22" s="280">
        <f>BS!D22</f>
        <v>57834773</v>
      </c>
      <c r="M22" s="230"/>
      <c r="N22" s="230"/>
    </row>
    <row r="23" spans="2:14" ht="14.4" thickBot="1">
      <c r="B23" s="274" t="s">
        <v>525</v>
      </c>
      <c r="C23" s="275"/>
      <c r="D23" s="425">
        <f>N17</f>
        <v>22600851.438000001</v>
      </c>
      <c r="M23" s="230"/>
      <c r="N23" s="230"/>
    </row>
    <row r="24" spans="2:14" ht="14.4" thickBot="1">
      <c r="B24" s="274" t="s">
        <v>526</v>
      </c>
      <c r="C24" s="275"/>
      <c r="D24" s="426">
        <f>D22+D23</f>
        <v>80435624.437999994</v>
      </c>
      <c r="M24" s="230"/>
      <c r="N24" s="230"/>
    </row>
    <row r="25" spans="2:14">
      <c r="D25" s="428"/>
      <c r="M25" s="230"/>
      <c r="N25" s="230"/>
    </row>
    <row r="26" spans="2:14">
      <c r="M26" s="230"/>
      <c r="N26" s="230"/>
    </row>
    <row r="27" spans="2:14">
      <c r="M27" s="230"/>
      <c r="N27" s="230"/>
    </row>
    <row r="28" spans="2:14">
      <c r="M28" s="230"/>
      <c r="N28" s="230"/>
    </row>
    <row r="29" spans="2:14">
      <c r="M29" s="230"/>
      <c r="N29" s="230"/>
    </row>
    <row r="30" spans="2:14">
      <c r="M30" s="230"/>
      <c r="N30" s="230"/>
    </row>
    <row r="31" spans="2:14">
      <c r="M31" s="230"/>
      <c r="N31" s="230"/>
    </row>
    <row r="32" spans="2:14">
      <c r="M32" s="230"/>
      <c r="N32" s="230"/>
    </row>
    <row r="33" spans="2:14">
      <c r="M33" s="230"/>
      <c r="N33" s="230"/>
    </row>
    <row r="34" spans="2:14">
      <c r="M34" s="230"/>
      <c r="N34" s="230"/>
    </row>
    <row r="35" spans="2:14">
      <c r="M35" s="230"/>
      <c r="N35" s="230"/>
    </row>
    <row r="36" spans="2:14">
      <c r="M36" s="230"/>
      <c r="N36" s="230"/>
    </row>
    <row r="37" spans="2:14">
      <c r="G37" s="229"/>
      <c r="H37" s="229"/>
      <c r="I37" s="303"/>
    </row>
    <row r="38" spans="2:14">
      <c r="B38" s="233"/>
      <c r="D38" s="267"/>
      <c r="G38" s="229"/>
      <c r="H38" s="229"/>
      <c r="I38" s="303"/>
    </row>
    <row r="39" spans="2:14">
      <c r="G39" s="229"/>
      <c r="H39" s="229"/>
      <c r="I39" s="229"/>
    </row>
    <row r="40" spans="2:14">
      <c r="G40" s="229"/>
      <c r="H40" s="229"/>
      <c r="I40" s="229"/>
    </row>
    <row r="41" spans="2:14" ht="14.4" thickBot="1">
      <c r="G41" s="229"/>
      <c r="H41" s="229"/>
      <c r="I41" s="303"/>
    </row>
    <row r="42" spans="2:14" ht="16.2" thickTop="1">
      <c r="B42" s="279" t="s">
        <v>368</v>
      </c>
      <c r="C42" s="269"/>
      <c r="D42" s="270"/>
      <c r="F42" s="288" t="s">
        <v>369</v>
      </c>
      <c r="G42" s="288" t="s">
        <v>378</v>
      </c>
      <c r="H42" s="288"/>
      <c r="I42" s="288" t="s">
        <v>370</v>
      </c>
      <c r="J42" s="288" t="s">
        <v>371</v>
      </c>
      <c r="K42" s="289" t="s">
        <v>373</v>
      </c>
      <c r="L42" s="288" t="s">
        <v>372</v>
      </c>
      <c r="M42" s="289" t="s">
        <v>374</v>
      </c>
      <c r="N42" s="290" t="s">
        <v>379</v>
      </c>
    </row>
    <row r="43" spans="2:14">
      <c r="B43" s="271" t="s">
        <v>364</v>
      </c>
      <c r="C43" s="272"/>
      <c r="D43" s="280">
        <f>BS!D22</f>
        <v>57834773</v>
      </c>
      <c r="F43" s="230" t="s">
        <v>386</v>
      </c>
      <c r="G43" s="287">
        <v>12.78</v>
      </c>
      <c r="H43" s="287"/>
      <c r="I43" s="277">
        <v>400000000</v>
      </c>
      <c r="J43" s="233">
        <f t="shared" ref="J43:J51" si="8">I43*$D$51</f>
        <v>280000000</v>
      </c>
      <c r="K43" s="278">
        <f t="shared" ref="K43:K51" si="9">I43-J43</f>
        <v>120000000</v>
      </c>
      <c r="L43" s="233">
        <v>315000000</v>
      </c>
      <c r="M43" s="278">
        <f t="shared" ref="M43:M51" si="10">I43-L43</f>
        <v>85000000</v>
      </c>
      <c r="N43" s="233">
        <f t="shared" ref="N43:N51" si="11">I43/G43</f>
        <v>31298904.538341161</v>
      </c>
    </row>
    <row r="44" spans="2:14">
      <c r="B44" s="271" t="s">
        <v>375</v>
      </c>
      <c r="C44" s="272"/>
      <c r="D44" s="280">
        <v>37000000</v>
      </c>
      <c r="F44" s="230" t="s">
        <v>386</v>
      </c>
      <c r="G44" s="287">
        <v>13.89</v>
      </c>
      <c r="H44" s="287"/>
      <c r="I44" s="277">
        <v>450000000</v>
      </c>
      <c r="J44" s="233">
        <f t="shared" si="8"/>
        <v>315000000</v>
      </c>
      <c r="K44" s="278">
        <f t="shared" si="9"/>
        <v>135000000</v>
      </c>
      <c r="L44" s="233">
        <v>300000000</v>
      </c>
      <c r="M44" s="278">
        <f t="shared" si="10"/>
        <v>150000000</v>
      </c>
      <c r="N44" s="233">
        <f t="shared" si="11"/>
        <v>32397408.207343411</v>
      </c>
    </row>
    <row r="45" spans="2:14">
      <c r="B45" s="271" t="s">
        <v>376</v>
      </c>
      <c r="C45" s="272"/>
      <c r="D45" s="280">
        <v>58000000</v>
      </c>
      <c r="F45" s="230" t="s">
        <v>383</v>
      </c>
      <c r="G45" s="287">
        <v>12.68</v>
      </c>
      <c r="H45" s="287"/>
      <c r="I45" s="277">
        <v>430000000</v>
      </c>
      <c r="J45" s="233">
        <f t="shared" si="8"/>
        <v>301000000</v>
      </c>
      <c r="K45" s="278">
        <f t="shared" si="9"/>
        <v>129000000</v>
      </c>
      <c r="L45" s="233">
        <v>0</v>
      </c>
      <c r="M45" s="278">
        <f t="shared" si="10"/>
        <v>430000000</v>
      </c>
      <c r="N45" s="233">
        <f t="shared" si="11"/>
        <v>33911671.924290225</v>
      </c>
    </row>
    <row r="46" spans="2:14">
      <c r="B46" s="271" t="s">
        <v>365</v>
      </c>
      <c r="C46" s="272"/>
      <c r="D46" s="280"/>
      <c r="F46" s="294" t="s">
        <v>382</v>
      </c>
      <c r="G46" s="295">
        <v>19.11</v>
      </c>
      <c r="H46" s="295"/>
      <c r="I46" s="296">
        <v>670000000</v>
      </c>
      <c r="J46" s="297">
        <f t="shared" si="8"/>
        <v>469000000</v>
      </c>
      <c r="K46" s="298">
        <f t="shared" si="9"/>
        <v>201000000</v>
      </c>
      <c r="L46" s="297">
        <v>400000000</v>
      </c>
      <c r="M46" s="298">
        <f t="shared" si="10"/>
        <v>270000000</v>
      </c>
      <c r="N46" s="297">
        <f t="shared" si="11"/>
        <v>35060177.917320773</v>
      </c>
    </row>
    <row r="47" spans="2:14">
      <c r="B47" s="271"/>
      <c r="C47" s="272"/>
      <c r="D47" s="280"/>
      <c r="F47" s="230" t="s">
        <v>382</v>
      </c>
      <c r="G47" s="287">
        <v>23</v>
      </c>
      <c r="H47" s="287"/>
      <c r="I47" s="277">
        <v>820000000</v>
      </c>
      <c r="J47" s="233">
        <f t="shared" si="8"/>
        <v>574000000</v>
      </c>
      <c r="K47" s="278">
        <f t="shared" si="9"/>
        <v>246000000</v>
      </c>
      <c r="L47" s="233">
        <v>0</v>
      </c>
      <c r="M47" s="278">
        <f t="shared" si="10"/>
        <v>820000000</v>
      </c>
      <c r="N47" s="233">
        <f t="shared" si="11"/>
        <v>35652173.913043477</v>
      </c>
    </row>
    <row r="48" spans="2:14" ht="14.4" thickBot="1">
      <c r="B48" s="281" t="s">
        <v>377</v>
      </c>
      <c r="C48" s="275"/>
      <c r="D48" s="282">
        <f>SUM(D43:D47)</f>
        <v>152834773</v>
      </c>
      <c r="F48" s="294" t="s">
        <v>385</v>
      </c>
      <c r="G48" s="295">
        <v>22.34</v>
      </c>
      <c r="H48" s="295"/>
      <c r="I48" s="296">
        <v>800000000</v>
      </c>
      <c r="J48" s="297">
        <f t="shared" si="8"/>
        <v>560000000</v>
      </c>
      <c r="K48" s="298">
        <f t="shared" si="9"/>
        <v>240000000</v>
      </c>
      <c r="L48" s="297">
        <v>410000000</v>
      </c>
      <c r="M48" s="298">
        <f t="shared" si="10"/>
        <v>390000000</v>
      </c>
      <c r="N48" s="297">
        <f t="shared" si="11"/>
        <v>35810205.908683978</v>
      </c>
    </row>
    <row r="49" spans="2:14" ht="14.4" thickBot="1">
      <c r="F49" s="230" t="s">
        <v>384</v>
      </c>
      <c r="G49" s="287">
        <v>21.45</v>
      </c>
      <c r="H49" s="287"/>
      <c r="I49" s="277">
        <v>800000000</v>
      </c>
      <c r="J49" s="233">
        <f t="shared" si="8"/>
        <v>560000000</v>
      </c>
      <c r="K49" s="278">
        <f t="shared" si="9"/>
        <v>240000000</v>
      </c>
      <c r="L49" s="233">
        <v>0</v>
      </c>
      <c r="M49" s="278">
        <f t="shared" si="10"/>
        <v>800000000</v>
      </c>
      <c r="N49" s="233">
        <f t="shared" si="11"/>
        <v>37296037.296037294</v>
      </c>
    </row>
    <row r="50" spans="2:14">
      <c r="B50" s="279" t="s">
        <v>366</v>
      </c>
      <c r="C50" s="269"/>
      <c r="D50" s="283"/>
      <c r="F50" s="294" t="s">
        <v>382</v>
      </c>
      <c r="G50" s="295">
        <v>22.25</v>
      </c>
      <c r="H50" s="295"/>
      <c r="I50" s="296">
        <v>850000000</v>
      </c>
      <c r="J50" s="297">
        <f t="shared" si="8"/>
        <v>595000000</v>
      </c>
      <c r="K50" s="298">
        <f t="shared" si="9"/>
        <v>255000000</v>
      </c>
      <c r="L50" s="297">
        <v>0</v>
      </c>
      <c r="M50" s="298">
        <f t="shared" si="10"/>
        <v>850000000</v>
      </c>
      <c r="N50" s="297">
        <f t="shared" si="11"/>
        <v>38202247.191011235</v>
      </c>
    </row>
    <row r="51" spans="2:14">
      <c r="B51" s="271" t="s">
        <v>367</v>
      </c>
      <c r="C51" s="272"/>
      <c r="D51" s="284">
        <v>0.7</v>
      </c>
      <c r="F51" s="230" t="s">
        <v>383</v>
      </c>
      <c r="G51" s="287">
        <v>18.010000000000002</v>
      </c>
      <c r="H51" s="287"/>
      <c r="I51" s="277">
        <v>800000000</v>
      </c>
      <c r="J51" s="233">
        <f t="shared" si="8"/>
        <v>560000000</v>
      </c>
      <c r="K51" s="278">
        <f t="shared" si="9"/>
        <v>240000000</v>
      </c>
      <c r="L51" s="233">
        <v>450000000</v>
      </c>
      <c r="M51" s="278">
        <f t="shared" si="10"/>
        <v>350000000</v>
      </c>
      <c r="N51" s="233">
        <f t="shared" si="11"/>
        <v>44419766.796224318</v>
      </c>
    </row>
    <row r="52" spans="2:14">
      <c r="B52" s="271" t="s">
        <v>380</v>
      </c>
      <c r="C52" s="272"/>
      <c r="D52" s="286">
        <f>3680/80000</f>
        <v>4.5999999999999999E-2</v>
      </c>
      <c r="G52" s="287"/>
      <c r="H52" s="287"/>
      <c r="I52" s="277"/>
      <c r="J52" s="233"/>
      <c r="K52" s="278"/>
      <c r="L52" s="233"/>
      <c r="M52" s="278"/>
    </row>
    <row r="53" spans="2:14">
      <c r="B53" s="271" t="s">
        <v>381</v>
      </c>
      <c r="C53" s="272"/>
      <c r="D53" s="285">
        <v>5.0000000000000001E-3</v>
      </c>
      <c r="G53" s="287"/>
      <c r="H53" s="287"/>
      <c r="I53" s="277"/>
      <c r="J53" s="233"/>
      <c r="K53" s="278"/>
      <c r="L53" s="233"/>
      <c r="M53" s="278"/>
    </row>
    <row r="54" spans="2:14">
      <c r="B54" s="271"/>
      <c r="C54" s="272"/>
      <c r="D54" s="273"/>
      <c r="G54" s="287"/>
      <c r="H54" s="287"/>
      <c r="I54" s="277"/>
      <c r="J54" s="233"/>
      <c r="K54" s="278"/>
      <c r="L54" s="233"/>
      <c r="M54" s="278"/>
    </row>
    <row r="55" spans="2:14" ht="14.4" thickBot="1">
      <c r="B55" s="274"/>
      <c r="C55" s="275"/>
      <c r="D55" s="276"/>
      <c r="G55" s="287"/>
      <c r="H55" s="287"/>
      <c r="I55" s="277"/>
      <c r="J55" s="233"/>
      <c r="K55" s="278"/>
      <c r="L55" s="233"/>
      <c r="M55" s="278"/>
    </row>
    <row r="56" spans="2:14">
      <c r="G56" s="287"/>
      <c r="H56" s="287"/>
      <c r="I56" s="277"/>
      <c r="J56" s="233"/>
      <c r="K56" s="278"/>
      <c r="L56" s="233"/>
      <c r="M56" s="278"/>
    </row>
    <row r="57" spans="2:14">
      <c r="G57" s="287"/>
      <c r="H57" s="287"/>
      <c r="I57" s="277"/>
      <c r="J57" s="233"/>
      <c r="K57" s="278"/>
      <c r="L57" s="233"/>
      <c r="M57" s="278"/>
    </row>
    <row r="58" spans="2:14">
      <c r="G58" s="287"/>
      <c r="H58" s="287"/>
      <c r="I58" s="277"/>
      <c r="J58" s="233"/>
      <c r="K58" s="278"/>
      <c r="L58" s="233"/>
      <c r="M58" s="278"/>
    </row>
    <row r="59" spans="2:14">
      <c r="G59" s="302"/>
      <c r="H59" s="302"/>
      <c r="I59" s="303"/>
      <c r="J59" s="233"/>
      <c r="K59" s="278"/>
      <c r="L59" s="233"/>
      <c r="M59" s="278"/>
    </row>
  </sheetData>
  <autoFilter ref="B8:M17" xr:uid="{00000000-0009-0000-0000-000007000000}">
    <sortState xmlns:xlrd2="http://schemas.microsoft.com/office/spreadsheetml/2017/richdata2" ref="B9:M17">
      <sortCondition ref="I8:I17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1FBE-787E-4B3F-AFF5-118838515175}">
  <sheetPr>
    <tabColor theme="0" tint="-0.14999847407452621"/>
  </sheetPr>
  <dimension ref="A2:Q64"/>
  <sheetViews>
    <sheetView showGridLines="0" topLeftCell="A9" zoomScaleNormal="100" workbookViewId="0">
      <selection activeCell="I23" sqref="I23"/>
    </sheetView>
  </sheetViews>
  <sheetFormatPr defaultRowHeight="13.8"/>
  <cols>
    <col min="1" max="1" width="3.69921875" style="454" customWidth="1"/>
    <col min="2" max="6" width="3.69921875" customWidth="1"/>
    <col min="8" max="9" width="13.796875" style="305" customWidth="1"/>
    <col min="10" max="10" width="8.69921875" customWidth="1"/>
    <col min="11" max="11" width="11.8984375" bestFit="1" customWidth="1"/>
    <col min="12" max="12" width="10.8984375" bestFit="1" customWidth="1"/>
    <col min="14" max="14" width="13.09765625" bestFit="1" customWidth="1"/>
  </cols>
  <sheetData>
    <row r="2" spans="1:17" ht="14.4" thickBot="1">
      <c r="A2" s="454" t="s">
        <v>606</v>
      </c>
      <c r="B2" s="310" t="s">
        <v>415</v>
      </c>
      <c r="C2" s="310"/>
      <c r="D2" s="310"/>
      <c r="E2" s="310"/>
      <c r="K2" s="310" t="s">
        <v>421</v>
      </c>
    </row>
    <row r="3" spans="1:17">
      <c r="B3" s="312" t="s">
        <v>397</v>
      </c>
      <c r="C3" s="445"/>
      <c r="D3" s="445"/>
      <c r="E3" s="445"/>
      <c r="F3" s="313"/>
      <c r="G3" s="313"/>
      <c r="H3" s="314"/>
      <c r="I3" s="315">
        <v>1550</v>
      </c>
      <c r="K3" s="304" t="s">
        <v>423</v>
      </c>
    </row>
    <row r="4" spans="1:17">
      <c r="B4" s="316" t="s">
        <v>399</v>
      </c>
      <c r="C4" s="446"/>
      <c r="D4" s="446"/>
      <c r="E4" s="446"/>
      <c r="F4" s="317"/>
      <c r="G4" s="317"/>
      <c r="H4" s="318"/>
      <c r="I4" s="319">
        <v>11</v>
      </c>
      <c r="K4" s="304" t="s">
        <v>422</v>
      </c>
    </row>
    <row r="5" spans="1:17">
      <c r="B5" s="320" t="s">
        <v>400</v>
      </c>
      <c r="C5" s="447"/>
      <c r="D5" s="447"/>
      <c r="E5" s="447"/>
      <c r="F5" s="317"/>
      <c r="G5" s="317"/>
      <c r="H5" s="318"/>
      <c r="I5" s="319">
        <v>1500</v>
      </c>
      <c r="K5" s="304" t="s">
        <v>424</v>
      </c>
    </row>
    <row r="6" spans="1:17">
      <c r="B6" s="320" t="s">
        <v>401</v>
      </c>
      <c r="C6" s="447"/>
      <c r="D6" s="447"/>
      <c r="E6" s="447"/>
      <c r="F6" s="317"/>
      <c r="G6" s="317"/>
      <c r="H6" s="318"/>
      <c r="I6" s="319">
        <v>2000</v>
      </c>
      <c r="K6" s="304" t="s">
        <v>425</v>
      </c>
    </row>
    <row r="7" spans="1:17">
      <c r="B7" s="320" t="s">
        <v>402</v>
      </c>
      <c r="C7" s="447"/>
      <c r="D7" s="447"/>
      <c r="E7" s="447"/>
      <c r="F7" s="317"/>
      <c r="G7" s="317"/>
      <c r="H7" s="318"/>
      <c r="I7" s="319">
        <v>2500</v>
      </c>
      <c r="K7" s="304" t="s">
        <v>426</v>
      </c>
    </row>
    <row r="8" spans="1:17">
      <c r="B8" s="320" t="s">
        <v>435</v>
      </c>
      <c r="C8" s="447"/>
      <c r="D8" s="447"/>
      <c r="E8" s="447"/>
      <c r="F8" s="317"/>
      <c r="G8" s="317"/>
      <c r="H8" s="318"/>
      <c r="I8" s="319">
        <v>2500</v>
      </c>
      <c r="K8" s="304" t="s">
        <v>427</v>
      </c>
    </row>
    <row r="9" spans="1:17">
      <c r="B9" s="321"/>
      <c r="C9" s="448"/>
      <c r="D9" s="448"/>
      <c r="E9" s="448"/>
      <c r="F9" s="317"/>
      <c r="G9" s="317"/>
      <c r="H9" s="318"/>
      <c r="I9" s="319">
        <v>1180</v>
      </c>
      <c r="K9" s="304" t="s">
        <v>428</v>
      </c>
    </row>
    <row r="10" spans="1:17" ht="16.8">
      <c r="B10" s="322"/>
      <c r="C10" s="344"/>
      <c r="D10" s="344"/>
      <c r="E10" s="344"/>
      <c r="F10" s="317"/>
      <c r="G10" s="317"/>
      <c r="H10" s="318"/>
      <c r="I10" s="319"/>
    </row>
    <row r="11" spans="1:17">
      <c r="B11" s="323"/>
      <c r="C11" s="449"/>
      <c r="D11" s="449"/>
      <c r="E11" s="449"/>
      <c r="F11" s="317"/>
      <c r="G11" s="317"/>
      <c r="H11" s="318"/>
      <c r="I11" s="319"/>
    </row>
    <row r="12" spans="1:17" ht="17.399999999999999" thickBot="1">
      <c r="B12" s="324"/>
      <c r="C12" s="450"/>
      <c r="D12" s="450"/>
      <c r="E12" s="450"/>
      <c r="F12" s="325"/>
      <c r="G12" s="325"/>
      <c r="H12" s="326"/>
      <c r="I12" s="327"/>
    </row>
    <row r="13" spans="1:17" ht="16.8">
      <c r="B13" s="344"/>
      <c r="C13" s="344"/>
      <c r="D13" s="344"/>
      <c r="E13" s="344"/>
      <c r="F13" s="317"/>
      <c r="G13" s="317"/>
      <c r="H13" s="318"/>
      <c r="I13" s="318"/>
    </row>
    <row r="14" spans="1:17">
      <c r="B14" s="345" t="s">
        <v>442</v>
      </c>
      <c r="C14" s="345"/>
      <c r="D14" s="345"/>
      <c r="E14" s="345"/>
    </row>
    <row r="15" spans="1:17">
      <c r="A15" s="454" t="s">
        <v>606</v>
      </c>
      <c r="B15" s="328" t="s">
        <v>398</v>
      </c>
      <c r="C15" s="328"/>
      <c r="D15" s="328"/>
      <c r="E15" s="328"/>
      <c r="F15" s="328"/>
      <c r="G15" s="328"/>
      <c r="H15" s="329" t="s">
        <v>29</v>
      </c>
      <c r="I15" s="329" t="s">
        <v>390</v>
      </c>
      <c r="J15" s="328" t="s">
        <v>392</v>
      </c>
      <c r="K15" s="330"/>
      <c r="L15" s="330"/>
      <c r="M15" s="330"/>
      <c r="N15" s="330"/>
      <c r="O15" s="330"/>
      <c r="P15" s="330"/>
      <c r="Q15" s="330"/>
    </row>
    <row r="16" spans="1:17">
      <c r="B16" s="307" t="s">
        <v>416</v>
      </c>
      <c r="C16" s="307"/>
      <c r="D16" s="307"/>
      <c r="E16" s="307"/>
      <c r="F16" s="308"/>
      <c r="G16" s="308"/>
      <c r="H16" s="309">
        <f>I16*$I$3</f>
        <v>77655000</v>
      </c>
      <c r="I16" s="309">
        <v>50100</v>
      </c>
      <c r="J16" s="308"/>
      <c r="K16" s="311"/>
      <c r="L16" s="311"/>
      <c r="M16" s="308"/>
      <c r="N16" s="308"/>
      <c r="O16" s="308"/>
      <c r="P16" s="308"/>
      <c r="Q16" s="308"/>
    </row>
    <row r="17" spans="2:17">
      <c r="B17" s="334" t="s">
        <v>389</v>
      </c>
      <c r="C17" s="334"/>
      <c r="D17" s="334"/>
      <c r="E17" s="334"/>
      <c r="H17" s="305">
        <f>I17*$I$3</f>
        <v>3100000</v>
      </c>
      <c r="I17" s="305">
        <v>2000</v>
      </c>
      <c r="J17" s="304" t="s">
        <v>393</v>
      </c>
    </row>
    <row r="18" spans="2:17">
      <c r="B18" s="334" t="s">
        <v>391</v>
      </c>
      <c r="C18" s="334"/>
      <c r="D18" s="334"/>
      <c r="E18" s="334"/>
      <c r="H18" s="305">
        <f t="shared" ref="H18:H19" si="0">I18*$I$3</f>
        <v>12400000</v>
      </c>
      <c r="I18" s="305">
        <v>8000</v>
      </c>
      <c r="J18" s="304" t="s">
        <v>394</v>
      </c>
    </row>
    <row r="19" spans="2:17">
      <c r="B19" s="334" t="s">
        <v>395</v>
      </c>
      <c r="C19" s="334"/>
      <c r="D19" s="334"/>
      <c r="E19" s="334"/>
      <c r="H19" s="305">
        <f t="shared" si="0"/>
        <v>62155000</v>
      </c>
      <c r="I19" s="305">
        <f>I16-I18-I17</f>
        <v>40100</v>
      </c>
      <c r="J19" s="304" t="s">
        <v>396</v>
      </c>
    </row>
    <row r="20" spans="2:17">
      <c r="B20" s="335"/>
      <c r="C20" s="335"/>
      <c r="D20" s="335"/>
      <c r="E20" s="335"/>
      <c r="H20" s="306"/>
      <c r="I20" s="306"/>
      <c r="J20" s="304"/>
    </row>
    <row r="21" spans="2:17">
      <c r="B21" s="307" t="s">
        <v>417</v>
      </c>
      <c r="C21" s="307"/>
      <c r="D21" s="307"/>
      <c r="E21" s="307"/>
      <c r="F21" s="308"/>
      <c r="G21" s="308"/>
      <c r="H21" s="309">
        <f>SUM(H25:H30)+H23</f>
        <v>48507250</v>
      </c>
      <c r="I21" s="309">
        <f>SUM(I25:I30)+I23</f>
        <v>31295</v>
      </c>
      <c r="J21" s="308"/>
      <c r="K21" s="308"/>
      <c r="L21" s="308"/>
      <c r="M21" s="308"/>
      <c r="N21" s="308"/>
      <c r="O21" s="308"/>
      <c r="P21" s="308"/>
      <c r="Q21" s="308"/>
    </row>
    <row r="22" spans="2:17">
      <c r="B22" s="334" t="s">
        <v>404</v>
      </c>
      <c r="C22" s="334"/>
      <c r="D22" s="334"/>
      <c r="E22" s="334"/>
      <c r="H22" s="305">
        <f t="shared" ref="H22:H30" si="1">I22*$I$3</f>
        <v>25575000</v>
      </c>
      <c r="I22" s="305">
        <f>$I$4*I5</f>
        <v>16500</v>
      </c>
    </row>
    <row r="23" spans="2:17" ht="14.4">
      <c r="B23" s="336" t="s">
        <v>403</v>
      </c>
      <c r="C23" s="336"/>
      <c r="D23" s="336"/>
      <c r="E23" s="336"/>
      <c r="F23" s="331"/>
      <c r="G23" s="331"/>
      <c r="H23" s="332">
        <f t="shared" si="1"/>
        <v>34100000</v>
      </c>
      <c r="I23" s="332">
        <f>$I$4*I6</f>
        <v>22000</v>
      </c>
      <c r="J23" s="333"/>
      <c r="K23" s="333"/>
      <c r="L23" s="333"/>
      <c r="M23" s="333"/>
      <c r="N23" s="333"/>
      <c r="O23" s="333"/>
      <c r="P23" s="333"/>
      <c r="Q23" s="333"/>
    </row>
    <row r="24" spans="2:17">
      <c r="B24" s="334" t="s">
        <v>405</v>
      </c>
      <c r="C24" s="334"/>
      <c r="D24" s="334"/>
      <c r="E24" s="334"/>
      <c r="H24" s="305">
        <f t="shared" si="1"/>
        <v>42625000</v>
      </c>
      <c r="I24" s="305">
        <f>$I$4*I7</f>
        <v>27500</v>
      </c>
    </row>
    <row r="25" spans="2:17">
      <c r="B25" s="334" t="s">
        <v>408</v>
      </c>
      <c r="C25" s="334"/>
      <c r="D25" s="334"/>
      <c r="E25" s="334"/>
      <c r="H25" s="305">
        <f t="shared" si="1"/>
        <v>852500</v>
      </c>
      <c r="I25" s="305">
        <f>50*$I$4</f>
        <v>550</v>
      </c>
    </row>
    <row r="26" spans="2:17">
      <c r="B26" s="334" t="s">
        <v>409</v>
      </c>
      <c r="C26" s="334"/>
      <c r="D26" s="334"/>
      <c r="E26" s="334"/>
      <c r="H26" s="305">
        <f t="shared" si="1"/>
        <v>511500</v>
      </c>
      <c r="I26" s="305">
        <f>30*$I$4</f>
        <v>330</v>
      </c>
    </row>
    <row r="27" spans="2:17">
      <c r="B27" s="334" t="s">
        <v>410</v>
      </c>
      <c r="C27" s="334"/>
      <c r="D27" s="334"/>
      <c r="E27" s="334"/>
      <c r="H27" s="305">
        <f t="shared" si="1"/>
        <v>596750</v>
      </c>
      <c r="I27" s="305">
        <f>35*$I$4</f>
        <v>385</v>
      </c>
    </row>
    <row r="28" spans="2:17">
      <c r="B28" s="334" t="s">
        <v>411</v>
      </c>
      <c r="C28" s="334"/>
      <c r="D28" s="334"/>
      <c r="E28" s="334"/>
      <c r="H28" s="305">
        <f t="shared" si="1"/>
        <v>511500</v>
      </c>
      <c r="I28" s="305">
        <f>15*2*$I$4</f>
        <v>330</v>
      </c>
    </row>
    <row r="29" spans="2:17">
      <c r="B29" s="334" t="s">
        <v>406</v>
      </c>
      <c r="C29" s="334"/>
      <c r="D29" s="334"/>
      <c r="E29" s="334"/>
      <c r="H29" s="305">
        <f t="shared" si="1"/>
        <v>6820000</v>
      </c>
      <c r="I29" s="305">
        <f>200*2*$I$4</f>
        <v>4400</v>
      </c>
    </row>
    <row r="30" spans="2:17">
      <c r="B30" s="334" t="s">
        <v>407</v>
      </c>
      <c r="C30" s="334"/>
      <c r="D30" s="334"/>
      <c r="E30" s="334"/>
      <c r="H30" s="305">
        <f t="shared" si="1"/>
        <v>5115000</v>
      </c>
      <c r="I30" s="305">
        <f>150*2*$I$4</f>
        <v>3300</v>
      </c>
    </row>
    <row r="31" spans="2:17">
      <c r="B31" s="335"/>
      <c r="C31" s="335"/>
      <c r="D31" s="335"/>
      <c r="E31" s="335"/>
    </row>
    <row r="32" spans="2:17">
      <c r="B32" s="307" t="s">
        <v>418</v>
      </c>
      <c r="C32" s="307"/>
      <c r="D32" s="307"/>
      <c r="E32" s="307"/>
      <c r="F32" s="308"/>
      <c r="G32" s="308"/>
      <c r="H32" s="309">
        <f>SUM(H33:H35)</f>
        <v>11935000</v>
      </c>
      <c r="I32" s="309">
        <f>SUM(I33:I35)</f>
        <v>7700</v>
      </c>
      <c r="J32" s="308"/>
      <c r="K32" s="308"/>
      <c r="L32" s="308"/>
      <c r="M32" s="308"/>
      <c r="N32" s="308"/>
      <c r="O32" s="308"/>
      <c r="P32" s="308"/>
      <c r="Q32" s="308"/>
    </row>
    <row r="33" spans="1:17">
      <c r="B33" s="334" t="s">
        <v>412</v>
      </c>
      <c r="C33" s="334"/>
      <c r="D33" s="334"/>
      <c r="E33" s="334"/>
      <c r="H33" s="305">
        <f t="shared" ref="H33:H35" si="2">I33*$I$3</f>
        <v>5115000</v>
      </c>
      <c r="I33" s="305">
        <f>300*11</f>
        <v>3300</v>
      </c>
    </row>
    <row r="34" spans="1:17">
      <c r="B34" s="334" t="s">
        <v>413</v>
      </c>
      <c r="C34" s="334"/>
      <c r="D34" s="334"/>
      <c r="E34" s="334"/>
      <c r="H34" s="305">
        <f t="shared" si="2"/>
        <v>3410000</v>
      </c>
      <c r="I34" s="305">
        <f>100*2*$I$4</f>
        <v>2200</v>
      </c>
    </row>
    <row r="35" spans="1:17">
      <c r="B35" s="334" t="s">
        <v>414</v>
      </c>
      <c r="C35" s="334"/>
      <c r="D35" s="334"/>
      <c r="E35" s="334"/>
      <c r="H35" s="305">
        <f t="shared" si="2"/>
        <v>3410000</v>
      </c>
      <c r="I35" s="305">
        <f>100*2*$I$4</f>
        <v>2200</v>
      </c>
    </row>
    <row r="36" spans="1:17">
      <c r="B36" s="335"/>
      <c r="C36" s="335"/>
      <c r="D36" s="335"/>
      <c r="E36" s="335"/>
    </row>
    <row r="37" spans="1:17">
      <c r="B37" s="335"/>
      <c r="C37" s="335"/>
      <c r="D37" s="335"/>
      <c r="E37" s="335"/>
    </row>
    <row r="38" spans="1:17">
      <c r="B38" s="337" t="s">
        <v>419</v>
      </c>
      <c r="C38" s="337"/>
      <c r="D38" s="337"/>
      <c r="E38" s="337"/>
      <c r="F38" s="337"/>
      <c r="G38" s="337"/>
      <c r="H38" s="338">
        <f>H16+H21+H32</f>
        <v>138097250</v>
      </c>
      <c r="I38" s="338">
        <f>I16+I21+I32</f>
        <v>89095</v>
      </c>
      <c r="J38" s="337"/>
      <c r="K38" s="339"/>
      <c r="L38" s="337"/>
      <c r="M38" s="337"/>
      <c r="N38" s="337"/>
      <c r="O38" s="337"/>
      <c r="P38" s="337"/>
      <c r="Q38" s="337"/>
    </row>
    <row r="39" spans="1:17" s="343" customFormat="1">
      <c r="A39" s="455"/>
      <c r="B39" s="340"/>
      <c r="C39" s="340"/>
      <c r="D39" s="340"/>
      <c r="E39" s="340"/>
      <c r="F39" s="340"/>
      <c r="G39" s="340"/>
      <c r="H39" s="341"/>
      <c r="I39" s="341"/>
      <c r="J39" s="340"/>
      <c r="K39" s="342"/>
      <c r="L39" s="340"/>
      <c r="M39" s="340"/>
      <c r="N39" s="340"/>
      <c r="O39" s="340"/>
      <c r="P39" s="340"/>
      <c r="Q39" s="340"/>
    </row>
    <row r="40" spans="1:17" s="343" customFormat="1">
      <c r="A40" s="455"/>
      <c r="B40" s="345" t="s">
        <v>443</v>
      </c>
      <c r="C40" s="345"/>
      <c r="D40" s="345"/>
      <c r="E40" s="345"/>
      <c r="F40" s="340"/>
      <c r="G40" s="340"/>
      <c r="H40" s="341"/>
      <c r="I40" s="341"/>
      <c r="J40" s="340"/>
      <c r="K40" s="342"/>
      <c r="L40" s="340"/>
      <c r="M40" s="340"/>
      <c r="N40" s="340"/>
      <c r="O40" s="340"/>
      <c r="P40" s="340"/>
      <c r="Q40" s="340"/>
    </row>
    <row r="41" spans="1:17">
      <c r="A41" s="454" t="s">
        <v>606</v>
      </c>
      <c r="B41" s="328" t="s">
        <v>398</v>
      </c>
      <c r="C41" s="328"/>
      <c r="D41" s="328"/>
      <c r="E41" s="328"/>
      <c r="F41" s="328"/>
      <c r="G41" s="328"/>
      <c r="H41" s="329" t="s">
        <v>29</v>
      </c>
      <c r="I41" s="329" t="s">
        <v>434</v>
      </c>
      <c r="J41" s="328" t="s">
        <v>392</v>
      </c>
      <c r="K41" s="330"/>
      <c r="L41" s="330"/>
      <c r="M41" s="330"/>
      <c r="N41" s="330"/>
      <c r="O41" s="330"/>
      <c r="P41" s="330"/>
      <c r="Q41" s="330"/>
    </row>
    <row r="42" spans="1:17">
      <c r="B42" s="307" t="s">
        <v>438</v>
      </c>
      <c r="C42" s="307"/>
      <c r="D42" s="307"/>
      <c r="E42" s="307"/>
      <c r="F42" s="308"/>
      <c r="G42" s="308"/>
      <c r="H42" s="309">
        <f>H43</f>
        <v>64900000</v>
      </c>
      <c r="I42" s="309">
        <f>I43</f>
        <v>55000</v>
      </c>
      <c r="J42" s="308"/>
      <c r="K42" s="308"/>
      <c r="L42" s="308"/>
      <c r="M42" s="308"/>
      <c r="N42" s="308"/>
      <c r="O42" s="308"/>
      <c r="P42" s="308"/>
      <c r="Q42" s="308"/>
    </row>
    <row r="43" spans="1:17">
      <c r="B43" s="334" t="s">
        <v>420</v>
      </c>
      <c r="C43" s="334"/>
      <c r="D43" s="334"/>
      <c r="E43" s="334"/>
      <c r="H43" s="305">
        <f>I43*$I$9</f>
        <v>64900000</v>
      </c>
      <c r="I43" s="305">
        <v>55000</v>
      </c>
      <c r="J43" s="304" t="s">
        <v>436</v>
      </c>
    </row>
    <row r="44" spans="1:17">
      <c r="B44" s="334" t="s">
        <v>437</v>
      </c>
      <c r="C44" s="334"/>
      <c r="D44" s="334"/>
      <c r="E44" s="334"/>
      <c r="H44" s="305">
        <f>I44*$I$9</f>
        <v>6246625</v>
      </c>
      <c r="I44" s="305">
        <f>I43*10.5%*(11/12)</f>
        <v>5293.75</v>
      </c>
    </row>
    <row r="45" spans="1:17">
      <c r="B45" s="335"/>
      <c r="C45" s="335"/>
      <c r="D45" s="335"/>
      <c r="E45" s="335"/>
    </row>
    <row r="46" spans="1:17">
      <c r="B46" s="334" t="s">
        <v>433</v>
      </c>
      <c r="C46" s="334"/>
      <c r="D46" s="334"/>
      <c r="E46" s="334"/>
    </row>
    <row r="47" spans="1:17">
      <c r="B47" s="307" t="s">
        <v>440</v>
      </c>
      <c r="C47" s="307"/>
      <c r="D47" s="307"/>
      <c r="E47" s="307"/>
      <c r="F47" s="308"/>
      <c r="G47" s="308"/>
      <c r="H47" s="309">
        <f>SUM(H48:H49)</f>
        <v>90000000</v>
      </c>
      <c r="I47" s="309">
        <f>SUM(I48:I49)</f>
        <v>76271.186440677964</v>
      </c>
      <c r="J47" s="308"/>
      <c r="K47" s="308"/>
      <c r="L47" s="308"/>
      <c r="M47" s="308"/>
      <c r="N47" s="308"/>
      <c r="O47" s="308"/>
      <c r="P47" s="308"/>
      <c r="Q47" s="308"/>
    </row>
    <row r="48" spans="1:17">
      <c r="B48" s="334" t="s">
        <v>439</v>
      </c>
      <c r="C48" s="334"/>
      <c r="D48" s="334"/>
      <c r="E48" s="334"/>
      <c r="H48" s="305">
        <v>70000000</v>
      </c>
      <c r="I48" s="305">
        <f>H48/$I$9</f>
        <v>59322.033898305082</v>
      </c>
    </row>
    <row r="49" spans="1:17">
      <c r="B49" s="334" t="s">
        <v>441</v>
      </c>
      <c r="C49" s="334"/>
      <c r="D49" s="334"/>
      <c r="E49" s="334"/>
      <c r="H49" s="305">
        <v>20000000</v>
      </c>
      <c r="I49" s="305">
        <f>H49/$I$9</f>
        <v>16949.152542372882</v>
      </c>
    </row>
    <row r="50" spans="1:17">
      <c r="B50" s="334" t="s">
        <v>447</v>
      </c>
      <c r="C50" s="334"/>
      <c r="D50" s="334"/>
      <c r="E50" s="334"/>
    </row>
    <row r="51" spans="1:17" ht="14.4" thickBot="1"/>
    <row r="52" spans="1:17">
      <c r="A52" s="454" t="s">
        <v>606</v>
      </c>
      <c r="B52" s="349" t="s">
        <v>443</v>
      </c>
      <c r="C52" s="350"/>
      <c r="D52" s="350"/>
      <c r="E52" s="350"/>
      <c r="F52" s="350"/>
      <c r="G52" s="350"/>
      <c r="H52" s="350"/>
      <c r="I52" s="350"/>
      <c r="J52" s="350" t="s">
        <v>444</v>
      </c>
      <c r="K52" s="350"/>
      <c r="L52" s="350"/>
      <c r="M52" s="350"/>
      <c r="N52" s="351"/>
      <c r="O52" s="317"/>
      <c r="P52" s="317"/>
      <c r="Q52" s="317"/>
    </row>
    <row r="53" spans="1:17">
      <c r="B53" s="316" t="str">
        <f>B42</f>
        <v>Debt Financing Sources</v>
      </c>
      <c r="C53" s="446"/>
      <c r="D53" s="446"/>
      <c r="E53" s="446"/>
      <c r="F53" s="317"/>
      <c r="G53" s="317"/>
      <c r="H53" s="318"/>
      <c r="I53" s="319">
        <f>H42</f>
        <v>64900000</v>
      </c>
      <c r="J53" s="317" t="str">
        <f>B16</f>
        <v>1. Total Tuition</v>
      </c>
      <c r="K53" s="317"/>
      <c r="L53" s="317"/>
      <c r="M53" s="317"/>
      <c r="N53" s="352">
        <f>H16</f>
        <v>77655000</v>
      </c>
      <c r="O53" s="317"/>
      <c r="P53" s="317"/>
      <c r="Q53" s="317"/>
    </row>
    <row r="54" spans="1:17">
      <c r="B54" s="347" t="str">
        <f>B43</f>
        <v>Student Loan_Prodigy</v>
      </c>
      <c r="C54" s="451"/>
      <c r="D54" s="451"/>
      <c r="E54" s="451"/>
      <c r="F54" s="317"/>
      <c r="G54" s="317"/>
      <c r="H54" s="318"/>
      <c r="I54" s="319">
        <f>H43</f>
        <v>64900000</v>
      </c>
      <c r="J54" s="317" t="str">
        <f>B21</f>
        <v>2. Fixed Expenses</v>
      </c>
      <c r="K54" s="317"/>
      <c r="L54" s="317"/>
      <c r="M54" s="317"/>
      <c r="N54" s="352">
        <f>H21</f>
        <v>48507250</v>
      </c>
      <c r="O54" s="317"/>
      <c r="P54" s="317"/>
      <c r="Q54" s="317"/>
    </row>
    <row r="55" spans="1:17">
      <c r="B55" s="320"/>
      <c r="C55" s="447"/>
      <c r="D55" s="447"/>
      <c r="E55" s="447"/>
      <c r="F55" s="317"/>
      <c r="G55" s="317"/>
      <c r="H55" s="318"/>
      <c r="I55" s="319"/>
      <c r="J55" s="317" t="str">
        <f>B32</f>
        <v>3. Better Life Style Expenses</v>
      </c>
      <c r="K55" s="317"/>
      <c r="L55" s="317"/>
      <c r="M55" s="317"/>
      <c r="N55" s="352">
        <f>H32</f>
        <v>11935000</v>
      </c>
      <c r="O55" s="317"/>
      <c r="P55" s="317"/>
      <c r="Q55" s="317"/>
    </row>
    <row r="56" spans="1:17">
      <c r="B56" s="320" t="str">
        <f>B47</f>
        <v>Equity Financing</v>
      </c>
      <c r="C56" s="447"/>
      <c r="D56" s="447"/>
      <c r="E56" s="447"/>
      <c r="F56" s="317"/>
      <c r="G56" s="317"/>
      <c r="H56" s="318"/>
      <c r="I56" s="319">
        <f>H47</f>
        <v>90000000</v>
      </c>
      <c r="J56" s="317"/>
      <c r="K56" s="317"/>
      <c r="L56" s="317"/>
      <c r="M56" s="317"/>
      <c r="N56" s="346"/>
      <c r="O56" s="317"/>
      <c r="P56" s="317"/>
      <c r="Q56" s="317"/>
    </row>
    <row r="57" spans="1:17">
      <c r="B57" s="347" t="str">
        <f>B48</f>
        <v>Proprietary Capital</v>
      </c>
      <c r="C57" s="451"/>
      <c r="D57" s="451"/>
      <c r="E57" s="451"/>
      <c r="F57" s="317"/>
      <c r="G57" s="317"/>
      <c r="H57" s="318"/>
      <c r="I57" s="319">
        <f>H48</f>
        <v>70000000</v>
      </c>
      <c r="J57" s="317"/>
      <c r="K57" s="317"/>
      <c r="L57" s="317"/>
      <c r="M57" s="317"/>
      <c r="N57" s="346"/>
      <c r="O57" s="317"/>
      <c r="P57" s="317"/>
      <c r="Q57" s="317"/>
    </row>
    <row r="58" spans="1:17">
      <c r="B58" s="348" t="str">
        <f>B49</f>
        <v>Contributions from parents</v>
      </c>
      <c r="C58" s="452"/>
      <c r="D58" s="452"/>
      <c r="E58" s="452"/>
      <c r="F58" s="317"/>
      <c r="G58" s="317"/>
      <c r="H58" s="318"/>
      <c r="I58" s="319">
        <f>H49</f>
        <v>20000000</v>
      </c>
      <c r="J58" s="317"/>
      <c r="K58" s="317"/>
      <c r="L58" s="317"/>
      <c r="M58" s="317"/>
      <c r="N58" s="346"/>
      <c r="O58" s="317"/>
      <c r="P58" s="317"/>
      <c r="Q58" s="317"/>
    </row>
    <row r="59" spans="1:17">
      <c r="B59" s="348" t="str">
        <f>B50</f>
        <v xml:space="preserve">Scholarship </v>
      </c>
      <c r="C59" s="452"/>
      <c r="D59" s="452"/>
      <c r="E59" s="452"/>
      <c r="F59" s="317"/>
      <c r="G59" s="317"/>
      <c r="H59" s="318"/>
      <c r="I59" s="319"/>
      <c r="J59" s="317"/>
      <c r="K59" s="317"/>
      <c r="L59" s="317"/>
      <c r="M59" s="317"/>
      <c r="N59" s="346"/>
      <c r="O59" s="317"/>
      <c r="P59" s="317"/>
      <c r="Q59" s="317"/>
    </row>
    <row r="60" spans="1:17">
      <c r="B60" s="348"/>
      <c r="C60" s="452"/>
      <c r="D60" s="452"/>
      <c r="E60" s="452"/>
      <c r="F60" s="317"/>
      <c r="G60" s="317"/>
      <c r="H60" s="318"/>
      <c r="I60" s="319"/>
      <c r="J60" s="317"/>
      <c r="K60" s="317"/>
      <c r="L60" s="317"/>
      <c r="M60" s="317"/>
      <c r="N60" s="346"/>
      <c r="O60" s="317"/>
      <c r="P60" s="317"/>
      <c r="Q60" s="317"/>
    </row>
    <row r="61" spans="1:17" ht="14.4" thickBot="1">
      <c r="B61" s="354" t="s">
        <v>445</v>
      </c>
      <c r="C61" s="453"/>
      <c r="D61" s="453"/>
      <c r="E61" s="453"/>
      <c r="F61" s="355"/>
      <c r="G61" s="355"/>
      <c r="H61" s="356"/>
      <c r="I61" s="357">
        <f>I53+I56</f>
        <v>154900000</v>
      </c>
      <c r="J61" s="354" t="s">
        <v>445</v>
      </c>
      <c r="K61" s="355"/>
      <c r="L61" s="355"/>
      <c r="M61" s="356"/>
      <c r="N61" s="357">
        <f>N53+N54+N55</f>
        <v>138097250</v>
      </c>
      <c r="O61" s="317"/>
      <c r="P61" s="317"/>
      <c r="Q61" s="317"/>
    </row>
    <row r="63" spans="1:17">
      <c r="B63" s="304" t="s">
        <v>117</v>
      </c>
      <c r="C63" s="304"/>
      <c r="D63" s="304"/>
      <c r="E63" s="304"/>
      <c r="I63" s="305">
        <f>I61-N61</f>
        <v>16802750</v>
      </c>
    </row>
    <row r="64" spans="1:17">
      <c r="B64" s="304" t="s">
        <v>446</v>
      </c>
      <c r="C64" s="304"/>
      <c r="D64" s="304"/>
      <c r="E64" s="304"/>
      <c r="I64" s="353">
        <f>I63/N61</f>
        <v>0.12167331355258704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249977111117893"/>
  </sheetPr>
  <dimension ref="B1:F40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23" sqref="I23"/>
    </sheetView>
  </sheetViews>
  <sheetFormatPr defaultRowHeight="13.8"/>
  <cols>
    <col min="2" max="2" width="15.8984375" style="255" bestFit="1" customWidth="1"/>
    <col min="3" max="3" width="11.09765625" bestFit="1" customWidth="1"/>
    <col min="5" max="5" width="9.3984375" bestFit="1" customWidth="1"/>
    <col min="6" max="6" width="11.09765625" bestFit="1" customWidth="1"/>
  </cols>
  <sheetData>
    <row r="1" spans="2:6">
      <c r="B1" s="252" t="s">
        <v>232</v>
      </c>
    </row>
    <row r="2" spans="2:6" ht="14.4">
      <c r="B2" s="431" t="s">
        <v>82</v>
      </c>
      <c r="C2" s="431" t="s">
        <v>78</v>
      </c>
      <c r="D2" s="431" t="s">
        <v>79</v>
      </c>
      <c r="E2" s="431" t="s">
        <v>83</v>
      </c>
      <c r="F2" s="432" t="s">
        <v>70</v>
      </c>
    </row>
    <row r="3" spans="2:6" ht="14.4">
      <c r="B3" s="253" t="s">
        <v>233</v>
      </c>
      <c r="C3" s="205">
        <f>SUM(C4:C36)</f>
        <v>5200000</v>
      </c>
      <c r="D3" s="205">
        <f t="shared" ref="D3:E3" si="0">SUM(D4:D36)</f>
        <v>50000</v>
      </c>
      <c r="E3" s="205">
        <f t="shared" si="0"/>
        <v>350000</v>
      </c>
      <c r="F3" s="205">
        <f>SUM(F4:F36)</f>
        <v>5600000</v>
      </c>
    </row>
    <row r="4" spans="2:6" ht="14.4">
      <c r="B4" s="254" t="s">
        <v>71</v>
      </c>
      <c r="C4" s="204">
        <v>200000</v>
      </c>
      <c r="D4" s="204">
        <v>50000</v>
      </c>
      <c r="E4" s="204"/>
      <c r="F4" s="206">
        <f>SUM(C4:E4)</f>
        <v>250000</v>
      </c>
    </row>
    <row r="5" spans="2:6" ht="14.4">
      <c r="B5" s="254" t="s">
        <v>72</v>
      </c>
      <c r="C5" s="204">
        <v>50000</v>
      </c>
      <c r="D5" s="204"/>
      <c r="E5" s="204"/>
      <c r="F5" s="206">
        <f t="shared" ref="F5:F36" si="1">SUM(C5:E5)</f>
        <v>50000</v>
      </c>
    </row>
    <row r="6" spans="2:6" ht="14.4">
      <c r="B6" s="254" t="s">
        <v>73</v>
      </c>
      <c r="C6" s="204">
        <v>200000</v>
      </c>
      <c r="D6" s="204"/>
      <c r="E6" s="204"/>
      <c r="F6" s="206">
        <f t="shared" si="1"/>
        <v>200000</v>
      </c>
    </row>
    <row r="7" spans="2:6" ht="14.4">
      <c r="B7" s="254" t="s">
        <v>74</v>
      </c>
      <c r="C7" s="204">
        <v>100000</v>
      </c>
      <c r="D7" s="204"/>
      <c r="E7" s="204"/>
      <c r="F7" s="206">
        <f t="shared" si="1"/>
        <v>100000</v>
      </c>
    </row>
    <row r="8" spans="2:6" ht="14.4">
      <c r="B8" s="254" t="s">
        <v>75</v>
      </c>
      <c r="C8" s="204">
        <v>50000</v>
      </c>
      <c r="D8" s="204"/>
      <c r="E8" s="204"/>
      <c r="F8" s="206">
        <f t="shared" si="1"/>
        <v>50000</v>
      </c>
    </row>
    <row r="9" spans="2:6" ht="14.4">
      <c r="B9" s="254" t="s">
        <v>76</v>
      </c>
      <c r="C9" s="204">
        <v>50000</v>
      </c>
      <c r="D9" s="204"/>
      <c r="E9" s="204"/>
      <c r="F9" s="206">
        <f t="shared" si="1"/>
        <v>50000</v>
      </c>
    </row>
    <row r="10" spans="2:6" ht="14.4">
      <c r="B10" s="254" t="s">
        <v>278</v>
      </c>
      <c r="C10" s="204">
        <v>200000</v>
      </c>
      <c r="D10" s="204"/>
      <c r="E10" s="204"/>
      <c r="F10" s="206">
        <f t="shared" si="1"/>
        <v>200000</v>
      </c>
    </row>
    <row r="11" spans="2:6" ht="14.4">
      <c r="B11" s="254" t="s">
        <v>77</v>
      </c>
      <c r="C11" s="204">
        <v>200000</v>
      </c>
      <c r="D11" s="204"/>
      <c r="E11" s="204"/>
      <c r="F11" s="206">
        <f t="shared" si="1"/>
        <v>200000</v>
      </c>
    </row>
    <row r="12" spans="2:6" ht="14.4">
      <c r="B12" s="254" t="s">
        <v>80</v>
      </c>
      <c r="C12" s="204">
        <v>300000</v>
      </c>
      <c r="D12" s="204"/>
      <c r="E12" s="204"/>
      <c r="F12" s="206">
        <f t="shared" si="1"/>
        <v>300000</v>
      </c>
    </row>
    <row r="13" spans="2:6" ht="14.4">
      <c r="B13" s="254" t="s">
        <v>81</v>
      </c>
      <c r="C13" s="204">
        <v>200000</v>
      </c>
      <c r="D13" s="204"/>
      <c r="E13" s="204"/>
      <c r="F13" s="206">
        <f t="shared" si="1"/>
        <v>200000</v>
      </c>
    </row>
    <row r="14" spans="2:6" ht="14.4">
      <c r="B14" s="254" t="s">
        <v>85</v>
      </c>
      <c r="C14" s="204">
        <v>200000</v>
      </c>
      <c r="D14" s="204"/>
      <c r="E14" s="204"/>
      <c r="F14" s="206">
        <f t="shared" si="1"/>
        <v>200000</v>
      </c>
    </row>
    <row r="15" spans="2:6" ht="14.4">
      <c r="B15" s="254" t="s">
        <v>292</v>
      </c>
      <c r="C15" s="204"/>
      <c r="D15" s="204"/>
      <c r="E15" s="204">
        <v>100000</v>
      </c>
      <c r="F15" s="206">
        <f t="shared" si="1"/>
        <v>100000</v>
      </c>
    </row>
    <row r="16" spans="2:6" ht="14.4">
      <c r="B16" s="254" t="s">
        <v>293</v>
      </c>
      <c r="C16" s="204">
        <v>200000</v>
      </c>
      <c r="D16" s="204"/>
      <c r="E16" s="204"/>
      <c r="F16" s="206">
        <f t="shared" si="1"/>
        <v>200000</v>
      </c>
    </row>
    <row r="17" spans="2:6" ht="14.4">
      <c r="B17" s="254" t="s">
        <v>249</v>
      </c>
      <c r="C17" s="204">
        <v>50000</v>
      </c>
      <c r="D17" s="204"/>
      <c r="E17" s="204"/>
      <c r="F17" s="206">
        <f t="shared" si="1"/>
        <v>50000</v>
      </c>
    </row>
    <row r="18" spans="2:6" ht="14.4">
      <c r="B18" s="254" t="s">
        <v>294</v>
      </c>
      <c r="C18" s="204">
        <v>200000</v>
      </c>
      <c r="D18" s="204"/>
      <c r="E18" s="204"/>
      <c r="F18" s="206">
        <f t="shared" si="1"/>
        <v>200000</v>
      </c>
    </row>
    <row r="19" spans="2:6" ht="14.4">
      <c r="B19" s="254" t="s">
        <v>295</v>
      </c>
      <c r="C19" s="204">
        <v>300000</v>
      </c>
      <c r="D19" s="204"/>
      <c r="E19" s="204"/>
      <c r="F19" s="206">
        <f t="shared" si="1"/>
        <v>300000</v>
      </c>
    </row>
    <row r="20" spans="2:6" ht="14.4">
      <c r="B20" s="254" t="s">
        <v>296</v>
      </c>
      <c r="C20" s="204">
        <v>100000</v>
      </c>
      <c r="D20" s="204"/>
      <c r="E20" s="204"/>
      <c r="F20" s="206">
        <f t="shared" si="1"/>
        <v>100000</v>
      </c>
    </row>
    <row r="21" spans="2:6" ht="14.4">
      <c r="B21" s="254" t="s">
        <v>241</v>
      </c>
      <c r="C21" s="204">
        <v>200000</v>
      </c>
      <c r="D21" s="204"/>
      <c r="E21" s="204"/>
      <c r="F21" s="206">
        <f t="shared" si="1"/>
        <v>200000</v>
      </c>
    </row>
    <row r="22" spans="2:6" ht="14.4">
      <c r="B22" s="254" t="s">
        <v>297</v>
      </c>
      <c r="C22" s="204">
        <v>100000</v>
      </c>
      <c r="D22" s="204"/>
      <c r="E22" s="204"/>
      <c r="F22" s="206">
        <f t="shared" si="1"/>
        <v>100000</v>
      </c>
    </row>
    <row r="23" spans="2:6" ht="14.4">
      <c r="B23" s="254" t="s">
        <v>298</v>
      </c>
      <c r="C23" s="204">
        <v>200000</v>
      </c>
      <c r="D23" s="204"/>
      <c r="E23" s="204"/>
      <c r="F23" s="206">
        <f t="shared" si="1"/>
        <v>200000</v>
      </c>
    </row>
    <row r="24" spans="2:6" ht="14.4">
      <c r="B24" s="254" t="s">
        <v>311</v>
      </c>
      <c r="C24" s="204">
        <v>100000</v>
      </c>
      <c r="D24" s="204"/>
      <c r="E24" s="204"/>
      <c r="F24" s="206">
        <f t="shared" si="1"/>
        <v>100000</v>
      </c>
    </row>
    <row r="25" spans="2:6" ht="14.4">
      <c r="B25" s="254" t="s">
        <v>277</v>
      </c>
      <c r="C25" s="204">
        <v>200000</v>
      </c>
      <c r="D25" s="204"/>
      <c r="E25" s="204"/>
      <c r="F25" s="206">
        <f t="shared" si="1"/>
        <v>200000</v>
      </c>
    </row>
    <row r="26" spans="2:6" ht="14.4">
      <c r="B26" s="254" t="s">
        <v>355</v>
      </c>
      <c r="C26" s="204">
        <v>300000</v>
      </c>
      <c r="D26" s="204"/>
      <c r="E26" s="204"/>
      <c r="F26" s="206">
        <f t="shared" si="1"/>
        <v>300000</v>
      </c>
    </row>
    <row r="27" spans="2:6" ht="14.4">
      <c r="B27" s="254" t="s">
        <v>356</v>
      </c>
      <c r="C27" s="204">
        <v>300000</v>
      </c>
      <c r="D27" s="204"/>
      <c r="E27" s="204"/>
      <c r="F27" s="206">
        <f t="shared" si="1"/>
        <v>300000</v>
      </c>
    </row>
    <row r="28" spans="2:6" ht="14.4">
      <c r="B28" s="254" t="s">
        <v>248</v>
      </c>
      <c r="C28" s="204">
        <v>300000</v>
      </c>
      <c r="D28" s="204"/>
      <c r="E28" s="204"/>
      <c r="F28" s="206">
        <f t="shared" si="1"/>
        <v>300000</v>
      </c>
    </row>
    <row r="29" spans="2:6" ht="14.4">
      <c r="B29" s="254" t="s">
        <v>314</v>
      </c>
      <c r="C29" s="204">
        <v>300000</v>
      </c>
      <c r="D29" s="204"/>
      <c r="E29" s="204"/>
      <c r="F29" s="206">
        <f t="shared" si="1"/>
        <v>300000</v>
      </c>
    </row>
    <row r="30" spans="2:6" ht="14.4">
      <c r="B30" s="254" t="s">
        <v>432</v>
      </c>
      <c r="C30" s="204">
        <v>100000</v>
      </c>
      <c r="D30" s="204"/>
      <c r="E30" s="204"/>
      <c r="F30" s="206">
        <f t="shared" si="1"/>
        <v>100000</v>
      </c>
    </row>
    <row r="31" spans="2:6" ht="14.4">
      <c r="B31" s="254" t="s">
        <v>310</v>
      </c>
      <c r="C31" s="204">
        <v>200000</v>
      </c>
      <c r="D31" s="204"/>
      <c r="E31" s="204"/>
      <c r="F31" s="206">
        <f t="shared" si="1"/>
        <v>200000</v>
      </c>
    </row>
    <row r="32" spans="2:6" ht="14.4">
      <c r="B32" s="254" t="s">
        <v>315</v>
      </c>
      <c r="C32" s="204"/>
      <c r="D32" s="204"/>
      <c r="E32" s="204">
        <v>50000</v>
      </c>
      <c r="F32" s="206">
        <f t="shared" si="1"/>
        <v>50000</v>
      </c>
    </row>
    <row r="33" spans="2:6" ht="14.4">
      <c r="B33" s="254" t="s">
        <v>431</v>
      </c>
      <c r="C33" s="204"/>
      <c r="D33" s="204"/>
      <c r="E33" s="204">
        <v>100000</v>
      </c>
      <c r="F33" s="206">
        <f t="shared" si="1"/>
        <v>100000</v>
      </c>
    </row>
    <row r="34" spans="2:6" ht="14.4">
      <c r="B34" s="254" t="s">
        <v>429</v>
      </c>
      <c r="C34" s="204"/>
      <c r="D34" s="204"/>
      <c r="E34" s="204">
        <v>100000</v>
      </c>
      <c r="F34" s="206">
        <f t="shared" si="1"/>
        <v>100000</v>
      </c>
    </row>
    <row r="35" spans="2:6" ht="14.4">
      <c r="B35" s="254" t="s">
        <v>430</v>
      </c>
      <c r="C35" s="204">
        <v>100000</v>
      </c>
      <c r="D35" s="204"/>
      <c r="E35" s="204"/>
      <c r="F35" s="206">
        <f t="shared" si="1"/>
        <v>100000</v>
      </c>
    </row>
    <row r="36" spans="2:6" ht="14.4">
      <c r="B36" s="254" t="s">
        <v>309</v>
      </c>
      <c r="C36" s="204">
        <v>200000</v>
      </c>
      <c r="D36" s="204"/>
      <c r="E36" s="204"/>
      <c r="F36" s="206">
        <f t="shared" si="1"/>
        <v>200000</v>
      </c>
    </row>
    <row r="37" spans="2:6">
      <c r="B37" s="256"/>
      <c r="C37" s="206"/>
      <c r="D37" s="206"/>
      <c r="E37" s="206"/>
      <c r="F37" s="206"/>
    </row>
    <row r="38" spans="2:6">
      <c r="B38" s="256"/>
      <c r="C38" s="206"/>
      <c r="D38" s="206"/>
      <c r="E38" s="206"/>
      <c r="F38" s="206"/>
    </row>
    <row r="39" spans="2:6">
      <c r="B39" s="256"/>
      <c r="C39" s="206"/>
      <c r="D39" s="206"/>
      <c r="E39" s="206"/>
      <c r="F39" s="206"/>
    </row>
    <row r="40" spans="2:6">
      <c r="B40" s="257"/>
      <c r="C40" s="207"/>
      <c r="D40" s="207"/>
      <c r="E40" s="207"/>
      <c r="F40" s="207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370"/>
  <sheetViews>
    <sheetView showGridLines="0" zoomScale="85" zoomScaleNormal="85" workbookViewId="0">
      <pane ySplit="1" topLeftCell="A35" activePane="bottomLeft" state="frozen"/>
      <selection activeCell="C30" sqref="C30"/>
      <selection pane="bottomLeft" activeCell="B60" sqref="B60"/>
    </sheetView>
  </sheetViews>
  <sheetFormatPr defaultColWidth="8.8984375" defaultRowHeight="13.8"/>
  <cols>
    <col min="1" max="1" width="5" style="2" customWidth="1"/>
    <col min="3" max="3" width="15.19921875" style="2" bestFit="1" customWidth="1"/>
    <col min="4" max="4" width="33.296875" style="2" bestFit="1" customWidth="1"/>
    <col min="5" max="7" width="8.8984375" style="2"/>
    <col min="8" max="8" width="10.8984375" style="2" bestFit="1" customWidth="1"/>
    <col min="9" max="9" width="11.8984375" style="2" bestFit="1" customWidth="1"/>
    <col min="10" max="10" width="8.8984375" style="2"/>
    <col min="11" max="11" width="11.8984375" style="2" bestFit="1" customWidth="1"/>
    <col min="12" max="12" width="8.8984375" style="2"/>
    <col min="13" max="13" width="9.09765625" style="2" customWidth="1"/>
    <col min="14" max="15" width="11.8984375" style="2" bestFit="1" customWidth="1"/>
    <col min="16" max="16384" width="8.8984375" style="2"/>
  </cols>
  <sheetData>
    <row r="1" spans="2:15">
      <c r="B1" s="2"/>
      <c r="M1" s="71" t="s">
        <v>116</v>
      </c>
      <c r="N1" s="71" t="s">
        <v>117</v>
      </c>
    </row>
    <row r="2" spans="2:15" ht="15" customHeight="1">
      <c r="B2" s="2"/>
      <c r="M2" s="70">
        <v>43120</v>
      </c>
      <c r="N2" s="69">
        <v>79626457</v>
      </c>
      <c r="O2" s="3"/>
    </row>
    <row r="3" spans="2:15" ht="15" customHeight="1">
      <c r="B3" s="2"/>
      <c r="M3" s="70">
        <v>43156</v>
      </c>
      <c r="N3" s="69">
        <v>84743208</v>
      </c>
      <c r="O3" s="3"/>
    </row>
    <row r="4" spans="2:15">
      <c r="B4" s="2"/>
      <c r="M4" s="70">
        <v>43187</v>
      </c>
      <c r="N4" s="69">
        <v>81571912</v>
      </c>
      <c r="O4" s="3"/>
    </row>
    <row r="5" spans="2:15" ht="15" customHeight="1">
      <c r="B5" s="2"/>
      <c r="M5" s="70">
        <v>43209</v>
      </c>
      <c r="N5" s="69">
        <v>77308611</v>
      </c>
      <c r="O5" s="3"/>
    </row>
    <row r="6" spans="2:15" ht="15" customHeight="1">
      <c r="B6" s="2"/>
      <c r="M6" s="70">
        <v>43209</v>
      </c>
      <c r="N6" s="69">
        <v>67091331.29792878</v>
      </c>
      <c r="O6" s="3"/>
    </row>
    <row r="7" spans="2:15">
      <c r="B7" s="2"/>
      <c r="M7" s="70">
        <v>43227</v>
      </c>
      <c r="N7" s="69">
        <v>64670500</v>
      </c>
      <c r="O7" s="3"/>
    </row>
    <row r="8" spans="2:15">
      <c r="B8" s="2"/>
      <c r="M8" s="70">
        <v>43268</v>
      </c>
      <c r="N8" s="69">
        <v>74661908</v>
      </c>
      <c r="O8" s="3"/>
    </row>
    <row r="9" spans="2:15">
      <c r="B9" s="2"/>
      <c r="M9" s="70">
        <v>43275</v>
      </c>
      <c r="N9" s="69">
        <v>78761327</v>
      </c>
      <c r="O9" s="3"/>
    </row>
    <row r="10" spans="2:15">
      <c r="B10" s="2"/>
      <c r="M10" s="70">
        <v>43282</v>
      </c>
      <c r="N10" s="69">
        <v>77832486</v>
      </c>
      <c r="O10" s="3"/>
    </row>
    <row r="11" spans="2:15">
      <c r="B11" s="2"/>
      <c r="M11" s="70">
        <v>43296</v>
      </c>
      <c r="N11" s="69">
        <v>82414535</v>
      </c>
      <c r="O11" s="3"/>
    </row>
    <row r="12" spans="2:15">
      <c r="B12" s="2"/>
      <c r="K12" s="3"/>
      <c r="M12" s="70">
        <v>43310</v>
      </c>
      <c r="N12" s="69">
        <v>91021684</v>
      </c>
      <c r="O12" s="3"/>
    </row>
    <row r="13" spans="2:15">
      <c r="B13" s="2"/>
      <c r="M13" s="70">
        <v>43359</v>
      </c>
      <c r="N13" s="69">
        <v>87676736</v>
      </c>
      <c r="O13" s="3"/>
    </row>
    <row r="14" spans="2:15">
      <c r="B14" s="2"/>
      <c r="M14" s="70">
        <v>43456</v>
      </c>
      <c r="N14" s="69">
        <v>64220872</v>
      </c>
      <c r="O14" s="3"/>
    </row>
    <row r="15" spans="2:15">
      <c r="B15" s="2"/>
      <c r="M15" s="70">
        <v>43464</v>
      </c>
      <c r="N15" s="69">
        <v>65041409</v>
      </c>
      <c r="O15" s="3"/>
    </row>
    <row r="16" spans="2:15">
      <c r="B16" s="2"/>
      <c r="M16" s="70">
        <v>43464</v>
      </c>
      <c r="N16" s="69">
        <v>65041409</v>
      </c>
      <c r="O16" s="3"/>
    </row>
    <row r="17" spans="2:15">
      <c r="B17" s="2"/>
      <c r="M17" s="70">
        <v>43497</v>
      </c>
      <c r="N17" s="69">
        <v>64815409</v>
      </c>
      <c r="O17" s="3"/>
    </row>
    <row r="18" spans="2:15">
      <c r="B18" s="2"/>
      <c r="M18" s="70">
        <v>43546</v>
      </c>
      <c r="N18" s="69">
        <v>83628440</v>
      </c>
      <c r="O18" s="3"/>
    </row>
    <row r="19" spans="2:15">
      <c r="B19" s="2"/>
      <c r="M19" s="70">
        <v>43646</v>
      </c>
      <c r="N19" s="69">
        <v>86877830</v>
      </c>
      <c r="O19" s="3"/>
    </row>
    <row r="20" spans="2:15">
      <c r="B20" s="2"/>
      <c r="M20" s="70">
        <v>43768</v>
      </c>
      <c r="N20" s="69">
        <v>95877830</v>
      </c>
      <c r="O20" s="3"/>
    </row>
    <row r="21" spans="2:15">
      <c r="B21" s="2"/>
      <c r="M21" s="70">
        <v>43807</v>
      </c>
      <c r="N21" s="69">
        <v>90164208</v>
      </c>
      <c r="O21" s="3"/>
    </row>
    <row r="22" spans="2:15">
      <c r="B22" s="2"/>
      <c r="M22" s="70">
        <v>43821</v>
      </c>
      <c r="N22" s="69">
        <v>94128004</v>
      </c>
      <c r="O22" s="3"/>
    </row>
    <row r="23" spans="2:15" ht="14.4">
      <c r="B23" s="72" t="s">
        <v>251</v>
      </c>
      <c r="M23" s="70">
        <v>43831</v>
      </c>
      <c r="N23" s="69">
        <v>96479416</v>
      </c>
      <c r="O23" s="3"/>
    </row>
    <row r="24" spans="2:15" ht="14.4">
      <c r="B24" s="2" t="s">
        <v>118</v>
      </c>
      <c r="M24" s="70">
        <v>43843</v>
      </c>
      <c r="N24" s="69">
        <v>92581242</v>
      </c>
    </row>
    <row r="25" spans="2:15" ht="14.4">
      <c r="B25" s="2" t="s">
        <v>119</v>
      </c>
      <c r="M25" s="70">
        <v>43850</v>
      </c>
      <c r="N25" s="69">
        <v>96430989</v>
      </c>
    </row>
    <row r="26" spans="2:15" ht="14.4">
      <c r="B26" s="2" t="s">
        <v>120</v>
      </c>
      <c r="M26" s="70">
        <v>43863</v>
      </c>
      <c r="N26" s="69">
        <v>98117550</v>
      </c>
    </row>
    <row r="27" spans="2:15" ht="14.4">
      <c r="B27" s="2" t="s">
        <v>121</v>
      </c>
      <c r="M27" s="70">
        <v>43881</v>
      </c>
      <c r="N27" s="69">
        <v>93617550</v>
      </c>
    </row>
    <row r="28" spans="2:15" ht="14.4">
      <c r="B28" s="2" t="s">
        <v>122</v>
      </c>
      <c r="M28" s="70">
        <v>43890</v>
      </c>
      <c r="N28" s="69">
        <v>88398030</v>
      </c>
    </row>
    <row r="29" spans="2:15" ht="14.4">
      <c r="B29" s="2" t="s">
        <v>125</v>
      </c>
      <c r="M29" s="70">
        <v>43891</v>
      </c>
      <c r="N29" s="69">
        <v>89766485</v>
      </c>
    </row>
    <row r="30" spans="2:15">
      <c r="B30" s="2"/>
      <c r="M30" s="70">
        <v>43898</v>
      </c>
      <c r="N30" s="69">
        <v>83792444</v>
      </c>
    </row>
    <row r="31" spans="2:15" ht="14.4">
      <c r="B31" s="73" t="s">
        <v>257</v>
      </c>
      <c r="M31" s="70">
        <v>43912</v>
      </c>
      <c r="N31" s="69">
        <v>83362444</v>
      </c>
    </row>
    <row r="32" spans="2:15" ht="14.4">
      <c r="B32" s="2" t="s">
        <v>123</v>
      </c>
      <c r="M32" s="70">
        <v>43928</v>
      </c>
      <c r="N32" s="69">
        <v>83335316</v>
      </c>
    </row>
    <row r="33" spans="2:14" ht="14.4">
      <c r="B33" s="2" t="s">
        <v>124</v>
      </c>
      <c r="M33" s="70">
        <v>43929</v>
      </c>
      <c r="N33" s="69">
        <v>83861327</v>
      </c>
    </row>
    <row r="34" spans="2:14" ht="14.4">
      <c r="B34" s="2" t="s">
        <v>126</v>
      </c>
      <c r="M34" s="70">
        <v>43933</v>
      </c>
      <c r="N34" s="69">
        <v>83256437</v>
      </c>
    </row>
    <row r="35" spans="2:14">
      <c r="B35" s="2"/>
      <c r="M35" s="70">
        <v>43947</v>
      </c>
      <c r="N35" s="69">
        <v>85257930</v>
      </c>
    </row>
    <row r="36" spans="2:14" ht="14.4">
      <c r="B36" s="72" t="s">
        <v>252</v>
      </c>
      <c r="M36" s="70">
        <v>43962</v>
      </c>
      <c r="N36" s="69">
        <v>87345190</v>
      </c>
    </row>
    <row r="37" spans="2:14" ht="14.4">
      <c r="B37" s="2" t="s">
        <v>253</v>
      </c>
      <c r="M37" s="70">
        <v>43975</v>
      </c>
      <c r="N37" s="69">
        <v>104934315</v>
      </c>
    </row>
    <row r="38" spans="2:14" ht="14.4">
      <c r="B38" s="2" t="s">
        <v>254</v>
      </c>
      <c r="M38" s="70">
        <v>43982</v>
      </c>
      <c r="N38" s="69">
        <v>108395626</v>
      </c>
    </row>
    <row r="39" spans="2:14" ht="14.4">
      <c r="B39" s="2" t="s">
        <v>255</v>
      </c>
      <c r="M39" s="70">
        <v>43990</v>
      </c>
      <c r="N39" s="69">
        <v>94349605</v>
      </c>
    </row>
    <row r="40" spans="2:14" ht="14.4">
      <c r="B40" s="2" t="s">
        <v>256</v>
      </c>
      <c r="M40" s="70">
        <v>43993</v>
      </c>
      <c r="N40" s="69">
        <v>91033462</v>
      </c>
    </row>
    <row r="41" spans="2:14" ht="14.4">
      <c r="B41" s="2"/>
      <c r="D41" s="50"/>
      <c r="M41" s="70">
        <v>44003</v>
      </c>
      <c r="N41" s="69">
        <v>124502655</v>
      </c>
    </row>
    <row r="42" spans="2:14" ht="14.4">
      <c r="B42" s="73" t="s">
        <v>258</v>
      </c>
      <c r="M42" s="70">
        <v>44002</v>
      </c>
      <c r="N42" s="69">
        <v>124424055</v>
      </c>
    </row>
    <row r="43" spans="2:14" ht="14.4">
      <c r="B43" s="2" t="s">
        <v>259</v>
      </c>
      <c r="M43" s="70">
        <v>44010</v>
      </c>
      <c r="N43" s="69">
        <v>118243883</v>
      </c>
    </row>
    <row r="44" spans="2:14" ht="14.4">
      <c r="B44" s="2" t="s">
        <v>260</v>
      </c>
      <c r="M44" s="70">
        <v>44038</v>
      </c>
      <c r="N44" s="69">
        <v>122992028</v>
      </c>
    </row>
    <row r="45" spans="2:14" ht="14.4">
      <c r="B45" s="2" t="s">
        <v>261</v>
      </c>
      <c r="M45" s="70">
        <v>44059</v>
      </c>
      <c r="N45" s="69">
        <v>118537954</v>
      </c>
    </row>
    <row r="46" spans="2:14">
      <c r="B46" s="2"/>
      <c r="M46" s="70">
        <v>43831</v>
      </c>
      <c r="N46" s="69">
        <v>96479416</v>
      </c>
    </row>
    <row r="47" spans="2:14" ht="14.4">
      <c r="B47" s="73" t="s">
        <v>316</v>
      </c>
      <c r="M47" s="70">
        <v>44227</v>
      </c>
      <c r="N47" s="69">
        <v>110477184</v>
      </c>
    </row>
    <row r="48" spans="2:14" ht="14.4">
      <c r="B48" s="2" t="s">
        <v>317</v>
      </c>
      <c r="M48" s="70">
        <v>44248</v>
      </c>
      <c r="N48" s="69">
        <v>152875375</v>
      </c>
    </row>
    <row r="49" spans="2:14" ht="14.4">
      <c r="B49" s="2" t="s">
        <v>318</v>
      </c>
      <c r="M49" s="70">
        <v>44262</v>
      </c>
      <c r="N49" s="69">
        <v>86264663</v>
      </c>
    </row>
    <row r="50" spans="2:14" ht="14.4">
      <c r="B50" s="2" t="s">
        <v>319</v>
      </c>
      <c r="M50" s="70">
        <v>44268</v>
      </c>
      <c r="N50" s="69">
        <v>86264663</v>
      </c>
    </row>
    <row r="51" spans="2:14" ht="14.4">
      <c r="B51" s="2" t="s">
        <v>320</v>
      </c>
      <c r="M51" s="70">
        <v>44276</v>
      </c>
      <c r="N51" s="69">
        <v>94329780</v>
      </c>
    </row>
    <row r="52" spans="2:14" ht="14.4">
      <c r="B52" s="245" t="s">
        <v>321</v>
      </c>
      <c r="M52" s="70">
        <v>44291</v>
      </c>
      <c r="N52" s="69">
        <v>95052453</v>
      </c>
    </row>
    <row r="53" spans="2:14" ht="14.4">
      <c r="B53" s="2" t="s">
        <v>322</v>
      </c>
      <c r="M53" s="70">
        <v>44367</v>
      </c>
      <c r="N53" s="69">
        <v>81179756</v>
      </c>
    </row>
    <row r="54" spans="2:14" ht="14.4">
      <c r="B54" s="2" t="s">
        <v>323</v>
      </c>
      <c r="M54" s="70">
        <v>44374</v>
      </c>
      <c r="N54" s="69">
        <v>81028018</v>
      </c>
    </row>
    <row r="55" spans="2:14" ht="14.4">
      <c r="B55" s="2" t="s">
        <v>324</v>
      </c>
      <c r="M55" s="70">
        <v>44556</v>
      </c>
      <c r="N55" s="69">
        <v>80910907</v>
      </c>
    </row>
    <row r="56" spans="2:14">
      <c r="B56" s="2"/>
      <c r="M56" s="70">
        <v>44397</v>
      </c>
      <c r="N56" s="69">
        <v>80731386</v>
      </c>
    </row>
    <row r="57" spans="2:14" ht="14.4">
      <c r="B57" s="73" t="s">
        <v>609</v>
      </c>
      <c r="M57" s="70">
        <v>44402</v>
      </c>
      <c r="N57" s="69">
        <v>84289672</v>
      </c>
    </row>
    <row r="58" spans="2:14">
      <c r="B58" s="2" t="s">
        <v>610</v>
      </c>
      <c r="M58" s="70">
        <v>44465</v>
      </c>
      <c r="N58" s="69">
        <v>80009769</v>
      </c>
    </row>
    <row r="59" spans="2:14">
      <c r="B59" s="2" t="s">
        <v>611</v>
      </c>
      <c r="M59" s="70">
        <v>44528</v>
      </c>
      <c r="N59" s="69">
        <v>71444423</v>
      </c>
    </row>
    <row r="60" spans="2:14">
      <c r="B60" s="2" t="s">
        <v>612</v>
      </c>
      <c r="M60" s="70">
        <v>44542</v>
      </c>
      <c r="N60" s="69">
        <v>55454351</v>
      </c>
    </row>
    <row r="61" spans="2:14">
      <c r="B61" s="2"/>
      <c r="M61" s="70">
        <v>44556</v>
      </c>
      <c r="N61" s="69">
        <v>57834773</v>
      </c>
    </row>
    <row r="62" spans="2:14">
      <c r="B62" s="245"/>
    </row>
    <row r="63" spans="2:14">
      <c r="B63" s="2"/>
    </row>
    <row r="64" spans="2:14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</sheetData>
  <phoneticPr fontId="10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7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LIFE GOALS</vt:lpstr>
      <vt:lpstr>SNAPSHOT</vt:lpstr>
      <vt:lpstr>BS</vt:lpstr>
      <vt:lpstr>IS</vt:lpstr>
      <vt:lpstr>CF</vt:lpstr>
      <vt:lpstr>Stock Invesmtent</vt:lpstr>
      <vt:lpstr>LBS</vt:lpstr>
      <vt:lpstr>경조사 입출</vt:lpstr>
      <vt:lpstr>NAV Analysis</vt:lpstr>
      <vt:lpstr>Sheet1</vt:lpstr>
    </vt:vector>
  </TitlesOfParts>
  <Company>OlivePhone Wireless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OliveOffice-Android</dc:creator>
  <cp:lastModifiedBy>김장수</cp:lastModifiedBy>
  <cp:revision>3</cp:revision>
  <dcterms:created xsi:type="dcterms:W3CDTF">2015-05-12T17:37:45Z</dcterms:created>
  <dcterms:modified xsi:type="dcterms:W3CDTF">2021-12-26T13:15:58Z</dcterms:modified>
</cp:coreProperties>
</file>