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17ac7bca918ae7b/바탕 화면/더모델러스 수업/"/>
    </mc:Choice>
  </mc:AlternateContent>
  <xr:revisionPtr revIDLastSave="542" documentId="11_31A4B9F32A7C74297D48CC5972DF7ACFA7E38956" xr6:coauthVersionLast="47" xr6:coauthVersionMax="47" xr10:uidLastSave="{A3ABB2FB-D834-4755-B40D-24E1B1335F9A}"/>
  <bookViews>
    <workbookView xWindow="-108" yWindow="-108" windowWidth="23256" windowHeight="12720" activeTab="1" xr2:uid="{00000000-000D-0000-FFFF-FFFF00000000}"/>
  </bookViews>
  <sheets>
    <sheet name="EBIT" sheetId="46" r:id="rId1"/>
    <sheet name="Model" sheetId="48" r:id="rId2"/>
    <sheet name="RAW &gt;&gt;" sheetId="5" r:id="rId3"/>
    <sheet name="rFS" sheetId="18" r:id="rId4"/>
    <sheet name="rSegment" sheetId="8" r:id="rId5"/>
    <sheet name="rKorea" sheetId="42" r:id="rId6"/>
    <sheet name="rPop" sheetId="43" r:id="rId7"/>
    <sheet name="rGDP" sheetId="33" r:id="rId8"/>
    <sheet name="rInflation" sheetId="34" r:id="rId9"/>
    <sheet name="rFX" sheetId="20" r:id="rId10"/>
  </sheets>
  <definedNames>
    <definedName name="_xlnm.Print_Area" localSheetId="2">'RAW &gt;&gt;'!$A$1:$R$33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3" i="46" l="1"/>
  <c r="K93" i="46"/>
  <c r="K94" i="46" s="1"/>
  <c r="J93" i="46"/>
  <c r="J97" i="46" s="1"/>
  <c r="J98" i="46" s="1"/>
  <c r="I93" i="46"/>
  <c r="H93" i="46"/>
  <c r="L80" i="46"/>
  <c r="K80" i="46"/>
  <c r="J80" i="46"/>
  <c r="I80" i="46"/>
  <c r="I89" i="46" s="1"/>
  <c r="H80" i="46"/>
  <c r="H89" i="46" s="1"/>
  <c r="L79" i="46"/>
  <c r="K79" i="46"/>
  <c r="J79" i="46"/>
  <c r="I79" i="46"/>
  <c r="I88" i="46" s="1"/>
  <c r="H79" i="46"/>
  <c r="H88" i="46" s="1"/>
  <c r="L78" i="46"/>
  <c r="K78" i="46"/>
  <c r="J78" i="46"/>
  <c r="I78" i="46"/>
  <c r="H78" i="46"/>
  <c r="L77" i="46"/>
  <c r="K77" i="46"/>
  <c r="J77" i="46"/>
  <c r="I77" i="46"/>
  <c r="H77" i="46"/>
  <c r="L76" i="46"/>
  <c r="K76" i="46"/>
  <c r="J76" i="46"/>
  <c r="I76" i="46"/>
  <c r="I99" i="46" s="1"/>
  <c r="I100" i="46" s="1"/>
  <c r="H76" i="46"/>
  <c r="H99" i="46" s="1"/>
  <c r="H100" i="46" s="1"/>
  <c r="L75" i="46"/>
  <c r="K75" i="46"/>
  <c r="J75" i="46"/>
  <c r="I75" i="46"/>
  <c r="H75" i="46"/>
  <c r="L74" i="46"/>
  <c r="K74" i="46"/>
  <c r="J74" i="46"/>
  <c r="I74" i="46"/>
  <c r="H74" i="46"/>
  <c r="L73" i="46"/>
  <c r="K73" i="46"/>
  <c r="J73" i="46"/>
  <c r="I73" i="46"/>
  <c r="H73" i="46"/>
  <c r="L56" i="46"/>
  <c r="K56" i="46"/>
  <c r="J56" i="46"/>
  <c r="I56" i="46"/>
  <c r="H56" i="46"/>
  <c r="L55" i="46"/>
  <c r="K55" i="46"/>
  <c r="J55" i="46"/>
  <c r="I55" i="46"/>
  <c r="H55" i="46"/>
  <c r="L49" i="46"/>
  <c r="K49" i="46"/>
  <c r="J49" i="46"/>
  <c r="I49" i="46"/>
  <c r="H49" i="46"/>
  <c r="L44" i="46"/>
  <c r="K44" i="46"/>
  <c r="J44" i="46"/>
  <c r="I44" i="46"/>
  <c r="H44" i="46"/>
  <c r="L21" i="46"/>
  <c r="K21" i="46"/>
  <c r="J21" i="46"/>
  <c r="I21" i="46"/>
  <c r="H21" i="46"/>
  <c r="L19" i="46"/>
  <c r="K19" i="46"/>
  <c r="J19" i="46"/>
  <c r="I19" i="46"/>
  <c r="H19" i="46"/>
  <c r="L18" i="46"/>
  <c r="K18" i="46"/>
  <c r="J18" i="46"/>
  <c r="I18" i="46"/>
  <c r="H18" i="46"/>
  <c r="L16" i="46"/>
  <c r="K16" i="46"/>
  <c r="J16" i="46"/>
  <c r="I16" i="46"/>
  <c r="H16" i="46"/>
  <c r="L15" i="46"/>
  <c r="K15" i="46"/>
  <c r="J15" i="46"/>
  <c r="I15" i="46"/>
  <c r="H15" i="46"/>
  <c r="L14" i="46"/>
  <c r="K14" i="46"/>
  <c r="J14" i="46"/>
  <c r="I14" i="46"/>
  <c r="H14" i="46"/>
  <c r="L12" i="46"/>
  <c r="K12" i="46"/>
  <c r="J12" i="46"/>
  <c r="I12" i="46"/>
  <c r="H12" i="46"/>
  <c r="L11" i="46"/>
  <c r="K11" i="46"/>
  <c r="J11" i="46"/>
  <c r="I11" i="46"/>
  <c r="H11" i="46"/>
  <c r="L9" i="46"/>
  <c r="K9" i="46"/>
  <c r="J9" i="46"/>
  <c r="I9" i="46"/>
  <c r="H9" i="46"/>
  <c r="L8" i="46"/>
  <c r="K8" i="46"/>
  <c r="J8" i="46"/>
  <c r="J50" i="46" s="1"/>
  <c r="I8" i="46"/>
  <c r="H8" i="46"/>
  <c r="L7" i="46"/>
  <c r="K7" i="46"/>
  <c r="J7" i="46"/>
  <c r="J22" i="46" s="1"/>
  <c r="I7" i="46"/>
  <c r="H7" i="46"/>
  <c r="L82" i="48"/>
  <c r="K82" i="48"/>
  <c r="J82" i="48"/>
  <c r="I82" i="48"/>
  <c r="H82" i="48"/>
  <c r="L79" i="48"/>
  <c r="K79" i="48"/>
  <c r="J79" i="48"/>
  <c r="I79" i="48"/>
  <c r="H79" i="48"/>
  <c r="L77" i="48"/>
  <c r="K77" i="48"/>
  <c r="J77" i="48"/>
  <c r="I77" i="48"/>
  <c r="H77" i="48"/>
  <c r="L76" i="48"/>
  <c r="K76" i="48"/>
  <c r="J76" i="48"/>
  <c r="I76" i="48"/>
  <c r="H76" i="48"/>
  <c r="L75" i="48"/>
  <c r="K75" i="48"/>
  <c r="J75" i="48"/>
  <c r="I75" i="48"/>
  <c r="H75" i="48"/>
  <c r="L74" i="48"/>
  <c r="K74" i="48"/>
  <c r="J74" i="48"/>
  <c r="I74" i="48"/>
  <c r="H74" i="48"/>
  <c r="L71" i="48"/>
  <c r="K71" i="48"/>
  <c r="J71" i="48"/>
  <c r="I71" i="48"/>
  <c r="H71" i="48"/>
  <c r="L70" i="48"/>
  <c r="K70" i="48"/>
  <c r="J70" i="48"/>
  <c r="I70" i="48"/>
  <c r="H70" i="48"/>
  <c r="L68" i="48"/>
  <c r="K68" i="48"/>
  <c r="J68" i="48"/>
  <c r="I68" i="48"/>
  <c r="H68" i="48"/>
  <c r="L62" i="48"/>
  <c r="K62" i="48"/>
  <c r="J62" i="48"/>
  <c r="I62" i="48"/>
  <c r="H62" i="48"/>
  <c r="L61" i="48"/>
  <c r="K61" i="48"/>
  <c r="J61" i="48"/>
  <c r="I61" i="48"/>
  <c r="H61" i="48"/>
  <c r="L59" i="48"/>
  <c r="K59" i="48"/>
  <c r="J59" i="48"/>
  <c r="I59" i="48"/>
  <c r="H59" i="48"/>
  <c r="L52" i="48"/>
  <c r="K52" i="48"/>
  <c r="J52" i="48"/>
  <c r="I52" i="48"/>
  <c r="H52" i="48"/>
  <c r="L51" i="48"/>
  <c r="K51" i="48"/>
  <c r="J51" i="48"/>
  <c r="I51" i="48"/>
  <c r="H51" i="48"/>
  <c r="L48" i="48"/>
  <c r="K48" i="48"/>
  <c r="J48" i="48"/>
  <c r="I48" i="48"/>
  <c r="H48" i="48"/>
  <c r="L47" i="48"/>
  <c r="K47" i="48"/>
  <c r="J47" i="48"/>
  <c r="I47" i="48"/>
  <c r="H47" i="48"/>
  <c r="L45" i="48"/>
  <c r="K45" i="48"/>
  <c r="J45" i="48"/>
  <c r="I45" i="48"/>
  <c r="H45" i="48"/>
  <c r="L44" i="48"/>
  <c r="K44" i="48"/>
  <c r="K101" i="48" s="1"/>
  <c r="J44" i="48"/>
  <c r="I44" i="48"/>
  <c r="H44" i="48"/>
  <c r="L43" i="48"/>
  <c r="K43" i="48"/>
  <c r="J43" i="48"/>
  <c r="I43" i="48"/>
  <c r="H43" i="48"/>
  <c r="L42" i="48"/>
  <c r="K42" i="48"/>
  <c r="J42" i="48"/>
  <c r="I42" i="48"/>
  <c r="H42" i="48"/>
  <c r="L39" i="48"/>
  <c r="K39" i="48"/>
  <c r="J39" i="48"/>
  <c r="I39" i="48"/>
  <c r="H39" i="48"/>
  <c r="L38" i="48"/>
  <c r="K38" i="48"/>
  <c r="J38" i="48"/>
  <c r="I38" i="48"/>
  <c r="H38" i="48"/>
  <c r="L37" i="48"/>
  <c r="K37" i="48"/>
  <c r="J37" i="48"/>
  <c r="I37" i="48"/>
  <c r="H37" i="48"/>
  <c r="L35" i="48"/>
  <c r="K35" i="48"/>
  <c r="J35" i="48"/>
  <c r="I35" i="48"/>
  <c r="H35" i="48"/>
  <c r="L34" i="48"/>
  <c r="K34" i="48"/>
  <c r="K96" i="48" s="1"/>
  <c r="J34" i="48"/>
  <c r="I34" i="48"/>
  <c r="H34" i="48"/>
  <c r="L33" i="48"/>
  <c r="K33" i="48"/>
  <c r="J33" i="48"/>
  <c r="I33" i="48"/>
  <c r="H33" i="48"/>
  <c r="L32" i="48"/>
  <c r="K32" i="48"/>
  <c r="J32" i="48"/>
  <c r="I32" i="48"/>
  <c r="H32" i="48"/>
  <c r="L31" i="48"/>
  <c r="K31" i="48"/>
  <c r="J31" i="48"/>
  <c r="I31" i="48"/>
  <c r="H31" i="48"/>
  <c r="L30" i="48"/>
  <c r="K30" i="48"/>
  <c r="J30" i="48"/>
  <c r="I30" i="48"/>
  <c r="H30" i="48"/>
  <c r="L24" i="48"/>
  <c r="K24" i="48"/>
  <c r="J24" i="48"/>
  <c r="I24" i="48"/>
  <c r="H24" i="48"/>
  <c r="L23" i="48"/>
  <c r="K23" i="48"/>
  <c r="J23" i="48"/>
  <c r="I23" i="48"/>
  <c r="H23" i="48"/>
  <c r="L20" i="48"/>
  <c r="K20" i="48"/>
  <c r="K60" i="48" s="1"/>
  <c r="J20" i="48"/>
  <c r="I20" i="48"/>
  <c r="H20" i="48"/>
  <c r="L18" i="48"/>
  <c r="K18" i="48"/>
  <c r="J18" i="48"/>
  <c r="I18" i="48"/>
  <c r="H18" i="48"/>
  <c r="L17" i="48"/>
  <c r="K17" i="48"/>
  <c r="J17" i="48"/>
  <c r="I17" i="48"/>
  <c r="H17" i="48"/>
  <c r="L15" i="48"/>
  <c r="K15" i="48"/>
  <c r="J15" i="48"/>
  <c r="I15" i="48"/>
  <c r="H15" i="48"/>
  <c r="L14" i="48"/>
  <c r="K14" i="48"/>
  <c r="J14" i="48"/>
  <c r="I14" i="48"/>
  <c r="H14" i="48"/>
  <c r="L11" i="48"/>
  <c r="K11" i="48"/>
  <c r="J11" i="48"/>
  <c r="I11" i="48"/>
  <c r="H11" i="48"/>
  <c r="L8" i="48"/>
  <c r="K8" i="48"/>
  <c r="K90" i="48" s="1"/>
  <c r="J8" i="48"/>
  <c r="I8" i="48"/>
  <c r="H8" i="48"/>
  <c r="L7" i="48"/>
  <c r="K7" i="48"/>
  <c r="K89" i="48" s="1"/>
  <c r="K105" i="48" s="1"/>
  <c r="J7" i="48"/>
  <c r="I7" i="48"/>
  <c r="H7" i="48"/>
  <c r="J107" i="48"/>
  <c r="I101" i="48"/>
  <c r="J101" i="48"/>
  <c r="L101" i="48"/>
  <c r="H101" i="48"/>
  <c r="I96" i="48"/>
  <c r="J96" i="48"/>
  <c r="L96" i="48"/>
  <c r="I97" i="48"/>
  <c r="I106" i="48" s="1"/>
  <c r="J97" i="48"/>
  <c r="K97" i="48"/>
  <c r="L97" i="48"/>
  <c r="H97" i="48"/>
  <c r="H96" i="48"/>
  <c r="I90" i="48"/>
  <c r="I107" i="48" s="1"/>
  <c r="J90" i="48"/>
  <c r="J106" i="48" s="1"/>
  <c r="L90" i="48"/>
  <c r="L107" i="48" s="1"/>
  <c r="M107" i="48" s="1"/>
  <c r="H90" i="48"/>
  <c r="H106" i="48" s="1"/>
  <c r="I89" i="48"/>
  <c r="I105" i="48" s="1"/>
  <c r="J89" i="48"/>
  <c r="J105" i="48" s="1"/>
  <c r="L89" i="48"/>
  <c r="L105" i="48" s="1"/>
  <c r="M105" i="48" s="1"/>
  <c r="O105" i="48" s="1"/>
  <c r="H89" i="48"/>
  <c r="H105" i="48" s="1"/>
  <c r="K99" i="46"/>
  <c r="K20" i="46"/>
  <c r="I51" i="46"/>
  <c r="I46" i="46" s="1"/>
  <c r="L88" i="46"/>
  <c r="K89" i="46"/>
  <c r="I97" i="46"/>
  <c r="H97" i="46"/>
  <c r="I50" i="46"/>
  <c r="J99" i="46"/>
  <c r="L99" i="46"/>
  <c r="K97" i="46"/>
  <c r="L97" i="46"/>
  <c r="L98" i="46" s="1"/>
  <c r="J94" i="46"/>
  <c r="L89" i="46"/>
  <c r="J89" i="46"/>
  <c r="K88" i="46"/>
  <c r="J88" i="46"/>
  <c r="J169" i="18"/>
  <c r="J168" i="18"/>
  <c r="J167" i="18"/>
  <c r="J166" i="18"/>
  <c r="J165" i="18"/>
  <c r="J164" i="18"/>
  <c r="J163" i="18"/>
  <c r="J162" i="18"/>
  <c r="J161" i="18"/>
  <c r="J160" i="18"/>
  <c r="J159" i="18"/>
  <c r="J158" i="18"/>
  <c r="J157" i="18"/>
  <c r="J156" i="18"/>
  <c r="J155" i="18"/>
  <c r="J154" i="18"/>
  <c r="J153" i="18"/>
  <c r="J152" i="18"/>
  <c r="J151" i="18"/>
  <c r="J150" i="18"/>
  <c r="J149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N17" i="48"/>
  <c r="N20" i="48" s="1"/>
  <c r="O17" i="48"/>
  <c r="O20" i="48" s="1"/>
  <c r="P17" i="48"/>
  <c r="P20" i="48" s="1"/>
  <c r="Q17" i="48"/>
  <c r="Q20" i="48" s="1"/>
  <c r="M17" i="48"/>
  <c r="M20" i="48" s="1"/>
  <c r="J83" i="48"/>
  <c r="K83" i="48"/>
  <c r="H55" i="48"/>
  <c r="I60" i="48"/>
  <c r="J60" i="48"/>
  <c r="L60" i="48"/>
  <c r="H60" i="48"/>
  <c r="J9" i="48"/>
  <c r="J12" i="48" s="1"/>
  <c r="J13" i="48" s="1"/>
  <c r="K9" i="48"/>
  <c r="K12" i="48" s="1"/>
  <c r="K13" i="48" s="1"/>
  <c r="L9" i="48"/>
  <c r="L12" i="48" s="1"/>
  <c r="L13" i="48" s="1"/>
  <c r="N3" i="48"/>
  <c r="O3" i="48" s="1"/>
  <c r="P3" i="48" s="1"/>
  <c r="Q3" i="48" s="1"/>
  <c r="I3" i="48"/>
  <c r="J3" i="48" s="1"/>
  <c r="K3" i="48" s="1"/>
  <c r="L3" i="48" s="1"/>
  <c r="J20" i="46"/>
  <c r="L22" i="46"/>
  <c r="N3" i="46"/>
  <c r="O3" i="46" s="1"/>
  <c r="P3" i="46" s="1"/>
  <c r="Q3" i="46" s="1"/>
  <c r="I3" i="46"/>
  <c r="J3" i="46" s="1"/>
  <c r="K3" i="46" s="1"/>
  <c r="L3" i="46" s="1"/>
  <c r="J100" i="46" l="1"/>
  <c r="K100" i="46"/>
  <c r="K100" i="48"/>
  <c r="K107" i="48"/>
  <c r="K106" i="48"/>
  <c r="K95" i="48"/>
  <c r="K92" i="48" s="1"/>
  <c r="H107" i="48"/>
  <c r="L106" i="48"/>
  <c r="M106" i="48" s="1"/>
  <c r="Q107" i="48"/>
  <c r="O107" i="48"/>
  <c r="N107" i="48"/>
  <c r="P107" i="48"/>
  <c r="N106" i="48"/>
  <c r="N109" i="48"/>
  <c r="Q106" i="48"/>
  <c r="Q105" i="48"/>
  <c r="P105" i="48"/>
  <c r="N105" i="48"/>
  <c r="K98" i="46"/>
  <c r="L100" i="46"/>
  <c r="M100" i="46" s="1"/>
  <c r="N100" i="46" s="1"/>
  <c r="O100" i="46" s="1"/>
  <c r="P100" i="46" s="1"/>
  <c r="Q100" i="46" s="1"/>
  <c r="I94" i="46"/>
  <c r="L94" i="46"/>
  <c r="M94" i="46" s="1"/>
  <c r="N94" i="46" s="1"/>
  <c r="O94" i="46" s="1"/>
  <c r="P94" i="46" s="1"/>
  <c r="Q94" i="46" s="1"/>
  <c r="I98" i="46"/>
  <c r="H98" i="46"/>
  <c r="H94" i="46"/>
  <c r="M89" i="46"/>
  <c r="N89" i="46" s="1"/>
  <c r="O89" i="46" s="1"/>
  <c r="P89" i="46" s="1"/>
  <c r="Q89" i="46" s="1"/>
  <c r="M88" i="46"/>
  <c r="N88" i="46" s="1"/>
  <c r="O88" i="46" s="1"/>
  <c r="P88" i="46" s="1"/>
  <c r="Q88" i="46" s="1"/>
  <c r="J33" i="46"/>
  <c r="J27" i="46"/>
  <c r="J30" i="46"/>
  <c r="K34" i="46"/>
  <c r="J36" i="46"/>
  <c r="J39" i="46"/>
  <c r="I19" i="48"/>
  <c r="J19" i="48"/>
  <c r="I83" i="46"/>
  <c r="J10" i="48"/>
  <c r="H83" i="46"/>
  <c r="H84" i="46"/>
  <c r="H85" i="46"/>
  <c r="H86" i="46"/>
  <c r="H87" i="46"/>
  <c r="I82" i="46"/>
  <c r="K26" i="46"/>
  <c r="K32" i="46"/>
  <c r="K38" i="46"/>
  <c r="K39" i="46"/>
  <c r="H82" i="46"/>
  <c r="I84" i="46"/>
  <c r="I85" i="46"/>
  <c r="I86" i="46"/>
  <c r="I87" i="46"/>
  <c r="L20" i="46"/>
  <c r="L38" i="46" s="1"/>
  <c r="K83" i="46"/>
  <c r="J85" i="46"/>
  <c r="L82" i="46"/>
  <c r="K84" i="46"/>
  <c r="K85" i="46"/>
  <c r="K86" i="46"/>
  <c r="K87" i="46"/>
  <c r="L83" i="46"/>
  <c r="J84" i="46"/>
  <c r="J86" i="46"/>
  <c r="J82" i="46"/>
  <c r="K82" i="46"/>
  <c r="L84" i="46"/>
  <c r="L85" i="46"/>
  <c r="L86" i="46"/>
  <c r="L87" i="46"/>
  <c r="M87" i="46" s="1"/>
  <c r="N87" i="46" s="1"/>
  <c r="O87" i="46" s="1"/>
  <c r="P87" i="46" s="1"/>
  <c r="Q87" i="46" s="1"/>
  <c r="L19" i="48"/>
  <c r="K69" i="48"/>
  <c r="K21" i="48"/>
  <c r="J87" i="46"/>
  <c r="K19" i="48"/>
  <c r="H19" i="48"/>
  <c r="J83" i="46"/>
  <c r="H51" i="46"/>
  <c r="H46" i="46" s="1"/>
  <c r="H21" i="48"/>
  <c r="L10" i="48"/>
  <c r="I21" i="48"/>
  <c r="L21" i="48"/>
  <c r="L54" i="46"/>
  <c r="I53" i="48"/>
  <c r="K10" i="48"/>
  <c r="J21" i="48"/>
  <c r="K81" i="48"/>
  <c r="L49" i="48"/>
  <c r="H69" i="48"/>
  <c r="H72" i="48" s="1"/>
  <c r="K46" i="48"/>
  <c r="K102" i="48" s="1"/>
  <c r="K109" i="48" s="1"/>
  <c r="J69" i="48"/>
  <c r="J72" i="48" s="1"/>
  <c r="H83" i="48"/>
  <c r="I69" i="48"/>
  <c r="I72" i="48" s="1"/>
  <c r="L25" i="48"/>
  <c r="L26" i="48" s="1"/>
  <c r="K25" i="48"/>
  <c r="K26" i="48" s="1"/>
  <c r="K85" i="48"/>
  <c r="K72" i="48"/>
  <c r="I55" i="48"/>
  <c r="I46" i="48"/>
  <c r="I102" i="48" s="1"/>
  <c r="I109" i="48" s="1"/>
  <c r="J85" i="48"/>
  <c r="J81" i="48"/>
  <c r="K40" i="48"/>
  <c r="J46" i="48"/>
  <c r="J102" i="48" s="1"/>
  <c r="I81" i="48"/>
  <c r="H81" i="48"/>
  <c r="K55" i="48"/>
  <c r="J36" i="48"/>
  <c r="J98" i="48" s="1"/>
  <c r="J108" i="48" s="1"/>
  <c r="I40" i="48"/>
  <c r="I64" i="48" s="1"/>
  <c r="H49" i="48"/>
  <c r="K53" i="48"/>
  <c r="J53" i="48"/>
  <c r="L83" i="48"/>
  <c r="L85" i="48" s="1"/>
  <c r="L69" i="48"/>
  <c r="L72" i="48" s="1"/>
  <c r="L81" i="48"/>
  <c r="J51" i="46"/>
  <c r="J46" i="46" s="1"/>
  <c r="K29" i="46"/>
  <c r="K54" i="46"/>
  <c r="H20" i="46"/>
  <c r="J54" i="46"/>
  <c r="J34" i="46"/>
  <c r="I54" i="46"/>
  <c r="H66" i="48"/>
  <c r="J45" i="46"/>
  <c r="I45" i="46"/>
  <c r="I52" i="46"/>
  <c r="H9" i="48"/>
  <c r="I13" i="46"/>
  <c r="H36" i="48"/>
  <c r="H98" i="48" s="1"/>
  <c r="H108" i="48" s="1"/>
  <c r="M108" i="48" s="1"/>
  <c r="L33" i="46"/>
  <c r="L27" i="46"/>
  <c r="L30" i="46"/>
  <c r="L36" i="46"/>
  <c r="L50" i="46"/>
  <c r="L45" i="46" s="1"/>
  <c r="K51" i="46"/>
  <c r="K46" i="46" s="1"/>
  <c r="J16" i="48"/>
  <c r="L55" i="48"/>
  <c r="K36" i="48"/>
  <c r="K98" i="48" s="1"/>
  <c r="K108" i="48" s="1"/>
  <c r="J40" i="48"/>
  <c r="J64" i="48" s="1"/>
  <c r="I49" i="48"/>
  <c r="I65" i="48" s="1"/>
  <c r="H53" i="48"/>
  <c r="I83" i="48"/>
  <c r="I85" i="48" s="1"/>
  <c r="J55" i="48"/>
  <c r="I36" i="48"/>
  <c r="I98" i="48" s="1"/>
  <c r="I108" i="48" s="1"/>
  <c r="K49" i="48"/>
  <c r="J25" i="48"/>
  <c r="J26" i="48" s="1"/>
  <c r="K50" i="46"/>
  <c r="K45" i="46" s="1"/>
  <c r="I9" i="48"/>
  <c r="R8" i="46"/>
  <c r="R11" i="46"/>
  <c r="R14" i="46"/>
  <c r="I17" i="46"/>
  <c r="R21" i="46"/>
  <c r="H54" i="46"/>
  <c r="H50" i="46"/>
  <c r="H45" i="46" s="1"/>
  <c r="L51" i="46"/>
  <c r="H40" i="48"/>
  <c r="L36" i="48"/>
  <c r="L98" i="48" s="1"/>
  <c r="L108" i="48" s="1"/>
  <c r="H46" i="48"/>
  <c r="H102" i="48" s="1"/>
  <c r="H109" i="48" s="1"/>
  <c r="J49" i="48"/>
  <c r="J65" i="48" s="1"/>
  <c r="L46" i="48"/>
  <c r="L102" i="48" s="1"/>
  <c r="L109" i="48" s="1"/>
  <c r="M109" i="48" s="1"/>
  <c r="K16" i="48"/>
  <c r="L40" i="48"/>
  <c r="L53" i="48"/>
  <c r="L16" i="48"/>
  <c r="I26" i="46"/>
  <c r="K10" i="46"/>
  <c r="K22" i="46"/>
  <c r="L40" i="46" s="1"/>
  <c r="L26" i="46"/>
  <c r="R15" i="46"/>
  <c r="I33" i="46"/>
  <c r="J29" i="46"/>
  <c r="K27" i="46"/>
  <c r="R12" i="46"/>
  <c r="I30" i="46"/>
  <c r="R16" i="46"/>
  <c r="K36" i="46"/>
  <c r="I29" i="46"/>
  <c r="H13" i="46"/>
  <c r="I37" i="46"/>
  <c r="R7" i="46"/>
  <c r="I25" i="46"/>
  <c r="J26" i="46"/>
  <c r="K33" i="46"/>
  <c r="H10" i="46"/>
  <c r="I10" i="46"/>
  <c r="I61" i="46" s="1"/>
  <c r="I62" i="46" s="1"/>
  <c r="K30" i="46"/>
  <c r="J32" i="46"/>
  <c r="L17" i="46"/>
  <c r="R18" i="46"/>
  <c r="I36" i="46"/>
  <c r="I32" i="46"/>
  <c r="I39" i="46"/>
  <c r="M22" i="46"/>
  <c r="H22" i="46"/>
  <c r="I22" i="46"/>
  <c r="L10" i="46"/>
  <c r="K13" i="46"/>
  <c r="K17" i="46"/>
  <c r="K66" i="46" s="1"/>
  <c r="K67" i="46" s="1"/>
  <c r="I20" i="46"/>
  <c r="L25" i="46"/>
  <c r="I34" i="46"/>
  <c r="J37" i="46"/>
  <c r="L39" i="46"/>
  <c r="R9" i="46"/>
  <c r="J17" i="46"/>
  <c r="K25" i="46"/>
  <c r="I27" i="46"/>
  <c r="L34" i="46"/>
  <c r="K37" i="46"/>
  <c r="J10" i="46"/>
  <c r="L13" i="46"/>
  <c r="H17" i="46"/>
  <c r="J25" i="46"/>
  <c r="L29" i="46"/>
  <c r="L37" i="46"/>
  <c r="R19" i="46"/>
  <c r="J13" i="46"/>
  <c r="L32" i="46"/>
  <c r="D31" i="8"/>
  <c r="E31" i="8"/>
  <c r="F31" i="8"/>
  <c r="G31" i="8"/>
  <c r="C31" i="8"/>
  <c r="D30" i="8"/>
  <c r="E30" i="8"/>
  <c r="F30" i="8"/>
  <c r="G30" i="8"/>
  <c r="C30" i="8"/>
  <c r="R20" i="46" l="1"/>
  <c r="M38" i="46" s="1"/>
  <c r="N38" i="46" s="1"/>
  <c r="O38" i="46" s="1"/>
  <c r="P38" i="46" s="1"/>
  <c r="Q38" i="46" s="1"/>
  <c r="M40" i="48"/>
  <c r="L64" i="48"/>
  <c r="H100" i="48"/>
  <c r="O109" i="48"/>
  <c r="P109" i="48"/>
  <c r="P106" i="48"/>
  <c r="O106" i="48"/>
  <c r="I100" i="48"/>
  <c r="L100" i="48"/>
  <c r="O108" i="48"/>
  <c r="Q108" i="48"/>
  <c r="N108" i="48"/>
  <c r="P108" i="48"/>
  <c r="J100" i="48"/>
  <c r="J109" i="48"/>
  <c r="L65" i="48"/>
  <c r="M49" i="48"/>
  <c r="K64" i="48"/>
  <c r="L95" i="48"/>
  <c r="L92" i="48" s="1"/>
  <c r="L93" i="48" s="1"/>
  <c r="L63" i="48" s="1"/>
  <c r="I95" i="48"/>
  <c r="I92" i="48" s="1"/>
  <c r="K65" i="48"/>
  <c r="Q109" i="48"/>
  <c r="H95" i="48"/>
  <c r="J95" i="48"/>
  <c r="J92" i="48" s="1"/>
  <c r="J93" i="48" s="1"/>
  <c r="J63" i="48" s="1"/>
  <c r="J66" i="48" s="1"/>
  <c r="L66" i="46"/>
  <c r="L67" i="46" s="1"/>
  <c r="M36" i="46"/>
  <c r="N36" i="46" s="1"/>
  <c r="O36" i="46" s="1"/>
  <c r="P36" i="46" s="1"/>
  <c r="Q36" i="46" s="1"/>
  <c r="M86" i="46"/>
  <c r="N86" i="46" s="1"/>
  <c r="O86" i="46" s="1"/>
  <c r="P86" i="46" s="1"/>
  <c r="Q86" i="46" s="1"/>
  <c r="J31" i="46"/>
  <c r="I66" i="46"/>
  <c r="I67" i="46" s="1"/>
  <c r="J52" i="46"/>
  <c r="J57" i="46" s="1"/>
  <c r="O57" i="46" s="1"/>
  <c r="P57" i="46" s="1"/>
  <c r="Q57" i="46" s="1"/>
  <c r="H61" i="46"/>
  <c r="H62" i="46" s="1"/>
  <c r="L66" i="48"/>
  <c r="R10" i="46"/>
  <c r="M28" i="46" s="1"/>
  <c r="N28" i="46" s="1"/>
  <c r="O28" i="46" s="1"/>
  <c r="P28" i="46" s="1"/>
  <c r="Q28" i="46" s="1"/>
  <c r="L61" i="46"/>
  <c r="L62" i="46" s="1"/>
  <c r="I31" i="46"/>
  <c r="L52" i="46"/>
  <c r="L57" i="46" s="1"/>
  <c r="M57" i="46" s="1"/>
  <c r="M52" i="46" s="1"/>
  <c r="J28" i="46"/>
  <c r="J61" i="46"/>
  <c r="J62" i="46" s="1"/>
  <c r="J35" i="46"/>
  <c r="J66" i="46"/>
  <c r="J67" i="46" s="1"/>
  <c r="K61" i="46"/>
  <c r="K62" i="46" s="1"/>
  <c r="K68" i="46"/>
  <c r="K69" i="46" s="1"/>
  <c r="I63" i="46"/>
  <c r="I64" i="46" s="1"/>
  <c r="R17" i="46"/>
  <c r="M35" i="46" s="1"/>
  <c r="N35" i="46" s="1"/>
  <c r="O35" i="46" s="1"/>
  <c r="P35" i="46" s="1"/>
  <c r="Q35" i="46" s="1"/>
  <c r="H66" i="46"/>
  <c r="H67" i="46" s="1"/>
  <c r="I12" i="48"/>
  <c r="I13" i="48" s="1"/>
  <c r="I10" i="48"/>
  <c r="H12" i="48"/>
  <c r="H13" i="48" s="1"/>
  <c r="H10" i="48"/>
  <c r="I28" i="46"/>
  <c r="K40" i="46"/>
  <c r="M29" i="46"/>
  <c r="N29" i="46" s="1"/>
  <c r="O29" i="46" s="1"/>
  <c r="P29" i="46" s="1"/>
  <c r="Q29" i="46" s="1"/>
  <c r="I38" i="46"/>
  <c r="K52" i="46"/>
  <c r="K57" i="46" s="1"/>
  <c r="N57" i="46" s="1"/>
  <c r="M32" i="46"/>
  <c r="N32" i="46" s="1"/>
  <c r="O32" i="46" s="1"/>
  <c r="P32" i="46" s="1"/>
  <c r="Q32" i="46" s="1"/>
  <c r="R22" i="46"/>
  <c r="L46" i="46"/>
  <c r="I57" i="46"/>
  <c r="J40" i="46"/>
  <c r="I47" i="46"/>
  <c r="H52" i="46"/>
  <c r="H57" i="46" s="1"/>
  <c r="K28" i="46"/>
  <c r="M20" i="46"/>
  <c r="N20" i="46" s="1"/>
  <c r="K31" i="46"/>
  <c r="K35" i="46"/>
  <c r="I35" i="46"/>
  <c r="L28" i="46"/>
  <c r="L35" i="46"/>
  <c r="N22" i="46"/>
  <c r="L31" i="46"/>
  <c r="I40" i="46"/>
  <c r="M39" i="46"/>
  <c r="R13" i="46"/>
  <c r="M31" i="46" s="1"/>
  <c r="N31" i="46" s="1"/>
  <c r="O31" i="46" s="1"/>
  <c r="P31" i="46" s="1"/>
  <c r="Q31" i="46" s="1"/>
  <c r="J38" i="46"/>
  <c r="E32" i="8"/>
  <c r="D32" i="8"/>
  <c r="C32" i="8"/>
  <c r="G32" i="8"/>
  <c r="F32" i="8"/>
  <c r="L68" i="46" l="1"/>
  <c r="M68" i="46" s="1"/>
  <c r="M64" i="48"/>
  <c r="O40" i="48"/>
  <c r="P40" i="48"/>
  <c r="P64" i="48" s="1"/>
  <c r="Q40" i="48"/>
  <c r="Q64" i="48" s="1"/>
  <c r="N40" i="48"/>
  <c r="N64" i="48" s="1"/>
  <c r="K93" i="48"/>
  <c r="K63" i="48" s="1"/>
  <c r="K66" i="48" s="1"/>
  <c r="O49" i="48"/>
  <c r="P49" i="48"/>
  <c r="P65" i="48" s="1"/>
  <c r="Q49" i="48"/>
  <c r="Q65" i="48" s="1"/>
  <c r="N49" i="48"/>
  <c r="N65" i="48" s="1"/>
  <c r="M65" i="48"/>
  <c r="H92" i="48"/>
  <c r="I93" i="48" s="1"/>
  <c r="I63" i="48" s="1"/>
  <c r="I66" i="48" s="1"/>
  <c r="M10" i="46"/>
  <c r="M9" i="46" s="1"/>
  <c r="I68" i="46"/>
  <c r="M18" i="46"/>
  <c r="N18" i="46" s="1"/>
  <c r="O18" i="46" s="1"/>
  <c r="P18" i="46" s="1"/>
  <c r="Q18" i="46" s="1"/>
  <c r="S18" i="46" s="1"/>
  <c r="H63" i="46"/>
  <c r="H64" i="46" s="1"/>
  <c r="H25" i="48"/>
  <c r="H26" i="48" s="1"/>
  <c r="H16" i="48"/>
  <c r="J47" i="46"/>
  <c r="M11" i="46"/>
  <c r="N11" i="46" s="1"/>
  <c r="O11" i="46" s="1"/>
  <c r="P11" i="46" s="1"/>
  <c r="Q11" i="46" s="1"/>
  <c r="S11" i="46" s="1"/>
  <c r="K63" i="46"/>
  <c r="K64" i="46" s="1"/>
  <c r="L63" i="46"/>
  <c r="H68" i="46"/>
  <c r="H69" i="46" s="1"/>
  <c r="J63" i="46"/>
  <c r="J64" i="46" s="1"/>
  <c r="L47" i="46"/>
  <c r="M17" i="46"/>
  <c r="M66" i="46" s="1"/>
  <c r="S68" i="46"/>
  <c r="L69" i="46"/>
  <c r="J68" i="46"/>
  <c r="J69" i="46" s="1"/>
  <c r="I69" i="46"/>
  <c r="O22" i="46"/>
  <c r="N52" i="46"/>
  <c r="N47" i="46" s="1"/>
  <c r="I25" i="48"/>
  <c r="I26" i="48" s="1"/>
  <c r="I16" i="48"/>
  <c r="M47" i="46"/>
  <c r="M14" i="46"/>
  <c r="N14" i="46" s="1"/>
  <c r="O14" i="46" s="1"/>
  <c r="P14" i="46" s="1"/>
  <c r="Q14" i="46" s="1"/>
  <c r="S14" i="46" s="1"/>
  <c r="K47" i="46"/>
  <c r="H47" i="46"/>
  <c r="M21" i="46"/>
  <c r="O20" i="46"/>
  <c r="M13" i="46"/>
  <c r="N39" i="46"/>
  <c r="O39" i="46" s="1"/>
  <c r="D21" i="8"/>
  <c r="E21" i="8" s="1"/>
  <c r="F21" i="8" s="1"/>
  <c r="G21" i="8" s="1"/>
  <c r="O65" i="48" l="1"/>
  <c r="O64" i="48"/>
  <c r="N10" i="46"/>
  <c r="M61" i="46"/>
  <c r="M16" i="46"/>
  <c r="N17" i="46"/>
  <c r="N66" i="46" s="1"/>
  <c r="N68" i="46"/>
  <c r="M46" i="46"/>
  <c r="L64" i="46"/>
  <c r="S63" i="46"/>
  <c r="M63" i="46" s="1"/>
  <c r="P22" i="46"/>
  <c r="O52" i="46"/>
  <c r="P20" i="46"/>
  <c r="N21" i="46"/>
  <c r="M19" i="46"/>
  <c r="M12" i="46"/>
  <c r="N13" i="46"/>
  <c r="N61" i="46" s="1"/>
  <c r="O10" i="46"/>
  <c r="N9" i="46"/>
  <c r="P39" i="46"/>
  <c r="Q39" i="46" s="1"/>
  <c r="G11" i="8"/>
  <c r="F11" i="8"/>
  <c r="E11" i="8"/>
  <c r="D11" i="8"/>
  <c r="C11" i="8"/>
  <c r="G91" i="18"/>
  <c r="G93" i="18" s="1"/>
  <c r="F91" i="18"/>
  <c r="F93" i="18" s="1"/>
  <c r="E91" i="18"/>
  <c r="E93" i="18" s="1"/>
  <c r="D91" i="18"/>
  <c r="D93" i="18" s="1"/>
  <c r="C91" i="18"/>
  <c r="C93" i="18" s="1"/>
  <c r="G88" i="18"/>
  <c r="G90" i="18" s="1"/>
  <c r="F88" i="18"/>
  <c r="F90" i="18" s="1"/>
  <c r="E88" i="18"/>
  <c r="E90" i="18" s="1"/>
  <c r="D88" i="18"/>
  <c r="D90" i="18" s="1"/>
  <c r="C88" i="18"/>
  <c r="C90" i="18" s="1"/>
  <c r="M45" i="46" l="1"/>
  <c r="O17" i="46"/>
  <c r="O66" i="46" s="1"/>
  <c r="N16" i="46"/>
  <c r="M44" i="46"/>
  <c r="M8" i="48" s="1"/>
  <c r="M90" i="48" s="1"/>
  <c r="O68" i="46"/>
  <c r="N46" i="46"/>
  <c r="N63" i="46"/>
  <c r="O47" i="46"/>
  <c r="Q22" i="46"/>
  <c r="P52" i="46"/>
  <c r="P17" i="46"/>
  <c r="P66" i="46" s="1"/>
  <c r="O16" i="46"/>
  <c r="Q20" i="46"/>
  <c r="O13" i="46"/>
  <c r="O61" i="46" s="1"/>
  <c r="N12" i="46"/>
  <c r="N8" i="46" s="1"/>
  <c r="M15" i="46"/>
  <c r="P10" i="46"/>
  <c r="O9" i="46"/>
  <c r="O21" i="46"/>
  <c r="N19" i="46"/>
  <c r="M8" i="46"/>
  <c r="M101" i="48" l="1"/>
  <c r="M97" i="48"/>
  <c r="M35" i="48" s="1"/>
  <c r="N15" i="46"/>
  <c r="N67" i="46"/>
  <c r="N69" i="46" s="1"/>
  <c r="N51" i="46"/>
  <c r="N56" i="46" s="1"/>
  <c r="N62" i="46"/>
  <c r="N64" i="46" s="1"/>
  <c r="O46" i="46"/>
  <c r="P68" i="46"/>
  <c r="O63" i="46"/>
  <c r="O45" i="46" s="1"/>
  <c r="N45" i="46"/>
  <c r="N44" i="46" s="1"/>
  <c r="N8" i="48" s="1"/>
  <c r="N90" i="48" s="1"/>
  <c r="M50" i="46"/>
  <c r="M62" i="46"/>
  <c r="M64" i="46" s="1"/>
  <c r="M67" i="46"/>
  <c r="M69" i="46" s="1"/>
  <c r="M51" i="46"/>
  <c r="M56" i="46" s="1"/>
  <c r="S22" i="46"/>
  <c r="Q52" i="46"/>
  <c r="P47" i="46"/>
  <c r="N7" i="46"/>
  <c r="M7" i="46"/>
  <c r="Q10" i="46"/>
  <c r="P9" i="46"/>
  <c r="P13" i="46"/>
  <c r="P61" i="46" s="1"/>
  <c r="O12" i="46"/>
  <c r="O8" i="46" s="1"/>
  <c r="P21" i="46"/>
  <c r="O19" i="46"/>
  <c r="O15" i="46" s="1"/>
  <c r="Q17" i="46"/>
  <c r="Q66" i="46" s="1"/>
  <c r="P16" i="46"/>
  <c r="S20" i="46"/>
  <c r="N93" i="46" l="1"/>
  <c r="N97" i="46" s="1"/>
  <c r="N7" i="48"/>
  <c r="N89" i="48" s="1"/>
  <c r="N97" i="48"/>
  <c r="N35" i="48" s="1"/>
  <c r="N101" i="48"/>
  <c r="M93" i="46"/>
  <c r="M97" i="46" s="1"/>
  <c r="M99" i="46" s="1"/>
  <c r="M76" i="46" s="1"/>
  <c r="M85" i="46" s="1"/>
  <c r="M7" i="48"/>
  <c r="M89" i="48" s="1"/>
  <c r="M44" i="48"/>
  <c r="N99" i="46"/>
  <c r="N76" i="46" s="1"/>
  <c r="N85" i="46" s="1"/>
  <c r="N77" i="46"/>
  <c r="N79" i="46"/>
  <c r="N78" i="46"/>
  <c r="N80" i="46"/>
  <c r="M80" i="46"/>
  <c r="M79" i="46"/>
  <c r="M78" i="46"/>
  <c r="M77" i="46"/>
  <c r="O44" i="46"/>
  <c r="O8" i="48" s="1"/>
  <c r="O90" i="48" s="1"/>
  <c r="O62" i="46"/>
  <c r="O64" i="46" s="1"/>
  <c r="O50" i="46"/>
  <c r="P46" i="46"/>
  <c r="Q46" i="46"/>
  <c r="O67" i="46"/>
  <c r="O69" i="46" s="1"/>
  <c r="O51" i="46"/>
  <c r="O56" i="46" s="1"/>
  <c r="M55" i="46"/>
  <c r="M49" i="46"/>
  <c r="M54" i="46" s="1"/>
  <c r="P63" i="46"/>
  <c r="N50" i="46"/>
  <c r="Q47" i="46"/>
  <c r="O7" i="46"/>
  <c r="Q9" i="46"/>
  <c r="S10" i="46"/>
  <c r="Q16" i="46"/>
  <c r="S17" i="46"/>
  <c r="P12" i="46"/>
  <c r="P8" i="46" s="1"/>
  <c r="Q13" i="46"/>
  <c r="Q61" i="46" s="1"/>
  <c r="Q45" i="46" s="1"/>
  <c r="Q21" i="46"/>
  <c r="P19" i="46"/>
  <c r="P15" i="46" s="1"/>
  <c r="N44" i="48" l="1"/>
  <c r="O101" i="48"/>
  <c r="O97" i="48"/>
  <c r="O35" i="48" s="1"/>
  <c r="M98" i="46"/>
  <c r="O93" i="46"/>
  <c r="O97" i="46" s="1"/>
  <c r="O7" i="48"/>
  <c r="O89" i="48" s="1"/>
  <c r="N102" i="48"/>
  <c r="N46" i="48" s="1"/>
  <c r="N96" i="48"/>
  <c r="N98" i="48"/>
  <c r="N36" i="48" s="1"/>
  <c r="M96" i="48"/>
  <c r="M98" i="48"/>
  <c r="M36" i="48" s="1"/>
  <c r="M102" i="48"/>
  <c r="N98" i="46"/>
  <c r="O99" i="46"/>
  <c r="O76" i="46" s="1"/>
  <c r="O85" i="46" s="1"/>
  <c r="O77" i="46"/>
  <c r="O80" i="46"/>
  <c r="O79" i="46"/>
  <c r="O78" i="46"/>
  <c r="O55" i="46"/>
  <c r="O49" i="46"/>
  <c r="O54" i="46" s="1"/>
  <c r="N55" i="46"/>
  <c r="N49" i="46"/>
  <c r="N54" i="46" s="1"/>
  <c r="Q44" i="46"/>
  <c r="Q8" i="48" s="1"/>
  <c r="Q90" i="48" s="1"/>
  <c r="P62" i="46"/>
  <c r="P64" i="46" s="1"/>
  <c r="P51" i="46"/>
  <c r="P56" i="46" s="1"/>
  <c r="P67" i="46"/>
  <c r="P69" i="46" s="1"/>
  <c r="P45" i="46"/>
  <c r="P44" i="46" s="1"/>
  <c r="P8" i="48" s="1"/>
  <c r="P90" i="48" s="1"/>
  <c r="M9" i="48"/>
  <c r="M10" i="48" s="1"/>
  <c r="M13" i="48"/>
  <c r="M26" i="48"/>
  <c r="M21" i="48"/>
  <c r="N9" i="48"/>
  <c r="N10" i="48" s="1"/>
  <c r="N26" i="48"/>
  <c r="N21" i="48"/>
  <c r="N13" i="48"/>
  <c r="S16" i="46"/>
  <c r="P7" i="46"/>
  <c r="Q12" i="46"/>
  <c r="S12" i="46" s="1"/>
  <c r="S13" i="46"/>
  <c r="S21" i="46"/>
  <c r="Q19" i="46"/>
  <c r="S19" i="46" s="1"/>
  <c r="S9" i="46"/>
  <c r="Q101" i="48" l="1"/>
  <c r="Q97" i="48"/>
  <c r="Q35" i="48" s="1"/>
  <c r="P93" i="46"/>
  <c r="P97" i="46" s="1"/>
  <c r="P7" i="48"/>
  <c r="P89" i="48" s="1"/>
  <c r="P101" i="48"/>
  <c r="P97" i="48"/>
  <c r="P35" i="48" s="1"/>
  <c r="N34" i="48"/>
  <c r="N95" i="48"/>
  <c r="M46" i="48"/>
  <c r="M100" i="48"/>
  <c r="O44" i="48"/>
  <c r="O96" i="48"/>
  <c r="O98" i="48"/>
  <c r="O36" i="48" s="1"/>
  <c r="O102" i="48"/>
  <c r="O46" i="48" s="1"/>
  <c r="N100" i="48"/>
  <c r="O98" i="46"/>
  <c r="M34" i="48"/>
  <c r="M95" i="48"/>
  <c r="P99" i="46"/>
  <c r="P76" i="46" s="1"/>
  <c r="P85" i="46" s="1"/>
  <c r="P80" i="46"/>
  <c r="P79" i="46"/>
  <c r="P78" i="46"/>
  <c r="P77" i="46"/>
  <c r="P50" i="46"/>
  <c r="O9" i="48"/>
  <c r="O10" i="48" s="1"/>
  <c r="O26" i="48"/>
  <c r="O21" i="48"/>
  <c r="O13" i="48"/>
  <c r="Q8" i="46"/>
  <c r="S8" i="46" s="1"/>
  <c r="Q15" i="46"/>
  <c r="M92" i="48" l="1"/>
  <c r="M93" i="48" s="1"/>
  <c r="M63" i="48" s="1"/>
  <c r="P96" i="48"/>
  <c r="P102" i="48"/>
  <c r="P46" i="48" s="1"/>
  <c r="P98" i="48"/>
  <c r="P36" i="48" s="1"/>
  <c r="Q44" i="48"/>
  <c r="P44" i="48"/>
  <c r="P100" i="48"/>
  <c r="O34" i="48"/>
  <c r="O95" i="48"/>
  <c r="O92" i="48" s="1"/>
  <c r="N92" i="48"/>
  <c r="N93" i="48" s="1"/>
  <c r="N63" i="48" s="1"/>
  <c r="O100" i="48"/>
  <c r="P98" i="46"/>
  <c r="Q50" i="46"/>
  <c r="Q62" i="46"/>
  <c r="S15" i="46"/>
  <c r="Q51" i="46"/>
  <c r="Q56" i="46" s="1"/>
  <c r="Q67" i="46"/>
  <c r="P55" i="46"/>
  <c r="P49" i="46"/>
  <c r="P54" i="46" s="1"/>
  <c r="P26" i="48"/>
  <c r="P21" i="48"/>
  <c r="P13" i="48"/>
  <c r="P9" i="48"/>
  <c r="P10" i="48" s="1"/>
  <c r="Q7" i="46"/>
  <c r="O93" i="48" l="1"/>
  <c r="O63" i="48" s="1"/>
  <c r="Q93" i="46"/>
  <c r="Q97" i="46" s="1"/>
  <c r="Q7" i="48"/>
  <c r="Q89" i="48" s="1"/>
  <c r="P34" i="48"/>
  <c r="P95" i="48"/>
  <c r="P92" i="48" s="1"/>
  <c r="P93" i="48" s="1"/>
  <c r="P63" i="48" s="1"/>
  <c r="Q99" i="46"/>
  <c r="Q76" i="46" s="1"/>
  <c r="Q85" i="46" s="1"/>
  <c r="Q80" i="46"/>
  <c r="Q79" i="46"/>
  <c r="Q78" i="46"/>
  <c r="Q77" i="46"/>
  <c r="Q69" i="46"/>
  <c r="S67" i="46"/>
  <c r="Q64" i="46"/>
  <c r="S62" i="46"/>
  <c r="Q55" i="46"/>
  <c r="Q49" i="46"/>
  <c r="Q54" i="46" s="1"/>
  <c r="S7" i="46"/>
  <c r="Q96" i="48" l="1"/>
  <c r="Q102" i="48"/>
  <c r="Q98" i="48"/>
  <c r="Q36" i="48" s="1"/>
  <c r="Q98" i="46"/>
  <c r="Q26" i="48"/>
  <c r="Q13" i="48"/>
  <c r="Q21" i="48"/>
  <c r="Q9" i="48"/>
  <c r="Q10" i="48" s="1"/>
  <c r="Q34" i="48" l="1"/>
  <c r="Q95" i="48"/>
  <c r="Q46" i="48"/>
  <c r="Q100" i="48"/>
  <c r="Q92" i="48" l="1"/>
  <c r="Q93" i="48" s="1"/>
  <c r="Q63" i="48" s="1"/>
</calcChain>
</file>

<file path=xl/sharedStrings.xml><?xml version="1.0" encoding="utf-8"?>
<sst xmlns="http://schemas.openxmlformats.org/spreadsheetml/2006/main" count="760" uniqueCount="475">
  <si>
    <t>Allergan</t>
  </si>
  <si>
    <t>매출액</t>
  </si>
  <si>
    <t>매출원가</t>
  </si>
  <si>
    <t>매출총이익</t>
  </si>
  <si>
    <t>판매비와관리비</t>
  </si>
  <si>
    <t>영업이익</t>
  </si>
  <si>
    <t>금융수익</t>
  </si>
  <si>
    <t>금융비용</t>
  </si>
  <si>
    <t>기타수익</t>
  </si>
  <si>
    <t>기타비용</t>
  </si>
  <si>
    <t>관계기업에 대한 지분법이익(손실)</t>
  </si>
  <si>
    <t>법인세비용차감전순이익</t>
  </si>
  <si>
    <t>법인세비용</t>
  </si>
  <si>
    <t>당기순이익</t>
  </si>
  <si>
    <t>당기순이익의 귀속</t>
  </si>
  <si>
    <t>　지배기업 소유주지분</t>
  </si>
  <si>
    <t>　비지배지분</t>
  </si>
  <si>
    <t>기타포괄손익</t>
  </si>
  <si>
    <t>　후속적으로 당기손익으로 재분류되지 않는항목</t>
  </si>
  <si>
    <t>　　순확정급여부채의 재측정요소</t>
  </si>
  <si>
    <t>　　매도가능금융자산평가손익</t>
  </si>
  <si>
    <t>　후속적으로 당기손익으로 재분류 될 수 있는 항목</t>
  </si>
  <si>
    <t>　　해외사업환산손익</t>
  </si>
  <si>
    <t>총포괄이익</t>
  </si>
  <si>
    <t>총포괄이익의 귀속</t>
  </si>
  <si>
    <t>주당이익</t>
  </si>
  <si>
    <t>　기본주당이익 (단위 : 원)</t>
  </si>
  <si>
    <t>　희석주당이익 (단위 : 원)</t>
  </si>
  <si>
    <t>　　(부의)지분법자동변동</t>
  </si>
  <si>
    <t>(단위 : 천원)</t>
  </si>
  <si>
    <t>구     분</t>
  </si>
  <si>
    <t>급여</t>
  </si>
  <si>
    <t>퇴직급여</t>
  </si>
  <si>
    <t>복리후생비</t>
  </si>
  <si>
    <t>여비교통비</t>
  </si>
  <si>
    <t>접대비</t>
  </si>
  <si>
    <t>수도광열비</t>
  </si>
  <si>
    <t>감가상각비</t>
  </si>
  <si>
    <t>무형자산상각비</t>
  </si>
  <si>
    <t>지급임차료</t>
  </si>
  <si>
    <t>차량유지비</t>
  </si>
  <si>
    <t>경상연구개발비</t>
  </si>
  <si>
    <t>운반비</t>
  </si>
  <si>
    <t>소모품비</t>
  </si>
  <si>
    <t>지급수수료</t>
  </si>
  <si>
    <t>광고선전비</t>
  </si>
  <si>
    <t>판매촉진비</t>
  </si>
  <si>
    <t>대손상각비</t>
  </si>
  <si>
    <t>건물관리비</t>
  </si>
  <si>
    <t>주식보상비용</t>
  </si>
  <si>
    <t>-</t>
  </si>
  <si>
    <t>합     계</t>
  </si>
  <si>
    <t>연결 재무상태표</t>
  </si>
  <si>
    <t>제 20 기          2020.12.31 현재</t>
  </si>
  <si>
    <t>제 19 기          2019.12.31 현재</t>
  </si>
  <si>
    <t>제 18 기          2018.12.31 현재</t>
  </si>
  <si>
    <t>(단위 : 원)</t>
  </si>
  <si>
    <t>제 20 기</t>
  </si>
  <si>
    <t>제 19 기</t>
  </si>
  <si>
    <t>제 18 기</t>
  </si>
  <si>
    <t>자산</t>
  </si>
  <si>
    <t>　유동자산</t>
  </si>
  <si>
    <t>　　현금및현금성자산</t>
  </si>
  <si>
    <t>　　매출채권</t>
  </si>
  <si>
    <t>　　단기금융상품</t>
  </si>
  <si>
    <t>　　기타금융자산</t>
  </si>
  <si>
    <t>　　재고자산</t>
  </si>
  <si>
    <t>　　기타유동자산</t>
  </si>
  <si>
    <t>　비유동자산</t>
  </si>
  <si>
    <t>　　관계기업투자</t>
  </si>
  <si>
    <t>　　유형자산</t>
  </si>
  <si>
    <t>　　무형자산</t>
  </si>
  <si>
    <t>　　기타비유동자산</t>
  </si>
  <si>
    <t>　자산총계</t>
  </si>
  <si>
    <t>부채</t>
  </si>
  <si>
    <t>　유동부채</t>
  </si>
  <si>
    <t>　　매입채무</t>
  </si>
  <si>
    <t>　　단기차입금</t>
  </si>
  <si>
    <t>　　기타금융부채</t>
  </si>
  <si>
    <t>　　기타유동부채</t>
  </si>
  <si>
    <t>　　당기법인세부채</t>
  </si>
  <si>
    <t>　비유동부채</t>
  </si>
  <si>
    <t>　　전환사채</t>
  </si>
  <si>
    <t>　　순확정급여부채</t>
  </si>
  <si>
    <t>　　이연법인세부채</t>
  </si>
  <si>
    <t>　부채총계</t>
  </si>
  <si>
    <t>자본</t>
  </si>
  <si>
    <t>　　자본금</t>
  </si>
  <si>
    <t>　　자본잉여금</t>
  </si>
  <si>
    <t>　　기타자본항목</t>
  </si>
  <si>
    <t>　　기타포괄손익누계액</t>
  </si>
  <si>
    <t>　　이익잉여금</t>
  </si>
  <si>
    <t>　자본총계</t>
  </si>
  <si>
    <t>부채와 자본 총계</t>
  </si>
  <si>
    <t>제 17 기</t>
  </si>
  <si>
    <t>제 16 기</t>
  </si>
  <si>
    <t>　　충당부채</t>
  </si>
  <si>
    <t>연결 포괄손익계산서</t>
  </si>
  <si>
    <t>제 18 기 2018.01.01 부터 2018.12.31 까지</t>
  </si>
  <si>
    <t>제 20 기 2020.01.01 부터 2020.12.31 까지</t>
  </si>
  <si>
    <t>제 19 기 2019.01.01 부터 2019.12.31 까지</t>
  </si>
  <si>
    <t>연결 현금흐름표</t>
  </si>
  <si>
    <t>영업활동으로 인한 현금흐름</t>
  </si>
  <si>
    <t>　영업으로부터 창출된 현금</t>
  </si>
  <si>
    <t>　법인세납부</t>
  </si>
  <si>
    <t>　이자의 수취</t>
  </si>
  <si>
    <t>　이자의 지급</t>
  </si>
  <si>
    <t>투자활동으로 인한 현금흐름</t>
  </si>
  <si>
    <t>　단기금융상품의 취득</t>
  </si>
  <si>
    <t>　단기금융상품의 처분</t>
  </si>
  <si>
    <t>　장기대여금의 증가</t>
  </si>
  <si>
    <t>　장기대여금의 감소</t>
  </si>
  <si>
    <t>　통화선물예치금의 증가</t>
  </si>
  <si>
    <t>　매도가능금융자산의 취득</t>
  </si>
  <si>
    <t>　매도가능금융자산의 처분</t>
  </si>
  <si>
    <t>　단기대여금의 증가</t>
  </si>
  <si>
    <t>　단기대여금의 감소</t>
  </si>
  <si>
    <t>　기타투자자산의 처분</t>
  </si>
  <si>
    <t>　임차보증금의 증가</t>
  </si>
  <si>
    <t>　임차보증금의 감소</t>
  </si>
  <si>
    <t>　임대보증금의 감소</t>
  </si>
  <si>
    <t>　기타보증금(비유동)의 증가</t>
  </si>
  <si>
    <t>　기타보증금(비유동)의 감소</t>
  </si>
  <si>
    <t>　유형자산의 취득</t>
  </si>
  <si>
    <t>　정부보조금의 수취</t>
  </si>
  <si>
    <t>　유형자산의 처분</t>
  </si>
  <si>
    <t>　무형자산의 취득</t>
  </si>
  <si>
    <t>　무형자산의 처분</t>
  </si>
  <si>
    <t>　관계기업투자주식의 처분</t>
  </si>
  <si>
    <t>　연결범위의 변동</t>
  </si>
  <si>
    <t>재무활동으로 인한 현금흐름</t>
  </si>
  <si>
    <t>　단기차입금의 차입</t>
  </si>
  <si>
    <t>　단기차입금의 상환</t>
  </si>
  <si>
    <t>　리스부채의 상환</t>
  </si>
  <si>
    <t>　신주의 발행비</t>
  </si>
  <si>
    <t>　주식선택권의 행사</t>
  </si>
  <si>
    <t>　자기주식의 취득</t>
  </si>
  <si>
    <t>　비지배지분의 취득</t>
  </si>
  <si>
    <t>현금및현금성자산의 순감소</t>
  </si>
  <si>
    <t>기초의 현금및현금성자산</t>
  </si>
  <si>
    <t>현금및현금성자산에 대한 환율변동효과</t>
  </si>
  <si>
    <t>기말의 현금및현금성자산</t>
  </si>
  <si>
    <t>　종속기업투자의 취득</t>
  </si>
  <si>
    <t>　유상증자</t>
  </si>
  <si>
    <t>　종속기업 유상증자</t>
  </si>
  <si>
    <t>　전환사채의 발행</t>
  </si>
  <si>
    <t>원재료의 사용</t>
  </si>
  <si>
    <t>제품의 변동</t>
  </si>
  <si>
    <t>상품의 변동</t>
  </si>
  <si>
    <t>종업원급여</t>
  </si>
  <si>
    <t>전력비</t>
  </si>
  <si>
    <t>외주가공비</t>
  </si>
  <si>
    <t>검사비</t>
  </si>
  <si>
    <t>성격별 분류</t>
    <phoneticPr fontId="2" type="noConversion"/>
  </si>
  <si>
    <t>판매비와 관리비</t>
    <phoneticPr fontId="2" type="noConversion"/>
  </si>
  <si>
    <t>합계</t>
    <phoneticPr fontId="2" type="noConversion"/>
  </si>
  <si>
    <t>이자수익</t>
    <phoneticPr fontId="2" type="noConversion"/>
  </si>
  <si>
    <t>이자비용</t>
    <phoneticPr fontId="2" type="noConversion"/>
  </si>
  <si>
    <t>(단위 : 천 원)</t>
    <phoneticPr fontId="2" type="noConversion"/>
  </si>
  <si>
    <t>금융수익 및 금융비용</t>
    <phoneticPr fontId="2" type="noConversion"/>
  </si>
  <si>
    <t>금융수익</t>
    <phoneticPr fontId="2" type="noConversion"/>
  </si>
  <si>
    <t>금융비용</t>
    <phoneticPr fontId="2" type="noConversion"/>
  </si>
  <si>
    <t>기타금융수익</t>
    <phoneticPr fontId="2" type="noConversion"/>
  </si>
  <si>
    <t>기타금융비용</t>
    <phoneticPr fontId="2" type="noConversion"/>
  </si>
  <si>
    <t>Total</t>
    <phoneticPr fontId="2" type="noConversion"/>
  </si>
  <si>
    <t>Toxin</t>
    <phoneticPr fontId="2" type="noConversion"/>
  </si>
  <si>
    <t>Filler</t>
    <phoneticPr fontId="2" type="noConversion"/>
  </si>
  <si>
    <t>Medical Device</t>
    <phoneticPr fontId="2" type="noConversion"/>
  </si>
  <si>
    <t>Others (Cosmetics)</t>
    <phoneticPr fontId="2" type="noConversion"/>
  </si>
  <si>
    <t>Hugel America</t>
    <phoneticPr fontId="2" type="noConversion"/>
  </si>
  <si>
    <t>&gt; Domestic</t>
    <phoneticPr fontId="2" type="noConversion"/>
  </si>
  <si>
    <t>&gt; Export</t>
    <phoneticPr fontId="2" type="noConversion"/>
  </si>
  <si>
    <t>통계표</t>
  </si>
  <si>
    <t>항목명1</t>
  </si>
  <si>
    <t>항목명2</t>
  </si>
  <si>
    <t>단위</t>
  </si>
  <si>
    <t>변환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</si>
  <si>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</si>
  <si>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</si>
  <si>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</si>
  <si>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</si>
  <si>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</si>
  <si>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</si>
  <si>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</si>
  <si>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</si>
  <si>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</si>
  <si>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</si>
  <si>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8.8.2.1 주요국통화의 대원화 환율 통계자료</t>
  </si>
  <si>
    <t>원/미국달러(매매기준율)</t>
  </si>
  <si>
    <t>평균자료</t>
  </si>
  <si>
    <t xml:space="preserve">원 </t>
  </si>
  <si>
    <t>원자료</t>
  </si>
  <si>
    <t>원/위안(매매기준율)</t>
  </si>
  <si>
    <t/>
  </si>
  <si>
    <t>원/일본엔(100엔)</t>
  </si>
  <si>
    <t>원/유로</t>
  </si>
  <si>
    <t>원/영국파운드</t>
  </si>
  <si>
    <t>원/스위스프랑</t>
  </si>
  <si>
    <t>원/호주달러</t>
  </si>
  <si>
    <t>원/홍콩달러</t>
  </si>
  <si>
    <t>원/싱가폴달러</t>
  </si>
  <si>
    <t>톡신</t>
    <phoneticPr fontId="2" type="noConversion"/>
  </si>
  <si>
    <t>국내</t>
    <phoneticPr fontId="2" type="noConversion"/>
  </si>
  <si>
    <t>수출</t>
    <phoneticPr fontId="2" type="noConversion"/>
  </si>
  <si>
    <t>필러</t>
    <phoneticPr fontId="2" type="noConversion"/>
  </si>
  <si>
    <t>연말기준 직원 수 추이</t>
    <phoneticPr fontId="2" type="noConversion"/>
  </si>
  <si>
    <t>직원 수</t>
    <phoneticPr fontId="2" type="noConversion"/>
  </si>
  <si>
    <t>GPM</t>
  </si>
  <si>
    <t>REVS</t>
  </si>
  <si>
    <t>부서별 직원 수 추이</t>
  </si>
  <si>
    <t>총 직원 수</t>
  </si>
  <si>
    <t>연구개발</t>
  </si>
  <si>
    <t>생산제조</t>
  </si>
  <si>
    <t>재무/회계/IR</t>
  </si>
  <si>
    <t>HR</t>
  </si>
  <si>
    <t>컴플라이언스</t>
  </si>
  <si>
    <t>영업</t>
  </si>
  <si>
    <t>마케팅</t>
  </si>
  <si>
    <t>기타</t>
  </si>
  <si>
    <t>IT</t>
  </si>
  <si>
    <t>구매</t>
  </si>
  <si>
    <t>경영기획</t>
  </si>
  <si>
    <t>품질관리</t>
  </si>
  <si>
    <t>Hugel</t>
  </si>
  <si>
    <t>연구개발비</t>
  </si>
  <si>
    <t>총계</t>
  </si>
  <si>
    <t>　　　국내총소득 (%)</t>
  </si>
  <si>
    <t>　　　국내총생산(실질성장률) (%)</t>
  </si>
  <si>
    <t>　　　국내총생산(명목, 원화표시) (십억원)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</si>
  <si>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</si>
  <si>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</si>
  <si>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</si>
  <si>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</si>
  <si>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</si>
  <si>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</si>
  <si>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</si>
  <si>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</si>
  <si>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</si>
  <si>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</si>
  <si>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</si>
  <si>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</si>
  <si>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</si>
  <si>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</si>
  <si>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</si>
  <si>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</si>
  <si>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</si>
  <si>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</si>
  <si>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</si>
  <si>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</si>
  <si>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</si>
  <si>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</si>
  <si>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</si>
  <si>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</si>
  <si>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</si>
  <si>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</si>
  <si>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</si>
  <si>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</si>
  <si>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</si>
  <si>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</si>
  <si>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</si>
  <si>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</si>
  <si>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</si>
  <si>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</si>
  <si>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</si>
  <si>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</si>
  <si>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</si>
  <si>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</si>
  <si>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</si>
  <si>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</si>
  <si>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</si>
  <si>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</si>
  <si>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</si>
  <si>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</si>
  <si>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</si>
  <si>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</si>
  <si>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</si>
  <si>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</si>
  <si>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</si>
  <si>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</si>
  <si>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</si>
  <si>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</si>
  <si>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</si>
  <si>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</si>
  <si>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</si>
  <si>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</si>
  <si>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</si>
  <si>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</si>
  <si>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연간지표별</t>
  </si>
  <si>
    <t>총지수</t>
  </si>
  <si>
    <t>지수종류(1)</t>
  </si>
  <si>
    <t>Total</t>
  </si>
  <si>
    <t>Medy-tox</t>
  </si>
  <si>
    <t>This page is left intentionally blank</t>
  </si>
  <si>
    <t>톡신/필러 ASP 가격추이</t>
  </si>
  <si>
    <t>Daewoong</t>
  </si>
  <si>
    <t>Huons</t>
  </si>
  <si>
    <t>Dysport</t>
  </si>
  <si>
    <t>Merz</t>
  </si>
  <si>
    <t>(십억 원)</t>
  </si>
  <si>
    <t>(원)</t>
  </si>
  <si>
    <t>[업체별 100U 보톡스 단가 추이]</t>
  </si>
  <si>
    <t>평균연령(세)-여자</t>
  </si>
  <si>
    <t>평균연령(세)-남자</t>
  </si>
  <si>
    <t>평균연령(세)</t>
  </si>
  <si>
    <t>중위연령(세)-여자</t>
  </si>
  <si>
    <t>중위연령(세)-남자</t>
  </si>
  <si>
    <t>중위연령(세)</t>
  </si>
  <si>
    <t>노령화지수</t>
  </si>
  <si>
    <t>노년부양비</t>
  </si>
  <si>
    <t>유소년부양비</t>
  </si>
  <si>
    <t>총부양비</t>
  </si>
  <si>
    <t>- 구성비(%): 65세 이상</t>
  </si>
  <si>
    <t>- 구성비(%): 15-64세</t>
  </si>
  <si>
    <t>- 구성비(%): 0-14세</t>
  </si>
  <si>
    <t>인구(명): 65세 이상</t>
  </si>
  <si>
    <t>인구(명): 15-64세</t>
  </si>
  <si>
    <t>인구(명): 0-14세</t>
  </si>
  <si>
    <t>인구성장률</t>
  </si>
  <si>
    <t>성비(여자1백명당)</t>
  </si>
  <si>
    <t>여자(명)</t>
  </si>
  <si>
    <t>남자(명)</t>
  </si>
  <si>
    <t>총인구(명)</t>
  </si>
  <si>
    <t>중위 추계(기본 추계: 출산율-중위 / 기대수명-중위 / 국제순이동-중위)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</si>
  <si>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</si>
  <si>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</si>
  <si>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</si>
  <si>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</si>
  <si>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</si>
  <si>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</si>
  <si>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</si>
  <si>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</si>
  <si>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</si>
  <si>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</si>
  <si>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인구구조,부양비별</t>
  </si>
  <si>
    <t>가정별</t>
  </si>
  <si>
    <t>[업체 별 매출추이] - 공시자료 및 전문가추정치 (휴젤조정)</t>
  </si>
  <si>
    <t>% in Export</t>
  </si>
  <si>
    <t>Toxin</t>
  </si>
  <si>
    <t>&gt; Domestic</t>
  </si>
  <si>
    <t>&gt; Export</t>
  </si>
  <si>
    <t>Filler</t>
  </si>
  <si>
    <t>Medical Device</t>
  </si>
  <si>
    <t>Others (Cosmetics)</t>
  </si>
  <si>
    <t>Hugel America</t>
  </si>
  <si>
    <t>REVS (ORIGINAL)</t>
  </si>
  <si>
    <t>가. 주식의 총수 현황</t>
  </si>
  <si>
    <t> Ⅳ. 발행주식의 총수 (Ⅱ-Ⅲ)</t>
  </si>
  <si>
    <t> Ⅴ. 자기주식수</t>
  </si>
  <si>
    <t> Ⅵ. 유통주식수 (Ⅳ-Ⅴ)</t>
  </si>
  <si>
    <t>2Q21</t>
  </si>
  <si>
    <t>전환사채 전환가능 주식 수</t>
  </si>
  <si>
    <t>Historical</t>
    <phoneticPr fontId="2" type="noConversion"/>
  </si>
  <si>
    <t>Forecasts</t>
    <phoneticPr fontId="2" type="noConversion"/>
  </si>
  <si>
    <t>CAGR</t>
    <phoneticPr fontId="2" type="noConversion"/>
  </si>
  <si>
    <t>Notes</t>
    <phoneticPr fontId="2" type="noConversion"/>
  </si>
  <si>
    <t>16A~20A</t>
    <phoneticPr fontId="2" type="noConversion"/>
  </si>
  <si>
    <t>20A~25E</t>
    <phoneticPr fontId="2" type="noConversion"/>
  </si>
  <si>
    <t>[Revenue]</t>
    <phoneticPr fontId="2" type="noConversion"/>
  </si>
  <si>
    <t>Revenue</t>
    <phoneticPr fontId="2" type="noConversion"/>
  </si>
  <si>
    <t>1. Botox</t>
    <phoneticPr fontId="2" type="noConversion"/>
  </si>
  <si>
    <t>1) Domestic</t>
    <phoneticPr fontId="2" type="noConversion"/>
  </si>
  <si>
    <t>Vitals Sold (Vials K)</t>
    <phoneticPr fontId="2" type="noConversion"/>
  </si>
  <si>
    <t>ASP (Avg Selling Price)</t>
    <phoneticPr fontId="2" type="noConversion"/>
  </si>
  <si>
    <t>2) Export</t>
    <phoneticPr fontId="2" type="noConversion"/>
  </si>
  <si>
    <t>2. Filler</t>
    <phoneticPr fontId="2" type="noConversion"/>
  </si>
  <si>
    <t>3. Others</t>
    <phoneticPr fontId="2" type="noConversion"/>
  </si>
  <si>
    <t>YoY Growth (%)</t>
    <phoneticPr fontId="2" type="noConversion"/>
  </si>
  <si>
    <t>Cost of Goods Sold</t>
    <phoneticPr fontId="2" type="noConversion"/>
  </si>
  <si>
    <t>Gross Profit</t>
    <phoneticPr fontId="2" type="noConversion"/>
  </si>
  <si>
    <t>GPM (%)</t>
    <phoneticPr fontId="2" type="noConversion"/>
  </si>
  <si>
    <t>[Income Statement]</t>
    <phoneticPr fontId="2" type="noConversion"/>
  </si>
  <si>
    <t>Revenue</t>
    <phoneticPr fontId="2" type="noConversion"/>
  </si>
  <si>
    <t>(-) COGS</t>
    <phoneticPr fontId="2" type="noConversion"/>
  </si>
  <si>
    <t>(-) SG&amp;A</t>
    <phoneticPr fontId="2" type="noConversion"/>
  </si>
  <si>
    <t>EBIT (Operating Profit)</t>
    <phoneticPr fontId="2" type="noConversion"/>
  </si>
  <si>
    <t>Interest Income</t>
    <phoneticPr fontId="2" type="noConversion"/>
  </si>
  <si>
    <t>(-) Interest Expense</t>
    <phoneticPr fontId="2" type="noConversion"/>
  </si>
  <si>
    <t>Other Income / Expense</t>
    <phoneticPr fontId="2" type="noConversion"/>
  </si>
  <si>
    <t>EBT (Pre-tax Profit)</t>
    <phoneticPr fontId="2" type="noConversion"/>
  </si>
  <si>
    <t>(-) Income Tax</t>
    <phoneticPr fontId="2" type="noConversion"/>
  </si>
  <si>
    <t>Net Income</t>
    <phoneticPr fontId="2" type="noConversion"/>
  </si>
  <si>
    <t>(+) Depreciation</t>
    <phoneticPr fontId="2" type="noConversion"/>
  </si>
  <si>
    <t>(+) Amortization</t>
    <phoneticPr fontId="2" type="noConversion"/>
  </si>
  <si>
    <t>EBITDA</t>
    <phoneticPr fontId="2" type="noConversion"/>
  </si>
  <si>
    <t>[Balance Sheet]</t>
    <phoneticPr fontId="2" type="noConversion"/>
  </si>
  <si>
    <t>Current Assets</t>
    <phoneticPr fontId="2" type="noConversion"/>
  </si>
  <si>
    <t>Cash and Equivalents</t>
    <phoneticPr fontId="2" type="noConversion"/>
  </si>
  <si>
    <t>Short-term Financial Assets</t>
    <phoneticPr fontId="2" type="noConversion"/>
  </si>
  <si>
    <t>Accounts Receivables</t>
    <phoneticPr fontId="2" type="noConversion"/>
  </si>
  <si>
    <t>Inventories</t>
    <phoneticPr fontId="2" type="noConversion"/>
  </si>
  <si>
    <t>Other Current Assets</t>
    <phoneticPr fontId="2" type="noConversion"/>
  </si>
  <si>
    <t>Non-Current Assets</t>
    <phoneticPr fontId="2" type="noConversion"/>
  </si>
  <si>
    <t>PP&amp;E</t>
    <phoneticPr fontId="2" type="noConversion"/>
  </si>
  <si>
    <t>Intangible Assets</t>
    <phoneticPr fontId="2" type="noConversion"/>
  </si>
  <si>
    <t>Other Non-current assets</t>
    <phoneticPr fontId="2" type="noConversion"/>
  </si>
  <si>
    <t>Total Assets</t>
    <phoneticPr fontId="2" type="noConversion"/>
  </si>
  <si>
    <t>Total Liabilities</t>
    <phoneticPr fontId="2" type="noConversion"/>
  </si>
  <si>
    <t>Current liabilities</t>
    <phoneticPr fontId="2" type="noConversion"/>
  </si>
  <si>
    <t>Accounts payable</t>
    <phoneticPr fontId="2" type="noConversion"/>
  </si>
  <si>
    <t>Short-term debt</t>
    <phoneticPr fontId="2" type="noConversion"/>
  </si>
  <si>
    <t>Other current liabilities</t>
    <phoneticPr fontId="2" type="noConversion"/>
  </si>
  <si>
    <t>Non-Current liabilities</t>
    <phoneticPr fontId="2" type="noConversion"/>
  </si>
  <si>
    <t>Long-term debt (incl' Convertible bonds)</t>
    <phoneticPr fontId="2" type="noConversion"/>
  </si>
  <si>
    <t>Other non-current liabilities</t>
    <phoneticPr fontId="2" type="noConversion"/>
  </si>
  <si>
    <t>Total Equity</t>
    <phoneticPr fontId="2" type="noConversion"/>
  </si>
  <si>
    <t>Retained Earnings</t>
    <phoneticPr fontId="2" type="noConversion"/>
  </si>
  <si>
    <t>Other equity line items (plug)</t>
    <phoneticPr fontId="2" type="noConversion"/>
  </si>
  <si>
    <t>CHECK</t>
    <phoneticPr fontId="2" type="noConversion"/>
  </si>
  <si>
    <t>[Cashflow Statement]</t>
    <phoneticPr fontId="2" type="noConversion"/>
  </si>
  <si>
    <t>Cashflow from operating activities</t>
    <phoneticPr fontId="2" type="noConversion"/>
  </si>
  <si>
    <t>Net income</t>
    <phoneticPr fontId="2" type="noConversion"/>
  </si>
  <si>
    <t>Depreciation</t>
    <phoneticPr fontId="2" type="noConversion"/>
  </si>
  <si>
    <t>Amortization</t>
    <phoneticPr fontId="2" type="noConversion"/>
  </si>
  <si>
    <t>(Increase) / Decrease in NWC</t>
    <phoneticPr fontId="2" type="noConversion"/>
  </si>
  <si>
    <t>(Increase) / Decrease in Non-current assets</t>
    <phoneticPr fontId="2" type="noConversion"/>
  </si>
  <si>
    <t>Increase / (Decrease) in Non-current liabilities</t>
    <phoneticPr fontId="2" type="noConversion"/>
  </si>
  <si>
    <t>Other cashflow operating activities</t>
    <phoneticPr fontId="2" type="noConversion"/>
  </si>
  <si>
    <t>Cashflow from investing activities</t>
    <phoneticPr fontId="2" type="noConversion"/>
  </si>
  <si>
    <t>Capital Expenditures (CAPEX)</t>
    <phoneticPr fontId="2" type="noConversion"/>
  </si>
  <si>
    <t>Tangible Assets</t>
    <phoneticPr fontId="2" type="noConversion"/>
  </si>
  <si>
    <t>Other cahsflow from investnig activities</t>
    <phoneticPr fontId="2" type="noConversion"/>
  </si>
  <si>
    <t>Cashflow from financing activities</t>
    <phoneticPr fontId="2" type="noConversion"/>
  </si>
  <si>
    <t>Increase in short-term debt</t>
    <phoneticPr fontId="2" type="noConversion"/>
  </si>
  <si>
    <t>Decrease in short-term debt</t>
    <phoneticPr fontId="2" type="noConversion"/>
  </si>
  <si>
    <t>Increase in Long-term debt (incl' convertible bonds)</t>
    <phoneticPr fontId="2" type="noConversion"/>
  </si>
  <si>
    <t>Share repurchase</t>
    <phoneticPr fontId="2" type="noConversion"/>
  </si>
  <si>
    <t>Common dividends</t>
    <phoneticPr fontId="2" type="noConversion"/>
  </si>
  <si>
    <t>Other cashflow from financing activities</t>
    <phoneticPr fontId="2" type="noConversion"/>
  </si>
  <si>
    <t>Other Cashflow</t>
    <phoneticPr fontId="2" type="noConversion"/>
  </si>
  <si>
    <t>Net change in cash during period</t>
    <phoneticPr fontId="2" type="noConversion"/>
  </si>
  <si>
    <t>Decrease in Long-term debt (incl' convertible bonds)</t>
    <phoneticPr fontId="2" type="noConversion"/>
  </si>
  <si>
    <t xml:space="preserve"> </t>
  </si>
  <si>
    <t>[COGS]</t>
  </si>
  <si>
    <t>x</t>
  </si>
  <si>
    <t>[Cost Analysis]</t>
  </si>
  <si>
    <t>&gt; ASP (KRW)</t>
  </si>
  <si>
    <t>&gt; Cost per unit (KRW)</t>
  </si>
  <si>
    <t>Total Units Sold (Synringes K) - Filler</t>
  </si>
  <si>
    <t>Total Units Sold (Vitals K) - Botox</t>
  </si>
  <si>
    <t>&gt; Cost (%)</t>
  </si>
  <si>
    <t>정률법</t>
  </si>
  <si>
    <t>정액법</t>
  </si>
  <si>
    <t>GPM (%)</t>
  </si>
  <si>
    <t>OPM (%)</t>
  </si>
  <si>
    <t>NPM (%)</t>
  </si>
  <si>
    <t>EBITDA Margin (%)</t>
  </si>
  <si>
    <t>Tax Rate (%)</t>
  </si>
  <si>
    <t>1. Labor Cost</t>
  </si>
  <si>
    <t>2. Depreciation &amp; Amortization</t>
  </si>
  <si>
    <t>4. Sales &amp; Marketing</t>
  </si>
  <si>
    <t>3. Research &amp; Development</t>
  </si>
  <si>
    <t>5. Others</t>
  </si>
  <si>
    <t>[SG&amp;A Forecasts]</t>
  </si>
  <si>
    <t>Total SG&amp;A</t>
  </si>
  <si>
    <t>% of Sales</t>
  </si>
  <si>
    <t>6. Commission Fees</t>
  </si>
  <si>
    <t>7. Bad Debt Expenses</t>
  </si>
  <si>
    <t>[R&amp;D Expenses]</t>
  </si>
  <si>
    <t>Total R&amp;D</t>
  </si>
  <si>
    <t>&gt; Capilization</t>
  </si>
  <si>
    <t>&gt; SG&amp;A</t>
  </si>
  <si>
    <t>% in SG&amp;A</t>
  </si>
  <si>
    <t>[Working Capital Schedule]</t>
  </si>
  <si>
    <t>Sales</t>
  </si>
  <si>
    <t>COGS</t>
  </si>
  <si>
    <t>Net Working Capital</t>
  </si>
  <si>
    <t>Current Assets (Operating)</t>
  </si>
  <si>
    <t>Current Liabilities (Operating)</t>
  </si>
  <si>
    <t>Increase / (Decrease) in NWC</t>
  </si>
  <si>
    <t>[Analysis]</t>
  </si>
  <si>
    <t>AR Days</t>
  </si>
  <si>
    <t>Inventory Days</t>
  </si>
  <si>
    <t>AP Days</t>
  </si>
  <si>
    <t>O.C.A as % of Sales</t>
  </si>
  <si>
    <t>O.C.L as %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</si>
</sst>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"/>
    <numFmt numFmtId="165" formatCode="0.0%"/>
    <numFmt numFmtId="166" formatCode="###,###,###,##0.00"/>
    <numFmt numFmtId="167" formatCode="0&quot;A&quot;"/>
    <numFmt numFmtId="168" formatCode="0&quot;E&quot;"/>
    <numFmt numFmtId="169" formatCode="0.0"/>
    <numFmt numFmtId="170" formatCode="#,##0.0_);[Red]\(#,##0.0\)"/>
    <numFmt numFmtId="171" formatCode="#,##0.000000000_ "/>
    <numFmt numFmtId="172" formatCode="0.0%&quot;pt&quot;"/>
    <numFmt numFmtId="173" formatCode="0&quot;d&quot;"/>
  </numFmts>
  <fonts count="5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1"/>
      <color rgb="FF000000"/>
      <name val="굴림"/>
      <family val="3"/>
      <charset val="129"/>
    </font>
    <font>
      <sz val="12"/>
      <color rgb="FF000000"/>
      <name val="바탕"/>
      <family val="1"/>
      <charset val="129"/>
    </font>
    <font>
      <b/>
      <sz val="11"/>
      <color theme="1"/>
      <name val="Calibri"/>
      <family val="2"/>
      <charset val="129"/>
      <scheme val="minor"/>
    </font>
    <font>
      <b/>
      <sz val="11"/>
      <color rgb="FF000000"/>
      <name val="굴림"/>
      <family val="3"/>
      <charset val="129"/>
    </font>
    <font>
      <sz val="11"/>
      <color indexed="8"/>
      <name val="Calibri"/>
      <family val="2"/>
      <scheme val="minor"/>
    </font>
    <font>
      <sz val="10"/>
      <color indexed="54"/>
      <name val="Arial"/>
      <family val="2"/>
    </font>
    <font>
      <sz val="12"/>
      <color rgb="FF000000"/>
      <name val="굴림"/>
      <family val="3"/>
      <charset val="129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i/>
      <sz val="26"/>
      <color theme="1" tint="0.34998626667073579"/>
      <name val="Calibri"/>
      <family val="2"/>
      <scheme val="minor"/>
    </font>
    <font>
      <b/>
      <sz val="11"/>
      <color theme="1"/>
      <name val="Arial"/>
      <family val="2"/>
      <charset val="129"/>
    </font>
    <font>
      <b/>
      <sz val="10"/>
      <name val="맑은고딕"/>
      <charset val="129"/>
    </font>
    <font>
      <sz val="10"/>
      <name val="맑은고딕"/>
      <charset val="129"/>
    </font>
    <font>
      <b/>
      <sz val="12"/>
      <color rgb="FF000000"/>
      <name val="바탕"/>
      <family val="1"/>
      <charset val="129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FF"/>
      <name val="Arial"/>
      <family val="2"/>
    </font>
    <font>
      <i/>
      <sz val="10"/>
      <color rgb="FF006600"/>
      <name val="Arial"/>
      <family val="2"/>
    </font>
    <font>
      <sz val="10"/>
      <color theme="6" tint="0.39997558519241921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9" tint="-0.499984740745262"/>
      <name val="Calibri"/>
      <family val="2"/>
    </font>
    <font>
      <sz val="10"/>
      <color theme="6" tint="0.3999755851924192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sz val="10"/>
      <color theme="0" tint="-0.14999847407452621"/>
      <name val="Calibri"/>
      <family val="2"/>
    </font>
    <font>
      <b/>
      <sz val="10"/>
      <color theme="0" tint="-0.14999847407452621"/>
      <name val="Calibri"/>
      <family val="2"/>
    </font>
    <font>
      <sz val="10"/>
      <color rgb="FF0000FF"/>
      <name val="Arial"/>
      <family val="2"/>
    </font>
    <font>
      <i/>
      <sz val="10"/>
      <color theme="0" tint="-0.14999847407452621"/>
      <name val="Calibri"/>
      <family val="2"/>
    </font>
    <font>
      <i/>
      <sz val="10"/>
      <color theme="1"/>
      <name val="Calibri"/>
      <family val="2"/>
    </font>
    <font>
      <i/>
      <sz val="10"/>
      <color rgb="FFFF0000"/>
      <name val="Calibri"/>
      <family val="2"/>
    </font>
    <font>
      <b/>
      <i/>
      <sz val="10"/>
      <color theme="0" tint="-0.34998626667073579"/>
      <name val="Arial"/>
      <family val="2"/>
    </font>
    <font>
      <b/>
      <sz val="10"/>
      <color rgb="FF006600"/>
      <name val="Arial"/>
      <family val="2"/>
    </font>
    <font>
      <sz val="10"/>
      <color rgb="FF006600"/>
      <name val="Arial"/>
      <family val="2"/>
    </font>
    <font>
      <b/>
      <sz val="10"/>
      <color rgb="FF006600"/>
      <name val="Calibri"/>
      <family val="2"/>
    </font>
    <font>
      <sz val="10"/>
      <color rgb="FF0066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-0.749992370372631"/>
        <bgColor indexed="64"/>
      </patternFill>
    </fill>
    <fill>
      <patternFill patternType="solid">
        <fgColor rgb="FFDCDCDC"/>
        <bgColor indexed="64"/>
      </patternFill>
    </fill>
    <fill>
      <patternFill patternType="darkTrellis">
        <fgColor indexed="42"/>
      </patternFill>
    </fill>
    <fill>
      <patternFill patternType="darkTrellis">
        <fgColor indexed="9"/>
      </patternFill>
    </fill>
    <fill>
      <patternFill patternType="solid">
        <fgColor rgb="FFE2ECF8"/>
      </patternFill>
    </fill>
    <fill>
      <patternFill patternType="solid">
        <fgColor rgb="FFF0EBD7"/>
      </patternFill>
    </fill>
    <fill>
      <patternFill patternType="solid">
        <fgColor rgb="FFBCCCE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000000"/>
      </right>
      <top/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/>
    <xf numFmtId="9" fontId="25" fillId="0" borderId="0" applyFont="0" applyFill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top"/>
    </xf>
    <xf numFmtId="3" fontId="4" fillId="0" borderId="1" xfId="0" applyNumberFormat="1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3" fontId="4" fillId="0" borderId="2" xfId="0" applyNumberFormat="1" applyFont="1" applyBorder="1" applyAlignment="1">
      <alignment horizontal="right" vertical="center"/>
    </xf>
    <xf numFmtId="3" fontId="4" fillId="0" borderId="7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3" fontId="4" fillId="0" borderId="9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3" fontId="4" fillId="0" borderId="12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vertical="center"/>
    </xf>
    <xf numFmtId="3" fontId="4" fillId="0" borderId="15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3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3" fontId="4" fillId="0" borderId="2" xfId="0" applyNumberFormat="1" applyFont="1" applyBorder="1" applyAlignment="1">
      <alignment horizontal="right" vertical="top"/>
    </xf>
    <xf numFmtId="3" fontId="4" fillId="0" borderId="7" xfId="0" applyNumberFormat="1" applyFon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3" fontId="7" fillId="0" borderId="10" xfId="0" applyNumberFormat="1" applyFont="1" applyBorder="1" applyAlignment="1">
      <alignment horizontal="right" vertical="top"/>
    </xf>
    <xf numFmtId="3" fontId="7" fillId="0" borderId="9" xfId="0" applyNumberFormat="1" applyFont="1" applyBorder="1" applyAlignment="1">
      <alignment horizontal="right" vertical="top"/>
    </xf>
    <xf numFmtId="0" fontId="7" fillId="0" borderId="8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center" indent="1"/>
    </xf>
    <xf numFmtId="3" fontId="4" fillId="0" borderId="1" xfId="0" applyNumberFormat="1" applyFont="1" applyFill="1" applyBorder="1" applyAlignment="1">
      <alignment vertical="top"/>
    </xf>
    <xf numFmtId="0" fontId="3" fillId="5" borderId="17" xfId="2" applyFont="1" applyFill="1" applyBorder="1" applyAlignment="1">
      <alignment horizontal="center" vertical="center" wrapText="1"/>
    </xf>
    <xf numFmtId="0" fontId="8" fillId="0" borderId="0" xfId="2">
      <alignment vertical="center"/>
    </xf>
    <xf numFmtId="0" fontId="3" fillId="6" borderId="1" xfId="2" applyFont="1" applyFill="1" applyBorder="1" applyAlignment="1">
      <alignment horizontal="left" vertical="center"/>
    </xf>
    <xf numFmtId="166" fontId="9" fillId="6" borderId="1" xfId="2" applyNumberFormat="1" applyFont="1" applyFill="1" applyBorder="1" applyAlignment="1">
      <alignment horizontal="right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11" fillId="0" borderId="0" xfId="0" applyFont="1">
      <alignment vertical="center"/>
    </xf>
    <xf numFmtId="0" fontId="12" fillId="0" borderId="1" xfId="0" applyFont="1" applyBorder="1">
      <alignment vertical="center"/>
    </xf>
    <xf numFmtId="164" fontId="12" fillId="0" borderId="1" xfId="0" applyNumberFormat="1" applyFont="1" applyBorder="1">
      <alignment vertical="center"/>
    </xf>
    <xf numFmtId="0" fontId="12" fillId="0" borderId="0" xfId="0" applyFont="1">
      <alignment vertical="center"/>
    </xf>
    <xf numFmtId="0" fontId="11" fillId="0" borderId="1" xfId="0" applyFont="1" applyBorder="1" applyAlignment="1">
      <alignment horizontal="left" vertical="center" indent="1"/>
    </xf>
    <xf numFmtId="164" fontId="11" fillId="0" borderId="1" xfId="0" applyNumberFormat="1" applyFont="1" applyBorder="1">
      <alignment vertical="center"/>
    </xf>
    <xf numFmtId="0" fontId="13" fillId="3" borderId="1" xfId="1" applyFont="1" applyFill="1" applyBorder="1" applyAlignment="1">
      <alignment horizontal="right"/>
    </xf>
    <xf numFmtId="9" fontId="14" fillId="0" borderId="1" xfId="0" applyNumberFormat="1" applyFont="1" applyBorder="1">
      <alignment vertical="center"/>
    </xf>
    <xf numFmtId="0" fontId="13" fillId="3" borderId="1" xfId="1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 indent="1"/>
    </xf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9" fontId="0" fillId="0" borderId="0" xfId="0" applyNumberFormat="1" applyFont="1" applyAlignmen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0" xfId="0" applyFill="1" applyAlignment="1">
      <alignment vertical="center"/>
    </xf>
    <xf numFmtId="0" fontId="8" fillId="0" borderId="0" xfId="3"/>
    <xf numFmtId="3" fontId="8" fillId="0" borderId="1" xfId="3" applyNumberFormat="1" applyBorder="1" applyAlignment="1">
      <alignment horizontal="right"/>
    </xf>
    <xf numFmtId="164" fontId="8" fillId="0" borderId="1" xfId="3" applyNumberFormat="1" applyBorder="1" applyAlignment="1">
      <alignment horizontal="right"/>
    </xf>
    <xf numFmtId="0" fontId="8" fillId="7" borderId="1" xfId="3" applyFill="1" applyBorder="1"/>
    <xf numFmtId="0" fontId="8" fillId="7" borderId="18" xfId="3" applyFill="1" applyBorder="1"/>
    <xf numFmtId="4" fontId="8" fillId="0" borderId="1" xfId="3" applyNumberFormat="1" applyBorder="1" applyAlignment="1">
      <alignment horizontal="right"/>
    </xf>
    <xf numFmtId="0" fontId="8" fillId="8" borderId="1" xfId="3" applyFill="1" applyBorder="1"/>
    <xf numFmtId="0" fontId="8" fillId="9" borderId="1" xfId="3" applyFill="1" applyBorder="1" applyAlignment="1">
      <alignment vertical="center"/>
    </xf>
    <xf numFmtId="0" fontId="0" fillId="10" borderId="0" xfId="0" applyFill="1">
      <alignment vertical="center"/>
    </xf>
    <xf numFmtId="3" fontId="0" fillId="10" borderId="0" xfId="0" applyNumberFormat="1" applyFill="1">
      <alignment vertical="center"/>
    </xf>
    <xf numFmtId="0" fontId="17" fillId="0" borderId="0" xfId="0" applyFont="1">
      <alignment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left" vertical="center" indent="1"/>
    </xf>
    <xf numFmtId="3" fontId="6" fillId="0" borderId="1" xfId="0" applyNumberFormat="1" applyFont="1" applyBorder="1">
      <alignment vertical="center"/>
    </xf>
    <xf numFmtId="165" fontId="0" fillId="0" borderId="0" xfId="0" applyNumberFormat="1" applyAlignment="1">
      <alignment vertical="center"/>
    </xf>
    <xf numFmtId="0" fontId="19" fillId="0" borderId="0" xfId="0" applyFont="1">
      <alignment vertical="center"/>
    </xf>
    <xf numFmtId="164" fontId="19" fillId="0" borderId="0" xfId="0" applyNumberFormat="1" applyFont="1">
      <alignment vertical="center"/>
    </xf>
    <xf numFmtId="0" fontId="18" fillId="2" borderId="1" xfId="1" applyFont="1" applyFill="1" applyBorder="1" applyAlignment="1">
      <alignment horizontal="left"/>
    </xf>
    <xf numFmtId="0" fontId="18" fillId="2" borderId="1" xfId="1" applyFont="1" applyFill="1" applyBorder="1" applyAlignment="1">
      <alignment horizontal="right"/>
    </xf>
    <xf numFmtId="0" fontId="19" fillId="0" borderId="1" xfId="0" applyFont="1" applyBorder="1">
      <alignment vertical="center"/>
    </xf>
    <xf numFmtId="164" fontId="19" fillId="0" borderId="1" xfId="0" applyNumberFormat="1" applyFont="1" applyBorder="1">
      <alignment vertical="center"/>
    </xf>
    <xf numFmtId="0" fontId="18" fillId="0" borderId="0" xfId="0" applyFont="1">
      <alignment vertical="center"/>
    </xf>
    <xf numFmtId="3" fontId="19" fillId="0" borderId="1" xfId="0" applyNumberFormat="1" applyFont="1" applyBorder="1">
      <alignment vertical="center"/>
    </xf>
    <xf numFmtId="9" fontId="19" fillId="0" borderId="0" xfId="0" applyNumberFormat="1" applyFont="1">
      <alignment vertical="center"/>
    </xf>
    <xf numFmtId="3" fontId="19" fillId="0" borderId="0" xfId="0" applyNumberFormat="1" applyFont="1">
      <alignment vertical="center"/>
    </xf>
    <xf numFmtId="0" fontId="8" fillId="7" borderId="19" xfId="3" applyFill="1" applyBorder="1"/>
    <xf numFmtId="0" fontId="8" fillId="7" borderId="20" xfId="3" applyFill="1" applyBorder="1"/>
    <xf numFmtId="0" fontId="11" fillId="0" borderId="1" xfId="0" applyFont="1" applyBorder="1">
      <alignment vertical="center"/>
    </xf>
    <xf numFmtId="9" fontId="11" fillId="0" borderId="1" xfId="0" applyNumberFormat="1" applyFont="1" applyBorder="1">
      <alignment vertical="center"/>
    </xf>
    <xf numFmtId="0" fontId="20" fillId="0" borderId="0" xfId="0" applyFont="1" applyAlignment="1">
      <alignment horizontal="justify" vertical="center" wrapText="1"/>
    </xf>
    <xf numFmtId="0" fontId="0" fillId="0" borderId="0" xfId="0" applyFont="1" applyBorder="1" applyAlignment="1">
      <alignment vertical="center"/>
    </xf>
    <xf numFmtId="3" fontId="1" fillId="0" borderId="0" xfId="0" applyNumberFormat="1" applyFont="1" applyBorder="1">
      <alignment vertical="center"/>
    </xf>
    <xf numFmtId="3" fontId="1" fillId="0" borderId="1" xfId="0" applyNumberFormat="1" applyFont="1" applyBorder="1">
      <alignment vertic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3" fontId="21" fillId="0" borderId="1" xfId="0" applyNumberFormat="1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3" fontId="21" fillId="0" borderId="0" xfId="0" applyNumberFormat="1" applyFont="1" applyBorder="1" applyAlignment="1">
      <alignment horizontal="right" vertical="center" wrapText="1"/>
    </xf>
    <xf numFmtId="164" fontId="22" fillId="11" borderId="0" xfId="0" applyNumberFormat="1" applyFont="1" applyFill="1">
      <alignment vertical="center"/>
    </xf>
    <xf numFmtId="164" fontId="24" fillId="11" borderId="0" xfId="0" applyNumberFormat="1" applyFont="1" applyFill="1">
      <alignment vertical="center"/>
    </xf>
    <xf numFmtId="0" fontId="26" fillId="11" borderId="0" xfId="0" applyFont="1" applyFill="1">
      <alignment vertical="center"/>
    </xf>
    <xf numFmtId="0" fontId="27" fillId="11" borderId="0" xfId="0" applyFont="1" applyFill="1">
      <alignment vertical="center"/>
    </xf>
    <xf numFmtId="0" fontId="27" fillId="12" borderId="0" xfId="0" applyFont="1" applyFill="1">
      <alignment vertical="center"/>
    </xf>
    <xf numFmtId="169" fontId="26" fillId="11" borderId="0" xfId="0" applyNumberFormat="1" applyFont="1" applyFill="1">
      <alignment vertical="center"/>
    </xf>
    <xf numFmtId="38" fontId="26" fillId="11" borderId="0" xfId="0" applyNumberFormat="1" applyFont="1" applyFill="1">
      <alignment vertical="center"/>
    </xf>
    <xf numFmtId="38" fontId="28" fillId="11" borderId="0" xfId="0" applyNumberFormat="1" applyFont="1" applyFill="1">
      <alignment vertical="center"/>
    </xf>
    <xf numFmtId="170" fontId="28" fillId="11" borderId="0" xfId="0" applyNumberFormat="1" applyFont="1" applyFill="1">
      <alignment vertical="center"/>
    </xf>
    <xf numFmtId="170" fontId="26" fillId="11" borderId="0" xfId="0" applyNumberFormat="1" applyFont="1" applyFill="1">
      <alignment vertical="center"/>
    </xf>
    <xf numFmtId="165" fontId="29" fillId="11" borderId="0" xfId="4" applyNumberFormat="1" applyFont="1" applyFill="1">
      <alignment vertical="center"/>
    </xf>
    <xf numFmtId="165" fontId="30" fillId="11" borderId="0" xfId="4" applyNumberFormat="1" applyFont="1" applyFill="1">
      <alignment vertical="center"/>
    </xf>
    <xf numFmtId="0" fontId="27" fillId="12" borderId="22" xfId="0" applyFont="1" applyFill="1" applyBorder="1" applyAlignment="1">
      <alignment horizontal="centerContinuous" vertical="center"/>
    </xf>
    <xf numFmtId="167" fontId="27" fillId="12" borderId="22" xfId="0" applyNumberFormat="1" applyFont="1" applyFill="1" applyBorder="1">
      <alignment vertical="center"/>
    </xf>
    <xf numFmtId="165" fontId="30" fillId="13" borderId="0" xfId="4" applyNumberFormat="1" applyFont="1" applyFill="1">
      <alignment vertical="center"/>
    </xf>
    <xf numFmtId="170" fontId="30" fillId="11" borderId="0" xfId="0" applyNumberFormat="1" applyFont="1" applyFill="1">
      <alignment vertical="center"/>
    </xf>
    <xf numFmtId="170" fontId="29" fillId="11" borderId="0" xfId="0" applyNumberFormat="1" applyFont="1" applyFill="1">
      <alignment vertical="center"/>
    </xf>
    <xf numFmtId="38" fontId="30" fillId="11" borderId="0" xfId="0" applyNumberFormat="1" applyFont="1" applyFill="1">
      <alignment vertical="center"/>
    </xf>
    <xf numFmtId="165" fontId="31" fillId="13" borderId="0" xfId="4" applyNumberFormat="1" applyFont="1" applyFill="1">
      <alignment vertical="center"/>
    </xf>
    <xf numFmtId="38" fontId="29" fillId="11" borderId="0" xfId="0" applyNumberFormat="1" applyFont="1" applyFill="1">
      <alignment vertical="center"/>
    </xf>
    <xf numFmtId="165" fontId="32" fillId="11" borderId="0" xfId="4" applyNumberFormat="1" applyFont="1" applyFill="1">
      <alignment vertical="center"/>
    </xf>
    <xf numFmtId="0" fontId="33" fillId="14" borderId="0" xfId="0" applyFont="1" applyFill="1">
      <alignment vertical="center"/>
    </xf>
    <xf numFmtId="0" fontId="34" fillId="14" borderId="0" xfId="0" applyFont="1" applyFill="1">
      <alignment vertical="center"/>
    </xf>
    <xf numFmtId="0" fontId="23" fillId="12" borderId="0" xfId="0" applyFont="1" applyFill="1">
      <alignment vertical="center"/>
    </xf>
    <xf numFmtId="0" fontId="23" fillId="12" borderId="22" xfId="0" applyFont="1" applyFill="1" applyBorder="1" applyAlignment="1">
      <alignment horizontal="centerContinuous" vertical="center"/>
    </xf>
    <xf numFmtId="0" fontId="22" fillId="11" borderId="0" xfId="0" applyFont="1" applyFill="1">
      <alignment vertical="center"/>
    </xf>
    <xf numFmtId="167" fontId="23" fillId="12" borderId="22" xfId="0" applyNumberFormat="1" applyFont="1" applyFill="1" applyBorder="1">
      <alignment vertical="center"/>
    </xf>
    <xf numFmtId="0" fontId="35" fillId="14" borderId="0" xfId="0" applyFont="1" applyFill="1">
      <alignment vertical="center"/>
    </xf>
    <xf numFmtId="0" fontId="36" fillId="14" borderId="0" xfId="0" applyFont="1" applyFill="1">
      <alignment vertical="center"/>
    </xf>
    <xf numFmtId="0" fontId="24" fillId="11" borderId="0" xfId="0" applyFont="1" applyFill="1">
      <alignment vertical="center"/>
    </xf>
    <xf numFmtId="0" fontId="37" fillId="11" borderId="0" xfId="0" applyFont="1" applyFill="1">
      <alignment vertical="center"/>
    </xf>
    <xf numFmtId="171" fontId="37" fillId="11" borderId="0" xfId="0" applyNumberFormat="1" applyFont="1" applyFill="1" applyAlignment="1">
      <alignment horizontal="right" vertical="center"/>
    </xf>
    <xf numFmtId="164" fontId="38" fillId="11" borderId="0" xfId="0" applyNumberFormat="1" applyFont="1" applyFill="1">
      <alignment vertical="center"/>
    </xf>
    <xf numFmtId="0" fontId="37" fillId="11" borderId="0" xfId="0" applyFont="1" applyFill="1" applyAlignment="1">
      <alignment horizontal="right" vertical="center"/>
    </xf>
    <xf numFmtId="11" fontId="22" fillId="11" borderId="0" xfId="0" applyNumberFormat="1" applyFont="1" applyFill="1" applyBorder="1">
      <alignment vertical="center"/>
    </xf>
    <xf numFmtId="0" fontId="22" fillId="11" borderId="0" xfId="0" applyFont="1" applyFill="1" applyBorder="1">
      <alignment vertical="center"/>
    </xf>
    <xf numFmtId="0" fontId="24" fillId="11" borderId="0" xfId="0" applyFont="1" applyFill="1" applyBorder="1">
      <alignment vertical="center"/>
    </xf>
    <xf numFmtId="164" fontId="24" fillId="11" borderId="0" xfId="0" applyNumberFormat="1" applyFont="1" applyFill="1" applyBorder="1">
      <alignment vertical="center"/>
    </xf>
    <xf numFmtId="0" fontId="27" fillId="15" borderId="22" xfId="0" applyFont="1" applyFill="1" applyBorder="1" applyAlignment="1">
      <alignment horizontal="centerContinuous" vertical="center"/>
    </xf>
    <xf numFmtId="168" fontId="27" fillId="15" borderId="22" xfId="0" applyNumberFormat="1" applyFont="1" applyFill="1" applyBorder="1">
      <alignment vertical="center"/>
    </xf>
    <xf numFmtId="168" fontId="27" fillId="15" borderId="22" xfId="0" applyNumberFormat="1" applyFont="1" applyFill="1" applyBorder="1" applyAlignment="1">
      <alignment horizontal="center" vertical="center"/>
    </xf>
    <xf numFmtId="0" fontId="23" fillId="15" borderId="22" xfId="0" applyFont="1" applyFill="1" applyBorder="1" applyAlignment="1">
      <alignment horizontal="centerContinuous" vertical="center"/>
    </xf>
    <xf numFmtId="168" fontId="23" fillId="15" borderId="22" xfId="0" applyNumberFormat="1" applyFont="1" applyFill="1" applyBorder="1">
      <alignment vertical="center"/>
    </xf>
    <xf numFmtId="168" fontId="23" fillId="15" borderId="22" xfId="0" applyNumberFormat="1" applyFont="1" applyFill="1" applyBorder="1" applyAlignment="1">
      <alignment horizontal="center" vertical="center"/>
    </xf>
    <xf numFmtId="0" fontId="39" fillId="11" borderId="0" xfId="0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38" fontId="40" fillId="11" borderId="0" xfId="0" applyNumberFormat="1" applyFont="1" applyFill="1" applyAlignment="1">
      <alignment horizontal="center" vertical="center"/>
    </xf>
    <xf numFmtId="38" fontId="39" fillId="11" borderId="0" xfId="0" applyNumberFormat="1" applyFont="1" applyFill="1" applyAlignment="1">
      <alignment horizontal="center" vertical="center"/>
    </xf>
    <xf numFmtId="38" fontId="41" fillId="11" borderId="0" xfId="0" applyNumberFormat="1" applyFont="1" applyFill="1" applyAlignment="1">
      <alignment horizontal="center" vertical="center"/>
    </xf>
    <xf numFmtId="0" fontId="42" fillId="11" borderId="0" xfId="0" applyFont="1" applyFill="1" applyAlignment="1">
      <alignment horizontal="center" vertical="center"/>
    </xf>
    <xf numFmtId="0" fontId="43" fillId="11" borderId="0" xfId="0" applyFont="1" applyFill="1" applyAlignment="1">
      <alignment horizontal="center" vertical="center"/>
    </xf>
    <xf numFmtId="3" fontId="26" fillId="11" borderId="0" xfId="0" applyNumberFormat="1" applyFont="1" applyFill="1">
      <alignment vertical="center"/>
    </xf>
    <xf numFmtId="3" fontId="28" fillId="11" borderId="0" xfId="0" applyNumberFormat="1" applyFont="1" applyFill="1">
      <alignment vertical="center"/>
    </xf>
    <xf numFmtId="0" fontId="28" fillId="11" borderId="0" xfId="0" applyFont="1" applyFill="1">
      <alignment vertical="center"/>
    </xf>
    <xf numFmtId="0" fontId="41" fillId="11" borderId="0" xfId="0" applyFont="1" applyFill="1" applyAlignment="1">
      <alignment horizontal="center" vertical="center"/>
    </xf>
    <xf numFmtId="0" fontId="30" fillId="11" borderId="0" xfId="0" applyFont="1" applyFill="1">
      <alignment vertical="center"/>
    </xf>
    <xf numFmtId="3" fontId="26" fillId="13" borderId="0" xfId="0" applyNumberFormat="1" applyFont="1" applyFill="1">
      <alignment vertical="center"/>
    </xf>
    <xf numFmtId="3" fontId="44" fillId="13" borderId="0" xfId="0" applyNumberFormat="1" applyFont="1" applyFill="1">
      <alignment vertical="center"/>
    </xf>
    <xf numFmtId="0" fontId="45" fillId="11" borderId="0" xfId="0" applyFont="1" applyFill="1" applyAlignment="1">
      <alignment horizontal="center" vertical="center"/>
    </xf>
    <xf numFmtId="0" fontId="46" fillId="11" borderId="0" xfId="0" applyFont="1" applyFill="1">
      <alignment vertical="center"/>
    </xf>
    <xf numFmtId="0" fontId="47" fillId="11" borderId="0" xfId="0" applyFont="1" applyFill="1" applyAlignment="1">
      <alignment horizontal="center" vertical="center"/>
    </xf>
    <xf numFmtId="0" fontId="47" fillId="11" borderId="0" xfId="0" applyFont="1" applyFill="1">
      <alignment vertical="center"/>
    </xf>
    <xf numFmtId="165" fontId="47" fillId="11" borderId="0" xfId="4" applyNumberFormat="1" applyFont="1" applyFill="1">
      <alignment vertical="center"/>
    </xf>
    <xf numFmtId="0" fontId="29" fillId="11" borderId="0" xfId="0" applyFont="1" applyFill="1">
      <alignment vertical="center"/>
    </xf>
    <xf numFmtId="165" fontId="30" fillId="11" borderId="0" xfId="0" applyNumberFormat="1" applyFont="1" applyFill="1">
      <alignment vertical="center"/>
    </xf>
    <xf numFmtId="0" fontId="48" fillId="11" borderId="0" xfId="0" applyFont="1" applyFill="1" applyAlignment="1">
      <alignment horizontal="center" vertical="center"/>
    </xf>
    <xf numFmtId="165" fontId="29" fillId="11" borderId="0" xfId="0" applyNumberFormat="1" applyFont="1" applyFill="1">
      <alignment vertical="center"/>
    </xf>
    <xf numFmtId="165" fontId="0" fillId="0" borderId="0" xfId="0" applyNumberFormat="1" applyFont="1" applyAlignment="1">
      <alignment vertical="center"/>
    </xf>
    <xf numFmtId="165" fontId="26" fillId="13" borderId="0" xfId="0" applyNumberFormat="1" applyFont="1" applyFill="1">
      <alignment vertical="center"/>
    </xf>
    <xf numFmtId="172" fontId="31" fillId="13" borderId="0" xfId="0" applyNumberFormat="1" applyFont="1" applyFill="1">
      <alignment vertical="center"/>
    </xf>
    <xf numFmtId="165" fontId="30" fillId="13" borderId="0" xfId="0" applyNumberFormat="1" applyFont="1" applyFill="1">
      <alignment vertical="center"/>
    </xf>
    <xf numFmtId="170" fontId="49" fillId="11" borderId="0" xfId="0" applyNumberFormat="1" applyFont="1" applyFill="1">
      <alignment vertical="center"/>
    </xf>
    <xf numFmtId="170" fontId="50" fillId="11" borderId="0" xfId="0" applyNumberFormat="1" applyFont="1" applyFill="1">
      <alignment vertical="center"/>
    </xf>
    <xf numFmtId="38" fontId="50" fillId="11" borderId="0" xfId="0" applyNumberFormat="1" applyFont="1" applyFill="1">
      <alignment vertical="center"/>
    </xf>
    <xf numFmtId="165" fontId="46" fillId="11" borderId="0" xfId="0" applyNumberFormat="1" applyFont="1" applyFill="1">
      <alignment vertical="center"/>
    </xf>
    <xf numFmtId="173" fontId="22" fillId="11" borderId="0" xfId="0" applyNumberFormat="1" applyFont="1" applyFill="1">
      <alignment vertical="center"/>
    </xf>
    <xf numFmtId="164" fontId="22" fillId="13" borderId="0" xfId="0" applyNumberFormat="1" applyFont="1" applyFill="1">
      <alignment vertical="center"/>
    </xf>
    <xf numFmtId="165" fontId="46" fillId="13" borderId="0" xfId="0" applyNumberFormat="1" applyFont="1" applyFill="1">
      <alignment vertical="center"/>
    </xf>
    <xf numFmtId="173" fontId="22" fillId="13" borderId="0" xfId="0" applyNumberFormat="1" applyFont="1" applyFill="1">
      <alignment vertical="center"/>
    </xf>
    <xf numFmtId="0" fontId="27" fillId="15" borderId="21" xfId="0" applyFont="1" applyFill="1" applyBorder="1" applyAlignment="1">
      <alignment horizontal="center" vertical="center"/>
    </xf>
    <xf numFmtId="0" fontId="23" fillId="15" borderId="21" xfId="0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164" fontId="51" fillId="11" borderId="0" xfId="0" applyNumberFormat="1" applyFont="1" applyFill="1">
      <alignment vertical="center"/>
    </xf>
    <xf numFmtId="164" fontId="52" fillId="11" borderId="0" xfId="0" applyNumberFormat="1" applyFont="1" applyFill="1">
      <alignment vertical="center"/>
    </xf>
    <xf numFmtId="164" fontId="52" fillId="11" borderId="0" xfId="0" applyNumberFormat="1" applyFont="1" applyFill="1" applyBorder="1">
      <alignment vertical="center"/>
    </xf>
  </cellXfs>
  <cellStyles count="5">
    <cellStyle name="Normal" xfId="0" builtinId="0"/>
    <cellStyle name="Normal 148" xfId="1" xr:uid="{00000000-0005-0000-0000-000000000000}"/>
    <cellStyle name="Normal 2" xfId="2" xr:uid="{00000000-0005-0000-0000-000001000000}"/>
    <cellStyle name="Normal 3" xfId="3" xr:uid="{00000000-0005-0000-0000-000002000000}"/>
    <cellStyle name="Percent" xfId="4" builtinId="5"/>
  </cellStyles>
  <dxfs count="0"/>
  <tableStyles count="0" defaultTableStyle="TableStyleMedium2" defaultPivotStyle="PivotStyleLight16"/>
  <colors>
    <mruColors>
      <color rgb="FF0000FF"/>
      <color rgb="FF006600"/>
      <color rgb="FFCCFF99"/>
      <color rgb="FF3366FF"/>
      <color rgb="FF99CCFF"/>
      <color rgb="FFFFCC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2:T171"/>
  <sheetViews>
    <sheetView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5" sqref="C5"/>
    </sheetView>
  </sheetViews>
  <sheetFormatPr defaultColWidth="9" defaultRowHeight="13.2"/>
  <cols>
    <col min="1" max="1" width="3.6640625" style="160" customWidth="1"/>
    <col min="2" max="6" width="3.6640625" style="117" customWidth="1"/>
    <col min="7" max="7" width="18.6640625" style="117" customWidth="1"/>
    <col min="8" max="19" width="8.44140625" style="117" customWidth="1"/>
    <col min="20" max="20" width="35.6640625" style="117" customWidth="1"/>
    <col min="21" max="16384" width="9" style="117"/>
  </cols>
  <sheetData>
    <row r="2" spans="1:20" s="118" customFormat="1">
      <c r="A2" s="159"/>
      <c r="B2" s="119"/>
      <c r="C2" s="119"/>
      <c r="D2" s="119"/>
      <c r="E2" s="119"/>
      <c r="F2" s="119"/>
      <c r="G2" s="119"/>
      <c r="H2" s="127" t="s">
        <v>351</v>
      </c>
      <c r="I2" s="127"/>
      <c r="J2" s="127"/>
      <c r="K2" s="127"/>
      <c r="L2" s="127"/>
      <c r="M2" s="153" t="s">
        <v>352</v>
      </c>
      <c r="N2" s="153"/>
      <c r="O2" s="153"/>
      <c r="P2" s="153"/>
      <c r="Q2" s="153"/>
      <c r="R2" s="153" t="s">
        <v>353</v>
      </c>
      <c r="S2" s="153"/>
      <c r="T2" s="194" t="s">
        <v>354</v>
      </c>
    </row>
    <row r="3" spans="1:20" s="118" customFormat="1">
      <c r="A3" s="159"/>
      <c r="B3" s="119"/>
      <c r="C3" s="119"/>
      <c r="D3" s="119"/>
      <c r="E3" s="119"/>
      <c r="F3" s="119"/>
      <c r="G3" s="119"/>
      <c r="H3" s="128">
        <v>2016</v>
      </c>
      <c r="I3" s="128">
        <f>H3+1</f>
        <v>2017</v>
      </c>
      <c r="J3" s="128">
        <f t="shared" ref="J3:L3" si="0">I3+1</f>
        <v>2018</v>
      </c>
      <c r="K3" s="128">
        <f t="shared" si="0"/>
        <v>2019</v>
      </c>
      <c r="L3" s="128">
        <f t="shared" si="0"/>
        <v>2020</v>
      </c>
      <c r="M3" s="154">
        <v>2021</v>
      </c>
      <c r="N3" s="154">
        <f>M3+1</f>
        <v>2022</v>
      </c>
      <c r="O3" s="154">
        <f t="shared" ref="O3:Q3" si="1">N3+1</f>
        <v>2023</v>
      </c>
      <c r="P3" s="154">
        <f t="shared" si="1"/>
        <v>2024</v>
      </c>
      <c r="Q3" s="154">
        <f t="shared" si="1"/>
        <v>2025</v>
      </c>
      <c r="R3" s="155" t="s">
        <v>355</v>
      </c>
      <c r="S3" s="155" t="s">
        <v>356</v>
      </c>
      <c r="T3" s="194"/>
    </row>
    <row r="5" spans="1:20">
      <c r="A5" s="160" t="s">
        <v>433</v>
      </c>
      <c r="B5" s="137" t="s">
        <v>357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</row>
    <row r="7" spans="1:20" s="121" customFormat="1">
      <c r="A7" s="161"/>
      <c r="B7" s="122" t="s">
        <v>358</v>
      </c>
      <c r="C7" s="122"/>
      <c r="H7" s="186">
        <f>+rFS!C54/10^9</f>
        <v>124.189443779</v>
      </c>
      <c r="I7" s="186">
        <f>+rFS!D54/10^9</f>
        <v>182.08549697500001</v>
      </c>
      <c r="J7" s="186">
        <f>+rFS!E54/10^9</f>
        <v>182.391609421</v>
      </c>
      <c r="K7" s="186">
        <f>+rFS!F54/10^9</f>
        <v>204.56762522700001</v>
      </c>
      <c r="L7" s="186">
        <f>+rFS!G54/10^9</f>
        <v>211.03834838099999</v>
      </c>
      <c r="M7" s="123">
        <f>+M8+M15+M22</f>
        <v>244.67808021971615</v>
      </c>
      <c r="N7" s="123">
        <f t="shared" ref="N7:Q7" si="2">+N8+N15+N22</f>
        <v>292.31467622896105</v>
      </c>
      <c r="O7" s="123">
        <f t="shared" si="2"/>
        <v>352.24662420195534</v>
      </c>
      <c r="P7" s="123">
        <f t="shared" si="2"/>
        <v>418.12543427468398</v>
      </c>
      <c r="Q7" s="123">
        <f t="shared" si="2"/>
        <v>498.02210760407729</v>
      </c>
      <c r="R7" s="125">
        <f>+RATE(4,0,-H7,L7)</f>
        <v>0.14174514710257433</v>
      </c>
      <c r="S7" s="125">
        <f>+RATE(4,0,-M7,Q7)</f>
        <v>0.19443738876393113</v>
      </c>
    </row>
    <row r="8" spans="1:20" s="122" customFormat="1">
      <c r="A8" s="162"/>
      <c r="C8" s="122" t="s">
        <v>359</v>
      </c>
      <c r="H8" s="186">
        <f>+rSegment!C4</f>
        <v>64</v>
      </c>
      <c r="I8" s="186">
        <f>+rSegment!D4</f>
        <v>108.8</v>
      </c>
      <c r="J8" s="186">
        <f>+rSegment!E4</f>
        <v>93.600000000000009</v>
      </c>
      <c r="K8" s="186">
        <f>+rSegment!F4</f>
        <v>92.2</v>
      </c>
      <c r="L8" s="186">
        <f>+rSegment!G4</f>
        <v>109.5</v>
      </c>
      <c r="M8" s="123">
        <f>M9+M12</f>
        <v>135.67906073118706</v>
      </c>
      <c r="N8" s="123">
        <f t="shared" ref="N8:Q8" si="3">N9+N12</f>
        <v>168.14392867541792</v>
      </c>
      <c r="O8" s="123">
        <f t="shared" si="3"/>
        <v>208.41054926775604</v>
      </c>
      <c r="P8" s="123">
        <f t="shared" si="3"/>
        <v>258.36211142290153</v>
      </c>
      <c r="Q8" s="123">
        <f t="shared" si="3"/>
        <v>320.33841676642464</v>
      </c>
      <c r="R8" s="125">
        <f t="shared" ref="R8:R22" si="4">+RATE(4,0,-H8,L8)</f>
        <v>0.14369055956081128</v>
      </c>
      <c r="S8" s="125">
        <f t="shared" ref="S8:S22" si="5">+RATE(4,0,-M8,Q8)</f>
        <v>0.23957854032531883</v>
      </c>
      <c r="T8" s="123"/>
    </row>
    <row r="9" spans="1:20" s="121" customFormat="1">
      <c r="A9" s="161"/>
      <c r="D9" s="121" t="s">
        <v>360</v>
      </c>
      <c r="H9" s="187">
        <f>+rSegment!C5</f>
        <v>24.96</v>
      </c>
      <c r="I9" s="187">
        <f>+rSegment!D5</f>
        <v>32.56</v>
      </c>
      <c r="J9" s="187">
        <f>+rSegment!E5</f>
        <v>34.515000000000001</v>
      </c>
      <c r="K9" s="187">
        <f>+rSegment!F5</f>
        <v>37.617600000000003</v>
      </c>
      <c r="L9" s="187">
        <f>+rSegment!G5</f>
        <v>39.091499999999996</v>
      </c>
      <c r="M9" s="124">
        <f>M10*M11/10^6</f>
        <v>49.260703574026479</v>
      </c>
      <c r="N9" s="124">
        <f t="shared" ref="N9:Q9" si="6">N10*N11/10^6</f>
        <v>62.075308356243831</v>
      </c>
      <c r="O9" s="124">
        <f t="shared" si="6"/>
        <v>78.223485008332162</v>
      </c>
      <c r="P9" s="124">
        <f t="shared" si="6"/>
        <v>98.572423865105094</v>
      </c>
      <c r="Q9" s="124">
        <f t="shared" si="6"/>
        <v>124.2149048410073</v>
      </c>
      <c r="R9" s="126">
        <f t="shared" si="4"/>
        <v>0.11868918252267728</v>
      </c>
      <c r="S9" s="126">
        <f t="shared" si="5"/>
        <v>0.26013848468404249</v>
      </c>
      <c r="T9" s="124"/>
    </row>
    <row r="10" spans="1:20" s="121" customFormat="1">
      <c r="A10" s="161"/>
      <c r="E10" s="121" t="s">
        <v>361</v>
      </c>
      <c r="H10" s="124">
        <f>H9/H11*10^6</f>
        <v>608.78048780487802</v>
      </c>
      <c r="I10" s="124">
        <f t="shared" ref="I10:L10" si="7">I9/I11*10^6</f>
        <v>814</v>
      </c>
      <c r="J10" s="124">
        <f t="shared" si="7"/>
        <v>1438.125</v>
      </c>
      <c r="K10" s="124">
        <f t="shared" si="7"/>
        <v>1709.890909090909</v>
      </c>
      <c r="L10" s="124">
        <f t="shared" si="7"/>
        <v>1776.8863636363635</v>
      </c>
      <c r="M10" s="124">
        <f>+L10*(1+M28)</f>
        <v>2322.5195960922215</v>
      </c>
      <c r="N10" s="124">
        <f t="shared" ref="N10:Q11" si="8">+M10*(1+N28)</f>
        <v>3035.7018797721316</v>
      </c>
      <c r="O10" s="124">
        <f t="shared" si="8"/>
        <v>3967.8829484830444</v>
      </c>
      <c r="P10" s="124">
        <f t="shared" si="8"/>
        <v>5186.3113429452742</v>
      </c>
      <c r="Q10" s="124">
        <f t="shared" si="8"/>
        <v>6778.8857925474049</v>
      </c>
      <c r="R10" s="126">
        <f t="shared" si="4"/>
        <v>0.3070726657720701</v>
      </c>
      <c r="S10" s="126">
        <f t="shared" si="5"/>
        <v>0.30707266577096654</v>
      </c>
      <c r="T10" s="124"/>
    </row>
    <row r="11" spans="1:20" s="121" customFormat="1">
      <c r="A11" s="161"/>
      <c r="E11" s="121" t="s">
        <v>362</v>
      </c>
      <c r="H11" s="188">
        <f>+rSegment!C23</f>
        <v>41000</v>
      </c>
      <c r="I11" s="188">
        <f>+rSegment!D23</f>
        <v>40000</v>
      </c>
      <c r="J11" s="188">
        <f>+rSegment!E23</f>
        <v>24000</v>
      </c>
      <c r="K11" s="188">
        <f>+rSegment!F23</f>
        <v>22000.000000000004</v>
      </c>
      <c r="L11" s="188">
        <f>+rSegment!G23</f>
        <v>22000</v>
      </c>
      <c r="M11" s="121">
        <f>+L11*(1+M29)</f>
        <v>21210.027100271003</v>
      </c>
      <c r="N11" s="121">
        <f t="shared" si="8"/>
        <v>20448.42043610138</v>
      </c>
      <c r="O11" s="121">
        <f t="shared" si="8"/>
        <v>19714.161436702077</v>
      </c>
      <c r="P11" s="121">
        <f t="shared" si="8"/>
        <v>19006.268105980391</v>
      </c>
      <c r="Q11" s="121">
        <f t="shared" si="8"/>
        <v>18323.793709220932</v>
      </c>
      <c r="R11" s="126">
        <f t="shared" si="4"/>
        <v>-0.14412625111338431</v>
      </c>
      <c r="S11" s="126">
        <f t="shared" si="5"/>
        <v>-3.5907859078590322E-2</v>
      </c>
      <c r="T11" s="124"/>
    </row>
    <row r="12" spans="1:20" s="121" customFormat="1">
      <c r="A12" s="161"/>
      <c r="D12" s="121" t="s">
        <v>363</v>
      </c>
      <c r="H12" s="187">
        <f>+rSegment!C6</f>
        <v>39.04</v>
      </c>
      <c r="I12" s="187">
        <f>+rSegment!D6</f>
        <v>76.239999999999995</v>
      </c>
      <c r="J12" s="187">
        <f>+rSegment!E6</f>
        <v>59.085000000000008</v>
      </c>
      <c r="K12" s="187">
        <f>+rSegment!F6</f>
        <v>54.5824</v>
      </c>
      <c r="L12" s="187">
        <f>+rSegment!G6</f>
        <v>70.408500000000004</v>
      </c>
      <c r="M12" s="124">
        <f>M13*M14/10^6</f>
        <v>86.418357157160585</v>
      </c>
      <c r="N12" s="124">
        <f t="shared" ref="N12" si="9">N13*N14/10^6</f>
        <v>106.06862031917409</v>
      </c>
      <c r="O12" s="124">
        <f t="shared" ref="O12" si="10">O13*O14/10^6</f>
        <v>130.18706425942389</v>
      </c>
      <c r="P12" s="124">
        <f t="shared" ref="P12" si="11">P13*P14/10^6</f>
        <v>159.78968755779641</v>
      </c>
      <c r="Q12" s="124">
        <f t="shared" ref="Q12" si="12">Q13*Q14/10^6</f>
        <v>196.12351192541738</v>
      </c>
      <c r="R12" s="126">
        <f t="shared" si="4"/>
        <v>0.15885425782592763</v>
      </c>
      <c r="S12" s="126">
        <f t="shared" si="5"/>
        <v>0.22738528951988157</v>
      </c>
      <c r="T12" s="124"/>
    </row>
    <row r="13" spans="1:20" s="121" customFormat="1">
      <c r="A13" s="161"/>
      <c r="E13" s="121" t="s">
        <v>361</v>
      </c>
      <c r="H13" s="124">
        <f>H12/H14*10^6</f>
        <v>780.8</v>
      </c>
      <c r="I13" s="124">
        <f t="shared" ref="I13" si="13">I12/I14*10^6</f>
        <v>1524.8</v>
      </c>
      <c r="J13" s="124">
        <f t="shared" ref="J13" si="14">J12/J14*10^6</f>
        <v>1554.8684210526319</v>
      </c>
      <c r="K13" s="124">
        <f t="shared" ref="K13" si="15">K12/K14*10^6</f>
        <v>1559.4971428571428</v>
      </c>
      <c r="L13" s="124">
        <f t="shared" ref="L13" si="16">L12/L14*10^6</f>
        <v>2133.5909090909086</v>
      </c>
      <c r="M13" s="124">
        <f>+L13*(1+M31)</f>
        <v>2743.1779999289611</v>
      </c>
      <c r="N13" s="124">
        <f t="shared" ref="N13:Q13" si="17">+M13*(1+N31)</f>
        <v>3526.9298848393373</v>
      </c>
      <c r="O13" s="124">
        <f t="shared" si="17"/>
        <v>4534.6070918091918</v>
      </c>
      <c r="P13" s="124">
        <f t="shared" si="17"/>
        <v>5830.1872020409928</v>
      </c>
      <c r="Q13" s="124">
        <f t="shared" si="17"/>
        <v>7495.9267964451155</v>
      </c>
      <c r="R13" s="126">
        <f t="shared" si="4"/>
        <v>0.28570945266062669</v>
      </c>
      <c r="S13" s="126">
        <f t="shared" si="5"/>
        <v>0.28570945266050207</v>
      </c>
      <c r="T13" s="124"/>
    </row>
    <row r="14" spans="1:20" s="121" customFormat="1">
      <c r="A14" s="161"/>
      <c r="E14" s="121" t="s">
        <v>362</v>
      </c>
      <c r="H14" s="188">
        <f>+rSegment!C24</f>
        <v>50000</v>
      </c>
      <c r="I14" s="188">
        <f>+rSegment!D24</f>
        <v>50000</v>
      </c>
      <c r="J14" s="188">
        <f>+rSegment!E24</f>
        <v>38000</v>
      </c>
      <c r="K14" s="188">
        <f>+rSegment!F24</f>
        <v>35000</v>
      </c>
      <c r="L14" s="188">
        <f>+rSegment!G24</f>
        <v>33000.000000000007</v>
      </c>
      <c r="M14" s="121">
        <f>+L14*(1+M32)</f>
        <v>31503.007518797003</v>
      </c>
      <c r="N14" s="121">
        <f t="shared" ref="N14:Q14" si="18">+M14*(1+N32)</f>
        <v>30073.923719072129</v>
      </c>
      <c r="O14" s="121">
        <f t="shared" si="18"/>
        <v>28709.66803156535</v>
      </c>
      <c r="P14" s="121">
        <f t="shared" si="18"/>
        <v>27407.299632138453</v>
      </c>
      <c r="Q14" s="121">
        <f t="shared" si="18"/>
        <v>26164.011102459994</v>
      </c>
      <c r="R14" s="126">
        <f t="shared" si="4"/>
        <v>-9.8665522425999685E-2</v>
      </c>
      <c r="S14" s="126">
        <f t="shared" si="5"/>
        <v>-4.5363408521301572E-2</v>
      </c>
      <c r="T14" s="124"/>
    </row>
    <row r="15" spans="1:20" s="122" customFormat="1">
      <c r="A15" s="162"/>
      <c r="C15" s="122" t="s">
        <v>364</v>
      </c>
      <c r="H15" s="186">
        <f>+rSegment!C7</f>
        <v>47.3</v>
      </c>
      <c r="I15" s="186">
        <f>+rSegment!D7</f>
        <v>56.5</v>
      </c>
      <c r="J15" s="186">
        <f>+rSegment!E7</f>
        <v>48.2</v>
      </c>
      <c r="K15" s="186">
        <f>+rSegment!F7</f>
        <v>61.8</v>
      </c>
      <c r="L15" s="186">
        <f>+rSegment!G7</f>
        <v>67.8</v>
      </c>
      <c r="M15" s="123">
        <f>M16+M19</f>
        <v>75.260671107529106</v>
      </c>
      <c r="N15" s="123">
        <f t="shared" ref="N15" si="19">N16+N19</f>
        <v>83.684729496343124</v>
      </c>
      <c r="O15" s="123">
        <f t="shared" ref="O15" si="20">O16+O19</f>
        <v>93.228552362699304</v>
      </c>
      <c r="P15" s="123">
        <f t="shared" ref="P15" si="21">P16+P19</f>
        <v>104.09504802313248</v>
      </c>
      <c r="Q15" s="123">
        <f t="shared" ref="Q15" si="22">Q16+Q19</f>
        <v>116.44858852613766</v>
      </c>
      <c r="R15" s="125">
        <f t="shared" si="4"/>
        <v>9.4188480557772972E-2</v>
      </c>
      <c r="S15" s="125">
        <f t="shared" si="5"/>
        <v>0.11529957200734425</v>
      </c>
      <c r="T15" s="123"/>
    </row>
    <row r="16" spans="1:20" s="121" customFormat="1">
      <c r="A16" s="161"/>
      <c r="D16" s="121" t="s">
        <v>360</v>
      </c>
      <c r="H16" s="187">
        <f>+rSegment!C8</f>
        <v>28.38</v>
      </c>
      <c r="I16" s="187">
        <f>+rSegment!D8</f>
        <v>24.9</v>
      </c>
      <c r="J16" s="187">
        <f>+rSegment!E8</f>
        <v>32.200000000000003</v>
      </c>
      <c r="K16" s="187">
        <f>+rSegment!F8</f>
        <v>31.518000000000001</v>
      </c>
      <c r="L16" s="187">
        <f>+rSegment!G8</f>
        <v>34.577999999999996</v>
      </c>
      <c r="M16" s="124">
        <f>M17*M18/10^6</f>
        <v>36.664208260294707</v>
      </c>
      <c r="N16" s="124">
        <f t="shared" ref="N16" si="23">N17*N18/10^6</f>
        <v>38.876284555331779</v>
      </c>
      <c r="O16" s="124">
        <f t="shared" ref="O16" si="24">O17*O18/10^6</f>
        <v>41.221822931435106</v>
      </c>
      <c r="P16" s="124">
        <f t="shared" ref="P16" si="25">P17*P18/10^6</f>
        <v>43.708875609553154</v>
      </c>
      <c r="Q16" s="124">
        <f t="shared" ref="Q16" si="26">Q17*Q18/10^6</f>
        <v>46.345980628491304</v>
      </c>
      <c r="R16" s="126">
        <f t="shared" si="4"/>
        <v>5.0622916935157684E-2</v>
      </c>
      <c r="S16" s="126">
        <f t="shared" si="5"/>
        <v>6.0333398701333356E-2</v>
      </c>
      <c r="T16" s="124"/>
    </row>
    <row r="17" spans="1:20" s="121" customFormat="1">
      <c r="A17" s="161"/>
      <c r="E17" s="121" t="s">
        <v>361</v>
      </c>
      <c r="H17" s="124">
        <f>H16/H18*10^6</f>
        <v>1135.2</v>
      </c>
      <c r="I17" s="124">
        <f t="shared" ref="I17:L17" si="27">I16/I18*10^6</f>
        <v>1082.6086956521738</v>
      </c>
      <c r="J17" s="124">
        <f t="shared" si="27"/>
        <v>1463.6363636363637</v>
      </c>
      <c r="K17" s="124">
        <f t="shared" si="27"/>
        <v>1500.8571428571429</v>
      </c>
      <c r="L17" s="124">
        <f t="shared" si="27"/>
        <v>1728.8999999999999</v>
      </c>
      <c r="M17" s="124">
        <f>+L17*(1+M35)</f>
        <v>1920.6323839380725</v>
      </c>
      <c r="N17" s="124">
        <f t="shared" ref="N17:Q17" si="28">+M17*(1+N35)</f>
        <v>2133.6275980285982</v>
      </c>
      <c r="O17" s="124">
        <f t="shared" si="28"/>
        <v>2370.2436578389324</v>
      </c>
      <c r="P17" s="124">
        <f t="shared" si="28"/>
        <v>2633.100079281211</v>
      </c>
      <c r="Q17" s="124">
        <f t="shared" si="28"/>
        <v>2925.1068786033898</v>
      </c>
      <c r="R17" s="126">
        <f t="shared" si="4"/>
        <v>0.11089848107934087</v>
      </c>
      <c r="S17" s="126">
        <f t="shared" si="5"/>
        <v>0.11089848107934347</v>
      </c>
      <c r="T17" s="124"/>
    </row>
    <row r="18" spans="1:20" s="121" customFormat="1">
      <c r="A18" s="161"/>
      <c r="E18" s="121" t="s">
        <v>362</v>
      </c>
      <c r="H18" s="188">
        <f>+rSegment!C27</f>
        <v>25000</v>
      </c>
      <c r="I18" s="188">
        <f>+rSegment!D27</f>
        <v>23000</v>
      </c>
      <c r="J18" s="188">
        <f>+rSegment!E27</f>
        <v>22000</v>
      </c>
      <c r="K18" s="188">
        <f>+rSegment!F27</f>
        <v>21000</v>
      </c>
      <c r="L18" s="188">
        <f>+rSegment!G27</f>
        <v>20000</v>
      </c>
      <c r="M18" s="121">
        <f>+L18*(1+M36)</f>
        <v>19089.65430704561</v>
      </c>
      <c r="N18" s="121">
        <f t="shared" ref="N18:Q18" si="29">+M18*(1+N36)</f>
        <v>18220.745078125252</v>
      </c>
      <c r="O18" s="121">
        <f t="shared" si="29"/>
        <v>17391.38623791069</v>
      </c>
      <c r="P18" s="121">
        <f t="shared" si="29"/>
        <v>16599.77756010128</v>
      </c>
      <c r="Q18" s="121">
        <f t="shared" si="29"/>
        <v>15844.200759809324</v>
      </c>
      <c r="R18" s="126">
        <f t="shared" si="4"/>
        <v>-5.4258390996818555E-2</v>
      </c>
      <c r="S18" s="126">
        <f t="shared" si="5"/>
        <v>-4.5517284647717787E-2</v>
      </c>
      <c r="T18" s="124"/>
    </row>
    <row r="19" spans="1:20" s="121" customFormat="1">
      <c r="A19" s="161"/>
      <c r="D19" s="121" t="s">
        <v>363</v>
      </c>
      <c r="H19" s="187">
        <f>+rSegment!C9</f>
        <v>18.919999999999998</v>
      </c>
      <c r="I19" s="187">
        <f>+rSegment!D9</f>
        <v>31.6</v>
      </c>
      <c r="J19" s="187">
        <f>+rSegment!E9</f>
        <v>16</v>
      </c>
      <c r="K19" s="187">
        <f>+rSegment!F9</f>
        <v>30.281999999999996</v>
      </c>
      <c r="L19" s="187">
        <f>+rSegment!G9</f>
        <v>33.222000000000001</v>
      </c>
      <c r="M19" s="124">
        <f>M20*M21/10^6</f>
        <v>38.596462847234406</v>
      </c>
      <c r="N19" s="124">
        <f t="shared" ref="N19" si="30">N20*N21/10^6</f>
        <v>44.808444941011352</v>
      </c>
      <c r="O19" s="124">
        <f t="shared" ref="O19" si="31">O20*O21/10^6</f>
        <v>52.006729431264205</v>
      </c>
      <c r="P19" s="124">
        <f t="shared" ref="P19" si="32">P20*P21/10^6</f>
        <v>60.386172413579317</v>
      </c>
      <c r="Q19" s="124">
        <f t="shared" ref="Q19" si="33">Q20*Q21/10^6</f>
        <v>70.102607897646351</v>
      </c>
      <c r="R19" s="126">
        <f t="shared" si="4"/>
        <v>0.15113473948178158</v>
      </c>
      <c r="S19" s="126">
        <f t="shared" si="5"/>
        <v>0.16090496118796155</v>
      </c>
      <c r="T19" s="124"/>
    </row>
    <row r="20" spans="1:20" s="121" customFormat="1">
      <c r="A20" s="161"/>
      <c r="E20" s="121" t="s">
        <v>361</v>
      </c>
      <c r="H20" s="124">
        <f>H19/H21*10^6</f>
        <v>302.71999999999997</v>
      </c>
      <c r="I20" s="124">
        <f t="shared" ref="I20" si="34">I19/I21*10^6</f>
        <v>549.56521739130437</v>
      </c>
      <c r="J20" s="124">
        <f t="shared" ref="J20" si="35">J19/J21*10^6</f>
        <v>290.90909090909093</v>
      </c>
      <c r="K20" s="124">
        <f t="shared" ref="K20" si="36">K19/K21*10^6</f>
        <v>576.79999999999995</v>
      </c>
      <c r="L20" s="124">
        <f t="shared" ref="L20" si="37">L19/L21*10^6</f>
        <v>664.43999999999994</v>
      </c>
      <c r="M20" s="124">
        <f>+L20*(1+M38)</f>
        <v>808.74094892308688</v>
      </c>
      <c r="N20" s="124">
        <f t="shared" ref="N20:Q20" si="38">+M20*(1+N38)</f>
        <v>984.38071528657974</v>
      </c>
      <c r="O20" s="124">
        <f t="shared" si="38"/>
        <v>1198.1653629860568</v>
      </c>
      <c r="P20" s="124">
        <f t="shared" si="38"/>
        <v>1458.3790750528542</v>
      </c>
      <c r="Q20" s="124">
        <f t="shared" si="38"/>
        <v>1775.1051668289374</v>
      </c>
      <c r="R20" s="126">
        <f t="shared" si="4"/>
        <v>0.2171767938761768</v>
      </c>
      <c r="S20" s="126">
        <f t="shared" si="5"/>
        <v>0.21717679387617686</v>
      </c>
      <c r="T20" s="124"/>
    </row>
    <row r="21" spans="1:20" s="121" customFormat="1">
      <c r="A21" s="161"/>
      <c r="E21" s="121" t="s">
        <v>362</v>
      </c>
      <c r="H21" s="188">
        <f>+rSegment!C28</f>
        <v>62500</v>
      </c>
      <c r="I21" s="188">
        <f>+rSegment!D28</f>
        <v>57500</v>
      </c>
      <c r="J21" s="188">
        <f>+rSegment!E28</f>
        <v>55000</v>
      </c>
      <c r="K21" s="188">
        <f>+rSegment!F28</f>
        <v>52500</v>
      </c>
      <c r="L21" s="188">
        <f>+rSegment!G28</f>
        <v>50000</v>
      </c>
      <c r="M21" s="121">
        <f>+L21*(1+M39)</f>
        <v>47724.135767614032</v>
      </c>
      <c r="N21" s="121">
        <f t="shared" ref="N21:Q21" si="39">+M21*(1+N39)</f>
        <v>45519.425812772461</v>
      </c>
      <c r="O21" s="121">
        <f t="shared" si="39"/>
        <v>43405.302004101926</v>
      </c>
      <c r="P21" s="121">
        <f t="shared" si="39"/>
        <v>41406.362341965731</v>
      </c>
      <c r="Q21" s="121">
        <f t="shared" si="39"/>
        <v>39492.08712116941</v>
      </c>
      <c r="R21" s="126">
        <f t="shared" si="4"/>
        <v>-5.4258390996818485E-2</v>
      </c>
      <c r="S21" s="126">
        <f t="shared" si="5"/>
        <v>-4.6231437348558745E-2</v>
      </c>
      <c r="T21" s="124"/>
    </row>
    <row r="22" spans="1:20" s="122" customFormat="1">
      <c r="A22" s="162"/>
      <c r="C22" s="122" t="s">
        <v>365</v>
      </c>
      <c r="H22" s="123">
        <f>+H7-H8-H15</f>
        <v>12.889443779000004</v>
      </c>
      <c r="I22" s="123">
        <f>+I7-I8-I15</f>
        <v>16.785496975000015</v>
      </c>
      <c r="J22" s="123">
        <f>+J7-J8-J15</f>
        <v>40.591609420999987</v>
      </c>
      <c r="K22" s="123">
        <f>+K7-K8-K15</f>
        <v>50.567625227000008</v>
      </c>
      <c r="L22" s="123">
        <f>+L7-L8-L15</f>
        <v>33.738348380999994</v>
      </c>
      <c r="M22" s="123">
        <f>+L22*(1+M40)</f>
        <v>33.738348380999994</v>
      </c>
      <c r="N22" s="123">
        <f t="shared" ref="N22:Q22" si="40">+M22*(1+N40)</f>
        <v>40.486018057199992</v>
      </c>
      <c r="O22" s="123">
        <f t="shared" si="40"/>
        <v>50.607522571499992</v>
      </c>
      <c r="P22" s="123">
        <f t="shared" si="40"/>
        <v>55.668274828649999</v>
      </c>
      <c r="Q22" s="123">
        <f t="shared" si="40"/>
        <v>61.235102311515</v>
      </c>
      <c r="R22" s="125">
        <f t="shared" si="4"/>
        <v>0.27195694359935557</v>
      </c>
      <c r="S22" s="125">
        <f t="shared" si="5"/>
        <v>0.16069778949161975</v>
      </c>
      <c r="T22" s="123"/>
    </row>
    <row r="23" spans="1:20" s="121" customFormat="1">
      <c r="A23" s="161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</row>
    <row r="24" spans="1:20" s="121" customFormat="1">
      <c r="A24" s="161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</row>
    <row r="25" spans="1:20" s="122" customFormat="1">
      <c r="A25" s="162" t="s">
        <v>433</v>
      </c>
      <c r="C25" s="122" t="s">
        <v>366</v>
      </c>
      <c r="H25" s="123"/>
      <c r="I25" s="125">
        <f>+I7/H7-1</f>
        <v>0.46619142041595985</v>
      </c>
      <c r="J25" s="125">
        <f t="shared" ref="J25:L25" si="41">+J7/I7-1</f>
        <v>1.6811467749242581E-3</v>
      </c>
      <c r="K25" s="125">
        <f t="shared" si="41"/>
        <v>0.12158462703628481</v>
      </c>
      <c r="L25" s="125">
        <f t="shared" si="41"/>
        <v>3.1631218022987184E-2</v>
      </c>
      <c r="M25" s="123"/>
      <c r="N25" s="123"/>
      <c r="O25" s="123"/>
      <c r="P25" s="123"/>
      <c r="Q25" s="123"/>
      <c r="R25" s="123"/>
      <c r="S25" s="123"/>
      <c r="T25" s="123"/>
    </row>
    <row r="26" spans="1:20" s="122" customFormat="1">
      <c r="A26" s="162"/>
      <c r="C26" s="122" t="s">
        <v>359</v>
      </c>
      <c r="H26" s="123"/>
      <c r="I26" s="125">
        <f t="shared" ref="I26:L40" si="42">+I8/H8-1</f>
        <v>0.7</v>
      </c>
      <c r="J26" s="125">
        <f t="shared" si="42"/>
        <v>-0.13970588235294112</v>
      </c>
      <c r="K26" s="125">
        <f t="shared" si="42"/>
        <v>-1.4957264957265015E-2</v>
      </c>
      <c r="L26" s="125">
        <f t="shared" si="42"/>
        <v>0.18763557483731019</v>
      </c>
      <c r="M26" s="123"/>
      <c r="N26" s="123"/>
      <c r="O26" s="123"/>
      <c r="P26" s="123"/>
      <c r="Q26" s="123"/>
      <c r="R26" s="123"/>
      <c r="S26" s="123"/>
      <c r="T26" s="123"/>
    </row>
    <row r="27" spans="1:20" s="121" customFormat="1">
      <c r="A27" s="161"/>
      <c r="D27" s="121" t="s">
        <v>360</v>
      </c>
      <c r="H27" s="124"/>
      <c r="I27" s="126">
        <f t="shared" si="42"/>
        <v>0.30448717948717952</v>
      </c>
      <c r="J27" s="126">
        <f t="shared" si="42"/>
        <v>6.0042997542997467E-2</v>
      </c>
      <c r="K27" s="126">
        <f t="shared" si="42"/>
        <v>8.9891351586266932E-2</v>
      </c>
      <c r="L27" s="126">
        <f t="shared" si="42"/>
        <v>3.9181127982646169E-2</v>
      </c>
      <c r="M27" s="124"/>
      <c r="N27" s="124"/>
      <c r="O27" s="124"/>
      <c r="P27" s="124"/>
      <c r="Q27" s="124"/>
      <c r="R27" s="124"/>
      <c r="S27" s="124"/>
      <c r="T27" s="124"/>
    </row>
    <row r="28" spans="1:20" s="121" customFormat="1">
      <c r="A28" s="161"/>
      <c r="E28" s="121" t="s">
        <v>361</v>
      </c>
      <c r="H28" s="124"/>
      <c r="I28" s="126">
        <f t="shared" si="42"/>
        <v>0.33709935897435894</v>
      </c>
      <c r="J28" s="126">
        <f t="shared" si="42"/>
        <v>0.76673832923832919</v>
      </c>
      <c r="K28" s="126">
        <f t="shared" si="42"/>
        <v>0.18897238354865475</v>
      </c>
      <c r="L28" s="126">
        <f t="shared" si="42"/>
        <v>3.9181127982646391E-2</v>
      </c>
      <c r="M28" s="129">
        <f>+R10</f>
        <v>0.3070726657720701</v>
      </c>
      <c r="N28" s="129">
        <f>+M28</f>
        <v>0.3070726657720701</v>
      </c>
      <c r="O28" s="129">
        <f t="shared" ref="O28:Q28" si="43">+N28</f>
        <v>0.3070726657720701</v>
      </c>
      <c r="P28" s="129">
        <f t="shared" si="43"/>
        <v>0.3070726657720701</v>
      </c>
      <c r="Q28" s="129">
        <f t="shared" si="43"/>
        <v>0.3070726657720701</v>
      </c>
      <c r="R28" s="124"/>
      <c r="S28" s="124"/>
      <c r="T28" s="124"/>
    </row>
    <row r="29" spans="1:20" s="121" customFormat="1">
      <c r="A29" s="161"/>
      <c r="E29" s="121" t="s">
        <v>362</v>
      </c>
      <c r="H29" s="124"/>
      <c r="I29" s="126">
        <f t="shared" si="42"/>
        <v>-2.4390243902439046E-2</v>
      </c>
      <c r="J29" s="126">
        <f t="shared" si="42"/>
        <v>-0.4</v>
      </c>
      <c r="K29" s="126">
        <f t="shared" si="42"/>
        <v>-8.3333333333333148E-2</v>
      </c>
      <c r="L29" s="126">
        <f t="shared" si="42"/>
        <v>0</v>
      </c>
      <c r="M29" s="129">
        <f>+AVERAGE(I29,K29,L29)</f>
        <v>-3.5907859078590731E-2</v>
      </c>
      <c r="N29" s="129">
        <f>+M29</f>
        <v>-3.5907859078590731E-2</v>
      </c>
      <c r="O29" s="129">
        <f t="shared" ref="O29:Q29" si="44">+N29</f>
        <v>-3.5907859078590731E-2</v>
      </c>
      <c r="P29" s="129">
        <f t="shared" si="44"/>
        <v>-3.5907859078590731E-2</v>
      </c>
      <c r="Q29" s="129">
        <f t="shared" si="44"/>
        <v>-3.5907859078590731E-2</v>
      </c>
      <c r="R29" s="124"/>
      <c r="S29" s="124"/>
      <c r="T29" s="124"/>
    </row>
    <row r="30" spans="1:20" s="121" customFormat="1">
      <c r="A30" s="161"/>
      <c r="D30" s="121" t="s">
        <v>363</v>
      </c>
      <c r="H30" s="124"/>
      <c r="I30" s="126">
        <f t="shared" si="42"/>
        <v>0.95286885245901631</v>
      </c>
      <c r="J30" s="126">
        <f t="shared" si="42"/>
        <v>-0.22501311647429156</v>
      </c>
      <c r="K30" s="126">
        <f t="shared" si="42"/>
        <v>-7.6205466700516311E-2</v>
      </c>
      <c r="L30" s="126">
        <f t="shared" si="42"/>
        <v>0.28994877469660563</v>
      </c>
      <c r="M30" s="130"/>
      <c r="N30" s="130"/>
      <c r="O30" s="130"/>
      <c r="P30" s="130"/>
      <c r="Q30" s="130"/>
      <c r="R30" s="124"/>
      <c r="S30" s="124"/>
      <c r="T30" s="124"/>
    </row>
    <row r="31" spans="1:20" s="121" customFormat="1">
      <c r="A31" s="161"/>
      <c r="E31" s="121" t="s">
        <v>361</v>
      </c>
      <c r="H31" s="124"/>
      <c r="I31" s="126">
        <f t="shared" si="42"/>
        <v>0.95286885245901654</v>
      </c>
      <c r="J31" s="126">
        <f t="shared" si="42"/>
        <v>1.9719583586458533E-2</v>
      </c>
      <c r="K31" s="126">
        <f t="shared" si="42"/>
        <v>2.9769218680106846E-3</v>
      </c>
      <c r="L31" s="126">
        <f t="shared" si="42"/>
        <v>0.36812748831458131</v>
      </c>
      <c r="M31" s="129">
        <f>+R13</f>
        <v>0.28570945266062669</v>
      </c>
      <c r="N31" s="129">
        <f>+M31</f>
        <v>0.28570945266062669</v>
      </c>
      <c r="O31" s="129">
        <f t="shared" ref="O31:Q31" si="45">+N31</f>
        <v>0.28570945266062669</v>
      </c>
      <c r="P31" s="129">
        <f t="shared" si="45"/>
        <v>0.28570945266062669</v>
      </c>
      <c r="Q31" s="129">
        <f t="shared" si="45"/>
        <v>0.28570945266062669</v>
      </c>
      <c r="R31" s="124"/>
      <c r="S31" s="124"/>
      <c r="T31" s="124"/>
    </row>
    <row r="32" spans="1:20" s="121" customFormat="1">
      <c r="A32" s="161"/>
      <c r="E32" s="121" t="s">
        <v>362</v>
      </c>
      <c r="H32" s="124"/>
      <c r="I32" s="126">
        <f t="shared" si="42"/>
        <v>0</v>
      </c>
      <c r="J32" s="126">
        <f t="shared" si="42"/>
        <v>-0.24</v>
      </c>
      <c r="K32" s="126">
        <f t="shared" si="42"/>
        <v>-7.8947368421052655E-2</v>
      </c>
      <c r="L32" s="126">
        <f t="shared" si="42"/>
        <v>-5.714285714285694E-2</v>
      </c>
      <c r="M32" s="129">
        <f>+AVERAGE(I32,K32,L32)</f>
        <v>-4.5363408521303196E-2</v>
      </c>
      <c r="N32" s="129">
        <f>+M32</f>
        <v>-4.5363408521303196E-2</v>
      </c>
      <c r="O32" s="129">
        <f t="shared" ref="O32:Q32" si="46">+N32</f>
        <v>-4.5363408521303196E-2</v>
      </c>
      <c r="P32" s="129">
        <f t="shared" si="46"/>
        <v>-4.5363408521303196E-2</v>
      </c>
      <c r="Q32" s="129">
        <f t="shared" si="46"/>
        <v>-4.5363408521303196E-2</v>
      </c>
      <c r="R32" s="124"/>
      <c r="S32" s="124"/>
      <c r="T32" s="124"/>
    </row>
    <row r="33" spans="1:20" s="122" customFormat="1">
      <c r="A33" s="162"/>
      <c r="C33" s="122" t="s">
        <v>364</v>
      </c>
      <c r="H33" s="123"/>
      <c r="I33" s="125">
        <f t="shared" si="42"/>
        <v>0.19450317124735728</v>
      </c>
      <c r="J33" s="125">
        <f t="shared" si="42"/>
        <v>-0.14690265486725662</v>
      </c>
      <c r="K33" s="125">
        <f t="shared" si="42"/>
        <v>0.2821576763485476</v>
      </c>
      <c r="L33" s="125">
        <f t="shared" si="42"/>
        <v>9.7087378640776656E-2</v>
      </c>
      <c r="M33" s="131"/>
      <c r="N33" s="131"/>
      <c r="O33" s="131"/>
      <c r="P33" s="131"/>
      <c r="Q33" s="131"/>
      <c r="R33" s="123"/>
      <c r="S33" s="123"/>
      <c r="T33" s="123"/>
    </row>
    <row r="34" spans="1:20" s="121" customFormat="1">
      <c r="A34" s="161"/>
      <c r="D34" s="121" t="s">
        <v>360</v>
      </c>
      <c r="H34" s="124"/>
      <c r="I34" s="126">
        <f t="shared" si="42"/>
        <v>-0.12262156448202965</v>
      </c>
      <c r="J34" s="126">
        <f t="shared" si="42"/>
        <v>0.2931726907630523</v>
      </c>
      <c r="K34" s="126">
        <f t="shared" si="42"/>
        <v>-2.1180124223602603E-2</v>
      </c>
      <c r="L34" s="126">
        <f t="shared" si="42"/>
        <v>9.7087378640776434E-2</v>
      </c>
      <c r="M34" s="130"/>
      <c r="N34" s="130"/>
      <c r="O34" s="130"/>
      <c r="P34" s="130"/>
      <c r="Q34" s="130"/>
      <c r="R34" s="124"/>
      <c r="S34" s="124"/>
      <c r="T34" s="124"/>
    </row>
    <row r="35" spans="1:20" s="121" customFormat="1">
      <c r="A35" s="161"/>
      <c r="E35" s="121" t="s">
        <v>361</v>
      </c>
      <c r="H35" s="124"/>
      <c r="I35" s="126">
        <f t="shared" si="42"/>
        <v>-4.6327787480467175E-2</v>
      </c>
      <c r="J35" s="126">
        <f t="shared" si="42"/>
        <v>0.3519532676159185</v>
      </c>
      <c r="K35" s="126">
        <f t="shared" si="42"/>
        <v>2.5430346051463992E-2</v>
      </c>
      <c r="L35" s="126">
        <f t="shared" si="42"/>
        <v>0.15194174757281531</v>
      </c>
      <c r="M35" s="129">
        <f>R17</f>
        <v>0.11089848107934087</v>
      </c>
      <c r="N35" s="129">
        <f>+M35</f>
        <v>0.11089848107934087</v>
      </c>
      <c r="O35" s="129">
        <f t="shared" ref="O35:Q35" si="47">+N35</f>
        <v>0.11089848107934087</v>
      </c>
      <c r="P35" s="129">
        <f t="shared" si="47"/>
        <v>0.11089848107934087</v>
      </c>
      <c r="Q35" s="129">
        <f t="shared" si="47"/>
        <v>0.11089848107934087</v>
      </c>
      <c r="R35" s="124"/>
      <c r="S35" s="124"/>
      <c r="T35" s="124"/>
    </row>
    <row r="36" spans="1:20" s="121" customFormat="1">
      <c r="A36" s="161"/>
      <c r="E36" s="121" t="s">
        <v>362</v>
      </c>
      <c r="H36" s="124"/>
      <c r="I36" s="126">
        <f t="shared" si="42"/>
        <v>-7.999999999999996E-2</v>
      </c>
      <c r="J36" s="126">
        <f t="shared" si="42"/>
        <v>-4.3478260869565188E-2</v>
      </c>
      <c r="K36" s="126">
        <f t="shared" si="42"/>
        <v>-4.5454545454545414E-2</v>
      </c>
      <c r="L36" s="126">
        <f t="shared" si="42"/>
        <v>-4.7619047619047672E-2</v>
      </c>
      <c r="M36" s="129">
        <f>+AVERAGE(J36:L36)</f>
        <v>-4.5517284647719425E-2</v>
      </c>
      <c r="N36" s="129">
        <f>+M36</f>
        <v>-4.5517284647719425E-2</v>
      </c>
      <c r="O36" s="129">
        <f t="shared" ref="O36:Q36" si="48">+N36</f>
        <v>-4.5517284647719425E-2</v>
      </c>
      <c r="P36" s="129">
        <f t="shared" si="48"/>
        <v>-4.5517284647719425E-2</v>
      </c>
      <c r="Q36" s="129">
        <f t="shared" si="48"/>
        <v>-4.5517284647719425E-2</v>
      </c>
      <c r="R36" s="124"/>
      <c r="S36" s="124"/>
      <c r="T36" s="124"/>
    </row>
    <row r="37" spans="1:20" s="121" customFormat="1">
      <c r="A37" s="161"/>
      <c r="D37" s="121" t="s">
        <v>363</v>
      </c>
      <c r="H37" s="124"/>
      <c r="I37" s="126">
        <f t="shared" si="42"/>
        <v>0.67019027484143789</v>
      </c>
      <c r="J37" s="126">
        <f t="shared" si="42"/>
        <v>-0.49367088607594944</v>
      </c>
      <c r="K37" s="126">
        <f t="shared" si="42"/>
        <v>0.89262499999999978</v>
      </c>
      <c r="L37" s="126">
        <f t="shared" si="42"/>
        <v>9.7087378640776878E-2</v>
      </c>
      <c r="M37" s="130"/>
      <c r="N37" s="130"/>
      <c r="O37" s="130"/>
      <c r="P37" s="130"/>
      <c r="Q37" s="130"/>
      <c r="R37" s="124"/>
      <c r="S37" s="124"/>
      <c r="T37" s="124"/>
    </row>
    <row r="38" spans="1:20" s="121" customFormat="1">
      <c r="A38" s="161"/>
      <c r="E38" s="121" t="s">
        <v>361</v>
      </c>
      <c r="H38" s="124"/>
      <c r="I38" s="126">
        <f t="shared" si="42"/>
        <v>0.81542421178417168</v>
      </c>
      <c r="J38" s="126">
        <f t="shared" si="42"/>
        <v>-0.47065592635212883</v>
      </c>
      <c r="K38" s="126">
        <f t="shared" si="42"/>
        <v>0.98274999999999957</v>
      </c>
      <c r="L38" s="126">
        <f t="shared" si="42"/>
        <v>0.15194174757281553</v>
      </c>
      <c r="M38" s="129">
        <f>R20</f>
        <v>0.2171767938761768</v>
      </c>
      <c r="N38" s="129">
        <f>+M38</f>
        <v>0.2171767938761768</v>
      </c>
      <c r="O38" s="129">
        <f t="shared" ref="O38:Q38" si="49">+N38</f>
        <v>0.2171767938761768</v>
      </c>
      <c r="P38" s="129">
        <f t="shared" si="49"/>
        <v>0.2171767938761768</v>
      </c>
      <c r="Q38" s="129">
        <f t="shared" si="49"/>
        <v>0.2171767938761768</v>
      </c>
      <c r="R38" s="124"/>
      <c r="S38" s="124"/>
      <c r="T38" s="124"/>
    </row>
    <row r="39" spans="1:20" s="121" customFormat="1">
      <c r="A39" s="161"/>
      <c r="E39" s="121" t="s">
        <v>362</v>
      </c>
      <c r="H39" s="124"/>
      <c r="I39" s="126">
        <f t="shared" si="42"/>
        <v>-7.999999999999996E-2</v>
      </c>
      <c r="J39" s="126">
        <f t="shared" si="42"/>
        <v>-4.3478260869565188E-2</v>
      </c>
      <c r="K39" s="126">
        <f t="shared" si="42"/>
        <v>-4.5454545454545414E-2</v>
      </c>
      <c r="L39" s="126">
        <f t="shared" si="42"/>
        <v>-4.7619047619047672E-2</v>
      </c>
      <c r="M39" s="129">
        <f>+AVERAGE(J39:L39)</f>
        <v>-4.5517284647719425E-2</v>
      </c>
      <c r="N39" s="129">
        <f t="shared" ref="N39:Q39" si="50">+AVERAGE(K39:M39)</f>
        <v>-4.6196959240437506E-2</v>
      </c>
      <c r="O39" s="129">
        <f t="shared" si="50"/>
        <v>-4.6444430502401539E-2</v>
      </c>
      <c r="P39" s="129">
        <f t="shared" si="50"/>
        <v>-4.6052891463519492E-2</v>
      </c>
      <c r="Q39" s="129">
        <f t="shared" si="50"/>
        <v>-4.6231427068786184E-2</v>
      </c>
      <c r="R39" s="124"/>
      <c r="S39" s="124"/>
      <c r="T39" s="124"/>
    </row>
    <row r="40" spans="1:20" s="122" customFormat="1">
      <c r="A40" s="162"/>
      <c r="C40" s="122" t="s">
        <v>365</v>
      </c>
      <c r="H40" s="123"/>
      <c r="I40" s="125">
        <f t="shared" si="42"/>
        <v>0.30226697620168963</v>
      </c>
      <c r="J40" s="125">
        <f t="shared" si="42"/>
        <v>1.4182548471133338</v>
      </c>
      <c r="K40" s="125">
        <f t="shared" si="42"/>
        <v>0.24576546602360017</v>
      </c>
      <c r="L40" s="125">
        <f t="shared" si="42"/>
        <v>-0.33280734008078772</v>
      </c>
      <c r="M40" s="133">
        <v>0</v>
      </c>
      <c r="N40" s="133">
        <v>0.2</v>
      </c>
      <c r="O40" s="133">
        <v>0.25</v>
      </c>
      <c r="P40" s="133">
        <v>0.1</v>
      </c>
      <c r="Q40" s="133">
        <v>0.1</v>
      </c>
      <c r="R40" s="123"/>
      <c r="S40" s="123"/>
      <c r="T40" s="123"/>
    </row>
    <row r="41" spans="1:20" s="121" customFormat="1">
      <c r="A41" s="161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</row>
    <row r="42" spans="1:20">
      <c r="A42" s="160" t="s">
        <v>433</v>
      </c>
      <c r="B42" s="137" t="s">
        <v>432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</row>
    <row r="43" spans="1:20" s="121" customFormat="1">
      <c r="A43" s="161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</row>
    <row r="44" spans="1:20" s="122" customFormat="1">
      <c r="A44" s="162"/>
      <c r="B44" s="122" t="s">
        <v>367</v>
      </c>
      <c r="H44" s="186">
        <f>+rFS!C55/10^9</f>
        <v>29.789638852</v>
      </c>
      <c r="I44" s="186">
        <f>+rFS!D55/10^9</f>
        <v>39.973426437000001</v>
      </c>
      <c r="J44" s="186">
        <f>+rFS!E55/10^9</f>
        <v>51.007346564999999</v>
      </c>
      <c r="K44" s="186">
        <f>+rFS!F55/10^9</f>
        <v>60.622507568000003</v>
      </c>
      <c r="L44" s="186">
        <f>+rFS!G55/10^9</f>
        <v>62.253226282999996</v>
      </c>
      <c r="M44" s="123">
        <f>+SUM(M45:M48)</f>
        <v>72.165356377493822</v>
      </c>
      <c r="N44" s="123">
        <f t="shared" ref="N44:Q44" si="51">+SUM(N45:N48)</f>
        <v>85.651819297056662</v>
      </c>
      <c r="O44" s="123">
        <f t="shared" si="51"/>
        <v>102.9686642478583</v>
      </c>
      <c r="P44" s="123">
        <f t="shared" si="51"/>
        <v>124.12214294764127</v>
      </c>
      <c r="Q44" s="123">
        <f t="shared" si="51"/>
        <v>150.24489094869</v>
      </c>
      <c r="R44" s="123"/>
      <c r="S44" s="123"/>
      <c r="T44" s="123"/>
    </row>
    <row r="45" spans="1:20" s="121" customFormat="1">
      <c r="A45" s="161"/>
      <c r="C45" s="121" t="s">
        <v>359</v>
      </c>
      <c r="H45" s="124">
        <f>+H8-H50</f>
        <v>13.037268292682924</v>
      </c>
      <c r="I45" s="124">
        <f t="shared" ref="I45:L45" si="52">+I8-I50</f>
        <v>21.415499999999994</v>
      </c>
      <c r="J45" s="124">
        <f t="shared" si="52"/>
        <v>24.259342105263158</v>
      </c>
      <c r="K45" s="124">
        <f t="shared" si="52"/>
        <v>25.368410909090912</v>
      </c>
      <c r="L45" s="124">
        <f t="shared" si="52"/>
        <v>30.815954545454531</v>
      </c>
      <c r="M45" s="124">
        <f>+M61*M63/10^6</f>
        <v>38.984821976067515</v>
      </c>
      <c r="N45" s="124">
        <f t="shared" ref="N45:Q45" si="53">+N61*N63/10^6</f>
        <v>49.322464340250406</v>
      </c>
      <c r="O45" s="124">
        <f t="shared" si="53"/>
        <v>62.405562105300852</v>
      </c>
      <c r="P45" s="124">
        <f t="shared" si="53"/>
        <v>78.964371887129971</v>
      </c>
      <c r="Q45" s="124">
        <f t="shared" si="53"/>
        <v>99.923688122947652</v>
      </c>
      <c r="R45" s="124"/>
      <c r="S45" s="124"/>
      <c r="T45" s="124"/>
    </row>
    <row r="46" spans="1:20" s="121" customFormat="1">
      <c r="A46" s="161"/>
      <c r="C46" s="121" t="s">
        <v>364</v>
      </c>
      <c r="H46" s="124">
        <f>+H15-H51</f>
        <v>11.215775999999998</v>
      </c>
      <c r="I46" s="124">
        <f t="shared" ref="I46:L46" si="54">+I15-I51</f>
        <v>11.914869565217394</v>
      </c>
      <c r="J46" s="124">
        <f t="shared" si="54"/>
        <v>10.527272727272724</v>
      </c>
      <c r="K46" s="124">
        <f t="shared" si="54"/>
        <v>12.465942857142856</v>
      </c>
      <c r="L46" s="124">
        <f t="shared" si="54"/>
        <v>14.360039999999998</v>
      </c>
      <c r="M46" s="124">
        <f>+M66*M68/10^6</f>
        <v>16.103302663880839</v>
      </c>
      <c r="N46" s="124">
        <f t="shared" ref="N46:Q46" si="55">+N66*N68/10^6</f>
        <v>18.084448217228033</v>
      </c>
      <c r="O46" s="124">
        <f t="shared" si="55"/>
        <v>20.339931418702438</v>
      </c>
      <c r="P46" s="124">
        <f t="shared" si="55"/>
        <v>22.912283264270762</v>
      </c>
      <c r="Q46" s="124">
        <f t="shared" si="55"/>
        <v>25.851166249877796</v>
      </c>
      <c r="R46" s="124"/>
      <c r="S46" s="124"/>
      <c r="T46" s="124"/>
    </row>
    <row r="47" spans="1:20" s="121" customFormat="1">
      <c r="A47" s="161"/>
      <c r="C47" s="121" t="s">
        <v>365</v>
      </c>
      <c r="H47" s="124">
        <f>+H22-H52</f>
        <v>5.5365945593170736</v>
      </c>
      <c r="I47" s="124">
        <f t="shared" ref="I47:L47" si="56">+I22-I52</f>
        <v>6.6430568717826119</v>
      </c>
      <c r="J47" s="124">
        <f t="shared" si="56"/>
        <v>16.220731732464124</v>
      </c>
      <c r="K47" s="124">
        <f t="shared" si="56"/>
        <v>22.788153801766235</v>
      </c>
      <c r="L47" s="124">
        <f t="shared" si="56"/>
        <v>17.077231737545475</v>
      </c>
      <c r="M47" s="124">
        <f>+M22-M52</f>
        <v>17.077231737545475</v>
      </c>
      <c r="N47" s="124">
        <f t="shared" ref="N47:Q47" si="57">+N22-N52</f>
        <v>18.244906739578227</v>
      </c>
      <c r="O47" s="124">
        <f t="shared" si="57"/>
        <v>20.223170723855013</v>
      </c>
      <c r="P47" s="124">
        <f t="shared" si="57"/>
        <v>22.245487796240518</v>
      </c>
      <c r="Q47" s="124">
        <f t="shared" si="57"/>
        <v>24.470036575864569</v>
      </c>
      <c r="R47" s="124"/>
      <c r="S47" s="124"/>
      <c r="T47" s="124"/>
    </row>
    <row r="48" spans="1:20" s="121" customFormat="1">
      <c r="A48" s="161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</row>
    <row r="49" spans="1:20" s="122" customFormat="1">
      <c r="A49" s="162"/>
      <c r="B49" s="122" t="s">
        <v>368</v>
      </c>
      <c r="H49" s="186">
        <f>+rFS!C56/10^9</f>
        <v>94.399804927000005</v>
      </c>
      <c r="I49" s="186">
        <f>+rFS!D56/10^9</f>
        <v>142.11207053800001</v>
      </c>
      <c r="J49" s="186">
        <f>+rFS!E56/10^9</f>
        <v>131.38426285599999</v>
      </c>
      <c r="K49" s="186">
        <f>+rFS!F56/10^9</f>
        <v>143.945117659</v>
      </c>
      <c r="L49" s="186">
        <f>+rFS!G56/10^9</f>
        <v>148.78512209799999</v>
      </c>
      <c r="M49" s="123">
        <f>+SUM(M50:M52)</f>
        <v>172.51272384222233</v>
      </c>
      <c r="N49" s="123">
        <f t="shared" ref="N49:Q49" si="58">+SUM(N50:N52)</f>
        <v>206.66285693190437</v>
      </c>
      <c r="O49" s="123">
        <f t="shared" si="58"/>
        <v>249.27795995409704</v>
      </c>
      <c r="P49" s="123">
        <f t="shared" si="58"/>
        <v>294.00329132704275</v>
      </c>
      <c r="Q49" s="123">
        <f t="shared" si="58"/>
        <v>347.77721665538729</v>
      </c>
      <c r="R49" s="123"/>
      <c r="S49" s="123"/>
      <c r="T49" s="123"/>
    </row>
    <row r="50" spans="1:20" s="121" customFormat="1">
      <c r="A50" s="161"/>
      <c r="C50" s="121" t="s">
        <v>359</v>
      </c>
      <c r="H50" s="124">
        <f>+H8*H55</f>
        <v>50.962731707317076</v>
      </c>
      <c r="I50" s="124">
        <f t="shared" ref="I50:L50" si="59">+I8*I55</f>
        <v>87.384500000000003</v>
      </c>
      <c r="J50" s="124">
        <f t="shared" si="59"/>
        <v>69.34065789473685</v>
      </c>
      <c r="K50" s="124">
        <f t="shared" si="59"/>
        <v>66.831589090909091</v>
      </c>
      <c r="L50" s="124">
        <f t="shared" si="59"/>
        <v>78.684045454545469</v>
      </c>
      <c r="M50" s="124">
        <f>+M8-M45</f>
        <v>96.694238755119557</v>
      </c>
      <c r="N50" s="124">
        <f t="shared" ref="N50:Q50" si="60">+N8-N45</f>
        <v>118.82146433516752</v>
      </c>
      <c r="O50" s="124">
        <f t="shared" si="60"/>
        <v>146.00498716245519</v>
      </c>
      <c r="P50" s="124">
        <f t="shared" si="60"/>
        <v>179.39773953577156</v>
      </c>
      <c r="Q50" s="124">
        <f t="shared" si="60"/>
        <v>220.41472864347699</v>
      </c>
      <c r="R50" s="124"/>
      <c r="S50" s="124"/>
      <c r="T50" s="124"/>
    </row>
    <row r="51" spans="1:20" s="121" customFormat="1">
      <c r="A51" s="161"/>
      <c r="C51" s="121" t="s">
        <v>364</v>
      </c>
      <c r="H51" s="124">
        <f>+H15*H56</f>
        <v>36.084223999999999</v>
      </c>
      <c r="I51" s="124">
        <f t="shared" ref="I51:L51" si="61">+I15*I56</f>
        <v>44.585130434782606</v>
      </c>
      <c r="J51" s="124">
        <f t="shared" si="61"/>
        <v>37.672727272727279</v>
      </c>
      <c r="K51" s="124">
        <f t="shared" si="61"/>
        <v>49.334057142857141</v>
      </c>
      <c r="L51" s="124">
        <f t="shared" si="61"/>
        <v>53.439959999999999</v>
      </c>
      <c r="M51" s="124">
        <f>+M15-M46</f>
        <v>59.157368443648267</v>
      </c>
      <c r="N51" s="124">
        <f t="shared" ref="N51:Q51" si="62">+N15-N46</f>
        <v>65.600281279115094</v>
      </c>
      <c r="O51" s="124">
        <f t="shared" si="62"/>
        <v>72.88862094399687</v>
      </c>
      <c r="P51" s="124">
        <f t="shared" si="62"/>
        <v>81.182764758861708</v>
      </c>
      <c r="Q51" s="124">
        <f t="shared" si="62"/>
        <v>90.597422276259863</v>
      </c>
      <c r="R51" s="124"/>
      <c r="S51" s="124"/>
      <c r="T51" s="124"/>
    </row>
    <row r="52" spans="1:20" s="121" customFormat="1">
      <c r="A52" s="161"/>
      <c r="C52" s="121" t="s">
        <v>365</v>
      </c>
      <c r="H52" s="124">
        <f>+H49-H50-H51</f>
        <v>7.3528492196829305</v>
      </c>
      <c r="I52" s="124">
        <f t="shared" ref="I52:L52" si="63">+I49-I50-I51</f>
        <v>10.142440103217403</v>
      </c>
      <c r="J52" s="124">
        <f t="shared" si="63"/>
        <v>24.370877688535863</v>
      </c>
      <c r="K52" s="124">
        <f t="shared" si="63"/>
        <v>27.779471425233773</v>
      </c>
      <c r="L52" s="124">
        <f t="shared" si="63"/>
        <v>16.66111664345452</v>
      </c>
      <c r="M52" s="124">
        <f>+M22*M57</f>
        <v>16.66111664345452</v>
      </c>
      <c r="N52" s="124">
        <f t="shared" ref="N52:Q52" si="64">+N22*N57</f>
        <v>22.241111317621765</v>
      </c>
      <c r="O52" s="124">
        <f t="shared" si="64"/>
        <v>30.384351847644979</v>
      </c>
      <c r="P52" s="124">
        <f t="shared" si="64"/>
        <v>33.422787032409481</v>
      </c>
      <c r="Q52" s="124">
        <f t="shared" si="64"/>
        <v>36.765065735650431</v>
      </c>
      <c r="R52" s="124"/>
      <c r="S52" s="124"/>
      <c r="T52" s="124"/>
    </row>
    <row r="53" spans="1:20" s="121" customFormat="1">
      <c r="A53" s="161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</row>
    <row r="54" spans="1:20" s="132" customFormat="1">
      <c r="A54" s="163"/>
      <c r="B54" s="134" t="s">
        <v>369</v>
      </c>
      <c r="C54" s="134"/>
      <c r="H54" s="126">
        <f>+H49/H7</f>
        <v>0.76012744766767915</v>
      </c>
      <c r="I54" s="126">
        <f t="shared" ref="I54:Q54" si="65">+I49/I7</f>
        <v>0.78046891651953876</v>
      </c>
      <c r="J54" s="126">
        <f t="shared" si="65"/>
        <v>0.72034159506063777</v>
      </c>
      <c r="K54" s="126">
        <f t="shared" si="65"/>
        <v>0.70365541712316515</v>
      </c>
      <c r="L54" s="126">
        <f t="shared" si="65"/>
        <v>0.70501462525374503</v>
      </c>
      <c r="M54" s="126">
        <f t="shared" si="65"/>
        <v>0.70505998611444587</v>
      </c>
      <c r="N54" s="126">
        <f t="shared" si="65"/>
        <v>0.70698761895222717</v>
      </c>
      <c r="O54" s="126">
        <f t="shared" si="65"/>
        <v>0.70768019571190344</v>
      </c>
      <c r="P54" s="126">
        <f t="shared" si="65"/>
        <v>0.70314615478258558</v>
      </c>
      <c r="Q54" s="126">
        <f t="shared" si="65"/>
        <v>0.69831682438456488</v>
      </c>
      <c r="R54" s="130"/>
      <c r="S54" s="130"/>
      <c r="T54" s="130"/>
    </row>
    <row r="55" spans="1:20" s="121" customFormat="1">
      <c r="A55" s="161"/>
      <c r="C55" s="121" t="s">
        <v>359</v>
      </c>
      <c r="H55" s="135">
        <f>+rSegment!C15</f>
        <v>0.79629268292682931</v>
      </c>
      <c r="I55" s="135">
        <f>+rSegment!D15</f>
        <v>0.8031663602941177</v>
      </c>
      <c r="J55" s="135">
        <f>+rSegment!E15</f>
        <v>0.74081899460188938</v>
      </c>
      <c r="K55" s="135">
        <f>+rSegment!F15</f>
        <v>0.72485454545454542</v>
      </c>
      <c r="L55" s="135">
        <f>+rSegment!G15</f>
        <v>0.71857575757575765</v>
      </c>
      <c r="M55" s="126">
        <f>+M50/M8</f>
        <v>0.71266883949538951</v>
      </c>
      <c r="N55" s="126">
        <f t="shared" ref="N55:Q55" si="66">+N50/N8</f>
        <v>0.70666520802269572</v>
      </c>
      <c r="O55" s="126">
        <f t="shared" si="66"/>
        <v>0.70056428369599888</v>
      </c>
      <c r="P55" s="126">
        <f t="shared" si="66"/>
        <v>0.69436551105639222</v>
      </c>
      <c r="Q55" s="126">
        <f t="shared" si="66"/>
        <v>0.68806835867017724</v>
      </c>
      <c r="R55" s="124"/>
      <c r="S55" s="124"/>
      <c r="T55" s="124"/>
    </row>
    <row r="56" spans="1:20" s="121" customFormat="1">
      <c r="A56" s="161"/>
      <c r="C56" s="121" t="s">
        <v>364</v>
      </c>
      <c r="H56" s="135">
        <f>+rSegment!C16</f>
        <v>0.76288</v>
      </c>
      <c r="I56" s="135">
        <f>+rSegment!D16</f>
        <v>0.78911735282801077</v>
      </c>
      <c r="J56" s="135">
        <f>+rSegment!E16</f>
        <v>0.78159185213127125</v>
      </c>
      <c r="K56" s="135">
        <f>+rSegment!F16</f>
        <v>0.79828571428571427</v>
      </c>
      <c r="L56" s="135">
        <f>+rSegment!G16</f>
        <v>0.78820000000000001</v>
      </c>
      <c r="M56" s="126">
        <f>+M51/M15</f>
        <v>0.78603296480211882</v>
      </c>
      <c r="N56" s="126">
        <f t="shared" ref="N56:Q56" si="67">+N51/N15</f>
        <v>0.783897870901067</v>
      </c>
      <c r="O56" s="126">
        <f t="shared" si="67"/>
        <v>0.78182723100138551</v>
      </c>
      <c r="P56" s="126">
        <f t="shared" si="67"/>
        <v>0.77989074697214134</v>
      </c>
      <c r="Q56" s="126">
        <f t="shared" si="67"/>
        <v>0.77800361020197917</v>
      </c>
      <c r="R56" s="124"/>
      <c r="S56" s="124"/>
      <c r="T56" s="124"/>
    </row>
    <row r="57" spans="1:20">
      <c r="B57" s="121"/>
      <c r="C57" s="121" t="s">
        <v>365</v>
      </c>
      <c r="H57" s="126">
        <f>+H52/H22</f>
        <v>0.57045512170684087</v>
      </c>
      <c r="I57" s="126">
        <f t="shared" ref="I57:L57" si="68">+I52/I22</f>
        <v>0.60423829680606722</v>
      </c>
      <c r="J57" s="126">
        <f t="shared" si="68"/>
        <v>0.60039200308050955</v>
      </c>
      <c r="K57" s="126">
        <f t="shared" si="68"/>
        <v>0.54935289724464342</v>
      </c>
      <c r="L57" s="126">
        <f t="shared" si="68"/>
        <v>0.49383320295659028</v>
      </c>
      <c r="M57" s="129">
        <f>+L57</f>
        <v>0.49383320295659028</v>
      </c>
      <c r="N57" s="129">
        <f>K57</f>
        <v>0.54935289724464342</v>
      </c>
      <c r="O57" s="129">
        <f>+J57</f>
        <v>0.60039200308050955</v>
      </c>
      <c r="P57" s="129">
        <f>+O57</f>
        <v>0.60039200308050955</v>
      </c>
      <c r="Q57" s="129">
        <f>+P57</f>
        <v>0.60039200308050955</v>
      </c>
      <c r="R57" s="124"/>
      <c r="S57" s="124"/>
      <c r="T57" s="124"/>
    </row>
    <row r="58" spans="1:20"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</row>
    <row r="59" spans="1:20">
      <c r="A59" s="160" t="s">
        <v>433</v>
      </c>
      <c r="B59" s="137" t="s">
        <v>434</v>
      </c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</row>
    <row r="60" spans="1:20"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</row>
    <row r="61" spans="1:20" s="168" customFormat="1">
      <c r="A61" s="159"/>
      <c r="B61" s="168" t="s">
        <v>438</v>
      </c>
      <c r="H61" s="167">
        <f>+H10+H13</f>
        <v>1389.580487804878</v>
      </c>
      <c r="I61" s="167">
        <f t="shared" ref="I61:Q61" si="69">+I10+I13</f>
        <v>2338.8000000000002</v>
      </c>
      <c r="J61" s="167">
        <f t="shared" si="69"/>
        <v>2992.9934210526317</v>
      </c>
      <c r="K61" s="167">
        <f t="shared" si="69"/>
        <v>3269.3880519480517</v>
      </c>
      <c r="L61" s="167">
        <f t="shared" si="69"/>
        <v>3910.4772727272721</v>
      </c>
      <c r="M61" s="167">
        <f t="shared" si="69"/>
        <v>5065.6975960211821</v>
      </c>
      <c r="N61" s="167">
        <f t="shared" si="69"/>
        <v>6562.6317646114694</v>
      </c>
      <c r="O61" s="167">
        <f t="shared" si="69"/>
        <v>8502.4900402922358</v>
      </c>
      <c r="P61" s="167">
        <f t="shared" si="69"/>
        <v>11016.498544986267</v>
      </c>
      <c r="Q61" s="167">
        <f t="shared" si="69"/>
        <v>14274.812588992521</v>
      </c>
      <c r="R61" s="123"/>
      <c r="S61" s="123"/>
      <c r="T61" s="123"/>
    </row>
    <row r="62" spans="1:20">
      <c r="C62" s="117" t="s">
        <v>435</v>
      </c>
      <c r="H62" s="166">
        <f>+H8/H61*10^6</f>
        <v>46057.065827903847</v>
      </c>
      <c r="I62" s="166">
        <f t="shared" ref="I62:Q62" si="70">+I8/I61*10^6</f>
        <v>46519.582691978794</v>
      </c>
      <c r="J62" s="166">
        <f t="shared" si="70"/>
        <v>31273.039005572227</v>
      </c>
      <c r="K62" s="166">
        <f t="shared" si="70"/>
        <v>28200.996191034286</v>
      </c>
      <c r="L62" s="166">
        <f t="shared" si="70"/>
        <v>28001.697072549858</v>
      </c>
      <c r="M62" s="166">
        <f t="shared" si="70"/>
        <v>26783.884777834995</v>
      </c>
      <c r="N62" s="166">
        <f t="shared" si="70"/>
        <v>25621.417551129754</v>
      </c>
      <c r="O62" s="166">
        <f t="shared" si="70"/>
        <v>24511.707544510438</v>
      </c>
      <c r="P62" s="166">
        <f t="shared" si="70"/>
        <v>23452.289342922395</v>
      </c>
      <c r="Q62" s="166">
        <f t="shared" si="70"/>
        <v>22440.814180176447</v>
      </c>
      <c r="R62" s="124"/>
      <c r="S62" s="126">
        <f>+RATE(5,0,-L62,Q62)</f>
        <v>-4.3310843950478059E-2</v>
      </c>
      <c r="T62" s="124"/>
    </row>
    <row r="63" spans="1:20">
      <c r="C63" s="117" t="s">
        <v>436</v>
      </c>
      <c r="H63" s="166">
        <f>+H45/H61*10^6</f>
        <v>9382.1613120647035</v>
      </c>
      <c r="I63" s="166">
        <f t="shared" ref="I63:L63" si="71">+I45/I61*10^6</f>
        <v>9156.6187788609514</v>
      </c>
      <c r="J63" s="166">
        <f t="shared" si="71"/>
        <v>8105.3776913185393</v>
      </c>
      <c r="K63" s="166">
        <f t="shared" si="71"/>
        <v>7759.3759156167607</v>
      </c>
      <c r="L63" s="166">
        <f t="shared" si="71"/>
        <v>7880.3563852354664</v>
      </c>
      <c r="M63" s="171">
        <f>+L63*(1+$S$63)</f>
        <v>7695.844696037102</v>
      </c>
      <c r="N63" s="171">
        <f t="shared" ref="N63:P63" si="72">+M63*(1+$S$63)</f>
        <v>7515.653187524299</v>
      </c>
      <c r="O63" s="171">
        <f t="shared" si="72"/>
        <v>7339.6807064246714</v>
      </c>
      <c r="P63" s="171">
        <f t="shared" si="72"/>
        <v>7167.8284678817072</v>
      </c>
      <c r="Q63" s="172">
        <v>7000</v>
      </c>
      <c r="R63" s="124"/>
      <c r="S63" s="126">
        <f>+RATE(5,0,-L63,Q63)</f>
        <v>-2.3414130044177011E-2</v>
      </c>
      <c r="T63" s="124" t="s">
        <v>440</v>
      </c>
    </row>
    <row r="64" spans="1:20" s="170" customFormat="1">
      <c r="A64" s="169"/>
      <c r="C64" s="170" t="s">
        <v>439</v>
      </c>
      <c r="H64" s="126">
        <f>+H63/H62</f>
        <v>0.20370731707317069</v>
      </c>
      <c r="I64" s="126">
        <f t="shared" ref="I64:L64" si="73">+I63/I62</f>
        <v>0.19683363970588227</v>
      </c>
      <c r="J64" s="126">
        <f t="shared" si="73"/>
        <v>0.25918100539811062</v>
      </c>
      <c r="K64" s="126">
        <f t="shared" si="73"/>
        <v>0.27514545454545453</v>
      </c>
      <c r="L64" s="126">
        <f t="shared" si="73"/>
        <v>0.2814242424242423</v>
      </c>
      <c r="M64" s="126">
        <f t="shared" ref="M64" si="74">+M63/M62</f>
        <v>0.28733116050461055</v>
      </c>
      <c r="N64" s="126">
        <f t="shared" ref="N64" si="75">+N63/N62</f>
        <v>0.29333479197730428</v>
      </c>
      <c r="O64" s="126">
        <f t="shared" ref="O64" si="76">+O63/O62</f>
        <v>0.29943571630400112</v>
      </c>
      <c r="P64" s="126">
        <f t="shared" ref="P64" si="77">+P63/P62</f>
        <v>0.30563448894360784</v>
      </c>
      <c r="Q64" s="126">
        <f t="shared" ref="Q64" si="78">+Q63/Q62</f>
        <v>0.31193164132982276</v>
      </c>
      <c r="R64" s="130"/>
      <c r="S64" s="130"/>
      <c r="T64" s="130"/>
    </row>
    <row r="65" spans="1:20"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</row>
    <row r="66" spans="1:20" s="168" customFormat="1">
      <c r="A66" s="159"/>
      <c r="B66" s="168" t="s">
        <v>437</v>
      </c>
      <c r="H66" s="167">
        <f>+H17+H20</f>
        <v>1437.92</v>
      </c>
      <c r="I66" s="167">
        <f t="shared" ref="I66:Q66" si="79">+I17+I20</f>
        <v>1632.173913043478</v>
      </c>
      <c r="J66" s="167">
        <f t="shared" si="79"/>
        <v>1754.5454545454547</v>
      </c>
      <c r="K66" s="167">
        <f t="shared" si="79"/>
        <v>2077.6571428571428</v>
      </c>
      <c r="L66" s="167">
        <f t="shared" si="79"/>
        <v>2393.3399999999997</v>
      </c>
      <c r="M66" s="167">
        <f t="shared" si="79"/>
        <v>2729.3733328611593</v>
      </c>
      <c r="N66" s="167">
        <f t="shared" si="79"/>
        <v>3118.0083133151779</v>
      </c>
      <c r="O66" s="167">
        <f t="shared" si="79"/>
        <v>3568.4090208249891</v>
      </c>
      <c r="P66" s="167">
        <f t="shared" si="79"/>
        <v>4091.4791543340652</v>
      </c>
      <c r="Q66" s="167">
        <f t="shared" si="79"/>
        <v>4700.2120454323267</v>
      </c>
      <c r="R66" s="123"/>
      <c r="S66" s="123"/>
      <c r="T66" s="123"/>
    </row>
    <row r="67" spans="1:20">
      <c r="C67" s="117" t="s">
        <v>435</v>
      </c>
      <c r="H67" s="166">
        <f>+H15/H66*10^6</f>
        <v>32894.73684210526</v>
      </c>
      <c r="I67" s="166">
        <f t="shared" ref="I67:L67" si="80">+I15/I66*10^6</f>
        <v>34616.409163558877</v>
      </c>
      <c r="J67" s="166">
        <f t="shared" si="80"/>
        <v>27471.502590673575</v>
      </c>
      <c r="K67" s="166">
        <f t="shared" si="80"/>
        <v>29745.042492917844</v>
      </c>
      <c r="L67" s="166">
        <f t="shared" si="80"/>
        <v>28328.611898016999</v>
      </c>
      <c r="M67" s="166">
        <f t="shared" ref="M67" si="81">+M15/M66*10^6</f>
        <v>27574.341040635332</v>
      </c>
      <c r="N67" s="166">
        <f t="shared" ref="N67" si="82">+N15/N66*10^6</f>
        <v>26839.161762005224</v>
      </c>
      <c r="O67" s="166">
        <f t="shared" ref="O67" si="83">+O15/O66*10^6</f>
        <v>26126.083590368675</v>
      </c>
      <c r="P67" s="166">
        <f t="shared" ref="P67" si="84">+P15/P66*10^6</f>
        <v>25441.910882734323</v>
      </c>
      <c r="Q67" s="166">
        <f t="shared" ref="Q67" si="85">+Q15/Q66*10^6</f>
        <v>24775.177672952555</v>
      </c>
      <c r="R67" s="124"/>
      <c r="S67" s="126">
        <f>+RATE(5,0,-L67,Q67)</f>
        <v>-2.6449920419814279E-2</v>
      </c>
      <c r="T67" s="124"/>
    </row>
    <row r="68" spans="1:20">
      <c r="C68" s="117" t="s">
        <v>436</v>
      </c>
      <c r="H68" s="166">
        <f>+H46/H66*10^6</f>
        <v>7799.9999999999991</v>
      </c>
      <c r="I68" s="166">
        <f t="shared" ref="I68:L68" si="86">+I46/I66*10^6</f>
        <v>7300.0000000000027</v>
      </c>
      <c r="J68" s="166">
        <f t="shared" si="86"/>
        <v>5999.9999999999973</v>
      </c>
      <c r="K68" s="166">
        <f t="shared" si="86"/>
        <v>5999.9999999999991</v>
      </c>
      <c r="L68" s="166">
        <f t="shared" si="86"/>
        <v>6000</v>
      </c>
      <c r="M68" s="171">
        <f>+L68+($Q$68-$L$68)/5</f>
        <v>5900</v>
      </c>
      <c r="N68" s="171">
        <f t="shared" ref="N68:P68" si="87">+M68+($Q$68-$L$68)/5</f>
        <v>5800</v>
      </c>
      <c r="O68" s="171">
        <f t="shared" si="87"/>
        <v>5700</v>
      </c>
      <c r="P68" s="171">
        <f t="shared" si="87"/>
        <v>5600</v>
      </c>
      <c r="Q68" s="172">
        <v>5500</v>
      </c>
      <c r="R68" s="124"/>
      <c r="S68" s="126">
        <f>+RATE(5,0,-L68,Q68)</f>
        <v>-1.7251730343850274E-2</v>
      </c>
      <c r="T68" s="124" t="s">
        <v>441</v>
      </c>
    </row>
    <row r="69" spans="1:20" s="170" customFormat="1">
      <c r="A69" s="169"/>
      <c r="C69" s="170" t="s">
        <v>439</v>
      </c>
      <c r="H69" s="126">
        <f>+H68/H67</f>
        <v>0.23712</v>
      </c>
      <c r="I69" s="126">
        <f t="shared" ref="I69" si="88">+I68/I67</f>
        <v>0.21088264717198926</v>
      </c>
      <c r="J69" s="126">
        <f t="shared" ref="J69" si="89">+J68/J67</f>
        <v>0.21840814786872867</v>
      </c>
      <c r="K69" s="126">
        <f t="shared" ref="K69" si="90">+K68/K67</f>
        <v>0.20171428571428571</v>
      </c>
      <c r="L69" s="126">
        <f t="shared" ref="L69" si="91">+L68/L67</f>
        <v>0.21179999999999999</v>
      </c>
      <c r="M69" s="126">
        <f t="shared" ref="M69" si="92">+M68/M67</f>
        <v>0.21396703519788118</v>
      </c>
      <c r="N69" s="126">
        <f t="shared" ref="N69" si="93">+N68/N67</f>
        <v>0.21610212909893303</v>
      </c>
      <c r="O69" s="126">
        <f t="shared" ref="O69" si="94">+O68/O67</f>
        <v>0.2181727689986146</v>
      </c>
      <c r="P69" s="126">
        <f t="shared" ref="P69" si="95">+P68/P67</f>
        <v>0.22010925302785866</v>
      </c>
      <c r="Q69" s="126">
        <f t="shared" ref="Q69" si="96">+Q68/Q67</f>
        <v>0.22199638979802092</v>
      </c>
      <c r="R69" s="130"/>
      <c r="S69" s="130"/>
      <c r="T69" s="130"/>
    </row>
    <row r="70" spans="1:20"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</row>
    <row r="71" spans="1:20">
      <c r="A71" s="160" t="s">
        <v>433</v>
      </c>
      <c r="B71" s="137" t="s">
        <v>452</v>
      </c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</row>
    <row r="72" spans="1:20"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</row>
    <row r="73" spans="1:20" s="168" customFormat="1">
      <c r="A73" s="159"/>
      <c r="B73" s="168" t="s">
        <v>453</v>
      </c>
      <c r="H73" s="186">
        <f>+Model!H11</f>
        <v>31.139536482</v>
      </c>
      <c r="I73" s="186">
        <f>+Model!I11</f>
        <v>40.187725063999999</v>
      </c>
      <c r="J73" s="186">
        <f>+Model!J11</f>
        <v>71.189298407999999</v>
      </c>
      <c r="K73" s="186">
        <f>+Model!K11</f>
        <v>75.858420753000004</v>
      </c>
      <c r="L73" s="186">
        <f>+Model!L11</f>
        <v>70.725329506999998</v>
      </c>
      <c r="M73" s="123"/>
      <c r="N73" s="123"/>
      <c r="O73" s="123"/>
      <c r="P73" s="123"/>
      <c r="Q73" s="123"/>
      <c r="R73" s="123"/>
      <c r="S73" s="123"/>
      <c r="T73" s="123"/>
    </row>
    <row r="74" spans="1:20">
      <c r="C74" s="117" t="s">
        <v>447</v>
      </c>
      <c r="H74" s="187">
        <f>+SUMIFS(rFS!C$149:C$168,rFS!$A$149:$A$168,EBIT!$C74)/10^6</f>
        <v>13.157182000000001</v>
      </c>
      <c r="I74" s="187">
        <f>+SUMIFS(rFS!D$149:D$168,rFS!$A$149:$A$168,EBIT!$C74)/10^6</f>
        <v>14.549481999999999</v>
      </c>
      <c r="J74" s="187">
        <f>+SUMIFS(rFS!E$149:E$168,rFS!$A$149:$A$168,EBIT!$C74)/10^6</f>
        <v>15.222751000000001</v>
      </c>
      <c r="K74" s="187">
        <f>+SUMIFS(rFS!F$149:F$168,rFS!$A$149:$A$168,EBIT!$C74)/10^6</f>
        <v>20.793431000000002</v>
      </c>
      <c r="L74" s="187">
        <f>+SUMIFS(rFS!G$149:G$168,rFS!$A$149:$A$168,EBIT!$C74)/10^6</f>
        <v>22.225757000000002</v>
      </c>
      <c r="M74" s="124"/>
      <c r="N74" s="124"/>
      <c r="O74" s="124"/>
      <c r="P74" s="124"/>
      <c r="Q74" s="124"/>
      <c r="R74" s="124"/>
      <c r="S74" s="124"/>
      <c r="T74" s="124"/>
    </row>
    <row r="75" spans="1:20">
      <c r="C75" s="117" t="s">
        <v>448</v>
      </c>
      <c r="H75" s="187">
        <f>+SUMIFS(rFS!C$149:C$168,rFS!$A$149:$A$168,EBIT!$C75)/10^6</f>
        <v>1.761531</v>
      </c>
      <c r="I75" s="187">
        <f>+SUMIFS(rFS!D$149:D$168,rFS!$A$149:$A$168,EBIT!$C75)/10^6</f>
        <v>2.2271169999999998</v>
      </c>
      <c r="J75" s="187">
        <f>+SUMIFS(rFS!E$149:E$168,rFS!$A$149:$A$168,EBIT!$C75)/10^6</f>
        <v>2.4068309999999999</v>
      </c>
      <c r="K75" s="187">
        <f>+SUMIFS(rFS!F$149:F$168,rFS!$A$149:$A$168,EBIT!$C75)/10^6</f>
        <v>4.0742120000000002</v>
      </c>
      <c r="L75" s="187">
        <f>+SUMIFS(rFS!G$149:G$168,rFS!$A$149:$A$168,EBIT!$C75)/10^6</f>
        <v>5.195805</v>
      </c>
      <c r="M75" s="124"/>
      <c r="N75" s="124"/>
      <c r="O75" s="124"/>
      <c r="P75" s="124"/>
      <c r="Q75" s="124"/>
      <c r="R75" s="124"/>
      <c r="S75" s="124"/>
      <c r="T75" s="124"/>
    </row>
    <row r="76" spans="1:20">
      <c r="C76" s="117" t="s">
        <v>450</v>
      </c>
      <c r="H76" s="187">
        <f>+SUMIFS(rFS!C$149:C$168,rFS!$A$149:$A$168,EBIT!$C76)/10^6</f>
        <v>4.0649749999999996</v>
      </c>
      <c r="I76" s="187">
        <f>+SUMIFS(rFS!D$149:D$168,rFS!$A$149:$A$168,EBIT!$C76)/10^6</f>
        <v>6.9224410000000001</v>
      </c>
      <c r="J76" s="187">
        <f>+SUMIFS(rFS!E$149:E$168,rFS!$A$149:$A$168,EBIT!$C76)/10^6</f>
        <v>7.7503399999999996</v>
      </c>
      <c r="K76" s="187">
        <f>+SUMIFS(rFS!F$149:F$168,rFS!$A$149:$A$168,EBIT!$C76)/10^6</f>
        <v>10.225941000000001</v>
      </c>
      <c r="L76" s="187">
        <f>+SUMIFS(rFS!G$149:G$168,rFS!$A$149:$A$168,EBIT!$C76)/10^6</f>
        <v>15.74147</v>
      </c>
      <c r="M76" s="124">
        <f>+M99</f>
        <v>18.250676661299238</v>
      </c>
      <c r="N76" s="124">
        <f t="shared" ref="N76:Q76" si="97">+N99</f>
        <v>21.803917353023493</v>
      </c>
      <c r="O76" s="124">
        <f t="shared" si="97"/>
        <v>26.274275315431556</v>
      </c>
      <c r="P76" s="124">
        <f t="shared" si="97"/>
        <v>31.188213091912566</v>
      </c>
      <c r="Q76" s="124">
        <f t="shared" si="97"/>
        <v>37.147751232553532</v>
      </c>
      <c r="R76" s="124"/>
      <c r="S76" s="124"/>
      <c r="T76" s="124"/>
    </row>
    <row r="77" spans="1:20">
      <c r="C77" s="117" t="s">
        <v>449</v>
      </c>
      <c r="H77" s="187">
        <f>+SUMIFS(rFS!C$149:C$168,rFS!$A$149:$A$168,EBIT!$C77)/10^6</f>
        <v>4.4671200000000004</v>
      </c>
      <c r="I77" s="187">
        <f>+SUMIFS(rFS!D$149:D$168,rFS!$A$149:$A$168,EBIT!$C77)/10^6</f>
        <v>6.4387040000000004</v>
      </c>
      <c r="J77" s="187">
        <f>+SUMIFS(rFS!E$149:E$168,rFS!$A$149:$A$168,EBIT!$C77)/10^6</f>
        <v>9.8558629999999994</v>
      </c>
      <c r="K77" s="187">
        <f>+SUMIFS(rFS!F$149:F$168,rFS!$A$149:$A$168,EBIT!$C77)/10^6</f>
        <v>9.9042010000000005</v>
      </c>
      <c r="L77" s="187">
        <f>+SUMIFS(rFS!G$149:G$168,rFS!$A$149:$A$168,EBIT!$C77)/10^6</f>
        <v>5.8008050000000004</v>
      </c>
      <c r="M77" s="124">
        <f>+M$7*M86</f>
        <v>8.0595378539899265</v>
      </c>
      <c r="N77" s="124">
        <f t="shared" ref="N77:Q77" si="98">+N$7*N86</f>
        <v>9.6286565442582734</v>
      </c>
      <c r="O77" s="124">
        <f t="shared" si="98"/>
        <v>11.602776183083117</v>
      </c>
      <c r="P77" s="124">
        <f t="shared" si="98"/>
        <v>13.772781616672363</v>
      </c>
      <c r="Q77" s="124">
        <f t="shared" si="98"/>
        <v>16.404526407737734</v>
      </c>
      <c r="R77" s="124"/>
      <c r="S77" s="124"/>
      <c r="T77" s="124"/>
    </row>
    <row r="78" spans="1:20">
      <c r="C78" s="117" t="s">
        <v>451</v>
      </c>
      <c r="H78" s="187">
        <f>+SUMIFS(rFS!C$149:C$168,rFS!$A$149:$A$168,EBIT!$C78)/10^6</f>
        <v>3.5982449999999999</v>
      </c>
      <c r="I78" s="187">
        <f>+SUMIFS(rFS!D$149:D$168,rFS!$A$149:$A$168,EBIT!$C78)/10^6</f>
        <v>4.1774110000000002</v>
      </c>
      <c r="J78" s="187">
        <f>+SUMIFS(rFS!E$149:E$168,rFS!$A$149:$A$168,EBIT!$C78)/10^6</f>
        <v>4.2201170000000001</v>
      </c>
      <c r="K78" s="187">
        <f>+SUMIFS(rFS!F$149:F$168,rFS!$A$149:$A$168,EBIT!$C78)/10^6</f>
        <v>4.131945</v>
      </c>
      <c r="L78" s="187">
        <f>+SUMIFS(rFS!G$149:G$168,rFS!$A$149:$A$168,EBIT!$C78)/10^6</f>
        <v>3.7362790000000001</v>
      </c>
      <c r="M78" s="124">
        <f t="shared" ref="M78:Q78" si="99">+M$7*M87</f>
        <v>4.0871676715050258</v>
      </c>
      <c r="N78" s="124">
        <f t="shared" si="99"/>
        <v>4.5905873537224577</v>
      </c>
      <c r="O78" s="124">
        <f t="shared" si="99"/>
        <v>5.1795279665009835</v>
      </c>
      <c r="P78" s="124">
        <f t="shared" si="99"/>
        <v>5.7301020618373215</v>
      </c>
      <c r="Q78" s="124">
        <f t="shared" si="99"/>
        <v>6.3270051968769172</v>
      </c>
      <c r="R78" s="124"/>
      <c r="S78" s="124"/>
      <c r="T78" s="124"/>
    </row>
    <row r="79" spans="1:20">
      <c r="C79" s="117" t="s">
        <v>455</v>
      </c>
      <c r="H79" s="187">
        <f>+SUMIFS(rFS!C$149:C$168,rFS!$A$149:$A$168,EBIT!$C79)/10^6</f>
        <v>3.7360250000000002</v>
      </c>
      <c r="I79" s="187">
        <f>+SUMIFS(rFS!D$149:D$168,rFS!$A$149:$A$168,EBIT!$C79)/10^6</f>
        <v>4.8820639999999997</v>
      </c>
      <c r="J79" s="187">
        <f>+SUMIFS(rFS!E$149:E$168,rFS!$A$149:$A$168,EBIT!$C79)/10^6</f>
        <v>21.851223999999998</v>
      </c>
      <c r="K79" s="187">
        <f>+SUMIFS(rFS!F$149:F$168,rFS!$A$149:$A$168,EBIT!$C79)/10^6</f>
        <v>20.932444</v>
      </c>
      <c r="L79" s="187">
        <f>+SUMIFS(rFS!G$149:G$168,rFS!$A$149:$A$168,EBIT!$C79)/10^6</f>
        <v>16.110173</v>
      </c>
      <c r="M79" s="124">
        <f t="shared" ref="M79:Q79" si="100">+M$7*M88</f>
        <v>24.342765035420857</v>
      </c>
      <c r="N79" s="124">
        <f t="shared" si="100"/>
        <v>29.082079904570605</v>
      </c>
      <c r="O79" s="124">
        <f t="shared" si="100"/>
        <v>35.04464641772779</v>
      </c>
      <c r="P79" s="124">
        <f t="shared" si="100"/>
        <v>41.59885999081731</v>
      </c>
      <c r="Q79" s="124">
        <f t="shared" si="100"/>
        <v>49.547696046023852</v>
      </c>
      <c r="R79" s="124"/>
      <c r="S79" s="124"/>
      <c r="T79" s="124"/>
    </row>
    <row r="80" spans="1:20">
      <c r="C80" s="117" t="s">
        <v>456</v>
      </c>
      <c r="H80" s="187">
        <f>+SUMIFS(rFS!C$149:C$168,rFS!$A$149:$A$168,EBIT!$C80)/10^6</f>
        <v>0.354458</v>
      </c>
      <c r="I80" s="187">
        <f>+SUMIFS(rFS!D$149:D$168,rFS!$A$149:$A$168,EBIT!$C80)/10^6</f>
        <v>0.990506</v>
      </c>
      <c r="J80" s="187">
        <f>+SUMIFS(rFS!E$149:E$168,rFS!$A$149:$A$168,EBIT!$C80)/10^6</f>
        <v>9.8821720000000006</v>
      </c>
      <c r="K80" s="187">
        <f>+SUMIFS(rFS!F$149:F$168,rFS!$A$149:$A$168,EBIT!$C80)/10^6</f>
        <v>5.7962470000000001</v>
      </c>
      <c r="L80" s="187">
        <f>+SUMIFS(rFS!G$149:G$168,rFS!$A$149:$A$168,EBIT!$C80)/10^6</f>
        <v>1.915041</v>
      </c>
      <c r="M80" s="124">
        <f t="shared" ref="M80:Q80" si="101">+M$7*M89</f>
        <v>1.4165499982736598</v>
      </c>
      <c r="N80" s="124">
        <f t="shared" si="101"/>
        <v>1.6923393944225242</v>
      </c>
      <c r="O80" s="124">
        <f t="shared" si="101"/>
        <v>2.039312039955163</v>
      </c>
      <c r="P80" s="124">
        <f t="shared" si="101"/>
        <v>2.4207137094917002</v>
      </c>
      <c r="Q80" s="124">
        <f t="shared" si="101"/>
        <v>2.8832710107636079</v>
      </c>
      <c r="R80" s="124"/>
      <c r="S80" s="124"/>
      <c r="T80" s="124"/>
    </row>
    <row r="81" spans="1:20"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</row>
    <row r="82" spans="1:20" s="178" customFormat="1">
      <c r="A82" s="180"/>
      <c r="B82" s="178" t="s">
        <v>454</v>
      </c>
      <c r="H82" s="181">
        <f>+H73/H$7</f>
        <v>0.25074221716794248</v>
      </c>
      <c r="I82" s="181">
        <f t="shared" ref="I82:L82" si="102">+I73/I$7</f>
        <v>0.2207079955935079</v>
      </c>
      <c r="J82" s="181">
        <f t="shared" si="102"/>
        <v>0.39031016083464354</v>
      </c>
      <c r="K82" s="181">
        <f t="shared" si="102"/>
        <v>0.37082319682219089</v>
      </c>
      <c r="L82" s="181">
        <f t="shared" si="102"/>
        <v>0.33513022656581537</v>
      </c>
      <c r="M82" s="131"/>
      <c r="N82" s="131"/>
      <c r="O82" s="131"/>
      <c r="P82" s="131"/>
      <c r="Q82" s="131"/>
      <c r="R82" s="131"/>
      <c r="S82" s="131"/>
      <c r="T82" s="131"/>
    </row>
    <row r="83" spans="1:20" s="170" customFormat="1">
      <c r="A83" s="169"/>
      <c r="C83" s="170" t="s">
        <v>447</v>
      </c>
      <c r="H83" s="179">
        <f t="shared" ref="H83:L83" si="103">+H74/H$7</f>
        <v>0.10594444744767295</v>
      </c>
      <c r="I83" s="179">
        <f t="shared" si="103"/>
        <v>7.9904672484693365E-2</v>
      </c>
      <c r="J83" s="179">
        <f t="shared" si="103"/>
        <v>8.3461904022473637E-2</v>
      </c>
      <c r="K83" s="179">
        <f t="shared" si="103"/>
        <v>0.10164575639437773</v>
      </c>
      <c r="L83" s="179">
        <f t="shared" si="103"/>
        <v>0.10531620044653936</v>
      </c>
      <c r="M83" s="130"/>
      <c r="N83" s="130"/>
      <c r="O83" s="130"/>
      <c r="P83" s="130"/>
      <c r="Q83" s="130"/>
      <c r="R83" s="130"/>
      <c r="S83" s="130"/>
      <c r="T83" s="130"/>
    </row>
    <row r="84" spans="1:20" s="170" customFormat="1">
      <c r="A84" s="169"/>
      <c r="C84" s="170" t="s">
        <v>448</v>
      </c>
      <c r="H84" s="179">
        <f t="shared" ref="H84:L84" si="104">+H75/H$7</f>
        <v>1.4184224893822003E-2</v>
      </c>
      <c r="I84" s="179">
        <f t="shared" si="104"/>
        <v>1.2231160839271997E-2</v>
      </c>
      <c r="J84" s="179">
        <f t="shared" si="104"/>
        <v>1.3195952421498207E-2</v>
      </c>
      <c r="K84" s="179">
        <f t="shared" si="104"/>
        <v>1.9916211059687574E-2</v>
      </c>
      <c r="L84" s="179">
        <f t="shared" si="104"/>
        <v>2.4620193627651533E-2</v>
      </c>
      <c r="M84" s="130"/>
      <c r="N84" s="130"/>
      <c r="O84" s="130"/>
      <c r="P84" s="130"/>
      <c r="Q84" s="130"/>
      <c r="R84" s="130"/>
      <c r="S84" s="130"/>
      <c r="T84" s="130"/>
    </row>
    <row r="85" spans="1:20" s="170" customFormat="1">
      <c r="A85" s="169"/>
      <c r="C85" s="170" t="s">
        <v>450</v>
      </c>
      <c r="H85" s="179">
        <f t="shared" ref="H85:Q85" si="105">+H76/H$7</f>
        <v>3.2732049329682017E-2</v>
      </c>
      <c r="I85" s="179">
        <f t="shared" si="105"/>
        <v>3.8017530857773027E-2</v>
      </c>
      <c r="J85" s="179">
        <f t="shared" si="105"/>
        <v>4.2492853835784231E-2</v>
      </c>
      <c r="K85" s="179">
        <f t="shared" si="105"/>
        <v>4.9988071126370597E-2</v>
      </c>
      <c r="L85" s="179">
        <f t="shared" si="105"/>
        <v>7.4590566694452118E-2</v>
      </c>
      <c r="M85" s="179">
        <f t="shared" si="105"/>
        <v>7.459056669445209E-2</v>
      </c>
      <c r="N85" s="179">
        <f t="shared" si="105"/>
        <v>7.4590566694452104E-2</v>
      </c>
      <c r="O85" s="179">
        <f t="shared" si="105"/>
        <v>7.4590566694452104E-2</v>
      </c>
      <c r="P85" s="179">
        <f t="shared" si="105"/>
        <v>7.4590566694452104E-2</v>
      </c>
      <c r="Q85" s="179">
        <f t="shared" si="105"/>
        <v>7.4590566694452104E-2</v>
      </c>
      <c r="R85" s="130"/>
      <c r="S85" s="130"/>
      <c r="T85" s="130"/>
    </row>
    <row r="86" spans="1:20" s="170" customFormat="1">
      <c r="A86" s="169"/>
      <c r="C86" s="170" t="s">
        <v>449</v>
      </c>
      <c r="H86" s="179">
        <f t="shared" ref="H86:L86" si="106">+H77/H$7</f>
        <v>3.597020700043891E-2</v>
      </c>
      <c r="I86" s="179">
        <f t="shared" si="106"/>
        <v>3.5360883249718797E-2</v>
      </c>
      <c r="J86" s="179">
        <f t="shared" si="106"/>
        <v>5.4036822369665574E-2</v>
      </c>
      <c r="K86" s="179">
        <f t="shared" si="106"/>
        <v>4.8415290488950678E-2</v>
      </c>
      <c r="L86" s="179">
        <f t="shared" si="106"/>
        <v>2.748697118083707E-2</v>
      </c>
      <c r="M86" s="183">
        <f>+AVERAGE(L86,H86:I86)</f>
        <v>3.2939353810331591E-2</v>
      </c>
      <c r="N86" s="183">
        <f>+M86</f>
        <v>3.2939353810331591E-2</v>
      </c>
      <c r="O86" s="183">
        <f t="shared" ref="O86:Q86" si="107">+N86</f>
        <v>3.2939353810331591E-2</v>
      </c>
      <c r="P86" s="183">
        <f t="shared" si="107"/>
        <v>3.2939353810331591E-2</v>
      </c>
      <c r="Q86" s="183">
        <f t="shared" si="107"/>
        <v>3.2939353810331591E-2</v>
      </c>
      <c r="R86" s="130"/>
      <c r="S86" s="130"/>
      <c r="T86" s="130"/>
    </row>
    <row r="87" spans="1:20" s="170" customFormat="1">
      <c r="A87" s="169"/>
      <c r="C87" s="170" t="s">
        <v>451</v>
      </c>
      <c r="H87" s="179">
        <f t="shared" ref="H87:L87" si="108">+H78/H$7</f>
        <v>2.8973839406215705E-2</v>
      </c>
      <c r="I87" s="179">
        <f t="shared" si="108"/>
        <v>2.2942030361558948E-2</v>
      </c>
      <c r="J87" s="179">
        <f t="shared" si="108"/>
        <v>2.3137670715208399E-2</v>
      </c>
      <c r="K87" s="179">
        <f t="shared" si="108"/>
        <v>2.0198430692124212E-2</v>
      </c>
      <c r="L87" s="179">
        <f t="shared" si="108"/>
        <v>1.7704265734939675E-2</v>
      </c>
      <c r="M87" s="183">
        <f>+L87+$S$87</f>
        <v>1.6704265734939674E-2</v>
      </c>
      <c r="N87" s="183">
        <f t="shared" ref="N87:Q87" si="109">+M87+$S$87</f>
        <v>1.5704265734939674E-2</v>
      </c>
      <c r="O87" s="183">
        <f t="shared" si="109"/>
        <v>1.4704265734939673E-2</v>
      </c>
      <c r="P87" s="183">
        <f t="shared" si="109"/>
        <v>1.3704265734939672E-2</v>
      </c>
      <c r="Q87" s="183">
        <f t="shared" si="109"/>
        <v>1.2704265734939671E-2</v>
      </c>
      <c r="R87" s="130"/>
      <c r="S87" s="184">
        <v>-1E-3</v>
      </c>
      <c r="T87" s="130"/>
    </row>
    <row r="88" spans="1:20">
      <c r="C88" s="117" t="s">
        <v>455</v>
      </c>
      <c r="H88" s="179">
        <f t="shared" ref="H88:L88" si="110">+H79/H$7</f>
        <v>3.008327347571025E-2</v>
      </c>
      <c r="I88" s="179">
        <f t="shared" si="110"/>
        <v>2.6811932202762408E-2</v>
      </c>
      <c r="J88" s="179">
        <f t="shared" si="110"/>
        <v>0.11980388828941446</v>
      </c>
      <c r="K88" s="179">
        <f t="shared" si="110"/>
        <v>0.10232530184955785</v>
      </c>
      <c r="L88" s="179">
        <f t="shared" si="110"/>
        <v>7.6337656750968083E-2</v>
      </c>
      <c r="M88" s="183">
        <f>+AVERAGE(J88:L88)</f>
        <v>9.9488948963313464E-2</v>
      </c>
      <c r="N88" s="183">
        <f>+M88</f>
        <v>9.9488948963313464E-2</v>
      </c>
      <c r="O88" s="183">
        <f t="shared" ref="O88:Q88" si="111">+N88</f>
        <v>9.9488948963313464E-2</v>
      </c>
      <c r="P88" s="183">
        <f t="shared" si="111"/>
        <v>9.9488948963313464E-2</v>
      </c>
      <c r="Q88" s="183">
        <f t="shared" si="111"/>
        <v>9.9488948963313464E-2</v>
      </c>
      <c r="R88" s="124"/>
      <c r="S88" s="124"/>
      <c r="T88" s="124"/>
    </row>
    <row r="89" spans="1:20">
      <c r="C89" s="117" t="s">
        <v>456</v>
      </c>
      <c r="H89" s="179">
        <f t="shared" ref="H89:L89" si="112">+H80/H$7</f>
        <v>2.8541717332333976E-3</v>
      </c>
      <c r="I89" s="179">
        <f t="shared" si="112"/>
        <v>5.4397852462461337E-3</v>
      </c>
      <c r="J89" s="179">
        <f t="shared" si="112"/>
        <v>5.4181066943654037E-2</v>
      </c>
      <c r="K89" s="179">
        <f t="shared" si="112"/>
        <v>2.8334136418546929E-2</v>
      </c>
      <c r="L89" s="179">
        <f t="shared" si="112"/>
        <v>9.0743744664958399E-3</v>
      </c>
      <c r="M89" s="183">
        <f>+AVERAGE(H89:I89,L89)</f>
        <v>5.7894438153251225E-3</v>
      </c>
      <c r="N89" s="183">
        <f>+M89</f>
        <v>5.7894438153251225E-3</v>
      </c>
      <c r="O89" s="183">
        <f t="shared" ref="O89:Q89" si="113">+N89</f>
        <v>5.7894438153251225E-3</v>
      </c>
      <c r="P89" s="183">
        <f t="shared" si="113"/>
        <v>5.7894438153251225E-3</v>
      </c>
      <c r="Q89" s="183">
        <f t="shared" si="113"/>
        <v>5.7894438153251225E-3</v>
      </c>
      <c r="R89" s="124"/>
      <c r="S89" s="124"/>
      <c r="T89" s="124"/>
    </row>
    <row r="90" spans="1:20"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</row>
    <row r="91" spans="1:20">
      <c r="A91" s="160" t="s">
        <v>433</v>
      </c>
      <c r="B91" s="137" t="s">
        <v>457</v>
      </c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</row>
    <row r="92" spans="1:20"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</row>
    <row r="93" spans="1:20" s="168" customFormat="1">
      <c r="A93" s="159"/>
      <c r="B93" s="168" t="s">
        <v>458</v>
      </c>
      <c r="H93" s="186">
        <f>+rFS!C222/10^6</f>
        <v>4.2314480000000003</v>
      </c>
      <c r="I93" s="186">
        <f>+rFS!D222/10^6</f>
        <v>7.2867480000000002</v>
      </c>
      <c r="J93" s="186">
        <f>+rFS!E222/10^6</f>
        <v>14.794639</v>
      </c>
      <c r="K93" s="186">
        <f>+rFS!F222/10^6</f>
        <v>31.340126999999999</v>
      </c>
      <c r="L93" s="186">
        <f>+rFS!G222/10^6</f>
        <v>33.000059999999998</v>
      </c>
      <c r="M93" s="123">
        <f>+M7*M94</f>
        <v>38.260303825721138</v>
      </c>
      <c r="N93" s="123">
        <f t="shared" ref="N93:Q93" si="114">+N7*N94</f>
        <v>45.709236868273194</v>
      </c>
      <c r="O93" s="123">
        <f t="shared" si="114"/>
        <v>55.080793716581759</v>
      </c>
      <c r="P93" s="123">
        <f t="shared" si="114"/>
        <v>65.38226120723796</v>
      </c>
      <c r="Q93" s="123">
        <f t="shared" si="114"/>
        <v>77.875701541173754</v>
      </c>
      <c r="R93" s="123"/>
      <c r="S93" s="123"/>
      <c r="T93" s="123"/>
    </row>
    <row r="94" spans="1:20" s="170" customFormat="1">
      <c r="A94" s="169"/>
      <c r="C94" s="170" t="s">
        <v>454</v>
      </c>
      <c r="H94" s="179">
        <f>+H93/H7</f>
        <v>3.4072525580596272E-2</v>
      </c>
      <c r="I94" s="179">
        <f t="shared" ref="I94:L94" si="115">+I93/I7</f>
        <v>4.0018277792879114E-2</v>
      </c>
      <c r="J94" s="179">
        <f t="shared" si="115"/>
        <v>8.1114690785203364E-2</v>
      </c>
      <c r="K94" s="179">
        <f t="shared" si="115"/>
        <v>0.15320179312451415</v>
      </c>
      <c r="L94" s="179">
        <f t="shared" si="115"/>
        <v>0.15636996902772873</v>
      </c>
      <c r="M94" s="185">
        <f>+L94</f>
        <v>0.15636996902772873</v>
      </c>
      <c r="N94" s="185">
        <f t="shared" ref="N94:Q94" si="116">+M94</f>
        <v>0.15636996902772873</v>
      </c>
      <c r="O94" s="185">
        <f t="shared" si="116"/>
        <v>0.15636996902772873</v>
      </c>
      <c r="P94" s="185">
        <f t="shared" si="116"/>
        <v>0.15636996902772873</v>
      </c>
      <c r="Q94" s="185">
        <f t="shared" si="116"/>
        <v>0.15636996902772873</v>
      </c>
      <c r="R94" s="130"/>
      <c r="S94" s="130"/>
      <c r="T94" s="130"/>
    </row>
    <row r="95" spans="1:20"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</row>
    <row r="96" spans="1:20"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</row>
    <row r="97" spans="1:20">
      <c r="B97" s="168" t="s">
        <v>458</v>
      </c>
      <c r="C97" s="168"/>
      <c r="H97" s="124">
        <f>+H93</f>
        <v>4.2314480000000003</v>
      </c>
      <c r="I97" s="124">
        <f t="shared" ref="I97:Q97" si="117">+I93</f>
        <v>7.2867480000000002</v>
      </c>
      <c r="J97" s="124">
        <f t="shared" si="117"/>
        <v>14.794639</v>
      </c>
      <c r="K97" s="124">
        <f t="shared" si="117"/>
        <v>31.340126999999999</v>
      </c>
      <c r="L97" s="124">
        <f t="shared" si="117"/>
        <v>33.000059999999998</v>
      </c>
      <c r="M97" s="124">
        <f t="shared" si="117"/>
        <v>38.260303825721138</v>
      </c>
      <c r="N97" s="124">
        <f t="shared" si="117"/>
        <v>45.709236868273194</v>
      </c>
      <c r="O97" s="124">
        <f t="shared" si="117"/>
        <v>55.080793716581759</v>
      </c>
      <c r="P97" s="124">
        <f t="shared" si="117"/>
        <v>65.38226120723796</v>
      </c>
      <c r="Q97" s="124">
        <f t="shared" si="117"/>
        <v>77.875701541173754</v>
      </c>
      <c r="R97" s="124"/>
      <c r="S97" s="124"/>
      <c r="T97" s="124"/>
    </row>
    <row r="98" spans="1:20">
      <c r="B98" s="170"/>
      <c r="C98" s="170" t="s">
        <v>459</v>
      </c>
      <c r="H98" s="124">
        <f>+H97-H99</f>
        <v>0.16647300000000076</v>
      </c>
      <c r="I98" s="124">
        <f t="shared" ref="I98:Q98" si="118">+I97-I99</f>
        <v>0.36430700000000016</v>
      </c>
      <c r="J98" s="124">
        <f t="shared" si="118"/>
        <v>7.0442990000000005</v>
      </c>
      <c r="K98" s="124">
        <f t="shared" si="118"/>
        <v>21.114185999999997</v>
      </c>
      <c r="L98" s="124">
        <f t="shared" si="118"/>
        <v>17.258589999999998</v>
      </c>
      <c r="M98" s="124">
        <f t="shared" si="118"/>
        <v>20.0096271644219</v>
      </c>
      <c r="N98" s="124">
        <f t="shared" si="118"/>
        <v>23.905319515249701</v>
      </c>
      <c r="O98" s="124">
        <f t="shared" si="118"/>
        <v>28.806518401150203</v>
      </c>
      <c r="P98" s="124">
        <f t="shared" si="118"/>
        <v>34.194048115325394</v>
      </c>
      <c r="Q98" s="124">
        <f t="shared" si="118"/>
        <v>40.727950308620223</v>
      </c>
      <c r="R98" s="124"/>
      <c r="S98" s="124"/>
      <c r="T98" s="124"/>
    </row>
    <row r="99" spans="1:20">
      <c r="C99" s="117" t="s">
        <v>460</v>
      </c>
      <c r="H99" s="124">
        <f>+H76</f>
        <v>4.0649749999999996</v>
      </c>
      <c r="I99" s="124">
        <f t="shared" ref="I99:L99" si="119">+I76</f>
        <v>6.9224410000000001</v>
      </c>
      <c r="J99" s="124">
        <f t="shared" si="119"/>
        <v>7.7503399999999996</v>
      </c>
      <c r="K99" s="124">
        <f t="shared" si="119"/>
        <v>10.225941000000001</v>
      </c>
      <c r="L99" s="124">
        <f t="shared" si="119"/>
        <v>15.74147</v>
      </c>
      <c r="M99" s="124">
        <f>+M97*M100</f>
        <v>18.250676661299238</v>
      </c>
      <c r="N99" s="124">
        <f t="shared" ref="N99:Q99" si="120">+N97*N100</f>
        <v>21.803917353023493</v>
      </c>
      <c r="O99" s="124">
        <f t="shared" si="120"/>
        <v>26.274275315431556</v>
      </c>
      <c r="P99" s="124">
        <f t="shared" si="120"/>
        <v>31.188213091912566</v>
      </c>
      <c r="Q99" s="124">
        <f t="shared" si="120"/>
        <v>37.147751232553532</v>
      </c>
      <c r="R99" s="124"/>
      <c r="S99" s="124"/>
      <c r="T99" s="124"/>
    </row>
    <row r="100" spans="1:20" s="170" customFormat="1">
      <c r="A100" s="169"/>
      <c r="D100" s="170" t="s">
        <v>461</v>
      </c>
      <c r="H100" s="179">
        <f>+H99/H97</f>
        <v>0.96065814822727336</v>
      </c>
      <c r="I100" s="179">
        <f t="shared" ref="I100:L100" si="121">+I99/I97</f>
        <v>0.95000417195709252</v>
      </c>
      <c r="J100" s="179">
        <f t="shared" si="121"/>
        <v>0.52386137978763792</v>
      </c>
      <c r="K100" s="179">
        <f t="shared" si="121"/>
        <v>0.32628907342972802</v>
      </c>
      <c r="L100" s="179">
        <f t="shared" si="121"/>
        <v>0.47701337512719677</v>
      </c>
      <c r="M100" s="185">
        <f>+L100</f>
        <v>0.47701337512719677</v>
      </c>
      <c r="N100" s="185">
        <f t="shared" ref="N100:Q100" si="122">+M100</f>
        <v>0.47701337512719677</v>
      </c>
      <c r="O100" s="185">
        <f t="shared" si="122"/>
        <v>0.47701337512719677</v>
      </c>
      <c r="P100" s="185">
        <f t="shared" si="122"/>
        <v>0.47701337512719677</v>
      </c>
      <c r="Q100" s="185">
        <f t="shared" si="122"/>
        <v>0.47701337512719677</v>
      </c>
      <c r="R100" s="130"/>
      <c r="S100" s="130"/>
      <c r="T100" s="130"/>
    </row>
    <row r="101" spans="1:20"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</row>
    <row r="102" spans="1:20"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</row>
    <row r="103" spans="1:20"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</row>
    <row r="104" spans="1:20"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</row>
    <row r="105" spans="1:20"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</row>
    <row r="106" spans="1:20"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</row>
    <row r="107" spans="1:20"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</row>
    <row r="108" spans="1:20"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</row>
    <row r="109" spans="1:20"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</row>
    <row r="110" spans="1:20"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</row>
    <row r="111" spans="1:20"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</row>
    <row r="112" spans="1:20"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</row>
    <row r="113" spans="8:20"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</row>
    <row r="114" spans="8:20"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</row>
    <row r="115" spans="8:20"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</row>
    <row r="116" spans="8:20"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</row>
    <row r="117" spans="8:20"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</row>
    <row r="118" spans="8:20"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</row>
    <row r="119" spans="8:20"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</row>
    <row r="120" spans="8:20"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</row>
    <row r="121" spans="8:20"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</row>
    <row r="122" spans="8:20"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</row>
    <row r="123" spans="8:20"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</row>
    <row r="124" spans="8:20"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</row>
    <row r="125" spans="8:20"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</row>
    <row r="126" spans="8:20"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</row>
    <row r="127" spans="8:20"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</row>
    <row r="128" spans="8:20"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</row>
    <row r="129" spans="8:20"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</row>
    <row r="130" spans="8:20"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</row>
    <row r="131" spans="8:20"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</row>
    <row r="132" spans="8:20"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</row>
    <row r="133" spans="8:20"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</row>
    <row r="134" spans="8:20"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</row>
    <row r="135" spans="8:20"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</row>
    <row r="136" spans="8:20"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</row>
    <row r="137" spans="8:20"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</row>
    <row r="138" spans="8:20"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</row>
    <row r="139" spans="8:20"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</row>
    <row r="140" spans="8:20"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</row>
    <row r="141" spans="8:20"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</row>
    <row r="142" spans="8:20"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</row>
    <row r="143" spans="8:20"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</row>
    <row r="144" spans="8:20"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</row>
    <row r="145" spans="8:20"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</row>
    <row r="146" spans="8:20"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</row>
    <row r="147" spans="8:20"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</row>
    <row r="148" spans="8:20"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</row>
    <row r="149" spans="8:20"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</row>
    <row r="150" spans="8:20"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</row>
    <row r="151" spans="8:20"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</row>
    <row r="152" spans="8:20"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</row>
    <row r="153" spans="8:20"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</row>
    <row r="154" spans="8:20"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</row>
    <row r="155" spans="8:20"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</row>
    <row r="156" spans="8:20"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</row>
    <row r="157" spans="8:20"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</row>
    <row r="158" spans="8:20"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</row>
    <row r="159" spans="8:20"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</row>
    <row r="160" spans="8:20"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</row>
    <row r="161" spans="8:20"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</row>
    <row r="162" spans="8:20"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</row>
    <row r="163" spans="8:20"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</row>
    <row r="164" spans="8:20"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</row>
    <row r="165" spans="8:20"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</row>
    <row r="166" spans="8:20"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</row>
    <row r="167" spans="8:20"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</row>
    <row r="168" spans="8:20"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</row>
    <row r="169" spans="8:20"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</row>
    <row r="170" spans="8:20"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</row>
    <row r="171" spans="8:20"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</row>
  </sheetData>
  <mergeCells count="1">
    <mergeCell ref="T2:T3"/>
  </mergeCells>
  <phoneticPr fontId="2" type="noConversion"/>
  <pageMargins left="0.7" right="0.7" top="0.75" bottom="0.75" header="0.3" footer="0.3"/>
  <ignoredErrors>
    <ignoredError sqref="M12:Q12 M19:Q19 N87:Q8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>
    <tabColor theme="0" tint="-0.14999847407452621"/>
  </sheetPr>
  <dimension ref="B1:P11"/>
  <sheetViews>
    <sheetView workbookViewId="0">
      <selection activeCell="L3" sqref="L3"/>
    </sheetView>
  </sheetViews>
  <sheetFormatPr defaultColWidth="9" defaultRowHeight="14.4"/>
  <cols>
    <col min="1" max="1" width="2.77734375" style="50" customWidth="1"/>
    <col min="2" max="2" width="35.21875" style="50" bestFit="1" customWidth="1"/>
    <col min="3" max="3" width="20.21875" style="50" bestFit="1" customWidth="1"/>
    <col min="4" max="4" width="8" style="50" customWidth="1"/>
    <col min="5" max="5" width="3.77734375" style="50" bestFit="1" customWidth="1"/>
    <col min="6" max="6" width="6.21875" style="50" bestFit="1" customWidth="1"/>
    <col min="7" max="16" width="7.77734375" style="50" bestFit="1" customWidth="1"/>
    <col min="17" max="16384" width="9" style="50"/>
  </cols>
  <sheetData>
    <row r="1" spans="2:16" ht="15" thickBot="1"/>
    <row r="2" spans="2:16" ht="27" thickBot="1">
      <c r="B2" s="49" t="s">
        <v>172</v>
      </c>
      <c r="C2" s="49" t="s">
        <v>173</v>
      </c>
      <c r="D2" s="49" t="s">
        <v>174</v>
      </c>
      <c r="E2" s="49" t="s">
        <v>175</v>
      </c>
      <c r="F2" s="49" t="s">
        <v>176</v>
      </c>
      <c r="G2" s="49" t="s">
        <v>177</v>
      </c>
      <c r="H2" s="49" t="s">
        <v>178</v>
      </c>
      <c r="I2" s="49" t="s">
        <v>179</v>
      </c>
      <c r="J2" s="49" t="s">
        <v>180</v>
      </c>
      <c r="K2" s="49" t="s">
        <v>181</v>
      </c>
      <c r="L2" s="49" t="s">
        <v>182</v>
      </c>
      <c r="M2" s="49" t="s">
        <v>183</v>
      </c>
      <c r="N2" s="49" t="s">
        <v>184</v>
      </c>
      <c r="O2" s="49" t="s">
        <v>185</v>
      </c>
      <c r="P2" s="49" t="s">
        <v>186</v>
      </c>
    </row>
    <row r="3" spans="2:16">
      <c r="B3" s="51" t="s">
        <v>187</v>
      </c>
      <c r="C3" s="51" t="s">
        <v>188</v>
      </c>
      <c r="D3" s="51" t="s">
        <v>189</v>
      </c>
      <c r="E3" s="51" t="s">
        <v>190</v>
      </c>
      <c r="F3" s="51" t="s">
        <v>191</v>
      </c>
      <c r="G3" s="52">
        <v>1108.1099999999999</v>
      </c>
      <c r="H3" s="52">
        <v>1126.8800000000001</v>
      </c>
      <c r="I3" s="52">
        <v>1095.04</v>
      </c>
      <c r="J3" s="52">
        <v>1053.22</v>
      </c>
      <c r="K3" s="52">
        <v>1131.49</v>
      </c>
      <c r="L3" s="52">
        <v>1160.5</v>
      </c>
      <c r="M3" s="52">
        <v>1130.8399999999999</v>
      </c>
      <c r="N3" s="52">
        <v>1100.3</v>
      </c>
      <c r="O3" s="52">
        <v>1165.6500000000001</v>
      </c>
      <c r="P3" s="52">
        <v>1180.05</v>
      </c>
    </row>
    <row r="4" spans="2:16">
      <c r="B4" s="51" t="s">
        <v>187</v>
      </c>
      <c r="C4" s="51" t="s">
        <v>192</v>
      </c>
      <c r="D4" s="51" t="s">
        <v>189</v>
      </c>
      <c r="E4" s="51" t="s">
        <v>190</v>
      </c>
      <c r="F4" s="51" t="s">
        <v>191</v>
      </c>
      <c r="G4" s="51" t="s">
        <v>193</v>
      </c>
      <c r="H4" s="51" t="s">
        <v>193</v>
      </c>
      <c r="I4" s="51" t="s">
        <v>193</v>
      </c>
      <c r="J4" s="51" t="s">
        <v>193</v>
      </c>
      <c r="K4" s="51" t="s">
        <v>193</v>
      </c>
      <c r="L4" s="52">
        <v>174.4</v>
      </c>
      <c r="M4" s="52">
        <v>167.46</v>
      </c>
      <c r="N4" s="52">
        <v>166.4</v>
      </c>
      <c r="O4" s="52">
        <v>168.58</v>
      </c>
      <c r="P4" s="52">
        <v>170.88</v>
      </c>
    </row>
    <row r="5" spans="2:16">
      <c r="B5" s="51" t="s">
        <v>187</v>
      </c>
      <c r="C5" s="51" t="s">
        <v>194</v>
      </c>
      <c r="D5" s="51" t="s">
        <v>189</v>
      </c>
      <c r="E5" s="51" t="s">
        <v>190</v>
      </c>
      <c r="F5" s="51" t="s">
        <v>191</v>
      </c>
      <c r="G5" s="52">
        <v>1391.31</v>
      </c>
      <c r="H5" s="52">
        <v>1413.14</v>
      </c>
      <c r="I5" s="52">
        <v>1123.4100000000001</v>
      </c>
      <c r="J5" s="52">
        <v>996.19</v>
      </c>
      <c r="K5" s="52">
        <v>934.56</v>
      </c>
      <c r="L5" s="52">
        <v>1068.17</v>
      </c>
      <c r="M5" s="52">
        <v>1008.52</v>
      </c>
      <c r="N5" s="52">
        <v>996.27</v>
      </c>
      <c r="O5" s="52">
        <v>1069.76</v>
      </c>
      <c r="P5" s="52">
        <v>1105.07</v>
      </c>
    </row>
    <row r="6" spans="2:16">
      <c r="B6" s="51" t="s">
        <v>187</v>
      </c>
      <c r="C6" s="51" t="s">
        <v>195</v>
      </c>
      <c r="D6" s="51" t="s">
        <v>189</v>
      </c>
      <c r="E6" s="51" t="s">
        <v>190</v>
      </c>
      <c r="F6" s="51" t="s">
        <v>191</v>
      </c>
      <c r="G6" s="52">
        <v>1541.42</v>
      </c>
      <c r="H6" s="52">
        <v>1448.2</v>
      </c>
      <c r="I6" s="52">
        <v>1453.56</v>
      </c>
      <c r="J6" s="52">
        <v>1398.82</v>
      </c>
      <c r="K6" s="52">
        <v>1255.1600000000001</v>
      </c>
      <c r="L6" s="52">
        <v>1283.3</v>
      </c>
      <c r="M6" s="52">
        <v>1276.3900000000001</v>
      </c>
      <c r="N6" s="52">
        <v>1298.6300000000001</v>
      </c>
      <c r="O6" s="52">
        <v>1304.81</v>
      </c>
      <c r="P6" s="52">
        <v>1345.99</v>
      </c>
    </row>
    <row r="7" spans="2:16">
      <c r="B7" s="51" t="s">
        <v>187</v>
      </c>
      <c r="C7" s="51" t="s">
        <v>196</v>
      </c>
      <c r="D7" s="51" t="s">
        <v>189</v>
      </c>
      <c r="E7" s="51" t="s">
        <v>190</v>
      </c>
      <c r="F7" s="51" t="s">
        <v>191</v>
      </c>
      <c r="G7" s="52">
        <v>1775.87</v>
      </c>
      <c r="H7" s="52">
        <v>1785.37</v>
      </c>
      <c r="I7" s="52">
        <v>1711.45</v>
      </c>
      <c r="J7" s="52">
        <v>1734.67</v>
      </c>
      <c r="K7" s="52">
        <v>1729.79</v>
      </c>
      <c r="L7" s="52">
        <v>1572.18</v>
      </c>
      <c r="M7" s="52">
        <v>1455.43</v>
      </c>
      <c r="N7" s="52">
        <v>1468.22</v>
      </c>
      <c r="O7" s="52">
        <v>1487.83</v>
      </c>
      <c r="P7" s="52">
        <v>1513.05</v>
      </c>
    </row>
    <row r="8" spans="2:16">
      <c r="B8" s="51" t="s">
        <v>187</v>
      </c>
      <c r="C8" s="51" t="s">
        <v>197</v>
      </c>
      <c r="D8" s="51" t="s">
        <v>189</v>
      </c>
      <c r="E8" s="51" t="s">
        <v>190</v>
      </c>
      <c r="F8" s="51" t="s">
        <v>191</v>
      </c>
      <c r="G8" s="52">
        <v>1252.92</v>
      </c>
      <c r="H8" s="52">
        <v>1201.56</v>
      </c>
      <c r="I8" s="52">
        <v>1181.04</v>
      </c>
      <c r="J8" s="52">
        <v>1151.45</v>
      </c>
      <c r="K8" s="52">
        <v>1175.58</v>
      </c>
      <c r="L8" s="52">
        <v>1177.3599999999999</v>
      </c>
      <c r="M8" s="52">
        <v>1148.72</v>
      </c>
      <c r="N8" s="52">
        <v>1124.29</v>
      </c>
      <c r="O8" s="52">
        <v>1173.43</v>
      </c>
      <c r="P8" s="52">
        <v>1257.3399999999999</v>
      </c>
    </row>
    <row r="9" spans="2:16">
      <c r="B9" s="51" t="s">
        <v>187</v>
      </c>
      <c r="C9" s="51" t="s">
        <v>198</v>
      </c>
      <c r="D9" s="51" t="s">
        <v>189</v>
      </c>
      <c r="E9" s="51" t="s">
        <v>190</v>
      </c>
      <c r="F9" s="51" t="s">
        <v>191</v>
      </c>
      <c r="G9" s="52">
        <v>1143.22</v>
      </c>
      <c r="H9" s="52">
        <v>1166.69</v>
      </c>
      <c r="I9" s="52">
        <v>1060.3599999999999</v>
      </c>
      <c r="J9" s="52">
        <v>949.32</v>
      </c>
      <c r="K9" s="52">
        <v>849.87</v>
      </c>
      <c r="L9" s="52">
        <v>863.26</v>
      </c>
      <c r="M9" s="52">
        <v>866.78</v>
      </c>
      <c r="N9" s="52">
        <v>822.26</v>
      </c>
      <c r="O9" s="52">
        <v>809.87</v>
      </c>
      <c r="P9" s="52">
        <v>813.48</v>
      </c>
    </row>
    <row r="10" spans="2:16">
      <c r="B10" s="51" t="s">
        <v>187</v>
      </c>
      <c r="C10" s="51" t="s">
        <v>199</v>
      </c>
      <c r="D10" s="51" t="s">
        <v>189</v>
      </c>
      <c r="E10" s="51" t="s">
        <v>190</v>
      </c>
      <c r="F10" s="51" t="s">
        <v>191</v>
      </c>
      <c r="G10" s="52">
        <v>142.35</v>
      </c>
      <c r="H10" s="52">
        <v>145.27000000000001</v>
      </c>
      <c r="I10" s="52">
        <v>141.16999999999999</v>
      </c>
      <c r="J10" s="52">
        <v>135.82</v>
      </c>
      <c r="K10" s="52">
        <v>145.94999999999999</v>
      </c>
      <c r="L10" s="52">
        <v>149.51</v>
      </c>
      <c r="M10" s="52">
        <v>145.13</v>
      </c>
      <c r="N10" s="52">
        <v>140.38</v>
      </c>
      <c r="O10" s="52">
        <v>148.78</v>
      </c>
      <c r="P10" s="52">
        <v>152.13999999999999</v>
      </c>
    </row>
    <row r="11" spans="2:16">
      <c r="B11" s="51" t="s">
        <v>187</v>
      </c>
      <c r="C11" s="51" t="s">
        <v>200</v>
      </c>
      <c r="D11" s="51" t="s">
        <v>189</v>
      </c>
      <c r="E11" s="51" t="s">
        <v>190</v>
      </c>
      <c r="F11" s="51" t="s">
        <v>191</v>
      </c>
      <c r="G11" s="52">
        <v>881.15</v>
      </c>
      <c r="H11" s="52">
        <v>901.7</v>
      </c>
      <c r="I11" s="52">
        <v>875.2</v>
      </c>
      <c r="J11" s="52">
        <v>831.03</v>
      </c>
      <c r="K11" s="52">
        <v>823</v>
      </c>
      <c r="L11" s="52">
        <v>840.41</v>
      </c>
      <c r="M11" s="52">
        <v>818.91</v>
      </c>
      <c r="N11" s="52">
        <v>815.38</v>
      </c>
      <c r="O11" s="52">
        <v>854.39</v>
      </c>
      <c r="P11" s="52">
        <v>855.11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T109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23" sqref="A23"/>
    </sheetView>
  </sheetViews>
  <sheetFormatPr defaultColWidth="9" defaultRowHeight="13.8"/>
  <cols>
    <col min="1" max="1" width="3.6640625" style="164" customWidth="1"/>
    <col min="2" max="6" width="3.6640625" style="140" customWidth="1"/>
    <col min="7" max="7" width="20.109375" style="140" customWidth="1"/>
    <col min="8" max="19" width="8.44140625" style="140" customWidth="1"/>
    <col min="20" max="20" width="35.6640625" style="140" customWidth="1"/>
    <col min="21" max="16384" width="9" style="140"/>
  </cols>
  <sheetData>
    <row r="1" spans="1:20">
      <c r="A1" s="164" t="s">
        <v>431</v>
      </c>
    </row>
    <row r="2" spans="1:20">
      <c r="B2" s="138"/>
      <c r="C2" s="138"/>
      <c r="D2" s="138"/>
      <c r="E2" s="138"/>
      <c r="F2" s="138"/>
      <c r="G2" s="138"/>
      <c r="H2" s="139" t="s">
        <v>351</v>
      </c>
      <c r="I2" s="139"/>
      <c r="J2" s="139"/>
      <c r="K2" s="139"/>
      <c r="L2" s="139"/>
      <c r="M2" s="156" t="s">
        <v>352</v>
      </c>
      <c r="N2" s="156"/>
      <c r="O2" s="156"/>
      <c r="P2" s="156"/>
      <c r="Q2" s="156"/>
      <c r="R2" s="156" t="s">
        <v>353</v>
      </c>
      <c r="S2" s="156"/>
      <c r="T2" s="195" t="s">
        <v>354</v>
      </c>
    </row>
    <row r="3" spans="1:20">
      <c r="B3" s="138"/>
      <c r="C3" s="138"/>
      <c r="D3" s="138"/>
      <c r="E3" s="138"/>
      <c r="F3" s="138"/>
      <c r="G3" s="138"/>
      <c r="H3" s="141">
        <v>2016</v>
      </c>
      <c r="I3" s="141">
        <f>H3+1</f>
        <v>2017</v>
      </c>
      <c r="J3" s="141">
        <f t="shared" ref="J3:L3" si="0">I3+1</f>
        <v>2018</v>
      </c>
      <c r="K3" s="141">
        <f t="shared" si="0"/>
        <v>2019</v>
      </c>
      <c r="L3" s="141">
        <f t="shared" si="0"/>
        <v>2020</v>
      </c>
      <c r="M3" s="157">
        <v>2021</v>
      </c>
      <c r="N3" s="157">
        <f>M3+1</f>
        <v>2022</v>
      </c>
      <c r="O3" s="157">
        <f t="shared" ref="O3:Q3" si="1">N3+1</f>
        <v>2023</v>
      </c>
      <c r="P3" s="157">
        <f t="shared" si="1"/>
        <v>2024</v>
      </c>
      <c r="Q3" s="157">
        <f t="shared" si="1"/>
        <v>2025</v>
      </c>
      <c r="R3" s="158" t="s">
        <v>355</v>
      </c>
      <c r="S3" s="158" t="s">
        <v>356</v>
      </c>
      <c r="T3" s="195"/>
    </row>
    <row r="5" spans="1:20">
      <c r="A5" s="164" t="s">
        <v>433</v>
      </c>
      <c r="B5" s="142" t="s">
        <v>370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</row>
    <row r="7" spans="1:20" s="144" customFormat="1">
      <c r="A7" s="165"/>
      <c r="B7" s="144" t="s">
        <v>371</v>
      </c>
      <c r="H7" s="197">
        <f>+rFS!C54/10^9</f>
        <v>124.189443779</v>
      </c>
      <c r="I7" s="197">
        <f>+rFS!D54/10^9</f>
        <v>182.08549697500001</v>
      </c>
      <c r="J7" s="197">
        <f>+rFS!E54/10^9</f>
        <v>182.391609421</v>
      </c>
      <c r="K7" s="197">
        <f>+rFS!F54/10^9</f>
        <v>204.56762522700001</v>
      </c>
      <c r="L7" s="197">
        <f>+rFS!G54/10^9</f>
        <v>211.03834838099999</v>
      </c>
      <c r="M7" s="197">
        <f>+EBIT!M7</f>
        <v>244.67808021971615</v>
      </c>
      <c r="N7" s="197">
        <f>+EBIT!N7</f>
        <v>292.31467622896105</v>
      </c>
      <c r="O7" s="197">
        <f>+EBIT!O7</f>
        <v>352.24662420195534</v>
      </c>
      <c r="P7" s="197">
        <f>+EBIT!P7</f>
        <v>418.12543427468398</v>
      </c>
      <c r="Q7" s="197">
        <f>+EBIT!Q7</f>
        <v>498.02210760407729</v>
      </c>
    </row>
    <row r="8" spans="1:20">
      <c r="B8" s="140" t="s">
        <v>372</v>
      </c>
      <c r="H8" s="198">
        <f>+rFS!C55/10^9</f>
        <v>29.789638852</v>
      </c>
      <c r="I8" s="198">
        <f>+rFS!D55/10^9</f>
        <v>39.973426437000001</v>
      </c>
      <c r="J8" s="198">
        <f>+rFS!E55/10^9</f>
        <v>51.007346564999999</v>
      </c>
      <c r="K8" s="198">
        <f>+rFS!F55/10^9</f>
        <v>60.622507568000003</v>
      </c>
      <c r="L8" s="198">
        <f>+rFS!G55/10^9</f>
        <v>62.253226282999996</v>
      </c>
      <c r="M8" s="198">
        <f>+EBIT!M44</f>
        <v>72.165356377493822</v>
      </c>
      <c r="N8" s="198">
        <f>+EBIT!N44</f>
        <v>85.651819297056662</v>
      </c>
      <c r="O8" s="198">
        <f>+EBIT!O44</f>
        <v>102.9686642478583</v>
      </c>
      <c r="P8" s="198">
        <f>+EBIT!P44</f>
        <v>124.12214294764127</v>
      </c>
      <c r="Q8" s="198">
        <f>+EBIT!Q44</f>
        <v>150.24489094869</v>
      </c>
    </row>
    <row r="9" spans="1:20" s="144" customFormat="1">
      <c r="A9" s="165"/>
      <c r="B9" s="144" t="s">
        <v>368</v>
      </c>
      <c r="H9" s="116">
        <f>+H7-H8</f>
        <v>94.399804927000005</v>
      </c>
      <c r="I9" s="116">
        <f t="shared" ref="I9:Q9" si="2">+I7-I8</f>
        <v>142.11207053800001</v>
      </c>
      <c r="J9" s="116">
        <f t="shared" si="2"/>
        <v>131.38426285599999</v>
      </c>
      <c r="K9" s="116">
        <f t="shared" si="2"/>
        <v>143.945117659</v>
      </c>
      <c r="L9" s="116">
        <f t="shared" si="2"/>
        <v>148.78512209799999</v>
      </c>
      <c r="M9" s="116">
        <f t="shared" si="2"/>
        <v>172.51272384222233</v>
      </c>
      <c r="N9" s="116">
        <f t="shared" si="2"/>
        <v>206.6628569319044</v>
      </c>
      <c r="O9" s="116">
        <f t="shared" si="2"/>
        <v>249.27795995409704</v>
      </c>
      <c r="P9" s="116">
        <f t="shared" si="2"/>
        <v>294.00329132704269</v>
      </c>
      <c r="Q9" s="116">
        <f t="shared" si="2"/>
        <v>347.77721665538729</v>
      </c>
    </row>
    <row r="10" spans="1:20" s="176" customFormat="1">
      <c r="A10" s="175"/>
      <c r="C10" s="176" t="s">
        <v>442</v>
      </c>
      <c r="H10" s="177">
        <f>+H9/H$7</f>
        <v>0.76012744766767915</v>
      </c>
      <c r="I10" s="177">
        <f t="shared" ref="I10:Q10" si="3">+I9/I$7</f>
        <v>0.78046891651953876</v>
      </c>
      <c r="J10" s="177">
        <f t="shared" si="3"/>
        <v>0.72034159506063777</v>
      </c>
      <c r="K10" s="177">
        <f t="shared" si="3"/>
        <v>0.70365541712316515</v>
      </c>
      <c r="L10" s="177">
        <f t="shared" si="3"/>
        <v>0.70501462525374503</v>
      </c>
      <c r="M10" s="177">
        <f t="shared" si="3"/>
        <v>0.70505998611444587</v>
      </c>
      <c r="N10" s="177">
        <f t="shared" si="3"/>
        <v>0.70698761895222728</v>
      </c>
      <c r="O10" s="177">
        <f t="shared" si="3"/>
        <v>0.70768019571190344</v>
      </c>
      <c r="P10" s="177">
        <f t="shared" si="3"/>
        <v>0.70314615478258546</v>
      </c>
      <c r="Q10" s="177">
        <f t="shared" si="3"/>
        <v>0.69831682438456488</v>
      </c>
    </row>
    <row r="11" spans="1:20">
      <c r="B11" s="140" t="s">
        <v>373</v>
      </c>
      <c r="H11" s="198">
        <f>+rFS!C57/10^9</f>
        <v>31.139536482</v>
      </c>
      <c r="I11" s="198">
        <f>+rFS!D57/10^9</f>
        <v>40.187725063999999</v>
      </c>
      <c r="J11" s="198">
        <f>+rFS!E57/10^9</f>
        <v>71.189298407999999</v>
      </c>
      <c r="K11" s="198">
        <f>+rFS!F57/10^9</f>
        <v>75.858420753000004</v>
      </c>
      <c r="L11" s="198">
        <f>+rFS!G57/10^9</f>
        <v>70.725329506999998</v>
      </c>
    </row>
    <row r="12" spans="1:20" s="144" customFormat="1">
      <c r="A12" s="165"/>
      <c r="B12" s="144" t="s">
        <v>374</v>
      </c>
      <c r="H12" s="116">
        <f>+H9-H11</f>
        <v>63.260268445000008</v>
      </c>
      <c r="I12" s="116">
        <f t="shared" ref="I12:L12" si="4">+I9-I11</f>
        <v>101.92434547400001</v>
      </c>
      <c r="J12" s="116">
        <f t="shared" si="4"/>
        <v>60.194964447999993</v>
      </c>
      <c r="K12" s="116">
        <f t="shared" si="4"/>
        <v>68.086696906</v>
      </c>
      <c r="L12" s="116">
        <f t="shared" si="4"/>
        <v>78.05979259099999</v>
      </c>
    </row>
    <row r="13" spans="1:20" s="176" customFormat="1">
      <c r="A13" s="175"/>
      <c r="C13" s="176" t="s">
        <v>443</v>
      </c>
      <c r="H13" s="177">
        <f>+H12/H$7</f>
        <v>0.50938523049973672</v>
      </c>
      <c r="I13" s="177">
        <f t="shared" ref="I13" si="5">+I12/I$7</f>
        <v>0.5597609209260308</v>
      </c>
      <c r="J13" s="177">
        <f t="shared" ref="J13" si="6">+J12/J$7</f>
        <v>0.33003143422599424</v>
      </c>
      <c r="K13" s="177">
        <f t="shared" ref="K13" si="7">+K12/K$7</f>
        <v>0.33283222030097426</v>
      </c>
      <c r="L13" s="177">
        <f t="shared" ref="L13" si="8">+L12/L$7</f>
        <v>0.36988439868792966</v>
      </c>
      <c r="M13" s="177">
        <f t="shared" ref="M13" si="9">+M12/M$7</f>
        <v>0</v>
      </c>
      <c r="N13" s="177">
        <f t="shared" ref="N13" si="10">+N12/N$7</f>
        <v>0</v>
      </c>
      <c r="O13" s="177">
        <f t="shared" ref="O13" si="11">+O12/O$7</f>
        <v>0</v>
      </c>
      <c r="P13" s="177">
        <f t="shared" ref="P13" si="12">+P12/P$7</f>
        <v>0</v>
      </c>
      <c r="Q13" s="177">
        <f t="shared" ref="Q13" si="13">+Q12/Q$7</f>
        <v>0</v>
      </c>
    </row>
    <row r="14" spans="1:20">
      <c r="B14" s="140" t="s">
        <v>375</v>
      </c>
      <c r="H14" s="198">
        <f>+rFS!C89/10^6</f>
        <v>1.2125049999999999</v>
      </c>
      <c r="I14" s="198">
        <f>+rFS!D89/10^6</f>
        <v>5.0399349999999998</v>
      </c>
      <c r="J14" s="198">
        <f>+rFS!E89/10^6</f>
        <v>7.5865330000000002</v>
      </c>
      <c r="K14" s="198">
        <f>+rFS!F89/10^6</f>
        <v>2.8043239999999998</v>
      </c>
      <c r="L14" s="198">
        <f>+rFS!G89/10^6</f>
        <v>3.938294</v>
      </c>
    </row>
    <row r="15" spans="1:20">
      <c r="B15" s="140" t="s">
        <v>376</v>
      </c>
      <c r="H15" s="198">
        <f>+rFS!C92/10^6</f>
        <v>0</v>
      </c>
      <c r="I15" s="198">
        <f>+rFS!D92/10^6</f>
        <v>1.493187</v>
      </c>
      <c r="J15" s="198">
        <f>+rFS!E92/10^6</f>
        <v>3.3177219999999998</v>
      </c>
      <c r="K15" s="198">
        <f>+rFS!F92/10^6</f>
        <v>3.5659719999999999</v>
      </c>
      <c r="L15" s="198">
        <f>+rFS!G92/10^6</f>
        <v>3.658328</v>
      </c>
    </row>
    <row r="16" spans="1:20">
      <c r="B16" s="140" t="s">
        <v>377</v>
      </c>
      <c r="H16" s="115">
        <f>H17-H12-H14+H15</f>
        <v>-0.13782738700000841</v>
      </c>
      <c r="I16" s="115">
        <f t="shared" ref="I16:L16" si="14">I17-I12-I14+I15</f>
        <v>-1.9221184080000089</v>
      </c>
      <c r="J16" s="115">
        <f t="shared" si="14"/>
        <v>35.056550478000005</v>
      </c>
      <c r="K16" s="115">
        <f t="shared" si="14"/>
        <v>2.4007839170000045</v>
      </c>
      <c r="L16" s="115">
        <f t="shared" si="14"/>
        <v>-9.0022516159999917</v>
      </c>
    </row>
    <row r="17" spans="1:20" s="144" customFormat="1">
      <c r="A17" s="165"/>
      <c r="B17" s="144" t="s">
        <v>378</v>
      </c>
      <c r="H17" s="197">
        <f>+rFS!C64/10^9</f>
        <v>64.334946058</v>
      </c>
      <c r="I17" s="197">
        <f>+rFS!D64/10^9</f>
        <v>103.548975066</v>
      </c>
      <c r="J17" s="197">
        <f>+rFS!E64/10^9</f>
        <v>99.520325925999998</v>
      </c>
      <c r="K17" s="197">
        <f>+rFS!F64/10^9</f>
        <v>69.725832823000005</v>
      </c>
      <c r="L17" s="197">
        <f>+rFS!G64/10^9</f>
        <v>69.337506974999997</v>
      </c>
      <c r="M17" s="144">
        <f>+M12+M14-M15+M16</f>
        <v>0</v>
      </c>
      <c r="N17" s="144">
        <f t="shared" ref="N17:Q17" si="15">+N12+N14-N15+N16</f>
        <v>0</v>
      </c>
      <c r="O17" s="144">
        <f t="shared" si="15"/>
        <v>0</v>
      </c>
      <c r="P17" s="144">
        <f t="shared" si="15"/>
        <v>0</v>
      </c>
      <c r="Q17" s="144">
        <f t="shared" si="15"/>
        <v>0</v>
      </c>
    </row>
    <row r="18" spans="1:20">
      <c r="B18" s="140" t="s">
        <v>379</v>
      </c>
      <c r="H18" s="198">
        <f>+rFS!C65/10^9</f>
        <v>13.434079211</v>
      </c>
      <c r="I18" s="198">
        <f>+rFS!D65/10^9</f>
        <v>22.198387223000001</v>
      </c>
      <c r="J18" s="198">
        <f>+rFS!E65/10^9</f>
        <v>23.863137600999998</v>
      </c>
      <c r="K18" s="198">
        <f>+rFS!F65/10^9</f>
        <v>19.447499874999998</v>
      </c>
      <c r="L18" s="198">
        <f>+rFS!G65/10^9</f>
        <v>24.021415574999999</v>
      </c>
    </row>
    <row r="19" spans="1:20" s="176" customFormat="1">
      <c r="A19" s="175"/>
      <c r="C19" s="176" t="s">
        <v>446</v>
      </c>
      <c r="H19" s="177">
        <f>+H18/H17</f>
        <v>0.20881464948907785</v>
      </c>
      <c r="I19" s="177">
        <f t="shared" ref="I19:L19" si="16">+I18/I17</f>
        <v>0.21437573098962306</v>
      </c>
      <c r="J19" s="177">
        <f t="shared" si="16"/>
        <v>0.23978154592001472</v>
      </c>
      <c r="K19" s="177">
        <f t="shared" si="16"/>
        <v>0.27891384136447317</v>
      </c>
      <c r="L19" s="177">
        <f t="shared" si="16"/>
        <v>0.34644186996312176</v>
      </c>
      <c r="M19" s="177"/>
      <c r="N19" s="177"/>
      <c r="O19" s="177"/>
      <c r="P19" s="177"/>
      <c r="Q19" s="177"/>
    </row>
    <row r="20" spans="1:20" s="144" customFormat="1">
      <c r="A20" s="165"/>
      <c r="B20" s="144" t="s">
        <v>380</v>
      </c>
      <c r="H20" s="197">
        <f>+rFS!C66/10^9</f>
        <v>50.900866847000003</v>
      </c>
      <c r="I20" s="197">
        <f>+rFS!D66/10^9</f>
        <v>81.350587843</v>
      </c>
      <c r="J20" s="197">
        <f>+rFS!E66/10^9</f>
        <v>75.657188325000007</v>
      </c>
      <c r="K20" s="197">
        <f>+rFS!F66/10^9</f>
        <v>50.278332947999999</v>
      </c>
      <c r="L20" s="197">
        <f>+rFS!G66/10^9</f>
        <v>45.316091399999998</v>
      </c>
      <c r="M20" s="144">
        <f>+M17-M18</f>
        <v>0</v>
      </c>
      <c r="N20" s="144">
        <f t="shared" ref="N20:Q20" si="17">+N17-N18</f>
        <v>0</v>
      </c>
      <c r="O20" s="144">
        <f t="shared" si="17"/>
        <v>0</v>
      </c>
      <c r="P20" s="144">
        <f t="shared" si="17"/>
        <v>0</v>
      </c>
      <c r="Q20" s="144">
        <f t="shared" si="17"/>
        <v>0</v>
      </c>
    </row>
    <row r="21" spans="1:20" s="176" customFormat="1">
      <c r="A21" s="175"/>
      <c r="C21" s="176" t="s">
        <v>444</v>
      </c>
      <c r="H21" s="177">
        <f>+H20/H$7</f>
        <v>0.40986468171626644</v>
      </c>
      <c r="I21" s="177">
        <f t="shared" ref="I21" si="18">+I20/I$7</f>
        <v>0.44677137495563018</v>
      </c>
      <c r="J21" s="177">
        <f t="shared" ref="J21" si="19">+J20/J$7</f>
        <v>0.41480629819086995</v>
      </c>
      <c r="K21" s="177">
        <f t="shared" ref="K21" si="20">+K20/K$7</f>
        <v>0.24577854336534566</v>
      </c>
      <c r="L21" s="177">
        <f t="shared" ref="L21" si="21">+L20/L$7</f>
        <v>0.21472917954318038</v>
      </c>
      <c r="M21" s="177">
        <f t="shared" ref="M21" si="22">+M20/M$7</f>
        <v>0</v>
      </c>
      <c r="N21" s="177">
        <f t="shared" ref="N21" si="23">+N20/N$7</f>
        <v>0</v>
      </c>
      <c r="O21" s="177">
        <f t="shared" ref="O21" si="24">+O20/O$7</f>
        <v>0</v>
      </c>
      <c r="P21" s="177">
        <f t="shared" ref="P21" si="25">+P20/P$7</f>
        <v>0</v>
      </c>
      <c r="Q21" s="177">
        <f t="shared" ref="Q21" si="26">+Q20/Q$7</f>
        <v>0</v>
      </c>
    </row>
    <row r="23" spans="1:20">
      <c r="B23" s="149" t="s">
        <v>381</v>
      </c>
      <c r="C23" s="149"/>
      <c r="D23" s="149"/>
      <c r="E23" s="149"/>
      <c r="F23" s="149"/>
      <c r="G23" s="150"/>
      <c r="H23" s="199">
        <f>+rFS!C181/10^6</f>
        <v>3.9183759999999999</v>
      </c>
      <c r="I23" s="199">
        <f>+rFS!D181/10^6</f>
        <v>5.6429780000000003</v>
      </c>
      <c r="J23" s="199">
        <f>+rFS!E181/10^6</f>
        <v>6.2901850000000001</v>
      </c>
      <c r="K23" s="199">
        <f>+rFS!F181/10^6</f>
        <v>7.7713229999999998</v>
      </c>
      <c r="L23" s="199">
        <f>+rFS!G181/10^6</f>
        <v>8.5881849999999993</v>
      </c>
    </row>
    <row r="24" spans="1:20">
      <c r="B24" s="149" t="s">
        <v>382</v>
      </c>
      <c r="C24" s="149"/>
      <c r="D24" s="149"/>
      <c r="E24" s="149"/>
      <c r="F24" s="149"/>
      <c r="G24" s="150"/>
      <c r="H24" s="199">
        <f>+rFS!C182/10^6</f>
        <v>0.89088400000000001</v>
      </c>
      <c r="I24" s="199">
        <f>+rFS!D182/10^6</f>
        <v>1.1190880000000001</v>
      </c>
      <c r="J24" s="199">
        <f>+rFS!E182/10^6</f>
        <v>1.2007110000000001</v>
      </c>
      <c r="K24" s="199">
        <f>+rFS!F182/10^6</f>
        <v>1.554721</v>
      </c>
      <c r="L24" s="199">
        <f>+rFS!G182/10^6</f>
        <v>2.1161840000000001</v>
      </c>
    </row>
    <row r="25" spans="1:20" s="144" customFormat="1">
      <c r="A25" s="165"/>
      <c r="B25" s="151" t="s">
        <v>383</v>
      </c>
      <c r="C25" s="151"/>
      <c r="D25" s="151"/>
      <c r="E25" s="151"/>
      <c r="F25" s="151"/>
      <c r="G25" s="151"/>
      <c r="H25" s="152">
        <f>+H12-SUM(H23:H24)</f>
        <v>58.451008445000006</v>
      </c>
      <c r="I25" s="152">
        <f t="shared" ref="I25:L25" si="27">+I12-SUM(I23:I24)</f>
        <v>95.162279474000002</v>
      </c>
      <c r="J25" s="152">
        <f t="shared" si="27"/>
        <v>52.704068447999994</v>
      </c>
      <c r="K25" s="152">
        <f t="shared" si="27"/>
        <v>58.760652906000004</v>
      </c>
      <c r="L25" s="152">
        <f t="shared" si="27"/>
        <v>67.35542359099999</v>
      </c>
    </row>
    <row r="26" spans="1:20" s="176" customFormat="1">
      <c r="A26" s="175"/>
      <c r="C26" s="176" t="s">
        <v>445</v>
      </c>
      <c r="H26" s="177">
        <f>+H25/H$7</f>
        <v>0.47066003894031344</v>
      </c>
      <c r="I26" s="177">
        <f t="shared" ref="I26" si="28">+I25/I$7</f>
        <v>0.5226241576343974</v>
      </c>
      <c r="J26" s="177">
        <f t="shared" ref="J26" si="29">+J25/J$7</f>
        <v>0.28896103617544927</v>
      </c>
      <c r="K26" s="177">
        <f t="shared" ref="K26" si="30">+K25/K$7</f>
        <v>0.28724316880931577</v>
      </c>
      <c r="L26" s="177">
        <f t="shared" ref="L26" si="31">+L25/L$7</f>
        <v>0.31916201063798733</v>
      </c>
      <c r="M26" s="177">
        <f t="shared" ref="M26" si="32">+M25/M$7</f>
        <v>0</v>
      </c>
      <c r="N26" s="177">
        <f t="shared" ref="N26" si="33">+N25/N$7</f>
        <v>0</v>
      </c>
      <c r="O26" s="177">
        <f t="shared" ref="O26" si="34">+O25/O$7</f>
        <v>0</v>
      </c>
      <c r="P26" s="177">
        <f t="shared" ref="P26" si="35">+P25/P$7</f>
        <v>0</v>
      </c>
      <c r="Q26" s="177">
        <f t="shared" ref="Q26" si="36">+Q25/Q$7</f>
        <v>0</v>
      </c>
    </row>
    <row r="28" spans="1:20">
      <c r="A28" s="164" t="s">
        <v>433</v>
      </c>
      <c r="B28" s="142" t="s">
        <v>384</v>
      </c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</row>
    <row r="30" spans="1:20" s="144" customFormat="1">
      <c r="A30" s="165"/>
      <c r="B30" s="144" t="s">
        <v>395</v>
      </c>
      <c r="H30" s="197">
        <f>+rFS!C22/10^9</f>
        <v>294.30273962500002</v>
      </c>
      <c r="I30" s="197">
        <f>+rFS!D22/10^9</f>
        <v>820.92977530600001</v>
      </c>
      <c r="J30" s="197">
        <f>+rFS!E22/10^9</f>
        <v>918.26645581399998</v>
      </c>
      <c r="K30" s="197">
        <f>+rFS!F22/10^9</f>
        <v>894.69001361899996</v>
      </c>
      <c r="L30" s="197">
        <f>+rFS!G22/10^9</f>
        <v>956.34416583300003</v>
      </c>
    </row>
    <row r="31" spans="1:20" s="144" customFormat="1">
      <c r="A31" s="165"/>
      <c r="C31" s="144" t="s">
        <v>385</v>
      </c>
      <c r="H31" s="197">
        <f>+rFS!C9/10^9</f>
        <v>151.34903622499999</v>
      </c>
      <c r="I31" s="197">
        <f>+rFS!D9/10^9</f>
        <v>679.395749034</v>
      </c>
      <c r="J31" s="197">
        <f>+rFS!E9/10^9</f>
        <v>684.80807180900001</v>
      </c>
      <c r="K31" s="197">
        <f>+rFS!F9/10^9</f>
        <v>640.91084712099996</v>
      </c>
      <c r="L31" s="197">
        <f>+rFS!G9/10^9</f>
        <v>668.40838749700004</v>
      </c>
    </row>
    <row r="32" spans="1:20">
      <c r="D32" s="140" t="s">
        <v>386</v>
      </c>
      <c r="H32" s="198">
        <f>+rFS!C10/10^9</f>
        <v>64.865009065999999</v>
      </c>
      <c r="I32" s="198">
        <f>+rFS!D10/10^9</f>
        <v>31.275054037</v>
      </c>
      <c r="J32" s="198">
        <f>+rFS!E10/10^9</f>
        <v>29.005216684000001</v>
      </c>
      <c r="K32" s="198">
        <f>+rFS!F10/10^9</f>
        <v>15.293774046999999</v>
      </c>
      <c r="L32" s="198">
        <f>+rFS!G10/10^9</f>
        <v>62.358097717</v>
      </c>
    </row>
    <row r="33" spans="1:17">
      <c r="D33" s="140" t="s">
        <v>387</v>
      </c>
      <c r="H33" s="198">
        <f>+rFS!C12/10^9</f>
        <v>39.259485515000001</v>
      </c>
      <c r="I33" s="198">
        <f>+rFS!D12/10^9</f>
        <v>564.42691320500001</v>
      </c>
      <c r="J33" s="198">
        <f>+rFS!E12/10^9</f>
        <v>572.54831851799997</v>
      </c>
      <c r="K33" s="198">
        <f>+rFS!F12/10^9</f>
        <v>553.60325189399998</v>
      </c>
      <c r="L33" s="198">
        <f>+rFS!G12/10^9</f>
        <v>536.84661934099995</v>
      </c>
    </row>
    <row r="34" spans="1:17">
      <c r="D34" s="140" t="s">
        <v>388</v>
      </c>
      <c r="H34" s="198">
        <f>+rFS!C11/10^9</f>
        <v>31.227465335000002</v>
      </c>
      <c r="I34" s="198">
        <f>+rFS!D11/10^9</f>
        <v>62.770128321999998</v>
      </c>
      <c r="J34" s="198">
        <f>+rFS!E11/10^9</f>
        <v>55.391334901999997</v>
      </c>
      <c r="K34" s="198">
        <f>+rFS!F11/10^9</f>
        <v>37.450354281999999</v>
      </c>
      <c r="L34" s="198">
        <f>+rFS!G11/10^9</f>
        <v>27.981322892000001</v>
      </c>
      <c r="M34" s="115">
        <f>+M96</f>
        <v>32.44157481209205</v>
      </c>
      <c r="N34" s="115">
        <f t="shared" ref="N34:Q34" si="37">+N96</f>
        <v>38.757654257539627</v>
      </c>
      <c r="O34" s="115">
        <f t="shared" si="37"/>
        <v>46.703959754355566</v>
      </c>
      <c r="P34" s="115">
        <f t="shared" si="37"/>
        <v>55.438752603747119</v>
      </c>
      <c r="Q34" s="115">
        <f t="shared" si="37"/>
        <v>66.032157222277931</v>
      </c>
    </row>
    <row r="35" spans="1:17">
      <c r="D35" s="140" t="s">
        <v>389</v>
      </c>
      <c r="H35" s="198">
        <f>+rFS!C14/10^9</f>
        <v>13.548704376</v>
      </c>
      <c r="I35" s="198">
        <f>+rFS!D14/10^9</f>
        <v>15.547580589000001</v>
      </c>
      <c r="J35" s="198">
        <f>+rFS!E14/10^9</f>
        <v>21.863243995000001</v>
      </c>
      <c r="K35" s="198">
        <f>+rFS!F14/10^9</f>
        <v>28.910225486000002</v>
      </c>
      <c r="L35" s="198">
        <f>+rFS!G14/10^9</f>
        <v>23.179093275</v>
      </c>
      <c r="M35" s="115">
        <f>+M97</f>
        <v>26.869732326697594</v>
      </c>
      <c r="N35" s="115">
        <f t="shared" ref="N35:Q35" si="38">+N97</f>
        <v>31.891222787951669</v>
      </c>
      <c r="O35" s="115">
        <f t="shared" si="38"/>
        <v>38.338900897334319</v>
      </c>
      <c r="P35" s="115">
        <f t="shared" si="38"/>
        <v>46.215094392014137</v>
      </c>
      <c r="Q35" s="115">
        <f t="shared" si="38"/>
        <v>55.941523826579484</v>
      </c>
    </row>
    <row r="36" spans="1:17">
      <c r="D36" s="140" t="s">
        <v>390</v>
      </c>
      <c r="H36" s="115">
        <f>+H31-SUM(H32:H35)</f>
        <v>2.4483719330000042</v>
      </c>
      <c r="I36" s="115">
        <f t="shared" ref="I36:L36" si="39">+I31-SUM(I32:I35)</f>
        <v>5.3760728810000273</v>
      </c>
      <c r="J36" s="115">
        <f t="shared" si="39"/>
        <v>5.9999577100001034</v>
      </c>
      <c r="K36" s="115">
        <f t="shared" si="39"/>
        <v>5.653241411999943</v>
      </c>
      <c r="L36" s="115">
        <f t="shared" si="39"/>
        <v>18.043254272000127</v>
      </c>
      <c r="M36" s="115">
        <f>+M98</f>
        <v>6.7146332327608453</v>
      </c>
      <c r="N36" s="115">
        <f t="shared" ref="N36:Q36" si="40">+N98</f>
        <v>8.021911229923683</v>
      </c>
      <c r="O36" s="115">
        <f t="shared" si="40"/>
        <v>9.6666071879849653</v>
      </c>
      <c r="P36" s="115">
        <f t="shared" si="40"/>
        <v>11.474501246381452</v>
      </c>
      <c r="Q36" s="115">
        <f t="shared" si="40"/>
        <v>13.66708366914215</v>
      </c>
    </row>
    <row r="37" spans="1:17" s="144" customFormat="1">
      <c r="A37" s="165"/>
      <c r="C37" s="144" t="s">
        <v>391</v>
      </c>
      <c r="H37" s="197">
        <f>+rFS!C16/10^9</f>
        <v>142.95370339999999</v>
      </c>
      <c r="I37" s="197">
        <f>+rFS!D16/10^9</f>
        <v>141.53402627200001</v>
      </c>
      <c r="J37" s="197">
        <f>+rFS!E16/10^9</f>
        <v>233.458384005</v>
      </c>
      <c r="K37" s="197">
        <f>+rFS!F16/10^9</f>
        <v>253.779166498</v>
      </c>
      <c r="L37" s="197">
        <f>+rFS!G16/10^9</f>
        <v>287.935778336</v>
      </c>
    </row>
    <row r="38" spans="1:17">
      <c r="D38" s="140" t="s">
        <v>392</v>
      </c>
      <c r="H38" s="198">
        <f>+rFS!C19/10^9</f>
        <v>58.819947347000003</v>
      </c>
      <c r="I38" s="198">
        <f>+rFS!D19/10^9</f>
        <v>58.986597861</v>
      </c>
      <c r="J38" s="198">
        <f>+rFS!E19/10^9</f>
        <v>60.627757170999999</v>
      </c>
      <c r="K38" s="198">
        <f>+rFS!F19/10^9</f>
        <v>69.755177822999997</v>
      </c>
      <c r="L38" s="198">
        <f>+rFS!G19/10^9</f>
        <v>76.924272755000004</v>
      </c>
    </row>
    <row r="39" spans="1:17">
      <c r="D39" s="140" t="s">
        <v>393</v>
      </c>
      <c r="H39" s="198">
        <f>+rFS!C20/10^9</f>
        <v>63.886071518999998</v>
      </c>
      <c r="I39" s="198">
        <f>+rFS!D20/10^9</f>
        <v>63.685002672000003</v>
      </c>
      <c r="J39" s="198">
        <f>+rFS!E20/10^9</f>
        <v>112.474504243</v>
      </c>
      <c r="K39" s="198">
        <f>+rFS!F20/10^9</f>
        <v>133.59713595900001</v>
      </c>
      <c r="L39" s="198">
        <f>+rFS!G20/10^9</f>
        <v>169.803175681</v>
      </c>
    </row>
    <row r="40" spans="1:17">
      <c r="D40" s="140" t="s">
        <v>394</v>
      </c>
      <c r="H40" s="115">
        <f>+H37-SUM(H38:H39)</f>
        <v>20.247684534000001</v>
      </c>
      <c r="I40" s="115">
        <f t="shared" ref="I40:L40" si="41">+I37-SUM(I38:I39)</f>
        <v>18.862425739000003</v>
      </c>
      <c r="J40" s="115">
        <f t="shared" si="41"/>
        <v>60.356122591000002</v>
      </c>
      <c r="K40" s="115">
        <f t="shared" si="41"/>
        <v>50.426852715999985</v>
      </c>
      <c r="L40" s="115">
        <f t="shared" si="41"/>
        <v>41.208329899999995</v>
      </c>
      <c r="M40" s="191">
        <f>L40</f>
        <v>41.208329899999995</v>
      </c>
      <c r="N40" s="191">
        <f>+$M$40</f>
        <v>41.208329899999995</v>
      </c>
      <c r="O40" s="191">
        <f t="shared" ref="O40:Q40" si="42">+$M$40</f>
        <v>41.208329899999995</v>
      </c>
      <c r="P40" s="191">
        <f t="shared" si="42"/>
        <v>41.208329899999995</v>
      </c>
      <c r="Q40" s="191">
        <f t="shared" si="42"/>
        <v>41.208329899999995</v>
      </c>
    </row>
    <row r="42" spans="1:17" s="144" customFormat="1">
      <c r="A42" s="165"/>
      <c r="B42" s="144" t="s">
        <v>396</v>
      </c>
      <c r="H42" s="197">
        <f>(+rFS!C36)/(10^9)</f>
        <v>20.363018058000002</v>
      </c>
      <c r="I42" s="197">
        <f>(+rFS!D36)/(10^9)</f>
        <v>103.00988389600001</v>
      </c>
      <c r="J42" s="197">
        <f>(+rFS!E36)/(10^9)</f>
        <v>133.48328293599999</v>
      </c>
      <c r="K42" s="197">
        <f>(+rFS!F36)/(10^9)</f>
        <v>150.41907481699999</v>
      </c>
      <c r="L42" s="197">
        <f>(+rFS!G36)/(10^9)</f>
        <v>162.27549138699999</v>
      </c>
    </row>
    <row r="43" spans="1:17" s="144" customFormat="1">
      <c r="A43" s="165"/>
      <c r="C43" s="144" t="s">
        <v>397</v>
      </c>
      <c r="H43" s="197">
        <f>(+rFS!C24)/(10^9)</f>
        <v>19.911913183999999</v>
      </c>
      <c r="I43" s="197">
        <f>(+rFS!D24)/(10^9)</f>
        <v>22.682031549000001</v>
      </c>
      <c r="J43" s="197">
        <f>(+rFS!E24)/(10^9)</f>
        <v>23.045053483</v>
      </c>
      <c r="K43" s="197">
        <f>(+rFS!F24)/(10^9)</f>
        <v>37.568295728000002</v>
      </c>
      <c r="L43" s="197">
        <f>(+rFS!G24)/(10^9)</f>
        <v>43.773775467</v>
      </c>
    </row>
    <row r="44" spans="1:17">
      <c r="D44" s="140" t="s">
        <v>398</v>
      </c>
      <c r="H44" s="198">
        <f>(+rFS!C25)/(10^9)</f>
        <v>3.2430045870000002</v>
      </c>
      <c r="I44" s="198">
        <f>(+rFS!D25)/(10^9)</f>
        <v>4.7162128369999996</v>
      </c>
      <c r="J44" s="198">
        <f>(+rFS!E25)/(10^9)</f>
        <v>6.0596395159999998</v>
      </c>
      <c r="K44" s="198">
        <f>(+rFS!F25)/(10^9)</f>
        <v>5.6943291059999996</v>
      </c>
      <c r="L44" s="198">
        <f>(+rFS!G25)/(10^9)</f>
        <v>4.7846477360000002</v>
      </c>
      <c r="M44" s="115">
        <f>+M101</f>
        <v>5.5464725223967886</v>
      </c>
      <c r="N44" s="115">
        <f t="shared" ref="N44:Q44" si="43">+N101</f>
        <v>6.5830127650083661</v>
      </c>
      <c r="O44" s="115">
        <f t="shared" si="43"/>
        <v>7.9139478495911559</v>
      </c>
      <c r="P44" s="115">
        <f t="shared" si="43"/>
        <v>9.5397582695898944</v>
      </c>
      <c r="Q44" s="115">
        <f t="shared" si="43"/>
        <v>11.547495933066591</v>
      </c>
    </row>
    <row r="45" spans="1:17">
      <c r="D45" s="140" t="s">
        <v>399</v>
      </c>
      <c r="H45" s="198">
        <f>(+rFS!C26)/(10^9)</f>
        <v>0.3</v>
      </c>
      <c r="I45" s="198">
        <f>(+rFS!D26)/(10^9)</f>
        <v>0</v>
      </c>
      <c r="J45" s="198">
        <f>(+rFS!E26)/(10^9)</f>
        <v>0</v>
      </c>
      <c r="K45" s="198">
        <f>(+rFS!F26)/(10^9)</f>
        <v>0.2</v>
      </c>
      <c r="L45" s="198">
        <f>(+rFS!G26)/(10^9)</f>
        <v>0</v>
      </c>
    </row>
    <row r="46" spans="1:17">
      <c r="D46" s="140" t="s">
        <v>400</v>
      </c>
      <c r="H46" s="115">
        <f>+H43-SUM(H44:H45)</f>
        <v>16.368908597000001</v>
      </c>
      <c r="I46" s="115">
        <f t="shared" ref="I46:L46" si="44">+I43-SUM(I44:I45)</f>
        <v>17.965818712000001</v>
      </c>
      <c r="J46" s="115">
        <f t="shared" si="44"/>
        <v>16.985413967</v>
      </c>
      <c r="K46" s="115">
        <f t="shared" si="44"/>
        <v>31.673966622000002</v>
      </c>
      <c r="L46" s="115">
        <f t="shared" si="44"/>
        <v>38.989127730999996</v>
      </c>
      <c r="M46" s="115">
        <f>+M102</f>
        <v>45.204035171084826</v>
      </c>
      <c r="N46" s="115">
        <f t="shared" ref="N46:Q46" si="45">+N102</f>
        <v>54.004849528868668</v>
      </c>
      <c r="O46" s="115">
        <f t="shared" si="45"/>
        <v>65.077218094169169</v>
      </c>
      <c r="P46" s="115">
        <f t="shared" si="45"/>
        <v>77.248263595599738</v>
      </c>
      <c r="Q46" s="115">
        <f t="shared" si="45"/>
        <v>92.009095575282501</v>
      </c>
    </row>
    <row r="47" spans="1:17" s="144" customFormat="1">
      <c r="A47" s="165"/>
      <c r="C47" s="144" t="s">
        <v>401</v>
      </c>
      <c r="H47" s="197">
        <f>(+rFS!C31)/(10^9)</f>
        <v>0.45110487399999999</v>
      </c>
      <c r="I47" s="197">
        <f>(+rFS!D31)/(10^9)</f>
        <v>80.327852347000004</v>
      </c>
      <c r="J47" s="197">
        <f>(+rFS!E31)/(10^9)</f>
        <v>110.43822945300001</v>
      </c>
      <c r="K47" s="197">
        <f>(+rFS!F31)/(10^9)</f>
        <v>112.850779089</v>
      </c>
      <c r="L47" s="197">
        <f>(+rFS!G31)/(10^9)</f>
        <v>118.50171592</v>
      </c>
    </row>
    <row r="48" spans="1:17">
      <c r="D48" s="140" t="s">
        <v>402</v>
      </c>
      <c r="H48" s="198">
        <f>(+rFS!C32)/(10^9)</f>
        <v>0</v>
      </c>
      <c r="I48" s="198">
        <f>(+rFS!D32)/(10^9)</f>
        <v>79.571596060999994</v>
      </c>
      <c r="J48" s="198">
        <f>(+rFS!E32)/(10^9)</f>
        <v>82.925936692999997</v>
      </c>
      <c r="K48" s="198">
        <f>(+rFS!F32)/(10^9)</f>
        <v>86.421679553999994</v>
      </c>
      <c r="L48" s="198">
        <f>(+rFS!G32)/(10^9)</f>
        <v>90.064785455999996</v>
      </c>
    </row>
    <row r="49" spans="1:20">
      <c r="D49" s="140" t="s">
        <v>403</v>
      </c>
      <c r="H49" s="115">
        <f>+H47-SUM(H48)</f>
        <v>0.45110487399999999</v>
      </c>
      <c r="I49" s="115">
        <f t="shared" ref="I49:L49" si="46">+I47-SUM(I48)</f>
        <v>0.75625628600000994</v>
      </c>
      <c r="J49" s="115">
        <f t="shared" si="46"/>
        <v>27.512292760000008</v>
      </c>
      <c r="K49" s="115">
        <f t="shared" si="46"/>
        <v>26.429099535000006</v>
      </c>
      <c r="L49" s="115">
        <f t="shared" si="46"/>
        <v>28.436930464</v>
      </c>
      <c r="M49" s="191">
        <f>L49</f>
        <v>28.436930464</v>
      </c>
      <c r="N49" s="191">
        <f>+$M$49</f>
        <v>28.436930464</v>
      </c>
      <c r="O49" s="191">
        <f t="shared" ref="O49:Q49" si="47">+$M$49</f>
        <v>28.436930464</v>
      </c>
      <c r="P49" s="191">
        <f t="shared" si="47"/>
        <v>28.436930464</v>
      </c>
      <c r="Q49" s="191">
        <f t="shared" si="47"/>
        <v>28.436930464</v>
      </c>
    </row>
    <row r="51" spans="1:20" s="144" customFormat="1">
      <c r="A51" s="165"/>
      <c r="B51" s="144" t="s">
        <v>404</v>
      </c>
      <c r="H51" s="197">
        <f>(+rFS!C45)/(10^9)</f>
        <v>273.93972156699999</v>
      </c>
      <c r="I51" s="197">
        <f>(+rFS!D45)/(10^9)</f>
        <v>717.91989140999999</v>
      </c>
      <c r="J51" s="197">
        <f>(+rFS!E45)/(10^9)</f>
        <v>784.78317287799996</v>
      </c>
      <c r="K51" s="197">
        <f>(+rFS!F45)/(10^9)</f>
        <v>744.27093880200005</v>
      </c>
      <c r="L51" s="197">
        <f>(+rFS!G45)/(10^9)</f>
        <v>794.06867444600005</v>
      </c>
    </row>
    <row r="52" spans="1:20">
      <c r="C52" s="140" t="s">
        <v>405</v>
      </c>
      <c r="H52" s="198">
        <f>(+rFS!C43)/(10^9)</f>
        <v>106.45403261</v>
      </c>
      <c r="I52" s="198">
        <f>(+rFS!D43)/(10^9)</f>
        <v>179.160345941</v>
      </c>
      <c r="J52" s="198">
        <f>(+rFS!E43)/(10^9)</f>
        <v>760.54009845099995</v>
      </c>
      <c r="K52" s="198">
        <f>(+rFS!F43)/(10^9)</f>
        <v>768.28451357899996</v>
      </c>
      <c r="L52" s="198">
        <f>(+rFS!G43)/(10^9)</f>
        <v>808.50024124699996</v>
      </c>
    </row>
    <row r="53" spans="1:20">
      <c r="C53" s="140" t="s">
        <v>406</v>
      </c>
      <c r="H53" s="115">
        <f>+H51-SUM(H52)</f>
        <v>167.48568895699998</v>
      </c>
      <c r="I53" s="115">
        <f t="shared" ref="I53:L53" si="48">+I51-SUM(I52)</f>
        <v>538.75954546899993</v>
      </c>
      <c r="J53" s="115">
        <f t="shared" si="48"/>
        <v>24.24307442700001</v>
      </c>
      <c r="K53" s="115">
        <f t="shared" si="48"/>
        <v>-24.013574776999917</v>
      </c>
      <c r="L53" s="115">
        <f t="shared" si="48"/>
        <v>-14.431566800999917</v>
      </c>
    </row>
    <row r="55" spans="1:20" s="145" customFormat="1">
      <c r="A55" s="164"/>
      <c r="B55" s="145" t="s">
        <v>407</v>
      </c>
      <c r="H55" s="146" t="b">
        <f>+H30=H42+H51</f>
        <v>1</v>
      </c>
      <c r="I55" s="146" t="b">
        <f t="shared" ref="I55:L55" si="49">+I30=I42+I51</f>
        <v>1</v>
      </c>
      <c r="J55" s="146" t="b">
        <f t="shared" si="49"/>
        <v>1</v>
      </c>
      <c r="K55" s="146" t="b">
        <f t="shared" si="49"/>
        <v>1</v>
      </c>
      <c r="L55" s="146" t="b">
        <f t="shared" si="49"/>
        <v>1</v>
      </c>
    </row>
    <row r="57" spans="1:20">
      <c r="A57" s="164" t="s">
        <v>433</v>
      </c>
      <c r="B57" s="142" t="s">
        <v>408</v>
      </c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</row>
    <row r="59" spans="1:20" s="144" customFormat="1">
      <c r="A59" s="165"/>
      <c r="B59" s="144" t="s">
        <v>409</v>
      </c>
      <c r="H59" s="197">
        <f>+rFS!C101/10^9</f>
        <v>45.140518831999998</v>
      </c>
      <c r="I59" s="197">
        <f>+rFS!D101/10^9</f>
        <v>64.192204618000005</v>
      </c>
      <c r="J59" s="197">
        <f>+rFS!E101/10^9</f>
        <v>65.796485202</v>
      </c>
      <c r="K59" s="197">
        <f>+rFS!F101/10^9</f>
        <v>76.994954934999996</v>
      </c>
      <c r="L59" s="197">
        <f>+rFS!G101/10^9</f>
        <v>74.302498142000005</v>
      </c>
    </row>
    <row r="60" spans="1:20">
      <c r="C60" s="140" t="s">
        <v>410</v>
      </c>
      <c r="H60" s="115">
        <f>+H20</f>
        <v>50.900866847000003</v>
      </c>
      <c r="I60" s="115">
        <f t="shared" ref="I60:L60" si="50">+I20</f>
        <v>81.350587843</v>
      </c>
      <c r="J60" s="115">
        <f t="shared" si="50"/>
        <v>75.657188325000007</v>
      </c>
      <c r="K60" s="115">
        <f t="shared" si="50"/>
        <v>50.278332947999999</v>
      </c>
      <c r="L60" s="115">
        <f t="shared" si="50"/>
        <v>45.316091399999998</v>
      </c>
    </row>
    <row r="61" spans="1:20">
      <c r="C61" s="140" t="s">
        <v>411</v>
      </c>
      <c r="H61" s="198">
        <f>+rFS!C181/10^6</f>
        <v>3.9183759999999999</v>
      </c>
      <c r="I61" s="198">
        <f>+rFS!D181/10^6</f>
        <v>5.6429780000000003</v>
      </c>
      <c r="J61" s="198">
        <f>+rFS!E181/10^6</f>
        <v>6.2901850000000001</v>
      </c>
      <c r="K61" s="198">
        <f>+rFS!F181/10^6</f>
        <v>7.7713229999999998</v>
      </c>
      <c r="L61" s="198">
        <f>+rFS!G181/10^6</f>
        <v>8.5881849999999993</v>
      </c>
    </row>
    <row r="62" spans="1:20">
      <c r="C62" s="140" t="s">
        <v>412</v>
      </c>
      <c r="H62" s="198">
        <f>+rFS!C182/10^6</f>
        <v>0.89088400000000001</v>
      </c>
      <c r="I62" s="198">
        <f>+rFS!D182/10^6</f>
        <v>1.1190880000000001</v>
      </c>
      <c r="J62" s="198">
        <f>+rFS!E182/10^6</f>
        <v>1.2007110000000001</v>
      </c>
      <c r="K62" s="198">
        <f>+rFS!F182/10^6</f>
        <v>1.554721</v>
      </c>
      <c r="L62" s="198">
        <f>+rFS!G182/10^6</f>
        <v>2.1161840000000001</v>
      </c>
    </row>
    <row r="63" spans="1:20">
      <c r="C63" s="140" t="s">
        <v>413</v>
      </c>
      <c r="I63" s="115">
        <f>-I93</f>
        <v>-33.39912178300002</v>
      </c>
      <c r="J63" s="115">
        <f t="shared" ref="J63:Q63" si="51">-J93</f>
        <v>0.80226711899992154</v>
      </c>
      <c r="K63" s="115">
        <f t="shared" si="51"/>
        <v>25.56395767200015</v>
      </c>
      <c r="L63" s="115">
        <f t="shared" si="51"/>
        <v>9.2156304799998239</v>
      </c>
      <c r="M63" s="115">
        <f t="shared" si="51"/>
        <v>10.154462293931253</v>
      </c>
      <c r="N63" s="115">
        <f t="shared" si="51"/>
        <v>-2.8074933034690801</v>
      </c>
      <c r="O63" s="115">
        <f t="shared" si="51"/>
        <v>-3.6353759143765814</v>
      </c>
      <c r="P63" s="115">
        <f t="shared" si="51"/>
        <v>-4.6220244810385367</v>
      </c>
      <c r="Q63" s="115">
        <f t="shared" si="51"/>
        <v>-5.7438468326974004</v>
      </c>
    </row>
    <row r="64" spans="1:20">
      <c r="C64" s="140" t="s">
        <v>414</v>
      </c>
      <c r="I64" s="115">
        <f>-(+I40-H40)</f>
        <v>1.3852587949999986</v>
      </c>
      <c r="J64" s="115">
        <f t="shared" ref="J64:Q64" si="52">-(+J40-I40)</f>
        <v>-41.493696851999999</v>
      </c>
      <c r="K64" s="115">
        <f t="shared" si="52"/>
        <v>9.929269875000017</v>
      </c>
      <c r="L64" s="115">
        <f t="shared" si="52"/>
        <v>9.2185228159999895</v>
      </c>
      <c r="M64" s="115">
        <f t="shared" si="52"/>
        <v>0</v>
      </c>
      <c r="N64" s="115">
        <f t="shared" si="52"/>
        <v>0</v>
      </c>
      <c r="O64" s="115">
        <f t="shared" si="52"/>
        <v>0</v>
      </c>
      <c r="P64" s="115">
        <f t="shared" si="52"/>
        <v>0</v>
      </c>
      <c r="Q64" s="115">
        <f t="shared" si="52"/>
        <v>0</v>
      </c>
    </row>
    <row r="65" spans="1:17">
      <c r="C65" s="140" t="s">
        <v>415</v>
      </c>
      <c r="I65" s="115">
        <f>+I49-H49</f>
        <v>0.30515141200000995</v>
      </c>
      <c r="J65" s="115">
        <f t="shared" ref="J65:Q65" si="53">+J49-I49</f>
        <v>26.756036473999998</v>
      </c>
      <c r="K65" s="115">
        <f t="shared" si="53"/>
        <v>-1.0831932250000023</v>
      </c>
      <c r="L65" s="115">
        <f t="shared" si="53"/>
        <v>2.0078309289999936</v>
      </c>
      <c r="M65" s="115">
        <f t="shared" si="53"/>
        <v>0</v>
      </c>
      <c r="N65" s="115">
        <f t="shared" si="53"/>
        <v>0</v>
      </c>
      <c r="O65" s="115">
        <f t="shared" si="53"/>
        <v>0</v>
      </c>
      <c r="P65" s="115">
        <f t="shared" si="53"/>
        <v>0</v>
      </c>
      <c r="Q65" s="115">
        <f t="shared" si="53"/>
        <v>0</v>
      </c>
    </row>
    <row r="66" spans="1:17">
      <c r="C66" s="140" t="s">
        <v>416</v>
      </c>
      <c r="H66" s="115">
        <f>+H59-SUM(H60:H65)</f>
        <v>-10.569608015000007</v>
      </c>
      <c r="I66" s="115">
        <f t="shared" ref="I66:L66" si="54">+I59-SUM(I60:I65)</f>
        <v>7.7882623510000144</v>
      </c>
      <c r="J66" s="115">
        <f t="shared" si="54"/>
        <v>-3.4162058639999202</v>
      </c>
      <c r="K66" s="115">
        <f t="shared" si="54"/>
        <v>-17.019456335000172</v>
      </c>
      <c r="L66" s="115">
        <f t="shared" si="54"/>
        <v>-2.1599464829997999</v>
      </c>
    </row>
    <row r="68" spans="1:17" s="144" customFormat="1">
      <c r="A68" s="165"/>
      <c r="B68" s="144" t="s">
        <v>417</v>
      </c>
      <c r="H68" s="197">
        <f>+rFS!C106/10^9</f>
        <v>-53.908605809999997</v>
      </c>
      <c r="I68" s="197">
        <f>+rFS!D106/10^9</f>
        <v>-555.34214491499995</v>
      </c>
      <c r="J68" s="197">
        <f>+rFS!E106/10^9</f>
        <v>-32.215835091000002</v>
      </c>
      <c r="K68" s="197">
        <f>+rFS!F106/10^9</f>
        <v>-0.97932141500000003</v>
      </c>
      <c r="L68" s="197">
        <f>+rFS!G106/10^9</f>
        <v>-25.295729852000001</v>
      </c>
    </row>
    <row r="69" spans="1:17">
      <c r="C69" s="140" t="s">
        <v>418</v>
      </c>
      <c r="H69" s="115">
        <f>+H71+H70</f>
        <v>-16.09113816</v>
      </c>
      <c r="I69" s="115">
        <f t="shared" ref="I69:L69" si="55">+I71+I70</f>
        <v>-7.2277009400000001</v>
      </c>
      <c r="J69" s="115">
        <f t="shared" si="55"/>
        <v>-16.725500372999999</v>
      </c>
      <c r="K69" s="115">
        <f t="shared" si="55"/>
        <v>-28.380846038999998</v>
      </c>
      <c r="L69" s="115">
        <f t="shared" si="55"/>
        <v>-45.168196988000005</v>
      </c>
    </row>
    <row r="70" spans="1:17">
      <c r="D70" s="140" t="s">
        <v>419</v>
      </c>
      <c r="H70" s="198">
        <f>+rFS!C122/10^9</f>
        <v>-15.621659405000001</v>
      </c>
      <c r="I70" s="198">
        <f>+rFS!D122/10^9</f>
        <v>-6.3441833509999999</v>
      </c>
      <c r="J70" s="198">
        <f>+rFS!E122/10^9</f>
        <v>-9.1027043209999992</v>
      </c>
      <c r="K70" s="198">
        <f>+rFS!F122/10^9</f>
        <v>-12.284331147</v>
      </c>
      <c r="L70" s="198">
        <f>+rFS!G122/10^9</f>
        <v>-16.977118551</v>
      </c>
    </row>
    <row r="71" spans="1:17">
      <c r="D71" s="140" t="s">
        <v>393</v>
      </c>
      <c r="H71" s="198">
        <f>+rFS!C125/10^9</f>
        <v>-0.46947875500000003</v>
      </c>
      <c r="I71" s="198">
        <f>+rFS!D125/10^9</f>
        <v>-0.88351758899999999</v>
      </c>
      <c r="J71" s="198">
        <f>+rFS!E125/10^9</f>
        <v>-7.622796052</v>
      </c>
      <c r="K71" s="198">
        <f>+rFS!F125/10^9</f>
        <v>-16.096514891999998</v>
      </c>
      <c r="L71" s="198">
        <f>+rFS!G125/10^9</f>
        <v>-28.191078437000002</v>
      </c>
    </row>
    <row r="72" spans="1:17">
      <c r="C72" s="140" t="s">
        <v>420</v>
      </c>
      <c r="H72" s="115">
        <f>+H68-H69</f>
        <v>-37.817467649999998</v>
      </c>
      <c r="I72" s="115">
        <f t="shared" ref="I72:L72" si="56">+I68-I69</f>
        <v>-548.11444397499997</v>
      </c>
      <c r="J72" s="115">
        <f t="shared" si="56"/>
        <v>-15.490334718000003</v>
      </c>
      <c r="K72" s="115">
        <f t="shared" si="56"/>
        <v>27.401524623999997</v>
      </c>
      <c r="L72" s="115">
        <f t="shared" si="56"/>
        <v>19.872467136000004</v>
      </c>
    </row>
    <row r="74" spans="1:17" s="144" customFormat="1">
      <c r="A74" s="165"/>
      <c r="B74" s="144" t="s">
        <v>421</v>
      </c>
      <c r="H74" s="197">
        <f>+rFS!C130/10^9</f>
        <v>3.127930519</v>
      </c>
      <c r="I74" s="197">
        <f>+rFS!D130/10^9</f>
        <v>457.57080985800002</v>
      </c>
      <c r="J74" s="197">
        <f>+rFS!E130/10^9</f>
        <v>-35.630118041000003</v>
      </c>
      <c r="K74" s="197">
        <f>+rFS!F130/10^9</f>
        <v>-90.276785618000005</v>
      </c>
      <c r="L74" s="197">
        <f>+rFS!G130/10^9</f>
        <v>-1.83804721</v>
      </c>
    </row>
    <row r="75" spans="1:17">
      <c r="C75" s="140" t="s">
        <v>422</v>
      </c>
      <c r="H75" s="198">
        <f>+rFS!C131/10^9</f>
        <v>0</v>
      </c>
      <c r="I75" s="198">
        <f>+rFS!D131/10^9</f>
        <v>0</v>
      </c>
      <c r="J75" s="198">
        <f>+rFS!E131/10^9</f>
        <v>0</v>
      </c>
      <c r="K75" s="198">
        <f>+rFS!F131/10^9</f>
        <v>0.2</v>
      </c>
      <c r="L75" s="198">
        <f>+rFS!G131/10^9</f>
        <v>0</v>
      </c>
    </row>
    <row r="76" spans="1:17">
      <c r="C76" s="140" t="s">
        <v>423</v>
      </c>
      <c r="H76" s="198">
        <f>+rFS!C132/10^9</f>
        <v>-1.1000000000000001</v>
      </c>
      <c r="I76" s="198">
        <f>+rFS!D132/10^9</f>
        <v>-0.3</v>
      </c>
      <c r="J76" s="198">
        <f>+rFS!E132/10^9</f>
        <v>0</v>
      </c>
      <c r="K76" s="198">
        <f>+rFS!F132/10^9</f>
        <v>0</v>
      </c>
      <c r="L76" s="198">
        <f>+rFS!G132/10^9</f>
        <v>-0.45591999999999999</v>
      </c>
    </row>
    <row r="77" spans="1:17">
      <c r="C77" s="140" t="s">
        <v>424</v>
      </c>
      <c r="H77" s="198">
        <f>+rFS!C140/10^9</f>
        <v>0</v>
      </c>
      <c r="I77" s="198">
        <f>+rFS!D140/10^9</f>
        <v>99.999983999999998</v>
      </c>
      <c r="J77" s="198">
        <f>+rFS!E140/10^9</f>
        <v>0</v>
      </c>
      <c r="K77" s="198">
        <f>+rFS!F140/10^9</f>
        <v>0</v>
      </c>
      <c r="L77" s="198">
        <f>+rFS!G140/10^9</f>
        <v>0</v>
      </c>
    </row>
    <row r="78" spans="1:17">
      <c r="C78" s="140" t="s">
        <v>430</v>
      </c>
      <c r="H78" s="147">
        <v>0</v>
      </c>
      <c r="I78" s="147">
        <v>0</v>
      </c>
      <c r="J78" s="147">
        <v>0</v>
      </c>
      <c r="K78" s="147">
        <v>0</v>
      </c>
      <c r="L78" s="147">
        <v>0</v>
      </c>
    </row>
    <row r="79" spans="1:17">
      <c r="C79" s="140" t="s">
        <v>425</v>
      </c>
      <c r="H79" s="198">
        <f>+rFS!C138/10^9</f>
        <v>-5.9688074809999998</v>
      </c>
      <c r="I79" s="198">
        <f>+rFS!D138/10^9</f>
        <v>-2.091632E-3</v>
      </c>
      <c r="J79" s="198">
        <f>+rFS!E138/10^9</f>
        <v>-41.337165040999999</v>
      </c>
      <c r="K79" s="198">
        <f>+rFS!F138/10^9</f>
        <v>-46.176851364999997</v>
      </c>
      <c r="L79" s="198">
        <f>+rFS!G138/10^9</f>
        <v>0</v>
      </c>
    </row>
    <row r="80" spans="1:17">
      <c r="C80" s="140" t="s">
        <v>426</v>
      </c>
      <c r="H80" s="147">
        <v>0</v>
      </c>
      <c r="I80" s="147">
        <v>0</v>
      </c>
      <c r="J80" s="147">
        <v>0</v>
      </c>
      <c r="K80" s="147">
        <v>0</v>
      </c>
      <c r="L80" s="147">
        <v>0</v>
      </c>
    </row>
    <row r="81" spans="1:20">
      <c r="C81" s="140" t="s">
        <v>427</v>
      </c>
      <c r="H81" s="115">
        <f>+H74-SUM(H75:H80)</f>
        <v>10.196738</v>
      </c>
      <c r="I81" s="115">
        <f t="shared" ref="I81:L81" si="57">+I74-SUM(I75:I80)</f>
        <v>357.87291749000002</v>
      </c>
      <c r="J81" s="115">
        <f t="shared" si="57"/>
        <v>5.7070469999999958</v>
      </c>
      <c r="K81" s="115">
        <f t="shared" si="57"/>
        <v>-44.299934253000011</v>
      </c>
      <c r="L81" s="115">
        <f t="shared" si="57"/>
        <v>-1.3821272100000002</v>
      </c>
    </row>
    <row r="82" spans="1:20" s="144" customFormat="1">
      <c r="A82" s="165"/>
      <c r="B82" s="144" t="s">
        <v>428</v>
      </c>
      <c r="H82" s="197">
        <f>+rFS!C143/10^9</f>
        <v>1.0661224E-2</v>
      </c>
      <c r="I82" s="197">
        <f>+rFS!D143/10^9</f>
        <v>-1.082459E-2</v>
      </c>
      <c r="J82" s="197">
        <f>+rFS!E143/10^9</f>
        <v>-0.22036942300000001</v>
      </c>
      <c r="K82" s="197">
        <f>+rFS!F143/10^9</f>
        <v>0.54970946099999995</v>
      </c>
      <c r="L82" s="197">
        <f>+rFS!G143/10^9</f>
        <v>-0.10439741</v>
      </c>
    </row>
    <row r="83" spans="1:20" s="144" customFormat="1">
      <c r="A83" s="165"/>
      <c r="B83" s="144" t="s">
        <v>429</v>
      </c>
      <c r="H83" s="116">
        <f>+H59+H68+H74+H82</f>
        <v>-5.6294952350000003</v>
      </c>
      <c r="I83" s="116">
        <f t="shared" ref="I83:L83" si="58">+I59+I68+I74+I82</f>
        <v>-33.589955028999924</v>
      </c>
      <c r="J83" s="116">
        <f t="shared" si="58"/>
        <v>-2.269837353000006</v>
      </c>
      <c r="K83" s="116">
        <f t="shared" si="58"/>
        <v>-13.711442637000012</v>
      </c>
      <c r="L83" s="116">
        <f t="shared" si="58"/>
        <v>47.064323670000007</v>
      </c>
    </row>
    <row r="85" spans="1:20" s="145" customFormat="1">
      <c r="A85" s="164"/>
      <c r="B85" s="145" t="s">
        <v>407</v>
      </c>
      <c r="H85" s="148"/>
      <c r="I85" s="148" t="b">
        <f>+I83=-I32-H32</f>
        <v>0</v>
      </c>
      <c r="J85" s="148" t="b">
        <f t="shared" ref="J85:L85" si="59">+J83=-J32-I32</f>
        <v>0</v>
      </c>
      <c r="K85" s="148" t="b">
        <f t="shared" si="59"/>
        <v>0</v>
      </c>
      <c r="L85" s="148" t="b">
        <f t="shared" si="59"/>
        <v>0</v>
      </c>
      <c r="M85" s="148"/>
      <c r="N85" s="148"/>
      <c r="O85" s="148"/>
      <c r="P85" s="148"/>
      <c r="Q85" s="148"/>
      <c r="R85" s="148"/>
      <c r="S85" s="148"/>
      <c r="T85" s="148"/>
    </row>
    <row r="86" spans="1:20">
      <c r="I86" s="115"/>
      <c r="J86" s="115"/>
      <c r="K86" s="115"/>
      <c r="L86" s="115"/>
    </row>
    <row r="87" spans="1:20">
      <c r="A87" s="164" t="s">
        <v>433</v>
      </c>
      <c r="B87" s="142" t="s">
        <v>462</v>
      </c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</row>
    <row r="89" spans="1:20" s="144" customFormat="1">
      <c r="A89" s="165"/>
      <c r="B89" s="144" t="s">
        <v>463</v>
      </c>
      <c r="H89" s="116">
        <f>+H7</f>
        <v>124.189443779</v>
      </c>
      <c r="I89" s="116">
        <f t="shared" ref="I89:Q89" si="60">+I7</f>
        <v>182.08549697500001</v>
      </c>
      <c r="J89" s="116">
        <f t="shared" si="60"/>
        <v>182.391609421</v>
      </c>
      <c r="K89" s="116">
        <f t="shared" si="60"/>
        <v>204.56762522700001</v>
      </c>
      <c r="L89" s="116">
        <f t="shared" si="60"/>
        <v>211.03834838099999</v>
      </c>
      <c r="M89" s="116">
        <f t="shared" si="60"/>
        <v>244.67808021971615</v>
      </c>
      <c r="N89" s="116">
        <f t="shared" si="60"/>
        <v>292.31467622896105</v>
      </c>
      <c r="O89" s="116">
        <f t="shared" si="60"/>
        <v>352.24662420195534</v>
      </c>
      <c r="P89" s="116">
        <f t="shared" si="60"/>
        <v>418.12543427468398</v>
      </c>
      <c r="Q89" s="116">
        <f t="shared" si="60"/>
        <v>498.02210760407729</v>
      </c>
    </row>
    <row r="90" spans="1:20">
      <c r="B90" s="140" t="s">
        <v>464</v>
      </c>
      <c r="H90" s="115">
        <f>+H8</f>
        <v>29.789638852</v>
      </c>
      <c r="I90" s="115">
        <f t="shared" ref="I90:Q90" si="61">+I8</f>
        <v>39.973426437000001</v>
      </c>
      <c r="J90" s="115">
        <f t="shared" si="61"/>
        <v>51.007346564999999</v>
      </c>
      <c r="K90" s="115">
        <f t="shared" si="61"/>
        <v>60.622507568000003</v>
      </c>
      <c r="L90" s="115">
        <f t="shared" si="61"/>
        <v>62.253226282999996</v>
      </c>
      <c r="M90" s="115">
        <f t="shared" si="61"/>
        <v>72.165356377493822</v>
      </c>
      <c r="N90" s="115">
        <f t="shared" si="61"/>
        <v>85.651819297056662</v>
      </c>
      <c r="O90" s="115">
        <f t="shared" si="61"/>
        <v>102.9686642478583</v>
      </c>
      <c r="P90" s="115">
        <f t="shared" si="61"/>
        <v>124.12214294764127</v>
      </c>
      <c r="Q90" s="115">
        <f t="shared" si="61"/>
        <v>150.24489094869</v>
      </c>
    </row>
    <row r="92" spans="1:20" s="144" customFormat="1">
      <c r="A92" s="165"/>
      <c r="B92" s="144" t="s">
        <v>465</v>
      </c>
      <c r="H92" s="116">
        <f>+H95-H100</f>
        <v>27.612628460000003</v>
      </c>
      <c r="I92" s="116">
        <f t="shared" ref="I92:Q92" si="62">+I95-I100</f>
        <v>61.011750243000023</v>
      </c>
      <c r="J92" s="116">
        <f t="shared" si="62"/>
        <v>60.209483124000101</v>
      </c>
      <c r="K92" s="116">
        <f t="shared" si="62"/>
        <v>34.645525451999951</v>
      </c>
      <c r="L92" s="116">
        <f t="shared" si="62"/>
        <v>25.429894972000127</v>
      </c>
      <c r="M92" s="116">
        <f t="shared" si="62"/>
        <v>15.275432678068874</v>
      </c>
      <c r="N92" s="116">
        <f t="shared" si="62"/>
        <v>18.082925981537954</v>
      </c>
      <c r="O92" s="116">
        <f t="shared" si="62"/>
        <v>21.718301895914536</v>
      </c>
      <c r="P92" s="116">
        <f t="shared" si="62"/>
        <v>26.340326376953072</v>
      </c>
      <c r="Q92" s="116">
        <f t="shared" si="62"/>
        <v>32.084173209650473</v>
      </c>
    </row>
    <row r="93" spans="1:20">
      <c r="C93" s="140" t="s">
        <v>468</v>
      </c>
      <c r="I93" s="115">
        <f>+I92-H92</f>
        <v>33.39912178300002</v>
      </c>
      <c r="J93" s="115">
        <f t="shared" ref="J93:Q93" si="63">+J92-I92</f>
        <v>-0.80226711899992154</v>
      </c>
      <c r="K93" s="115">
        <f t="shared" si="63"/>
        <v>-25.56395767200015</v>
      </c>
      <c r="L93" s="115">
        <f t="shared" si="63"/>
        <v>-9.2156304799998239</v>
      </c>
      <c r="M93" s="115">
        <f t="shared" si="63"/>
        <v>-10.154462293931253</v>
      </c>
      <c r="N93" s="115">
        <f t="shared" si="63"/>
        <v>2.8074933034690801</v>
      </c>
      <c r="O93" s="115">
        <f t="shared" si="63"/>
        <v>3.6353759143765814</v>
      </c>
      <c r="P93" s="115">
        <f t="shared" si="63"/>
        <v>4.6220244810385367</v>
      </c>
      <c r="Q93" s="115">
        <f t="shared" si="63"/>
        <v>5.7438468326974004</v>
      </c>
    </row>
    <row r="95" spans="1:20" s="144" customFormat="1">
      <c r="A95" s="165"/>
      <c r="C95" s="144" t="s">
        <v>466</v>
      </c>
      <c r="H95" s="116">
        <f>+SUM(H96:H98)</f>
        <v>47.224541644000006</v>
      </c>
      <c r="I95" s="116">
        <f t="shared" ref="I95:Q95" si="64">+SUM(I96:I98)</f>
        <v>83.693781792000024</v>
      </c>
      <c r="J95" s="116">
        <f t="shared" si="64"/>
        <v>83.254536607000105</v>
      </c>
      <c r="K95" s="116">
        <f t="shared" si="64"/>
        <v>72.013821179999951</v>
      </c>
      <c r="L95" s="116">
        <f t="shared" si="64"/>
        <v>69.20367043900012</v>
      </c>
      <c r="M95" s="116">
        <f t="shared" si="64"/>
        <v>66.02594037155049</v>
      </c>
      <c r="N95" s="116">
        <f t="shared" si="64"/>
        <v>78.670788275414992</v>
      </c>
      <c r="O95" s="116">
        <f t="shared" si="64"/>
        <v>94.709467839674858</v>
      </c>
      <c r="P95" s="116">
        <f t="shared" si="64"/>
        <v>113.12834824214271</v>
      </c>
      <c r="Q95" s="116">
        <f t="shared" si="64"/>
        <v>135.64076471799956</v>
      </c>
    </row>
    <row r="96" spans="1:20">
      <c r="D96" s="140" t="s">
        <v>388</v>
      </c>
      <c r="H96" s="115">
        <f>+H34</f>
        <v>31.227465335000002</v>
      </c>
      <c r="I96" s="115">
        <f t="shared" ref="I96:L96" si="65">+I34</f>
        <v>62.770128321999998</v>
      </c>
      <c r="J96" s="115">
        <f t="shared" si="65"/>
        <v>55.391334901999997</v>
      </c>
      <c r="K96" s="115">
        <f t="shared" si="65"/>
        <v>37.450354281999999</v>
      </c>
      <c r="L96" s="115">
        <f t="shared" si="65"/>
        <v>27.981322892000001</v>
      </c>
      <c r="M96" s="115">
        <f>+M89*M105/365</f>
        <v>32.44157481209205</v>
      </c>
      <c r="N96" s="115">
        <f t="shared" ref="N96:Q96" si="66">+N89*N105/365</f>
        <v>38.757654257539627</v>
      </c>
      <c r="O96" s="115">
        <f t="shared" si="66"/>
        <v>46.703959754355566</v>
      </c>
      <c r="P96" s="115">
        <f t="shared" si="66"/>
        <v>55.438752603747119</v>
      </c>
      <c r="Q96" s="115">
        <f t="shared" si="66"/>
        <v>66.032157222277931</v>
      </c>
    </row>
    <row r="97" spans="1:17">
      <c r="D97" s="140" t="s">
        <v>389</v>
      </c>
      <c r="H97" s="115">
        <f>+H35</f>
        <v>13.548704376</v>
      </c>
      <c r="I97" s="115">
        <f t="shared" ref="I97:L97" si="67">+I35</f>
        <v>15.547580589000001</v>
      </c>
      <c r="J97" s="115">
        <f t="shared" si="67"/>
        <v>21.863243995000001</v>
      </c>
      <c r="K97" s="115">
        <f t="shared" si="67"/>
        <v>28.910225486000002</v>
      </c>
      <c r="L97" s="115">
        <f t="shared" si="67"/>
        <v>23.179093275</v>
      </c>
      <c r="M97" s="115">
        <f>+M90*M106/365</f>
        <v>26.869732326697594</v>
      </c>
      <c r="N97" s="115">
        <f t="shared" ref="N97:Q97" si="68">+N90*N106/365</f>
        <v>31.891222787951669</v>
      </c>
      <c r="O97" s="115">
        <f t="shared" si="68"/>
        <v>38.338900897334319</v>
      </c>
      <c r="P97" s="115">
        <f t="shared" si="68"/>
        <v>46.215094392014137</v>
      </c>
      <c r="Q97" s="115">
        <f t="shared" si="68"/>
        <v>55.941523826579484</v>
      </c>
    </row>
    <row r="98" spans="1:17">
      <c r="D98" s="140" t="s">
        <v>390</v>
      </c>
      <c r="H98" s="115">
        <f>+H36</f>
        <v>2.4483719330000042</v>
      </c>
      <c r="I98" s="115">
        <f t="shared" ref="I98:L98" si="69">+I36</f>
        <v>5.3760728810000273</v>
      </c>
      <c r="J98" s="115">
        <f t="shared" si="69"/>
        <v>5.9999577100001034</v>
      </c>
      <c r="K98" s="115">
        <f t="shared" si="69"/>
        <v>5.653241411999943</v>
      </c>
      <c r="L98" s="115">
        <f t="shared" si="69"/>
        <v>18.043254272000127</v>
      </c>
      <c r="M98" s="115">
        <f>+M89*M108</f>
        <v>6.7146332327608453</v>
      </c>
      <c r="N98" s="115">
        <f t="shared" ref="N98:Q98" si="70">+N89*N108</f>
        <v>8.021911229923683</v>
      </c>
      <c r="O98" s="115">
        <f t="shared" si="70"/>
        <v>9.6666071879849653</v>
      </c>
      <c r="P98" s="115">
        <f t="shared" si="70"/>
        <v>11.474501246381452</v>
      </c>
      <c r="Q98" s="115">
        <f t="shared" si="70"/>
        <v>13.66708366914215</v>
      </c>
    </row>
    <row r="100" spans="1:17" s="144" customFormat="1">
      <c r="A100" s="165"/>
      <c r="C100" s="144" t="s">
        <v>467</v>
      </c>
      <c r="H100" s="116">
        <f>+SUM(H101:H102)</f>
        <v>19.611913184000002</v>
      </c>
      <c r="I100" s="116">
        <f t="shared" ref="I100:Q100" si="71">+SUM(I101:I102)</f>
        <v>22.682031549000001</v>
      </c>
      <c r="J100" s="116">
        <f t="shared" si="71"/>
        <v>23.045053483</v>
      </c>
      <c r="K100" s="116">
        <f t="shared" si="71"/>
        <v>37.368295728</v>
      </c>
      <c r="L100" s="116">
        <f t="shared" si="71"/>
        <v>43.773775466999993</v>
      </c>
      <c r="M100" s="116">
        <f t="shared" si="71"/>
        <v>50.750507693481616</v>
      </c>
      <c r="N100" s="116">
        <f t="shared" si="71"/>
        <v>60.587862293877038</v>
      </c>
      <c r="O100" s="116">
        <f t="shared" si="71"/>
        <v>72.991165943760322</v>
      </c>
      <c r="P100" s="116">
        <f t="shared" si="71"/>
        <v>86.788021865189634</v>
      </c>
      <c r="Q100" s="116">
        <f t="shared" si="71"/>
        <v>103.55659150834909</v>
      </c>
    </row>
    <row r="101" spans="1:17">
      <c r="D101" s="140" t="s">
        <v>398</v>
      </c>
      <c r="H101" s="115">
        <f>+H44</f>
        <v>3.2430045870000002</v>
      </c>
      <c r="I101" s="115">
        <f t="shared" ref="I101:L101" si="72">+I44</f>
        <v>4.7162128369999996</v>
      </c>
      <c r="J101" s="115">
        <f t="shared" si="72"/>
        <v>6.0596395159999998</v>
      </c>
      <c r="K101" s="115">
        <f t="shared" si="72"/>
        <v>5.6943291059999996</v>
      </c>
      <c r="L101" s="115">
        <f t="shared" si="72"/>
        <v>4.7846477360000002</v>
      </c>
      <c r="M101" s="115">
        <f>+M90*M107/365</f>
        <v>5.5464725223967886</v>
      </c>
      <c r="N101" s="115">
        <f t="shared" ref="N101:Q101" si="73">+N90*N107/365</f>
        <v>6.5830127650083661</v>
      </c>
      <c r="O101" s="115">
        <f t="shared" si="73"/>
        <v>7.9139478495911559</v>
      </c>
      <c r="P101" s="115">
        <f t="shared" si="73"/>
        <v>9.5397582695898944</v>
      </c>
      <c r="Q101" s="115">
        <f t="shared" si="73"/>
        <v>11.547495933066591</v>
      </c>
    </row>
    <row r="102" spans="1:17">
      <c r="D102" s="140" t="s">
        <v>400</v>
      </c>
      <c r="H102" s="115">
        <f>+H46</f>
        <v>16.368908597000001</v>
      </c>
      <c r="I102" s="115">
        <f t="shared" ref="I102:L102" si="74">+I46</f>
        <v>17.965818712000001</v>
      </c>
      <c r="J102" s="115">
        <f t="shared" si="74"/>
        <v>16.985413967</v>
      </c>
      <c r="K102" s="115">
        <f t="shared" si="74"/>
        <v>31.673966622000002</v>
      </c>
      <c r="L102" s="115">
        <f t="shared" si="74"/>
        <v>38.989127730999996</v>
      </c>
      <c r="M102" s="115">
        <f>+M89*M109</f>
        <v>45.204035171084826</v>
      </c>
      <c r="N102" s="115">
        <f t="shared" ref="N102:Q102" si="75">+N89*N109</f>
        <v>54.004849528868668</v>
      </c>
      <c r="O102" s="115">
        <f t="shared" si="75"/>
        <v>65.077218094169169</v>
      </c>
      <c r="P102" s="115">
        <f t="shared" si="75"/>
        <v>77.248263595599738</v>
      </c>
      <c r="Q102" s="115">
        <f t="shared" si="75"/>
        <v>92.009095575282501</v>
      </c>
    </row>
    <row r="104" spans="1:17" s="144" customFormat="1">
      <c r="A104" s="165"/>
      <c r="B104" s="144" t="s">
        <v>469</v>
      </c>
    </row>
    <row r="105" spans="1:17">
      <c r="C105" s="140" t="s">
        <v>470</v>
      </c>
      <c r="H105" s="190">
        <f>365/((H89/H96))</f>
        <v>91.77933728053597</v>
      </c>
      <c r="I105" s="190">
        <f t="shared" ref="I105:L105" si="76">365/((I89/I96))</f>
        <v>125.82603896605586</v>
      </c>
      <c r="J105" s="190">
        <f t="shared" si="76"/>
        <v>110.84850505684599</v>
      </c>
      <c r="K105" s="190">
        <f t="shared" si="76"/>
        <v>66.82083393089043</v>
      </c>
      <c r="L105" s="190">
        <f t="shared" si="76"/>
        <v>48.394914639596863</v>
      </c>
      <c r="M105" s="193">
        <f>+L105</f>
        <v>48.394914639596863</v>
      </c>
      <c r="N105" s="193">
        <f>+$M$105</f>
        <v>48.394914639596863</v>
      </c>
      <c r="O105" s="193">
        <f t="shared" ref="O105:Q105" si="77">+$M$105</f>
        <v>48.394914639596863</v>
      </c>
      <c r="P105" s="193">
        <f t="shared" si="77"/>
        <v>48.394914639596863</v>
      </c>
      <c r="Q105" s="193">
        <f t="shared" si="77"/>
        <v>48.394914639596863</v>
      </c>
    </row>
    <row r="106" spans="1:17">
      <c r="C106" s="140" t="s">
        <v>471</v>
      </c>
      <c r="H106" s="190">
        <f>365/((H90/H97))</f>
        <v>166.00661464239224</v>
      </c>
      <c r="I106" s="190">
        <f t="shared" ref="I106:L106" si="78">365/((I90/I97))</f>
        <v>141.96598642672919</v>
      </c>
      <c r="J106" s="190">
        <f t="shared" si="78"/>
        <v>156.44969980953178</v>
      </c>
      <c r="K106" s="190">
        <f t="shared" si="78"/>
        <v>174.06459623191282</v>
      </c>
      <c r="L106" s="190">
        <f t="shared" si="78"/>
        <v>135.90249936468501</v>
      </c>
      <c r="M106" s="193">
        <f>+L106</f>
        <v>135.90249936468501</v>
      </c>
      <c r="N106" s="193">
        <f>+$M$106</f>
        <v>135.90249936468501</v>
      </c>
      <c r="O106" s="193">
        <f t="shared" ref="O106:Q106" si="79">+$M$106</f>
        <v>135.90249936468501</v>
      </c>
      <c r="P106" s="193">
        <f t="shared" si="79"/>
        <v>135.90249936468501</v>
      </c>
      <c r="Q106" s="193">
        <f t="shared" si="79"/>
        <v>135.90249936468501</v>
      </c>
    </row>
    <row r="107" spans="1:17">
      <c r="C107" s="140" t="s">
        <v>472</v>
      </c>
      <c r="H107" s="190">
        <f>365/((H90/H101))</f>
        <v>39.735180414096554</v>
      </c>
      <c r="I107" s="190">
        <f t="shared" ref="I107:L107" si="80">365/((I90/I101))</f>
        <v>43.064051269611198</v>
      </c>
      <c r="J107" s="190">
        <f t="shared" si="80"/>
        <v>43.361762026210975</v>
      </c>
      <c r="K107" s="190">
        <f t="shared" si="80"/>
        <v>34.284793009570478</v>
      </c>
      <c r="L107" s="190">
        <f t="shared" si="80"/>
        <v>28.053107090401564</v>
      </c>
      <c r="M107" s="193">
        <f>+L107</f>
        <v>28.053107090401564</v>
      </c>
      <c r="N107" s="193">
        <f>+$M$107</f>
        <v>28.053107090401564</v>
      </c>
      <c r="O107" s="193">
        <f t="shared" ref="O107:Q107" si="81">+$M$107</f>
        <v>28.053107090401564</v>
      </c>
      <c r="P107" s="193">
        <f t="shared" si="81"/>
        <v>28.053107090401564</v>
      </c>
      <c r="Q107" s="193">
        <f t="shared" si="81"/>
        <v>28.053107090401564</v>
      </c>
    </row>
    <row r="108" spans="1:17" s="174" customFormat="1">
      <c r="A108" s="173"/>
      <c r="C108" s="174" t="s">
        <v>473</v>
      </c>
      <c r="H108" s="189">
        <f>H98/H89</f>
        <v>1.9714815192803169E-2</v>
      </c>
      <c r="I108" s="189">
        <f t="shared" ref="I108:L108" si="82">I98/I89</f>
        <v>2.9524992216915288E-2</v>
      </c>
      <c r="J108" s="189">
        <f t="shared" si="82"/>
        <v>3.2896018238157437E-2</v>
      </c>
      <c r="K108" s="189">
        <f t="shared" si="82"/>
        <v>2.7635073759725085E-2</v>
      </c>
      <c r="L108" s="189">
        <f t="shared" si="82"/>
        <v>8.5497514600642976E-2</v>
      </c>
      <c r="M108" s="192">
        <f>+AVERAGE(H108:K108)</f>
        <v>2.7442724851900243E-2</v>
      </c>
      <c r="N108" s="192">
        <f>+$M$108</f>
        <v>2.7442724851900243E-2</v>
      </c>
      <c r="O108" s="192">
        <f t="shared" ref="O108:Q108" si="83">+$M$108</f>
        <v>2.7442724851900243E-2</v>
      </c>
      <c r="P108" s="192">
        <f t="shared" si="83"/>
        <v>2.7442724851900243E-2</v>
      </c>
      <c r="Q108" s="192">
        <f t="shared" si="83"/>
        <v>2.7442724851900243E-2</v>
      </c>
    </row>
    <row r="109" spans="1:17" s="174" customFormat="1">
      <c r="A109" s="173"/>
      <c r="C109" s="174" t="s">
        <v>474</v>
      </c>
      <c r="H109" s="189">
        <f>H102/H89</f>
        <v>0.13180595788905469</v>
      </c>
      <c r="I109" s="189">
        <f t="shared" ref="I109:L109" si="84">I102/I89</f>
        <v>9.8666939489786346E-2</v>
      </c>
      <c r="J109" s="189">
        <f t="shared" si="84"/>
        <v>9.3126070990436433E-2</v>
      </c>
      <c r="K109" s="189">
        <f t="shared" si="84"/>
        <v>0.15483372105851426</v>
      </c>
      <c r="L109" s="189">
        <f t="shared" si="84"/>
        <v>0.18474901850828845</v>
      </c>
      <c r="M109" s="192">
        <f>+L109</f>
        <v>0.18474901850828845</v>
      </c>
      <c r="N109" s="192">
        <f>+$M$109</f>
        <v>0.18474901850828845</v>
      </c>
      <c r="O109" s="192">
        <f t="shared" ref="O109:Q109" si="85">+$M$109</f>
        <v>0.18474901850828845</v>
      </c>
      <c r="P109" s="192">
        <f t="shared" si="85"/>
        <v>0.18474901850828845</v>
      </c>
      <c r="Q109" s="192">
        <f t="shared" si="85"/>
        <v>0.18474901850828845</v>
      </c>
    </row>
  </sheetData>
  <mergeCells count="1">
    <mergeCell ref="T2:T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0" tint="-0.14999847407452621"/>
  </sheetPr>
  <dimension ref="D15:O22"/>
  <sheetViews>
    <sheetView zoomScale="85" zoomScaleNormal="85" zoomScaleSheetLayoutView="100" workbookViewId="0">
      <selection activeCell="A4" sqref="A4"/>
    </sheetView>
  </sheetViews>
  <sheetFormatPr defaultColWidth="9.109375" defaultRowHeight="14.4"/>
  <cols>
    <col min="1" max="11" width="9.109375" style="84"/>
    <col min="12" max="12" width="9.109375" style="84" customWidth="1"/>
    <col min="13" max="16384" width="9.109375" style="84"/>
  </cols>
  <sheetData>
    <row r="15" spans="4:15">
      <c r="D15" s="196" t="s">
        <v>292</v>
      </c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</row>
    <row r="16" spans="4:15"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</row>
    <row r="17" spans="4:15"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</row>
    <row r="18" spans="4:15"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</row>
    <row r="19" spans="4:15"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</row>
    <row r="20" spans="4:15">
      <c r="L20" s="85"/>
    </row>
    <row r="22" spans="4:15">
      <c r="L22" s="85"/>
    </row>
  </sheetData>
  <mergeCells count="1">
    <mergeCell ref="D15:O19"/>
  </mergeCells>
  <phoneticPr fontId="2" type="noConversion"/>
  <pageMargins left="0.7" right="0.7" top="0.75" bottom="0.75" header="0.3" footer="0.3"/>
  <pageSetup paperSize="9" scale="4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0" tint="-0.14999847407452621"/>
  </sheetPr>
  <dimension ref="A2:J231"/>
  <sheetViews>
    <sheetView showGridLines="0" topLeftCell="A125" zoomScaleNormal="100" workbookViewId="0">
      <selection activeCell="F125" sqref="F125"/>
    </sheetView>
  </sheetViews>
  <sheetFormatPr defaultColWidth="9" defaultRowHeight="14.4"/>
  <cols>
    <col min="1" max="1" width="30.77734375" style="56" customWidth="1"/>
    <col min="2" max="2" width="51.6640625" style="56" bestFit="1" customWidth="1"/>
    <col min="3" max="8" width="17" style="56" customWidth="1"/>
    <col min="9" max="9" width="9.88671875" style="56" bestFit="1" customWidth="1"/>
    <col min="10" max="16384" width="9" style="56"/>
  </cols>
  <sheetData>
    <row r="2" spans="2:7" ht="15.6">
      <c r="B2" s="57" t="s">
        <v>52</v>
      </c>
    </row>
    <row r="3" spans="2:7">
      <c r="B3" s="10" t="s">
        <v>53</v>
      </c>
    </row>
    <row r="4" spans="2:7">
      <c r="B4" s="10" t="s">
        <v>54</v>
      </c>
    </row>
    <row r="5" spans="2:7">
      <c r="B5" s="10" t="s">
        <v>55</v>
      </c>
    </row>
    <row r="6" spans="2:7">
      <c r="B6" s="11" t="s">
        <v>56</v>
      </c>
    </row>
    <row r="7" spans="2:7">
      <c r="B7" s="12"/>
      <c r="C7" s="14" t="s">
        <v>95</v>
      </c>
      <c r="D7" s="13" t="s">
        <v>94</v>
      </c>
      <c r="E7" s="14" t="s">
        <v>59</v>
      </c>
      <c r="F7" s="13" t="s">
        <v>58</v>
      </c>
      <c r="G7" s="13" t="s">
        <v>57</v>
      </c>
    </row>
    <row r="8" spans="2:7">
      <c r="B8" s="15" t="s">
        <v>60</v>
      </c>
      <c r="C8" s="17"/>
      <c r="D8" s="16"/>
      <c r="E8" s="17"/>
      <c r="F8" s="16"/>
      <c r="G8" s="16"/>
    </row>
    <row r="9" spans="2:7">
      <c r="B9" s="15" t="s">
        <v>61</v>
      </c>
      <c r="C9" s="19">
        <v>151349036225</v>
      </c>
      <c r="D9" s="18">
        <v>679395749034</v>
      </c>
      <c r="E9" s="19">
        <v>684808071809</v>
      </c>
      <c r="F9" s="18">
        <v>640910847121</v>
      </c>
      <c r="G9" s="18">
        <v>668408387497</v>
      </c>
    </row>
    <row r="10" spans="2:7">
      <c r="B10" s="15" t="s">
        <v>62</v>
      </c>
      <c r="C10" s="19">
        <v>64865009066</v>
      </c>
      <c r="D10" s="18">
        <v>31275054037</v>
      </c>
      <c r="E10" s="19">
        <v>29005216684</v>
      </c>
      <c r="F10" s="18">
        <v>15293774047</v>
      </c>
      <c r="G10" s="18">
        <v>62358097717</v>
      </c>
    </row>
    <row r="11" spans="2:7">
      <c r="B11" s="15" t="s">
        <v>63</v>
      </c>
      <c r="C11" s="19">
        <v>31227465335</v>
      </c>
      <c r="D11" s="18">
        <v>62770128322</v>
      </c>
      <c r="E11" s="19">
        <v>55391334902</v>
      </c>
      <c r="F11" s="18">
        <v>37450354282</v>
      </c>
      <c r="G11" s="18">
        <v>27981322892</v>
      </c>
    </row>
    <row r="12" spans="2:7">
      <c r="B12" s="15" t="s">
        <v>64</v>
      </c>
      <c r="C12" s="19">
        <v>39259485515</v>
      </c>
      <c r="D12" s="18">
        <v>564426913205</v>
      </c>
      <c r="E12" s="19">
        <v>572548318518</v>
      </c>
      <c r="F12" s="18">
        <v>553603251894</v>
      </c>
      <c r="G12" s="18">
        <v>536846619341</v>
      </c>
    </row>
    <row r="13" spans="2:7">
      <c r="B13" s="15" t="s">
        <v>65</v>
      </c>
      <c r="C13" s="19">
        <v>1097721387</v>
      </c>
      <c r="D13" s="18">
        <v>3529109731</v>
      </c>
      <c r="E13" s="19">
        <v>1066837126</v>
      </c>
      <c r="F13" s="18">
        <v>2623490520</v>
      </c>
      <c r="G13" s="18">
        <v>17072209385</v>
      </c>
    </row>
    <row r="14" spans="2:7">
      <c r="B14" s="15" t="s">
        <v>66</v>
      </c>
      <c r="C14" s="19">
        <v>13548704376</v>
      </c>
      <c r="D14" s="18">
        <v>15547580589</v>
      </c>
      <c r="E14" s="19">
        <v>21863243995</v>
      </c>
      <c r="F14" s="18">
        <v>28910225486</v>
      </c>
      <c r="G14" s="18">
        <v>23179093275</v>
      </c>
    </row>
    <row r="15" spans="2:7">
      <c r="B15" s="15" t="s">
        <v>67</v>
      </c>
      <c r="C15" s="19">
        <v>1350650546</v>
      </c>
      <c r="D15" s="18">
        <v>1846963150</v>
      </c>
      <c r="E15" s="19">
        <v>4933120584</v>
      </c>
      <c r="F15" s="18">
        <v>3029750892</v>
      </c>
      <c r="G15" s="18">
        <v>971044887</v>
      </c>
    </row>
    <row r="16" spans="2:7">
      <c r="B16" s="15" t="s">
        <v>68</v>
      </c>
      <c r="C16" s="19">
        <v>142953703400</v>
      </c>
      <c r="D16" s="18">
        <v>141534026272</v>
      </c>
      <c r="E16" s="19">
        <v>233458384005</v>
      </c>
      <c r="F16" s="18">
        <v>253779166498</v>
      </c>
      <c r="G16" s="18">
        <v>287935778336</v>
      </c>
    </row>
    <row r="17" spans="2:7">
      <c r="B17" s="15" t="s">
        <v>65</v>
      </c>
      <c r="C17" s="19">
        <v>10979294370</v>
      </c>
      <c r="D17" s="18">
        <v>14705777974</v>
      </c>
      <c r="E17" s="19">
        <v>59180935434</v>
      </c>
      <c r="F17" s="18">
        <v>49251195964</v>
      </c>
      <c r="G17" s="18">
        <v>36145906465</v>
      </c>
    </row>
    <row r="18" spans="2:7">
      <c r="B18" s="15" t="s">
        <v>69</v>
      </c>
      <c r="C18" s="19">
        <v>5645984636</v>
      </c>
      <c r="D18" s="18">
        <v>4156647765</v>
      </c>
      <c r="E18" s="19">
        <v>1175187157</v>
      </c>
      <c r="F18" s="18">
        <v>1175656752</v>
      </c>
      <c r="G18" s="18">
        <v>1215002875</v>
      </c>
    </row>
    <row r="19" spans="2:7">
      <c r="B19" s="15" t="s">
        <v>70</v>
      </c>
      <c r="C19" s="19">
        <v>58819947347</v>
      </c>
      <c r="D19" s="18">
        <v>58986597861</v>
      </c>
      <c r="E19" s="19">
        <v>60627757171</v>
      </c>
      <c r="F19" s="18">
        <v>69755177823</v>
      </c>
      <c r="G19" s="18">
        <v>76924272755</v>
      </c>
    </row>
    <row r="20" spans="2:7">
      <c r="B20" s="15" t="s">
        <v>71</v>
      </c>
      <c r="C20" s="19">
        <v>63886071519</v>
      </c>
      <c r="D20" s="18">
        <v>63685002672</v>
      </c>
      <c r="E20" s="19">
        <v>112474504243</v>
      </c>
      <c r="F20" s="18">
        <v>133597135959</v>
      </c>
      <c r="G20" s="18">
        <v>169803175681</v>
      </c>
    </row>
    <row r="21" spans="2:7">
      <c r="B21" s="15" t="s">
        <v>72</v>
      </c>
      <c r="C21" s="19">
        <v>3622405528</v>
      </c>
      <c r="D21" s="16"/>
      <c r="E21" s="17"/>
      <c r="F21" s="16"/>
      <c r="G21" s="18">
        <v>3847420560</v>
      </c>
    </row>
    <row r="22" spans="2:7">
      <c r="B22" s="15" t="s">
        <v>73</v>
      </c>
      <c r="C22" s="19">
        <v>294302739625</v>
      </c>
      <c r="D22" s="18">
        <v>820929775306</v>
      </c>
      <c r="E22" s="19">
        <v>918266455814</v>
      </c>
      <c r="F22" s="18">
        <v>894690013619</v>
      </c>
      <c r="G22" s="18">
        <v>956344165833</v>
      </c>
    </row>
    <row r="23" spans="2:7">
      <c r="B23" s="15" t="s">
        <v>74</v>
      </c>
      <c r="C23" s="17"/>
      <c r="D23" s="16"/>
      <c r="E23" s="17"/>
      <c r="F23" s="16"/>
      <c r="G23" s="16"/>
    </row>
    <row r="24" spans="2:7">
      <c r="B24" s="15" t="s">
        <v>75</v>
      </c>
      <c r="C24" s="19">
        <v>19911913184</v>
      </c>
      <c r="D24" s="18">
        <v>22682031549</v>
      </c>
      <c r="E24" s="19">
        <v>23045053483</v>
      </c>
      <c r="F24" s="18">
        <v>37568295728</v>
      </c>
      <c r="G24" s="18">
        <v>43773775467</v>
      </c>
    </row>
    <row r="25" spans="2:7">
      <c r="B25" s="15" t="s">
        <v>76</v>
      </c>
      <c r="C25" s="19">
        <v>3243004587</v>
      </c>
      <c r="D25" s="18">
        <v>4716212837</v>
      </c>
      <c r="E25" s="19">
        <v>6059639516</v>
      </c>
      <c r="F25" s="18">
        <v>5694329106</v>
      </c>
      <c r="G25" s="18">
        <v>4784647736</v>
      </c>
    </row>
    <row r="26" spans="2:7">
      <c r="B26" s="15" t="s">
        <v>77</v>
      </c>
      <c r="C26" s="19">
        <v>300000000</v>
      </c>
      <c r="D26" s="16"/>
      <c r="E26" s="17"/>
      <c r="F26" s="18">
        <v>200000000</v>
      </c>
      <c r="G26" s="16"/>
    </row>
    <row r="27" spans="2:7">
      <c r="B27" s="15" t="s">
        <v>78</v>
      </c>
      <c r="C27" s="19">
        <v>3238026075</v>
      </c>
      <c r="D27" s="18">
        <v>5309749192</v>
      </c>
      <c r="E27" s="19">
        <v>6158412649</v>
      </c>
      <c r="F27" s="18">
        <v>12050125280</v>
      </c>
      <c r="G27" s="18">
        <v>9970564328</v>
      </c>
    </row>
    <row r="28" spans="2:7">
      <c r="B28" s="24" t="s">
        <v>79</v>
      </c>
      <c r="C28" s="19">
        <v>1478156758</v>
      </c>
      <c r="D28" s="18">
        <v>1310297440</v>
      </c>
      <c r="E28" s="26">
        <v>3301070227</v>
      </c>
      <c r="F28" s="25">
        <v>3805143987</v>
      </c>
      <c r="G28" s="25">
        <v>14010829001</v>
      </c>
    </row>
    <row r="29" spans="2:7">
      <c r="B29" s="30" t="s">
        <v>96</v>
      </c>
      <c r="C29" s="19">
        <v>994755733</v>
      </c>
      <c r="D29" s="18">
        <v>1191198658</v>
      </c>
      <c r="E29" s="58"/>
      <c r="F29" s="58"/>
      <c r="G29" s="58"/>
    </row>
    <row r="30" spans="2:7">
      <c r="B30" s="27" t="s">
        <v>80</v>
      </c>
      <c r="C30" s="19">
        <v>10657970031</v>
      </c>
      <c r="D30" s="18">
        <v>10154573422</v>
      </c>
      <c r="E30" s="29">
        <v>7525931091</v>
      </c>
      <c r="F30" s="28">
        <v>15818697355</v>
      </c>
      <c r="G30" s="28">
        <v>15007734402</v>
      </c>
    </row>
    <row r="31" spans="2:7">
      <c r="B31" s="15" t="s">
        <v>81</v>
      </c>
      <c r="C31" s="19">
        <v>451104874</v>
      </c>
      <c r="D31" s="18">
        <v>80327852347</v>
      </c>
      <c r="E31" s="19">
        <v>110438229453</v>
      </c>
      <c r="F31" s="18">
        <v>112850779089</v>
      </c>
      <c r="G31" s="18">
        <v>118501715920</v>
      </c>
    </row>
    <row r="32" spans="2:7">
      <c r="B32" s="15" t="s">
        <v>82</v>
      </c>
      <c r="C32" s="17"/>
      <c r="D32" s="18">
        <v>79571596061</v>
      </c>
      <c r="E32" s="19">
        <v>82925936693</v>
      </c>
      <c r="F32" s="18">
        <v>86421679554</v>
      </c>
      <c r="G32" s="18">
        <v>90064785456</v>
      </c>
    </row>
    <row r="33" spans="2:9">
      <c r="B33" s="15" t="s">
        <v>78</v>
      </c>
      <c r="C33" s="19">
        <v>57345802</v>
      </c>
      <c r="D33" s="18">
        <v>74472724</v>
      </c>
      <c r="E33" s="19">
        <v>14634521909</v>
      </c>
      <c r="F33" s="18">
        <v>20093617542</v>
      </c>
      <c r="G33" s="18">
        <v>22348160890</v>
      </c>
    </row>
    <row r="34" spans="2:9">
      <c r="B34" s="15" t="s">
        <v>83</v>
      </c>
      <c r="C34" s="19">
        <v>393759072</v>
      </c>
      <c r="D34" s="18">
        <v>390620669</v>
      </c>
      <c r="E34" s="19">
        <v>681216141</v>
      </c>
      <c r="F34" s="18">
        <v>1707468041</v>
      </c>
      <c r="G34" s="18">
        <v>1770825551</v>
      </c>
    </row>
    <row r="35" spans="2:9">
      <c r="B35" s="15" t="s">
        <v>84</v>
      </c>
      <c r="C35" s="17"/>
      <c r="D35" s="18">
        <v>291162893</v>
      </c>
      <c r="E35" s="19">
        <v>12196554710</v>
      </c>
      <c r="F35" s="18">
        <v>4628013952</v>
      </c>
      <c r="G35" s="18">
        <v>4317944023</v>
      </c>
    </row>
    <row r="36" spans="2:9">
      <c r="B36" s="15" t="s">
        <v>85</v>
      </c>
      <c r="C36" s="19">
        <v>20363018058</v>
      </c>
      <c r="D36" s="18">
        <v>103009883896</v>
      </c>
      <c r="E36" s="19">
        <v>133483282936</v>
      </c>
      <c r="F36" s="18">
        <v>150419074817</v>
      </c>
      <c r="G36" s="18">
        <v>162275491387</v>
      </c>
      <c r="I36" s="72"/>
    </row>
    <row r="37" spans="2:9">
      <c r="B37" s="15" t="s">
        <v>86</v>
      </c>
      <c r="C37" s="17"/>
      <c r="D37" s="16"/>
      <c r="E37" s="17"/>
      <c r="F37" s="16"/>
      <c r="G37" s="16"/>
      <c r="I37" s="72"/>
    </row>
    <row r="38" spans="2:9">
      <c r="B38" s="15" t="s">
        <v>15</v>
      </c>
      <c r="C38" s="19">
        <v>252798909042</v>
      </c>
      <c r="D38" s="18">
        <v>695710406621</v>
      </c>
      <c r="E38" s="19">
        <v>727719912421</v>
      </c>
      <c r="F38" s="18">
        <v>699495541371</v>
      </c>
      <c r="G38" s="18">
        <v>746673567863</v>
      </c>
    </row>
    <row r="39" spans="2:9">
      <c r="B39" s="15" t="s">
        <v>87</v>
      </c>
      <c r="C39" s="19">
        <v>1642029000</v>
      </c>
      <c r="D39" s="18">
        <v>2153852500</v>
      </c>
      <c r="E39" s="19">
        <v>2179102500</v>
      </c>
      <c r="F39" s="18">
        <v>2209882500</v>
      </c>
      <c r="G39" s="18">
        <v>6385067500</v>
      </c>
    </row>
    <row r="40" spans="2:9">
      <c r="B40" s="15" t="s">
        <v>88</v>
      </c>
      <c r="C40" s="19">
        <v>144800781639</v>
      </c>
      <c r="D40" s="18">
        <v>506941065763</v>
      </c>
      <c r="E40" s="19">
        <v>4585458564</v>
      </c>
      <c r="F40" s="18">
        <v>331442542564</v>
      </c>
      <c r="G40" s="18">
        <v>327196694844</v>
      </c>
    </row>
    <row r="41" spans="2:9">
      <c r="B41" s="15" t="s">
        <v>89</v>
      </c>
      <c r="C41" s="19">
        <v>90130054</v>
      </c>
      <c r="D41" s="18">
        <v>7625577796</v>
      </c>
      <c r="E41" s="19">
        <v>-38294765652</v>
      </c>
      <c r="F41" s="18">
        <v>-397138123680</v>
      </c>
      <c r="G41" s="18">
        <v>-395302378693</v>
      </c>
    </row>
    <row r="42" spans="2:9">
      <c r="B42" s="15" t="s">
        <v>90</v>
      </c>
      <c r="C42" s="19">
        <v>-188064261</v>
      </c>
      <c r="D42" s="18">
        <v>-170435379</v>
      </c>
      <c r="E42" s="19">
        <v>-1289981442</v>
      </c>
      <c r="F42" s="18">
        <v>-5303273592</v>
      </c>
      <c r="G42" s="18">
        <v>-106057035</v>
      </c>
    </row>
    <row r="43" spans="2:9">
      <c r="B43" s="15" t="s">
        <v>91</v>
      </c>
      <c r="C43" s="19">
        <v>106454032610</v>
      </c>
      <c r="D43" s="18">
        <v>179160345941</v>
      </c>
      <c r="E43" s="19">
        <v>760540098451</v>
      </c>
      <c r="F43" s="18">
        <v>768284513579</v>
      </c>
      <c r="G43" s="18">
        <v>808500241247</v>
      </c>
    </row>
    <row r="44" spans="2:9">
      <c r="B44" s="15" t="s">
        <v>16</v>
      </c>
      <c r="C44" s="19">
        <v>21140812525</v>
      </c>
      <c r="D44" s="18">
        <v>22209484789</v>
      </c>
      <c r="E44" s="19">
        <v>57063260457</v>
      </c>
      <c r="F44" s="18">
        <v>44775397431</v>
      </c>
      <c r="G44" s="18">
        <v>47395106583</v>
      </c>
    </row>
    <row r="45" spans="2:9">
      <c r="B45" s="15" t="s">
        <v>92</v>
      </c>
      <c r="C45" s="19">
        <v>273939721567</v>
      </c>
      <c r="D45" s="18">
        <v>717919891410</v>
      </c>
      <c r="E45" s="19">
        <v>784783172878</v>
      </c>
      <c r="F45" s="18">
        <v>744270938802</v>
      </c>
      <c r="G45" s="18">
        <v>794068674446</v>
      </c>
    </row>
    <row r="46" spans="2:9">
      <c r="B46" s="20" t="s">
        <v>93</v>
      </c>
      <c r="C46" s="22">
        <v>294302739625</v>
      </c>
      <c r="D46" s="21">
        <v>820929775306</v>
      </c>
      <c r="E46" s="22">
        <v>918266455814</v>
      </c>
      <c r="F46" s="21">
        <v>894690013619</v>
      </c>
      <c r="G46" s="21">
        <v>956344165833</v>
      </c>
    </row>
    <row r="47" spans="2:9" ht="15.6">
      <c r="B47" s="23"/>
    </row>
    <row r="48" spans="2:9" ht="15.6">
      <c r="B48" s="57" t="s">
        <v>97</v>
      </c>
    </row>
    <row r="49" spans="2:7">
      <c r="B49" s="10" t="s">
        <v>99</v>
      </c>
    </row>
    <row r="50" spans="2:7">
      <c r="B50" s="10" t="s">
        <v>100</v>
      </c>
    </row>
    <row r="51" spans="2:7">
      <c r="B51" s="10" t="s">
        <v>98</v>
      </c>
    </row>
    <row r="52" spans="2:7">
      <c r="B52" s="11" t="s">
        <v>56</v>
      </c>
      <c r="C52" s="59"/>
    </row>
    <row r="53" spans="2:7">
      <c r="B53" s="12"/>
      <c r="C53" s="14" t="s">
        <v>95</v>
      </c>
      <c r="D53" s="13" t="s">
        <v>94</v>
      </c>
      <c r="E53" s="14" t="s">
        <v>59</v>
      </c>
      <c r="F53" s="13" t="s">
        <v>58</v>
      </c>
      <c r="G53" s="13" t="s">
        <v>57</v>
      </c>
    </row>
    <row r="54" spans="2:7">
      <c r="B54" s="15" t="s">
        <v>1</v>
      </c>
      <c r="C54" s="19">
        <v>124189443779</v>
      </c>
      <c r="D54" s="18">
        <v>182085496975</v>
      </c>
      <c r="E54" s="19">
        <v>182391609421</v>
      </c>
      <c r="F54" s="18">
        <v>204567625227</v>
      </c>
      <c r="G54" s="18">
        <v>211038348381</v>
      </c>
    </row>
    <row r="55" spans="2:7">
      <c r="B55" s="15" t="s">
        <v>2</v>
      </c>
      <c r="C55" s="19">
        <v>29789638852</v>
      </c>
      <c r="D55" s="18">
        <v>39973426437</v>
      </c>
      <c r="E55" s="19">
        <v>51007346565</v>
      </c>
      <c r="F55" s="18">
        <v>60622507568</v>
      </c>
      <c r="G55" s="18">
        <v>62253226283</v>
      </c>
    </row>
    <row r="56" spans="2:7">
      <c r="B56" s="15" t="s">
        <v>3</v>
      </c>
      <c r="C56" s="19">
        <v>94399804927</v>
      </c>
      <c r="D56" s="18">
        <v>142112070538</v>
      </c>
      <c r="E56" s="19">
        <v>131384262856</v>
      </c>
      <c r="F56" s="18">
        <v>143945117659</v>
      </c>
      <c r="G56" s="18">
        <v>148785122098</v>
      </c>
    </row>
    <row r="57" spans="2:7">
      <c r="B57" s="15" t="s">
        <v>4</v>
      </c>
      <c r="C57" s="19">
        <v>31139536482</v>
      </c>
      <c r="D57" s="18">
        <v>40187725064</v>
      </c>
      <c r="E57" s="19">
        <v>71189298408</v>
      </c>
      <c r="F57" s="18">
        <v>75858420753</v>
      </c>
      <c r="G57" s="18">
        <v>70725329507</v>
      </c>
    </row>
    <row r="58" spans="2:7">
      <c r="B58" s="15" t="s">
        <v>5</v>
      </c>
      <c r="C58" s="19">
        <v>63260268445</v>
      </c>
      <c r="D58" s="18">
        <v>101924345474</v>
      </c>
      <c r="E58" s="19">
        <v>60194964448</v>
      </c>
      <c r="F58" s="18">
        <v>68086696906</v>
      </c>
      <c r="G58" s="18">
        <v>78059792591</v>
      </c>
    </row>
    <row r="59" spans="2:7">
      <c r="B59" s="15" t="s">
        <v>6</v>
      </c>
      <c r="C59" s="19">
        <v>2010272504</v>
      </c>
      <c r="D59" s="18">
        <v>5894261131</v>
      </c>
      <c r="E59" s="19">
        <v>18834249951</v>
      </c>
      <c r="F59" s="18">
        <v>15918645669</v>
      </c>
      <c r="G59" s="18">
        <v>26737779495</v>
      </c>
    </row>
    <row r="60" spans="2:7">
      <c r="B60" s="15" t="s">
        <v>7</v>
      </c>
      <c r="C60" s="19">
        <v>517636055</v>
      </c>
      <c r="D60" s="18">
        <v>2210136646</v>
      </c>
      <c r="E60" s="19">
        <v>3736996898</v>
      </c>
      <c r="F60" s="18">
        <v>12078389180</v>
      </c>
      <c r="G60" s="18">
        <v>27859009364</v>
      </c>
    </row>
    <row r="61" spans="2:7">
      <c r="B61" s="15" t="s">
        <v>8</v>
      </c>
      <c r="C61" s="19">
        <v>1759658054</v>
      </c>
      <c r="D61" s="18">
        <v>487924306</v>
      </c>
      <c r="E61" s="19">
        <v>26099668540</v>
      </c>
      <c r="F61" s="18">
        <v>161363466</v>
      </c>
      <c r="G61" s="18">
        <v>731301847</v>
      </c>
    </row>
    <row r="62" spans="2:7">
      <c r="B62" s="15" t="s">
        <v>9</v>
      </c>
      <c r="C62" s="19">
        <v>723959327</v>
      </c>
      <c r="D62" s="18">
        <v>589653665</v>
      </c>
      <c r="E62" s="19">
        <v>1437405112</v>
      </c>
      <c r="F62" s="18">
        <v>2362953633</v>
      </c>
      <c r="G62" s="18">
        <v>8371703717</v>
      </c>
    </row>
    <row r="63" spans="2:7">
      <c r="B63" s="15" t="s">
        <v>10</v>
      </c>
      <c r="C63" s="19">
        <v>-1453657563</v>
      </c>
      <c r="D63" s="18">
        <v>-1957765534</v>
      </c>
      <c r="E63" s="19">
        <v>-434155003</v>
      </c>
      <c r="F63" s="18">
        <v>469595</v>
      </c>
      <c r="G63" s="18">
        <v>39346123</v>
      </c>
    </row>
    <row r="64" spans="2:7">
      <c r="B64" s="15" t="s">
        <v>11</v>
      </c>
      <c r="C64" s="19">
        <v>64334946058</v>
      </c>
      <c r="D64" s="18">
        <v>103548975066</v>
      </c>
      <c r="E64" s="19">
        <v>99520325926</v>
      </c>
      <c r="F64" s="18">
        <v>69725832823</v>
      </c>
      <c r="G64" s="18">
        <v>69337506975</v>
      </c>
    </row>
    <row r="65" spans="2:7">
      <c r="B65" s="15" t="s">
        <v>12</v>
      </c>
      <c r="C65" s="19">
        <v>13434079211</v>
      </c>
      <c r="D65" s="18">
        <v>22198387223</v>
      </c>
      <c r="E65" s="19">
        <v>23863137601</v>
      </c>
      <c r="F65" s="18">
        <v>19447499875</v>
      </c>
      <c r="G65" s="18">
        <v>24021415575</v>
      </c>
    </row>
    <row r="66" spans="2:7">
      <c r="B66" s="15" t="s">
        <v>13</v>
      </c>
      <c r="C66" s="19">
        <v>50900866847</v>
      </c>
      <c r="D66" s="18">
        <v>81350587843</v>
      </c>
      <c r="E66" s="19">
        <v>75657188325</v>
      </c>
      <c r="F66" s="18">
        <v>50278332948</v>
      </c>
      <c r="G66" s="18">
        <v>45316091400</v>
      </c>
    </row>
    <row r="67" spans="2:7">
      <c r="B67" s="15" t="s">
        <v>14</v>
      </c>
      <c r="C67" s="17"/>
      <c r="D67" s="16"/>
      <c r="E67" s="17"/>
      <c r="F67" s="16"/>
      <c r="G67" s="16"/>
    </row>
    <row r="68" spans="2:7">
      <c r="B68" s="15" t="s">
        <v>15</v>
      </c>
      <c r="C68" s="19">
        <v>43272525510</v>
      </c>
      <c r="D68" s="18">
        <v>72827142327</v>
      </c>
      <c r="E68" s="19">
        <v>69736400732</v>
      </c>
      <c r="F68" s="18">
        <v>44612095215</v>
      </c>
      <c r="G68" s="18">
        <v>41992095488</v>
      </c>
    </row>
    <row r="69" spans="2:7">
      <c r="B69" s="15" t="s">
        <v>16</v>
      </c>
      <c r="C69" s="19">
        <v>7628341337</v>
      </c>
      <c r="D69" s="18">
        <v>8523445516</v>
      </c>
      <c r="E69" s="19">
        <v>5920787593</v>
      </c>
      <c r="F69" s="18">
        <v>5666237733</v>
      </c>
      <c r="G69" s="18">
        <v>3323995912</v>
      </c>
    </row>
    <row r="70" spans="2:7">
      <c r="B70" s="15" t="s">
        <v>17</v>
      </c>
      <c r="C70" s="19">
        <v>20056033</v>
      </c>
      <c r="D70" s="18">
        <v>-103200114</v>
      </c>
      <c r="E70" s="19">
        <v>-2882534292</v>
      </c>
      <c r="F70" s="18">
        <v>-3277160308</v>
      </c>
      <c r="G70" s="18">
        <v>3575859878</v>
      </c>
    </row>
    <row r="71" spans="2:7">
      <c r="B71" s="15" t="s">
        <v>18</v>
      </c>
      <c r="C71" s="17"/>
      <c r="D71" s="16"/>
      <c r="E71" s="19"/>
      <c r="F71" s="18"/>
      <c r="G71" s="18"/>
    </row>
    <row r="72" spans="2:7">
      <c r="B72" s="15" t="s">
        <v>19</v>
      </c>
      <c r="C72" s="19">
        <v>110760172</v>
      </c>
      <c r="D72" s="18">
        <v>-120828996</v>
      </c>
      <c r="E72" s="19">
        <v>-895472696</v>
      </c>
      <c r="F72" s="18">
        <v>-501780087</v>
      </c>
      <c r="G72" s="18">
        <v>75094509</v>
      </c>
    </row>
    <row r="73" spans="2:7">
      <c r="B73" s="15" t="s">
        <v>20</v>
      </c>
      <c r="C73" s="17"/>
      <c r="D73" s="16"/>
      <c r="E73" s="19">
        <v>903862627</v>
      </c>
      <c r="F73" s="18">
        <v>-7343512520</v>
      </c>
      <c r="G73" s="18">
        <v>11156577773</v>
      </c>
    </row>
    <row r="74" spans="2:7">
      <c r="B74" s="24" t="s">
        <v>21</v>
      </c>
      <c r="C74" s="17"/>
      <c r="D74" s="16"/>
      <c r="E74" s="26"/>
      <c r="F74" s="25"/>
      <c r="G74" s="25"/>
    </row>
    <row r="75" spans="2:7">
      <c r="B75" s="30" t="s">
        <v>28</v>
      </c>
      <c r="C75" s="19">
        <v>-88233025</v>
      </c>
      <c r="D75" s="18">
        <v>28368812</v>
      </c>
      <c r="E75" s="58"/>
      <c r="F75" s="58"/>
      <c r="G75" s="58"/>
    </row>
    <row r="76" spans="2:7">
      <c r="B76" s="27" t="s">
        <v>22</v>
      </c>
      <c r="C76" s="19">
        <v>-2471114</v>
      </c>
      <c r="D76" s="18">
        <v>-10739930</v>
      </c>
      <c r="E76" s="29">
        <v>-2890924223</v>
      </c>
      <c r="F76" s="28">
        <v>4568132299</v>
      </c>
      <c r="G76" s="28">
        <v>-7655812404</v>
      </c>
    </row>
    <row r="77" spans="2:7">
      <c r="B77" s="15" t="s">
        <v>23</v>
      </c>
      <c r="C77" s="19">
        <v>50920922880</v>
      </c>
      <c r="D77" s="18">
        <v>81247387729</v>
      </c>
      <c r="E77" s="19">
        <v>72774654033</v>
      </c>
      <c r="F77" s="18">
        <v>47001172640</v>
      </c>
      <c r="G77" s="18">
        <v>48891951278</v>
      </c>
    </row>
    <row r="78" spans="2:7">
      <c r="B78" s="15" t="s">
        <v>24</v>
      </c>
      <c r="C78" s="17"/>
      <c r="D78" s="16"/>
      <c r="E78" s="17"/>
      <c r="F78" s="16"/>
      <c r="G78" s="16"/>
    </row>
    <row r="79" spans="2:7">
      <c r="B79" s="15" t="s">
        <v>15</v>
      </c>
      <c r="C79" s="19">
        <v>43292581543</v>
      </c>
      <c r="D79" s="18">
        <v>72723942213</v>
      </c>
      <c r="E79" s="19">
        <v>67721381973</v>
      </c>
      <c r="F79" s="18">
        <v>40097022978</v>
      </c>
      <c r="G79" s="18">
        <v>47264406554</v>
      </c>
    </row>
    <row r="80" spans="2:7">
      <c r="B80" s="15" t="s">
        <v>16</v>
      </c>
      <c r="C80" s="19">
        <v>7628341337</v>
      </c>
      <c r="D80" s="18">
        <v>8523445516</v>
      </c>
      <c r="E80" s="19">
        <v>5053272060</v>
      </c>
      <c r="F80" s="18">
        <v>6904149662</v>
      </c>
      <c r="G80" s="18">
        <v>1627544724</v>
      </c>
    </row>
    <row r="81" spans="2:7">
      <c r="B81" s="15" t="s">
        <v>25</v>
      </c>
      <c r="C81" s="17"/>
      <c r="D81" s="16"/>
      <c r="E81" s="17"/>
      <c r="F81" s="16"/>
      <c r="G81" s="16"/>
    </row>
    <row r="82" spans="2:7">
      <c r="B82" s="15" t="s">
        <v>26</v>
      </c>
      <c r="C82" s="19">
        <v>13177</v>
      </c>
      <c r="D82" s="18">
        <v>19475</v>
      </c>
      <c r="E82" s="19">
        <v>5827</v>
      </c>
      <c r="F82" s="18">
        <v>3559</v>
      </c>
      <c r="G82" s="18">
        <v>3353</v>
      </c>
    </row>
    <row r="83" spans="2:7">
      <c r="B83" s="20" t="s">
        <v>27</v>
      </c>
      <c r="C83" s="22">
        <v>12730</v>
      </c>
      <c r="D83" s="21">
        <v>18697</v>
      </c>
      <c r="E83" s="22">
        <v>5642</v>
      </c>
      <c r="F83" s="21">
        <v>3532</v>
      </c>
      <c r="G83" s="21">
        <v>3344</v>
      </c>
    </row>
    <row r="84" spans="2:7">
      <c r="B84" s="31"/>
    </row>
    <row r="85" spans="2:7">
      <c r="B85" s="31"/>
    </row>
    <row r="86" spans="2:7" ht="15.6">
      <c r="B86" s="57" t="s">
        <v>159</v>
      </c>
    </row>
    <row r="87" spans="2:7">
      <c r="B87" s="11" t="s">
        <v>158</v>
      </c>
    </row>
    <row r="88" spans="2:7">
      <c r="B88" s="15" t="s">
        <v>160</v>
      </c>
      <c r="C88" s="19">
        <f>+C59/10^3</f>
        <v>2010272.504</v>
      </c>
      <c r="D88" s="19">
        <f>+D59/10^3</f>
        <v>5894261.1310000001</v>
      </c>
      <c r="E88" s="19">
        <f>+E59/10^3</f>
        <v>18834249.951000001</v>
      </c>
      <c r="F88" s="19">
        <f>+F59/10^3</f>
        <v>15918645.669</v>
      </c>
      <c r="G88" s="19">
        <f>+G59/10^3</f>
        <v>26737779.495000001</v>
      </c>
    </row>
    <row r="89" spans="2:7">
      <c r="B89" s="47" t="s">
        <v>156</v>
      </c>
      <c r="C89" s="19">
        <v>1212505</v>
      </c>
      <c r="D89" s="18">
        <v>5039935</v>
      </c>
      <c r="E89" s="19">
        <v>7586533</v>
      </c>
      <c r="F89" s="18">
        <v>2804324</v>
      </c>
      <c r="G89" s="18">
        <v>3938294</v>
      </c>
    </row>
    <row r="90" spans="2:7">
      <c r="B90" s="47" t="s">
        <v>162</v>
      </c>
      <c r="C90" s="19">
        <f>+C88-C89</f>
        <v>797767.50399999996</v>
      </c>
      <c r="D90" s="19">
        <f>+D88-D89</f>
        <v>854326.13100000005</v>
      </c>
      <c r="E90" s="19">
        <f>+E88-E89</f>
        <v>11247716.951000001</v>
      </c>
      <c r="F90" s="19">
        <f>+F88-F89</f>
        <v>13114321.669</v>
      </c>
      <c r="G90" s="19">
        <f>+G88-G89</f>
        <v>22799485.495000001</v>
      </c>
    </row>
    <row r="91" spans="2:7">
      <c r="B91" s="15" t="s">
        <v>161</v>
      </c>
      <c r="C91" s="19">
        <f>+C60/10^3</f>
        <v>517636.05499999999</v>
      </c>
      <c r="D91" s="19">
        <f>+D60/10^3</f>
        <v>2210136.6460000002</v>
      </c>
      <c r="E91" s="19">
        <f>+E60/10^3</f>
        <v>3736996.898</v>
      </c>
      <c r="F91" s="19">
        <f>+F60/10^3</f>
        <v>12078389.18</v>
      </c>
      <c r="G91" s="19">
        <f>+G60/10^3</f>
        <v>27859009.364</v>
      </c>
    </row>
    <row r="92" spans="2:7">
      <c r="B92" s="47" t="s">
        <v>157</v>
      </c>
      <c r="C92" s="19">
        <v>0</v>
      </c>
      <c r="D92" s="18">
        <v>1493187</v>
      </c>
      <c r="E92" s="19">
        <v>3317722</v>
      </c>
      <c r="F92" s="18">
        <v>3565972</v>
      </c>
      <c r="G92" s="18">
        <v>3658328</v>
      </c>
    </row>
    <row r="93" spans="2:7">
      <c r="B93" s="47" t="s">
        <v>163</v>
      </c>
      <c r="C93" s="19">
        <f>+C91-C92</f>
        <v>517636.05499999999</v>
      </c>
      <c r="D93" s="19">
        <f>+D91-D92</f>
        <v>716949.64600000018</v>
      </c>
      <c r="E93" s="19">
        <f>+E91-E92</f>
        <v>419274.89800000004</v>
      </c>
      <c r="F93" s="19">
        <f>+F91-F92</f>
        <v>8512417.1799999997</v>
      </c>
      <c r="G93" s="19">
        <f>+G91-G92</f>
        <v>24200681.364</v>
      </c>
    </row>
    <row r="94" spans="2:7">
      <c r="B94" s="31"/>
    </row>
    <row r="95" spans="2:7" ht="15.6">
      <c r="B95" s="57" t="s">
        <v>101</v>
      </c>
    </row>
    <row r="96" spans="2:7">
      <c r="B96" s="10" t="s">
        <v>99</v>
      </c>
    </row>
    <row r="97" spans="2:7">
      <c r="B97" s="10" t="s">
        <v>100</v>
      </c>
    </row>
    <row r="98" spans="2:7">
      <c r="B98" s="10" t="s">
        <v>98</v>
      </c>
    </row>
    <row r="99" spans="2:7">
      <c r="B99" s="11" t="s">
        <v>56</v>
      </c>
    </row>
    <row r="100" spans="2:7">
      <c r="B100" s="12"/>
      <c r="C100" s="14" t="s">
        <v>95</v>
      </c>
      <c r="D100" s="13" t="s">
        <v>94</v>
      </c>
      <c r="E100" s="14" t="s">
        <v>59</v>
      </c>
      <c r="F100" s="13" t="s">
        <v>58</v>
      </c>
      <c r="G100" s="13" t="s">
        <v>57</v>
      </c>
    </row>
    <row r="101" spans="2:7">
      <c r="B101" s="15" t="s">
        <v>102</v>
      </c>
      <c r="C101" s="19">
        <v>45140518832</v>
      </c>
      <c r="D101" s="18">
        <v>64192204618</v>
      </c>
      <c r="E101" s="19">
        <v>65796485202</v>
      </c>
      <c r="F101" s="18">
        <v>76994954935</v>
      </c>
      <c r="G101" s="18">
        <v>74302498142</v>
      </c>
    </row>
    <row r="102" spans="2:7">
      <c r="B102" s="15" t="s">
        <v>103</v>
      </c>
      <c r="C102" s="19">
        <v>47708111496</v>
      </c>
      <c r="D102" s="18">
        <v>79111222097</v>
      </c>
      <c r="E102" s="19">
        <v>71445537571</v>
      </c>
      <c r="F102" s="18">
        <v>89533711013</v>
      </c>
      <c r="G102" s="18">
        <v>98867960856</v>
      </c>
    </row>
    <row r="103" spans="2:7">
      <c r="B103" s="15" t="s">
        <v>104</v>
      </c>
      <c r="C103" s="19">
        <v>-3499784549</v>
      </c>
      <c r="D103" s="18">
        <v>-17232279739</v>
      </c>
      <c r="E103" s="19">
        <v>-15983694614</v>
      </c>
      <c r="F103" s="18">
        <v>-14191111670</v>
      </c>
      <c r="G103" s="18">
        <v>-27868336750</v>
      </c>
    </row>
    <row r="104" spans="2:7">
      <c r="B104" s="15" t="s">
        <v>105</v>
      </c>
      <c r="C104" s="19">
        <v>932191885</v>
      </c>
      <c r="D104" s="18">
        <v>1896882227</v>
      </c>
      <c r="E104" s="19">
        <v>10334642245</v>
      </c>
      <c r="F104" s="18">
        <v>1788390069</v>
      </c>
      <c r="G104" s="18">
        <v>3419204246</v>
      </c>
    </row>
    <row r="105" spans="2:7">
      <c r="B105" s="15" t="s">
        <v>106</v>
      </c>
      <c r="C105" s="17"/>
      <c r="D105" s="18">
        <v>416380033</v>
      </c>
      <c r="E105" s="17"/>
      <c r="F105" s="18">
        <v>-136034477</v>
      </c>
      <c r="G105" s="18">
        <v>-116330210</v>
      </c>
    </row>
    <row r="106" spans="2:7">
      <c r="B106" s="15" t="s">
        <v>107</v>
      </c>
      <c r="C106" s="19">
        <v>-53908605810</v>
      </c>
      <c r="D106" s="18">
        <v>-555342144915</v>
      </c>
      <c r="E106" s="19">
        <v>-32215835091</v>
      </c>
      <c r="F106" s="18">
        <v>-979321415</v>
      </c>
      <c r="G106" s="18">
        <v>-25295729852</v>
      </c>
    </row>
    <row r="107" spans="2:7">
      <c r="B107" s="15" t="s">
        <v>108</v>
      </c>
      <c r="C107" s="19">
        <v>-32013078139</v>
      </c>
      <c r="D107" s="18">
        <v>-598010164205</v>
      </c>
      <c r="E107" s="19">
        <v>-887694920604</v>
      </c>
      <c r="F107" s="18">
        <v>-929872879116</v>
      </c>
      <c r="G107" s="18">
        <v>-920144449894</v>
      </c>
    </row>
    <row r="108" spans="2:7">
      <c r="B108" s="15" t="s">
        <v>109</v>
      </c>
      <c r="C108" s="17"/>
      <c r="D108" s="18">
        <v>72842736515</v>
      </c>
      <c r="E108" s="19">
        <v>885354373894</v>
      </c>
      <c r="F108" s="18">
        <v>959470985878</v>
      </c>
      <c r="G108" s="18">
        <v>937690192138</v>
      </c>
    </row>
    <row r="109" spans="2:7">
      <c r="B109" s="15" t="s">
        <v>110</v>
      </c>
      <c r="C109" s="17"/>
      <c r="D109" s="18">
        <v>-3033470000</v>
      </c>
      <c r="E109" s="19">
        <v>-15265290000</v>
      </c>
      <c r="F109" s="18">
        <v>-1294550726</v>
      </c>
      <c r="G109" s="16"/>
    </row>
    <row r="110" spans="2:7">
      <c r="B110" s="15" t="s">
        <v>111</v>
      </c>
      <c r="C110" s="17"/>
      <c r="D110" s="18">
        <v>62340000</v>
      </c>
      <c r="E110" s="19">
        <v>1849647500</v>
      </c>
      <c r="F110" s="18">
        <v>2446538967</v>
      </c>
      <c r="G110" s="18">
        <v>3265789259</v>
      </c>
    </row>
    <row r="111" spans="2:7">
      <c r="B111" s="15" t="s">
        <v>112</v>
      </c>
      <c r="E111" s="19">
        <v>708866000</v>
      </c>
      <c r="F111" s="18">
        <v>-2078162783</v>
      </c>
      <c r="G111" s="18">
        <v>-1177700828</v>
      </c>
    </row>
    <row r="112" spans="2:7">
      <c r="B112" s="15" t="s">
        <v>113</v>
      </c>
      <c r="C112" s="19">
        <v>-4883990140</v>
      </c>
      <c r="D112" s="18">
        <v>-2329253984</v>
      </c>
      <c r="E112" s="19">
        <v>-2800165761</v>
      </c>
      <c r="F112" s="18">
        <v>-1019196025</v>
      </c>
      <c r="G112" s="16"/>
    </row>
    <row r="113" spans="2:7">
      <c r="B113" s="15" t="s">
        <v>114</v>
      </c>
      <c r="C113" s="17"/>
      <c r="D113" s="18">
        <v>1175000000</v>
      </c>
      <c r="E113" s="17"/>
      <c r="F113" s="18">
        <v>112000000</v>
      </c>
      <c r="G113" s="18">
        <v>12904463673</v>
      </c>
    </row>
    <row r="114" spans="2:7">
      <c r="B114" s="15" t="s">
        <v>115</v>
      </c>
      <c r="C114" s="19">
        <v>-18000000</v>
      </c>
      <c r="D114" s="16"/>
      <c r="E114" s="19">
        <v>-15000000</v>
      </c>
      <c r="F114" s="16"/>
      <c r="G114" s="16"/>
    </row>
    <row r="115" spans="2:7">
      <c r="B115" s="15" t="s">
        <v>116</v>
      </c>
      <c r="E115" s="17"/>
      <c r="F115" s="18">
        <v>15000000</v>
      </c>
      <c r="G115" s="18">
        <v>3459403585</v>
      </c>
    </row>
    <row r="116" spans="2:7">
      <c r="B116" s="15" t="s">
        <v>117</v>
      </c>
      <c r="C116" s="17"/>
      <c r="D116" s="16"/>
      <c r="E116" s="19">
        <v>4400000</v>
      </c>
      <c r="F116" s="16"/>
      <c r="G116" s="16"/>
    </row>
    <row r="117" spans="2:7">
      <c r="B117" s="15" t="s">
        <v>118</v>
      </c>
      <c r="C117" s="19">
        <v>-2574120005</v>
      </c>
      <c r="D117" s="18">
        <v>-320734120</v>
      </c>
      <c r="E117" s="19">
        <v>-1954801570</v>
      </c>
      <c r="F117" s="18">
        <v>-2250230583</v>
      </c>
      <c r="G117" s="18">
        <v>-228212687</v>
      </c>
    </row>
    <row r="118" spans="2:7">
      <c r="B118" s="15" t="s">
        <v>119</v>
      </c>
      <c r="C118" s="19">
        <v>1503796180</v>
      </c>
      <c r="D118" s="18">
        <v>1593342500</v>
      </c>
      <c r="E118" s="19">
        <v>625000000</v>
      </c>
      <c r="F118" s="18">
        <v>1493700000</v>
      </c>
      <c r="G118" s="18">
        <v>2538746750</v>
      </c>
    </row>
    <row r="119" spans="2:7">
      <c r="B119" s="15" t="s">
        <v>120</v>
      </c>
      <c r="E119" s="17"/>
      <c r="F119" s="16"/>
      <c r="G119" s="18">
        <v>-35547750</v>
      </c>
    </row>
    <row r="120" spans="2:7">
      <c r="B120" s="15" t="s">
        <v>121</v>
      </c>
      <c r="C120" s="19">
        <v>-25155000</v>
      </c>
      <c r="D120" s="18">
        <v>-4790000</v>
      </c>
      <c r="E120" s="19">
        <v>-800000</v>
      </c>
      <c r="F120" s="16"/>
      <c r="G120" s="18">
        <v>-5408600</v>
      </c>
    </row>
    <row r="121" spans="2:7">
      <c r="B121" s="15" t="s">
        <v>122</v>
      </c>
      <c r="C121" s="19">
        <v>43886000</v>
      </c>
      <c r="D121" s="18">
        <v>59157000</v>
      </c>
      <c r="E121" s="19">
        <v>55315000</v>
      </c>
      <c r="F121" s="18">
        <v>43676310</v>
      </c>
      <c r="G121" s="18">
        <v>13081000</v>
      </c>
    </row>
    <row r="122" spans="2:7">
      <c r="B122" s="15" t="s">
        <v>123</v>
      </c>
      <c r="C122" s="19">
        <v>-15621659405</v>
      </c>
      <c r="D122" s="18">
        <v>-6344183351</v>
      </c>
      <c r="E122" s="19">
        <v>-9102704321</v>
      </c>
      <c r="F122" s="18">
        <v>-12284331147</v>
      </c>
      <c r="G122" s="18">
        <v>-16977118551</v>
      </c>
    </row>
    <row r="123" spans="2:7">
      <c r="B123" s="15" t="s">
        <v>124</v>
      </c>
      <c r="C123" s="19">
        <v>5000000</v>
      </c>
      <c r="D123" s="16"/>
      <c r="E123" s="17"/>
      <c r="F123" s="18">
        <v>111356000</v>
      </c>
      <c r="G123" s="16"/>
    </row>
    <row r="124" spans="2:7">
      <c r="B124" s="15" t="s">
        <v>125</v>
      </c>
      <c r="C124" s="19">
        <v>144193454</v>
      </c>
      <c r="D124" s="18">
        <v>1392319</v>
      </c>
      <c r="E124" s="19">
        <v>3188520</v>
      </c>
      <c r="F124" s="18">
        <v>195000000</v>
      </c>
      <c r="G124" s="18">
        <v>443230446</v>
      </c>
    </row>
    <row r="125" spans="2:7">
      <c r="B125" s="15" t="s">
        <v>126</v>
      </c>
      <c r="C125" s="19">
        <v>-469478755</v>
      </c>
      <c r="D125" s="18">
        <v>-883517589</v>
      </c>
      <c r="E125" s="19">
        <v>-7622796052</v>
      </c>
      <c r="F125" s="18">
        <v>-16096514892</v>
      </c>
      <c r="G125" s="18">
        <v>-28191078437</v>
      </c>
    </row>
    <row r="126" spans="2:7">
      <c r="B126" s="15" t="s">
        <v>127</v>
      </c>
      <c r="C126" s="17"/>
      <c r="D126" s="16"/>
      <c r="E126" s="19">
        <v>89000000</v>
      </c>
      <c r="F126" s="16"/>
      <c r="G126" s="16"/>
    </row>
    <row r="127" spans="2:7">
      <c r="B127" s="15" t="s">
        <v>128</v>
      </c>
      <c r="C127" s="17"/>
      <c r="D127" s="16"/>
      <c r="E127" s="19">
        <v>3224268228</v>
      </c>
      <c r="F127" s="16"/>
      <c r="G127" s="16"/>
    </row>
    <row r="128" spans="2:7">
      <c r="B128" s="24" t="s">
        <v>129</v>
      </c>
      <c r="C128" s="32"/>
      <c r="D128" s="33"/>
      <c r="E128" s="26">
        <v>326584075</v>
      </c>
      <c r="F128" s="25">
        <v>28286702</v>
      </c>
      <c r="G128" s="25">
        <v>-18851119956</v>
      </c>
    </row>
    <row r="129" spans="2:7">
      <c r="B129" s="30" t="s">
        <v>142</v>
      </c>
      <c r="C129" s="34"/>
      <c r="D129" s="35">
        <v>-20150000000</v>
      </c>
      <c r="E129" s="58"/>
      <c r="F129" s="58"/>
      <c r="G129" s="58"/>
    </row>
    <row r="130" spans="2:7">
      <c r="B130" s="27" t="s">
        <v>130</v>
      </c>
      <c r="C130" s="29">
        <v>3127930519</v>
      </c>
      <c r="D130" s="28">
        <v>457570809858</v>
      </c>
      <c r="E130" s="29">
        <v>-35630118041</v>
      </c>
      <c r="F130" s="28">
        <v>-90276785618</v>
      </c>
      <c r="G130" s="28">
        <v>-1838047210</v>
      </c>
    </row>
    <row r="131" spans="2:7">
      <c r="B131" s="15" t="s">
        <v>131</v>
      </c>
      <c r="E131" s="17"/>
      <c r="F131" s="18">
        <v>200000000</v>
      </c>
      <c r="G131" s="16"/>
    </row>
    <row r="132" spans="2:7">
      <c r="B132" s="15" t="s">
        <v>132</v>
      </c>
      <c r="C132" s="19">
        <v>-1100000000</v>
      </c>
      <c r="D132" s="18">
        <v>-300000000</v>
      </c>
      <c r="E132" s="17"/>
      <c r="F132" s="16"/>
      <c r="G132" s="18">
        <v>-455920000</v>
      </c>
    </row>
    <row r="133" spans="2:7">
      <c r="B133" s="15" t="s">
        <v>133</v>
      </c>
      <c r="E133" s="17"/>
      <c r="F133" s="18">
        <v>-865087908</v>
      </c>
      <c r="G133" s="18">
        <v>-1311464490</v>
      </c>
    </row>
    <row r="134" spans="2:7">
      <c r="B134" s="15" t="s">
        <v>134</v>
      </c>
      <c r="E134" s="17"/>
      <c r="F134" s="18">
        <v>-18780000</v>
      </c>
      <c r="G134" s="18">
        <v>-70662720</v>
      </c>
    </row>
    <row r="135" spans="2:7">
      <c r="B135" s="24" t="s">
        <v>135</v>
      </c>
      <c r="C135" s="17"/>
      <c r="D135" s="18">
        <v>3225402000</v>
      </c>
      <c r="E135" s="26">
        <v>5707047000</v>
      </c>
      <c r="F135" s="33"/>
      <c r="G135" s="33"/>
    </row>
    <row r="136" spans="2:7">
      <c r="B136" s="30" t="s">
        <v>143</v>
      </c>
      <c r="C136" s="17"/>
      <c r="D136" s="18">
        <v>354647515490</v>
      </c>
      <c r="E136" s="58"/>
      <c r="F136" s="58"/>
      <c r="G136" s="58"/>
    </row>
    <row r="137" spans="2:7">
      <c r="B137" s="30" t="s">
        <v>144</v>
      </c>
      <c r="C137" s="19">
        <v>10196738000</v>
      </c>
      <c r="D137" s="16"/>
      <c r="E137" s="58"/>
      <c r="F137" s="58"/>
      <c r="G137" s="58"/>
    </row>
    <row r="138" spans="2:7">
      <c r="B138" s="27" t="s">
        <v>136</v>
      </c>
      <c r="C138" s="19">
        <v>-5968807481</v>
      </c>
      <c r="D138" s="18">
        <v>-2091632</v>
      </c>
      <c r="E138" s="29">
        <v>-41337165041</v>
      </c>
      <c r="F138" s="28">
        <v>-46176851365</v>
      </c>
      <c r="G138" s="36"/>
    </row>
    <row r="139" spans="2:7">
      <c r="B139" s="15" t="s">
        <v>137</v>
      </c>
      <c r="E139" s="17"/>
      <c r="F139" s="18">
        <v>-43416066345</v>
      </c>
      <c r="G139" s="16"/>
    </row>
    <row r="140" spans="2:7">
      <c r="B140" s="15" t="s">
        <v>145</v>
      </c>
      <c r="C140" s="17"/>
      <c r="D140" s="18">
        <v>99999984000</v>
      </c>
      <c r="E140" s="17"/>
      <c r="F140" s="18"/>
      <c r="G140" s="16"/>
    </row>
    <row r="141" spans="2:7">
      <c r="B141" s="15" t="s">
        <v>138</v>
      </c>
      <c r="C141" s="19">
        <v>-5640156459</v>
      </c>
      <c r="D141" s="18">
        <v>-33579130439</v>
      </c>
      <c r="E141" s="19">
        <v>-2049467930</v>
      </c>
      <c r="F141" s="18">
        <v>-14261152098</v>
      </c>
      <c r="G141" s="18">
        <v>47168721080</v>
      </c>
    </row>
    <row r="142" spans="2:7">
      <c r="B142" s="15" t="s">
        <v>139</v>
      </c>
      <c r="C142" s="19">
        <v>70494504301</v>
      </c>
      <c r="D142" s="18">
        <v>64865009066</v>
      </c>
      <c r="E142" s="19">
        <v>31275054037</v>
      </c>
      <c r="F142" s="18">
        <v>29005216684</v>
      </c>
      <c r="G142" s="18">
        <v>15293774047</v>
      </c>
    </row>
    <row r="143" spans="2:7">
      <c r="B143" s="15" t="s">
        <v>140</v>
      </c>
      <c r="C143" s="19">
        <v>10661224</v>
      </c>
      <c r="D143" s="18">
        <v>-10824590</v>
      </c>
      <c r="E143" s="19">
        <v>-220369423</v>
      </c>
      <c r="F143" s="18">
        <v>549709461</v>
      </c>
      <c r="G143" s="18">
        <v>-104397410</v>
      </c>
    </row>
    <row r="144" spans="2:7">
      <c r="B144" s="20" t="s">
        <v>141</v>
      </c>
      <c r="C144" s="22">
        <v>64865009066</v>
      </c>
      <c r="D144" s="21">
        <v>31275054037</v>
      </c>
      <c r="E144" s="22">
        <v>29005216684</v>
      </c>
      <c r="F144" s="21">
        <v>15293774047</v>
      </c>
      <c r="G144" s="21">
        <v>62358097717</v>
      </c>
    </row>
    <row r="146" spans="1:10">
      <c r="B146" s="1" t="s">
        <v>154</v>
      </c>
      <c r="C146" s="90"/>
      <c r="D146" s="90"/>
      <c r="E146" s="90"/>
      <c r="F146" s="90"/>
      <c r="G146" s="90"/>
    </row>
    <row r="147" spans="1:10">
      <c r="B147" s="9" t="s">
        <v>29</v>
      </c>
      <c r="C147" s="9"/>
      <c r="D147" s="3"/>
      <c r="E147" s="3"/>
      <c r="F147" s="3"/>
      <c r="G147" s="3"/>
    </row>
    <row r="148" spans="1:10">
      <c r="B148" s="4" t="s">
        <v>30</v>
      </c>
      <c r="C148" s="4">
        <v>2016</v>
      </c>
      <c r="D148" s="4">
        <v>2017</v>
      </c>
      <c r="E148" s="4">
        <v>2018</v>
      </c>
      <c r="F148" s="4">
        <v>2019</v>
      </c>
      <c r="G148" s="4">
        <v>2020</v>
      </c>
    </row>
    <row r="149" spans="1:10">
      <c r="A149" s="56" t="s">
        <v>447</v>
      </c>
      <c r="B149" s="5" t="s">
        <v>31</v>
      </c>
      <c r="C149" s="48">
        <v>9640808</v>
      </c>
      <c r="D149" s="6">
        <v>11303057</v>
      </c>
      <c r="E149" s="6">
        <v>11820655</v>
      </c>
      <c r="F149" s="6">
        <v>16252725</v>
      </c>
      <c r="G149" s="6">
        <v>16499668</v>
      </c>
      <c r="I149" s="59">
        <f>+E149-D149</f>
        <v>517598</v>
      </c>
      <c r="J149" s="182">
        <f>+E149/D149-1</f>
        <v>4.5792744387646689E-2</v>
      </c>
    </row>
    <row r="150" spans="1:10">
      <c r="A150" s="56" t="s">
        <v>447</v>
      </c>
      <c r="B150" s="5" t="s">
        <v>32</v>
      </c>
      <c r="C150" s="48">
        <v>978776</v>
      </c>
      <c r="D150" s="6">
        <v>1153716</v>
      </c>
      <c r="E150" s="6">
        <v>1192998</v>
      </c>
      <c r="F150" s="6">
        <v>1729173</v>
      </c>
      <c r="G150" s="6">
        <v>2016777</v>
      </c>
      <c r="I150" s="59">
        <f t="shared" ref="I150:I169" si="0">+E150-D150</f>
        <v>39282</v>
      </c>
      <c r="J150" s="182">
        <f t="shared" ref="J150:J169" si="1">+E150/D150-1</f>
        <v>3.4048240641544325E-2</v>
      </c>
    </row>
    <row r="151" spans="1:10">
      <c r="A151" s="56" t="s">
        <v>447</v>
      </c>
      <c r="B151" s="5" t="s">
        <v>33</v>
      </c>
      <c r="C151" s="48">
        <v>1558647</v>
      </c>
      <c r="D151" s="6">
        <v>1543993</v>
      </c>
      <c r="E151" s="6">
        <v>2086556</v>
      </c>
      <c r="F151" s="6">
        <v>2811533</v>
      </c>
      <c r="G151" s="6">
        <v>2942806</v>
      </c>
      <c r="I151" s="59">
        <f t="shared" si="0"/>
        <v>542563</v>
      </c>
      <c r="J151" s="182">
        <f t="shared" si="1"/>
        <v>0.35140249988179995</v>
      </c>
    </row>
    <row r="152" spans="1:10">
      <c r="A152" s="56" t="s">
        <v>449</v>
      </c>
      <c r="B152" s="5" t="s">
        <v>34</v>
      </c>
      <c r="C152" s="48">
        <v>933959</v>
      </c>
      <c r="D152" s="6">
        <v>1076526</v>
      </c>
      <c r="E152" s="6">
        <v>1082765</v>
      </c>
      <c r="F152" s="6">
        <v>1228389</v>
      </c>
      <c r="G152" s="6">
        <v>498093</v>
      </c>
      <c r="I152" s="59">
        <f t="shared" si="0"/>
        <v>6239</v>
      </c>
      <c r="J152" s="182">
        <f t="shared" si="1"/>
        <v>5.7954940242965769E-3</v>
      </c>
    </row>
    <row r="153" spans="1:10">
      <c r="A153" s="56" t="s">
        <v>449</v>
      </c>
      <c r="B153" s="5" t="s">
        <v>35</v>
      </c>
      <c r="C153" s="48">
        <v>337867</v>
      </c>
      <c r="D153" s="6">
        <v>435783</v>
      </c>
      <c r="E153" s="6">
        <v>407714</v>
      </c>
      <c r="F153" s="6">
        <v>411244</v>
      </c>
      <c r="G153" s="6">
        <v>160253</v>
      </c>
      <c r="I153" s="59">
        <f t="shared" si="0"/>
        <v>-28069</v>
      </c>
      <c r="J153" s="182">
        <f t="shared" si="1"/>
        <v>-6.4410497885415419E-2</v>
      </c>
    </row>
    <row r="154" spans="1:10">
      <c r="A154" s="56" t="s">
        <v>451</v>
      </c>
      <c r="B154" s="5" t="s">
        <v>36</v>
      </c>
      <c r="C154" s="48">
        <v>181875</v>
      </c>
      <c r="D154" s="6">
        <v>197571</v>
      </c>
      <c r="E154" s="6">
        <v>359693</v>
      </c>
      <c r="F154" s="6">
        <v>170567</v>
      </c>
      <c r="G154" s="6">
        <v>64333</v>
      </c>
      <c r="I154" s="59">
        <f t="shared" si="0"/>
        <v>162122</v>
      </c>
      <c r="J154" s="182">
        <f t="shared" si="1"/>
        <v>0.82057589423548993</v>
      </c>
    </row>
    <row r="155" spans="1:10">
      <c r="A155" s="56" t="s">
        <v>448</v>
      </c>
      <c r="B155" s="5" t="s">
        <v>37</v>
      </c>
      <c r="C155" s="48">
        <v>870647</v>
      </c>
      <c r="D155" s="6">
        <v>1108029</v>
      </c>
      <c r="E155" s="6">
        <v>1206120</v>
      </c>
      <c r="F155" s="6">
        <v>2519491</v>
      </c>
      <c r="G155" s="6">
        <v>3089801</v>
      </c>
      <c r="I155" s="59">
        <f t="shared" si="0"/>
        <v>98091</v>
      </c>
      <c r="J155" s="182">
        <f t="shared" si="1"/>
        <v>8.8527466338877314E-2</v>
      </c>
    </row>
    <row r="156" spans="1:10">
      <c r="A156" s="56" t="s">
        <v>448</v>
      </c>
      <c r="B156" s="5" t="s">
        <v>38</v>
      </c>
      <c r="C156" s="48">
        <v>890884</v>
      </c>
      <c r="D156" s="6">
        <v>1119088</v>
      </c>
      <c r="E156" s="6">
        <v>1200711</v>
      </c>
      <c r="F156" s="6">
        <v>1554721</v>
      </c>
      <c r="G156" s="6">
        <v>2106004</v>
      </c>
      <c r="I156" s="59">
        <f t="shared" si="0"/>
        <v>81623</v>
      </c>
      <c r="J156" s="182">
        <f t="shared" si="1"/>
        <v>7.2937070185722597E-2</v>
      </c>
    </row>
    <row r="157" spans="1:10">
      <c r="A157" s="56" t="s">
        <v>451</v>
      </c>
      <c r="B157" s="5" t="s">
        <v>39</v>
      </c>
      <c r="C157" s="48">
        <v>1022161</v>
      </c>
      <c r="D157" s="6">
        <v>1310157</v>
      </c>
      <c r="E157" s="6">
        <v>1198326</v>
      </c>
      <c r="F157" s="6">
        <v>432760</v>
      </c>
      <c r="G157" s="6">
        <v>422824</v>
      </c>
      <c r="I157" s="59">
        <f t="shared" si="0"/>
        <v>-111831</v>
      </c>
      <c r="J157" s="182">
        <f t="shared" si="1"/>
        <v>-8.5356945770621362E-2</v>
      </c>
    </row>
    <row r="158" spans="1:10">
      <c r="A158" s="56" t="s">
        <v>451</v>
      </c>
      <c r="B158" s="5" t="s">
        <v>40</v>
      </c>
      <c r="C158" s="48">
        <v>126061</v>
      </c>
      <c r="D158" s="6">
        <v>105433</v>
      </c>
      <c r="E158" s="6">
        <v>68610</v>
      </c>
      <c r="F158" s="6">
        <v>38541</v>
      </c>
      <c r="G158" s="6">
        <v>46774</v>
      </c>
      <c r="I158" s="59">
        <f t="shared" si="0"/>
        <v>-36823</v>
      </c>
      <c r="J158" s="182">
        <f t="shared" si="1"/>
        <v>-0.34925497709445807</v>
      </c>
    </row>
    <row r="159" spans="1:10">
      <c r="A159" s="56" t="s">
        <v>450</v>
      </c>
      <c r="B159" s="5" t="s">
        <v>41</v>
      </c>
      <c r="C159" s="48">
        <v>4064975</v>
      </c>
      <c r="D159" s="6">
        <v>6922441</v>
      </c>
      <c r="E159" s="6">
        <v>7750340</v>
      </c>
      <c r="F159" s="6">
        <v>10225941</v>
      </c>
      <c r="G159" s="6">
        <v>15741470</v>
      </c>
      <c r="I159" s="59">
        <f t="shared" si="0"/>
        <v>827899</v>
      </c>
      <c r="J159" s="182">
        <f t="shared" si="1"/>
        <v>0.11959639670457278</v>
      </c>
    </row>
    <row r="160" spans="1:10">
      <c r="A160" s="56" t="s">
        <v>451</v>
      </c>
      <c r="B160" s="5" t="s">
        <v>42</v>
      </c>
      <c r="C160" s="48">
        <v>537532</v>
      </c>
      <c r="D160" s="6">
        <v>608118</v>
      </c>
      <c r="E160" s="6">
        <v>853806</v>
      </c>
      <c r="F160" s="6">
        <v>1250211</v>
      </c>
      <c r="G160" s="6">
        <v>1219651</v>
      </c>
      <c r="I160" s="59">
        <f t="shared" si="0"/>
        <v>245688</v>
      </c>
      <c r="J160" s="182">
        <f t="shared" si="1"/>
        <v>0.40401369471056614</v>
      </c>
    </row>
    <row r="161" spans="1:10">
      <c r="A161" s="56" t="s">
        <v>451</v>
      </c>
      <c r="B161" s="5" t="s">
        <v>43</v>
      </c>
      <c r="C161" s="48">
        <v>614085</v>
      </c>
      <c r="D161" s="6">
        <v>710827</v>
      </c>
      <c r="E161" s="6">
        <v>725938</v>
      </c>
      <c r="F161" s="6">
        <v>835658</v>
      </c>
      <c r="G161" s="6">
        <v>474742</v>
      </c>
      <c r="I161" s="59">
        <f t="shared" si="0"/>
        <v>15111</v>
      </c>
      <c r="J161" s="182">
        <f t="shared" si="1"/>
        <v>2.1258337120002579E-2</v>
      </c>
    </row>
    <row r="162" spans="1:10">
      <c r="A162" s="117" t="s">
        <v>455</v>
      </c>
      <c r="B162" s="5" t="s">
        <v>44</v>
      </c>
      <c r="C162" s="48">
        <v>3736025</v>
      </c>
      <c r="D162" s="6">
        <v>4882064</v>
      </c>
      <c r="E162" s="6">
        <v>21851224</v>
      </c>
      <c r="F162" s="6">
        <v>20932444</v>
      </c>
      <c r="G162" s="6">
        <v>16110173</v>
      </c>
      <c r="I162" s="59">
        <f t="shared" si="0"/>
        <v>16969160</v>
      </c>
      <c r="J162" s="182">
        <f t="shared" si="1"/>
        <v>3.475816785687365</v>
      </c>
    </row>
    <row r="163" spans="1:10">
      <c r="A163" s="56" t="s">
        <v>449</v>
      </c>
      <c r="B163" s="5" t="s">
        <v>45</v>
      </c>
      <c r="C163" s="48">
        <v>3195294</v>
      </c>
      <c r="D163" s="6">
        <v>4926395</v>
      </c>
      <c r="E163" s="6">
        <v>7374979</v>
      </c>
      <c r="F163" s="6">
        <v>6181028</v>
      </c>
      <c r="G163" s="6">
        <v>3613730</v>
      </c>
      <c r="I163" s="59">
        <f t="shared" si="0"/>
        <v>2448584</v>
      </c>
      <c r="J163" s="182">
        <f t="shared" si="1"/>
        <v>0.49703363209811635</v>
      </c>
    </row>
    <row r="164" spans="1:10">
      <c r="A164" s="56" t="s">
        <v>449</v>
      </c>
      <c r="B164" s="5" t="s">
        <v>46</v>
      </c>
      <c r="C164" s="5"/>
      <c r="D164" s="7" t="s">
        <v>50</v>
      </c>
      <c r="E164" s="6">
        <v>990405</v>
      </c>
      <c r="F164" s="6">
        <v>2083540</v>
      </c>
      <c r="G164" s="6">
        <v>1528729</v>
      </c>
      <c r="I164" s="59" t="e">
        <f t="shared" si="0"/>
        <v>#VALUE!</v>
      </c>
      <c r="J164" s="182" t="e">
        <f t="shared" si="1"/>
        <v>#VALUE!</v>
      </c>
    </row>
    <row r="165" spans="1:10">
      <c r="A165" s="117" t="s">
        <v>456</v>
      </c>
      <c r="B165" s="5" t="s">
        <v>47</v>
      </c>
      <c r="C165" s="48">
        <v>354458</v>
      </c>
      <c r="D165" s="6">
        <v>990506</v>
      </c>
      <c r="E165" s="6">
        <v>9882172</v>
      </c>
      <c r="F165" s="6">
        <v>5796247</v>
      </c>
      <c r="G165" s="6">
        <v>1915041</v>
      </c>
      <c r="I165" s="59">
        <f t="shared" si="0"/>
        <v>8891666</v>
      </c>
      <c r="J165" s="182">
        <f t="shared" si="1"/>
        <v>8.9768926185202318</v>
      </c>
    </row>
    <row r="166" spans="1:10">
      <c r="A166" s="56" t="s">
        <v>451</v>
      </c>
      <c r="B166" s="5" t="s">
        <v>48</v>
      </c>
      <c r="C166" s="48">
        <v>246168</v>
      </c>
      <c r="D166" s="6">
        <v>285166</v>
      </c>
      <c r="E166" s="6">
        <v>125900</v>
      </c>
      <c r="F166" s="6">
        <v>273190</v>
      </c>
      <c r="G166" s="6">
        <v>377422</v>
      </c>
      <c r="I166" s="59">
        <f t="shared" si="0"/>
        <v>-159266</v>
      </c>
      <c r="J166" s="182">
        <f t="shared" si="1"/>
        <v>-0.5585027668095075</v>
      </c>
    </row>
    <row r="167" spans="1:10">
      <c r="A167" s="56" t="s">
        <v>447</v>
      </c>
      <c r="B167" s="5" t="s">
        <v>49</v>
      </c>
      <c r="C167" s="48">
        <v>978951</v>
      </c>
      <c r="D167" s="6">
        <v>548716</v>
      </c>
      <c r="E167" s="6">
        <v>122542</v>
      </c>
      <c r="F167" s="7" t="s">
        <v>50</v>
      </c>
      <c r="G167" s="6">
        <v>766506</v>
      </c>
      <c r="I167" s="59">
        <f t="shared" si="0"/>
        <v>-426174</v>
      </c>
      <c r="J167" s="182">
        <f t="shared" si="1"/>
        <v>-0.77667500127570543</v>
      </c>
    </row>
    <row r="168" spans="1:10">
      <c r="A168" s="56" t="s">
        <v>451</v>
      </c>
      <c r="B168" s="5" t="s">
        <v>9</v>
      </c>
      <c r="C168" s="48">
        <v>870363</v>
      </c>
      <c r="D168" s="6">
        <v>960139</v>
      </c>
      <c r="E168" s="6">
        <v>887844</v>
      </c>
      <c r="F168" s="6">
        <v>1131018</v>
      </c>
      <c r="G168" s="6">
        <v>1130533</v>
      </c>
      <c r="I168" s="59">
        <f t="shared" si="0"/>
        <v>-72295</v>
      </c>
      <c r="J168" s="182">
        <f t="shared" si="1"/>
        <v>-7.529638937695482E-2</v>
      </c>
    </row>
    <row r="169" spans="1:10">
      <c r="B169" s="8" t="s">
        <v>51</v>
      </c>
      <c r="C169" s="6">
        <v>31139536</v>
      </c>
      <c r="D169" s="6">
        <v>40187725</v>
      </c>
      <c r="E169" s="6">
        <v>71189298</v>
      </c>
      <c r="F169" s="6">
        <v>75858421</v>
      </c>
      <c r="G169" s="6">
        <v>70725330</v>
      </c>
      <c r="I169" s="59">
        <f t="shared" si="0"/>
        <v>31001573</v>
      </c>
      <c r="J169" s="182">
        <f t="shared" si="1"/>
        <v>0.77141895939618377</v>
      </c>
    </row>
    <row r="170" spans="1:10">
      <c r="B170" s="75"/>
      <c r="C170" s="75"/>
      <c r="D170" s="75"/>
      <c r="E170" s="75"/>
      <c r="F170" s="75"/>
      <c r="G170" s="75"/>
    </row>
    <row r="171" spans="1:10">
      <c r="B171" s="1" t="s">
        <v>153</v>
      </c>
      <c r="C171" s="1"/>
      <c r="D171" s="1"/>
      <c r="E171" s="1"/>
      <c r="F171" s="1"/>
      <c r="G171" s="1"/>
    </row>
    <row r="172" spans="1:10">
      <c r="B172" s="9" t="s">
        <v>29</v>
      </c>
      <c r="C172" s="9"/>
      <c r="D172" s="3"/>
      <c r="E172" s="3"/>
      <c r="F172" s="3"/>
      <c r="G172" s="3"/>
    </row>
    <row r="173" spans="1:10">
      <c r="B173" s="37" t="s">
        <v>30</v>
      </c>
      <c r="C173" s="39">
        <v>2016</v>
      </c>
      <c r="D173" s="39">
        <v>2017</v>
      </c>
      <c r="E173" s="38">
        <v>2018</v>
      </c>
      <c r="F173" s="39">
        <v>2019</v>
      </c>
      <c r="G173" s="38">
        <v>2020</v>
      </c>
    </row>
    <row r="174" spans="1:10">
      <c r="B174" s="40" t="s">
        <v>146</v>
      </c>
      <c r="C174" s="42">
        <v>9926071</v>
      </c>
      <c r="D174" s="42">
        <v>12006448</v>
      </c>
      <c r="E174" s="41">
        <v>13145570</v>
      </c>
      <c r="F174" s="42">
        <v>16670561</v>
      </c>
      <c r="G174" s="41">
        <v>16735653</v>
      </c>
    </row>
    <row r="175" spans="1:10">
      <c r="B175" s="40" t="s">
        <v>147</v>
      </c>
      <c r="C175" s="42">
        <v>-3307594</v>
      </c>
      <c r="D175" s="42">
        <v>-2052885</v>
      </c>
      <c r="E175" s="41">
        <v>-3191380</v>
      </c>
      <c r="F175" s="42">
        <v>-9568206</v>
      </c>
      <c r="G175" s="41">
        <v>1976807</v>
      </c>
    </row>
    <row r="176" spans="1:10">
      <c r="B176" s="40" t="s">
        <v>148</v>
      </c>
      <c r="C176" s="42">
        <v>9164467</v>
      </c>
      <c r="D176" s="42">
        <v>11514516</v>
      </c>
      <c r="E176" s="41">
        <v>12307165</v>
      </c>
      <c r="F176" s="42">
        <v>15961148</v>
      </c>
      <c r="G176" s="41">
        <v>13502213</v>
      </c>
    </row>
    <row r="177" spans="2:7">
      <c r="B177" s="40" t="s">
        <v>149</v>
      </c>
      <c r="C177" s="42">
        <v>17910913</v>
      </c>
      <c r="D177" s="42">
        <v>20339053</v>
      </c>
      <c r="E177" s="41">
        <v>24751021</v>
      </c>
      <c r="F177" s="42">
        <v>32849144</v>
      </c>
      <c r="G177" s="41">
        <v>35160379</v>
      </c>
    </row>
    <row r="178" spans="2:7">
      <c r="B178" s="40" t="s">
        <v>34</v>
      </c>
      <c r="C178" s="42">
        <v>979704</v>
      </c>
      <c r="D178" s="42">
        <v>1127102</v>
      </c>
      <c r="E178" s="41">
        <v>1130183</v>
      </c>
      <c r="F178" s="42">
        <v>1270464</v>
      </c>
      <c r="G178" s="41">
        <v>513875</v>
      </c>
    </row>
    <row r="179" spans="2:7">
      <c r="B179" s="40" t="s">
        <v>35</v>
      </c>
      <c r="C179" s="42">
        <v>274525</v>
      </c>
      <c r="D179" s="42">
        <v>438655</v>
      </c>
      <c r="E179" s="41">
        <v>409035</v>
      </c>
      <c r="F179" s="42">
        <v>422148</v>
      </c>
      <c r="G179" s="41">
        <v>162904</v>
      </c>
    </row>
    <row r="180" spans="2:7">
      <c r="B180" s="40" t="s">
        <v>150</v>
      </c>
      <c r="C180" s="42">
        <v>696915</v>
      </c>
      <c r="D180" s="42">
        <v>813830</v>
      </c>
      <c r="E180" s="41">
        <v>769309</v>
      </c>
      <c r="F180" s="42">
        <v>884010</v>
      </c>
      <c r="G180" s="41">
        <v>919449</v>
      </c>
    </row>
    <row r="181" spans="2:7">
      <c r="B181" s="40" t="s">
        <v>37</v>
      </c>
      <c r="C181" s="42">
        <v>3918376</v>
      </c>
      <c r="D181" s="42">
        <v>5642978</v>
      </c>
      <c r="E181" s="41">
        <v>6290185</v>
      </c>
      <c r="F181" s="42">
        <v>7771323</v>
      </c>
      <c r="G181" s="41">
        <v>8588185</v>
      </c>
    </row>
    <row r="182" spans="2:7">
      <c r="B182" s="40" t="s">
        <v>38</v>
      </c>
      <c r="C182" s="42">
        <v>890884</v>
      </c>
      <c r="D182" s="42">
        <v>1119088</v>
      </c>
      <c r="E182" s="41">
        <v>1200711</v>
      </c>
      <c r="F182" s="42">
        <v>1554721</v>
      </c>
      <c r="G182" s="41">
        <v>2116184</v>
      </c>
    </row>
    <row r="183" spans="2:7">
      <c r="B183" s="40" t="s">
        <v>39</v>
      </c>
      <c r="C183" s="42">
        <v>1156403</v>
      </c>
      <c r="D183" s="42">
        <v>1588826</v>
      </c>
      <c r="E183" s="41">
        <v>1477536</v>
      </c>
      <c r="F183" s="42">
        <v>506256</v>
      </c>
      <c r="G183" s="41">
        <v>450251</v>
      </c>
    </row>
    <row r="184" spans="2:7">
      <c r="B184" s="40" t="s">
        <v>41</v>
      </c>
      <c r="C184" s="42">
        <v>4064975</v>
      </c>
      <c r="D184" s="42">
        <v>6922441</v>
      </c>
      <c r="E184" s="41">
        <v>7542765</v>
      </c>
      <c r="F184" s="42">
        <v>10225941</v>
      </c>
      <c r="G184" s="41">
        <v>15741470</v>
      </c>
    </row>
    <row r="185" spans="2:7">
      <c r="B185" s="40" t="s">
        <v>42</v>
      </c>
      <c r="C185" s="42">
        <v>572193</v>
      </c>
      <c r="D185" s="42">
        <v>614900</v>
      </c>
      <c r="E185" s="41">
        <v>861274</v>
      </c>
      <c r="F185" s="42">
        <v>1260377</v>
      </c>
      <c r="G185" s="41">
        <v>1375579</v>
      </c>
    </row>
    <row r="186" spans="2:7">
      <c r="B186" s="40" t="s">
        <v>43</v>
      </c>
      <c r="C186" s="42">
        <v>2566755</v>
      </c>
      <c r="D186" s="42">
        <v>3184404</v>
      </c>
      <c r="E186" s="41">
        <v>3689253</v>
      </c>
      <c r="F186" s="42">
        <v>4061644</v>
      </c>
      <c r="G186" s="41">
        <v>3611545</v>
      </c>
    </row>
    <row r="187" spans="2:7">
      <c r="B187" s="40" t="s">
        <v>44</v>
      </c>
      <c r="C187" s="42">
        <v>4294488</v>
      </c>
      <c r="D187" s="42">
        <v>5845119</v>
      </c>
      <c r="E187" s="41">
        <v>22677340</v>
      </c>
      <c r="F187" s="42">
        <v>22153434</v>
      </c>
      <c r="G187" s="41">
        <v>17182229</v>
      </c>
    </row>
    <row r="188" spans="2:7">
      <c r="B188" s="40" t="s">
        <v>151</v>
      </c>
      <c r="C188" s="1"/>
      <c r="D188" s="43"/>
      <c r="E188" s="41">
        <v>6666666</v>
      </c>
      <c r="F188" s="42">
        <v>12160290</v>
      </c>
      <c r="G188" s="41">
        <v>3342211</v>
      </c>
    </row>
    <row r="189" spans="2:7">
      <c r="B189" s="40" t="s">
        <v>45</v>
      </c>
      <c r="C189" s="42">
        <v>3195294</v>
      </c>
      <c r="D189" s="42">
        <v>4926395</v>
      </c>
      <c r="E189" s="41">
        <v>7374979</v>
      </c>
      <c r="F189" s="42">
        <v>6181028</v>
      </c>
      <c r="G189" s="41">
        <v>3613730</v>
      </c>
    </row>
    <row r="190" spans="2:7">
      <c r="B190" s="40" t="s">
        <v>46</v>
      </c>
      <c r="C190" s="1"/>
      <c r="D190" s="43"/>
      <c r="E190" s="41">
        <v>993282</v>
      </c>
      <c r="F190" s="42">
        <v>2083540</v>
      </c>
      <c r="G190" s="41">
        <v>1528729</v>
      </c>
    </row>
    <row r="191" spans="2:7">
      <c r="B191" s="40" t="s">
        <v>47</v>
      </c>
      <c r="C191" s="42">
        <v>354458</v>
      </c>
      <c r="D191" s="42">
        <v>990506</v>
      </c>
      <c r="E191" s="41">
        <v>9879296</v>
      </c>
      <c r="F191" s="42">
        <v>5796247</v>
      </c>
      <c r="G191" s="41">
        <v>1915041</v>
      </c>
    </row>
    <row r="192" spans="2:7">
      <c r="B192" s="40" t="s">
        <v>152</v>
      </c>
      <c r="C192" s="42">
        <v>462167</v>
      </c>
      <c r="D192" s="42">
        <v>956349</v>
      </c>
      <c r="E192" s="41">
        <v>744033</v>
      </c>
      <c r="F192" s="42">
        <v>687055</v>
      </c>
      <c r="G192" s="41">
        <v>678794</v>
      </c>
    </row>
    <row r="193" spans="2:7">
      <c r="B193" s="40" t="s">
        <v>49</v>
      </c>
      <c r="C193" s="42">
        <v>978951</v>
      </c>
      <c r="D193" s="42">
        <v>548716</v>
      </c>
      <c r="E193" s="41">
        <v>122541</v>
      </c>
      <c r="F193" s="43"/>
      <c r="G193" s="41">
        <v>766506</v>
      </c>
    </row>
    <row r="194" spans="2:7">
      <c r="B194" s="40" t="s">
        <v>9</v>
      </c>
      <c r="C194" s="42">
        <v>2829230</v>
      </c>
      <c r="D194" s="42">
        <v>3634711</v>
      </c>
      <c r="E194" s="41">
        <v>3355881</v>
      </c>
      <c r="F194" s="42">
        <v>3549803</v>
      </c>
      <c r="G194" s="41">
        <v>3096822</v>
      </c>
    </row>
    <row r="195" spans="2:7">
      <c r="B195" s="46" t="s">
        <v>155</v>
      </c>
      <c r="C195" s="44">
        <v>60929175</v>
      </c>
      <c r="D195" s="44">
        <v>80161152</v>
      </c>
      <c r="E195" s="45">
        <v>122196645</v>
      </c>
      <c r="F195" s="44">
        <v>136480928</v>
      </c>
      <c r="G195" s="45">
        <v>132978556</v>
      </c>
    </row>
    <row r="196" spans="2:7">
      <c r="B196" s="1"/>
      <c r="C196" s="1"/>
      <c r="D196" s="1"/>
      <c r="E196" s="1"/>
      <c r="F196" s="1"/>
      <c r="G196" s="1"/>
    </row>
    <row r="197" spans="2:7">
      <c r="B197" s="1" t="s">
        <v>205</v>
      </c>
      <c r="C197" s="1"/>
      <c r="D197" s="1"/>
      <c r="E197" s="1"/>
      <c r="F197" s="1"/>
      <c r="G197" s="1"/>
    </row>
    <row r="198" spans="2:7">
      <c r="B198" s="9"/>
      <c r="C198" s="9"/>
      <c r="D198" s="3"/>
      <c r="E198" s="3"/>
      <c r="F198" s="3"/>
      <c r="G198" s="3"/>
    </row>
    <row r="199" spans="2:7">
      <c r="B199" s="53" t="s">
        <v>30</v>
      </c>
      <c r="C199" s="54">
        <v>2016</v>
      </c>
      <c r="D199" s="54">
        <v>2017</v>
      </c>
      <c r="E199" s="55">
        <v>2018</v>
      </c>
      <c r="F199" s="54">
        <v>2019</v>
      </c>
      <c r="G199" s="55">
        <v>2020</v>
      </c>
    </row>
    <row r="200" spans="2:7">
      <c r="B200" s="2" t="s">
        <v>206</v>
      </c>
      <c r="C200" s="2">
        <v>165</v>
      </c>
      <c r="D200" s="2">
        <v>203</v>
      </c>
      <c r="E200" s="2">
        <v>355</v>
      </c>
      <c r="F200" s="2">
        <v>429</v>
      </c>
      <c r="G200" s="2">
        <v>438</v>
      </c>
    </row>
    <row r="201" spans="2:7">
      <c r="B201" s="1"/>
      <c r="C201" s="1"/>
      <c r="D201" s="1"/>
      <c r="E201" s="1"/>
      <c r="F201" s="1"/>
      <c r="G201" s="1"/>
    </row>
    <row r="202" spans="2:7">
      <c r="B202" s="1" t="s">
        <v>209</v>
      </c>
      <c r="C202" s="1"/>
      <c r="D202" s="1"/>
      <c r="E202" s="1"/>
      <c r="F202" s="1"/>
      <c r="G202" s="1"/>
    </row>
    <row r="203" spans="2:7">
      <c r="B203" s="9"/>
      <c r="C203" s="9"/>
      <c r="D203" s="3"/>
      <c r="E203" s="3"/>
      <c r="F203" s="3"/>
      <c r="G203" s="3"/>
    </row>
    <row r="204" spans="2:7">
      <c r="B204" s="53" t="s">
        <v>30</v>
      </c>
      <c r="C204" s="54">
        <v>2016</v>
      </c>
      <c r="D204" s="54">
        <v>2017</v>
      </c>
      <c r="E204" s="55">
        <v>2018</v>
      </c>
      <c r="F204" s="54">
        <v>2019</v>
      </c>
      <c r="G204" s="55">
        <v>2020</v>
      </c>
    </row>
    <row r="205" spans="2:7">
      <c r="B205" s="71" t="s">
        <v>210</v>
      </c>
      <c r="C205" s="71">
        <v>165</v>
      </c>
      <c r="D205" s="71">
        <v>203</v>
      </c>
      <c r="E205" s="71">
        <v>355</v>
      </c>
      <c r="F205" s="71">
        <v>429</v>
      </c>
      <c r="G205" s="71">
        <v>438</v>
      </c>
    </row>
    <row r="206" spans="2:7">
      <c r="B206" s="69" t="s">
        <v>211</v>
      </c>
      <c r="C206" s="70">
        <v>30</v>
      </c>
      <c r="D206" s="70">
        <v>35</v>
      </c>
      <c r="E206" s="70">
        <v>75</v>
      </c>
      <c r="F206" s="70">
        <v>92</v>
      </c>
      <c r="G206" s="70">
        <v>93</v>
      </c>
    </row>
    <row r="207" spans="2:7">
      <c r="B207" s="69" t="s">
        <v>220</v>
      </c>
      <c r="C207" s="70">
        <v>5</v>
      </c>
      <c r="D207" s="70">
        <v>8</v>
      </c>
      <c r="E207" s="70">
        <v>11</v>
      </c>
      <c r="F207" s="70">
        <v>14</v>
      </c>
      <c r="G207" s="70">
        <v>17</v>
      </c>
    </row>
    <row r="208" spans="2:7">
      <c r="B208" s="69" t="s">
        <v>212</v>
      </c>
      <c r="C208" s="70">
        <v>30</v>
      </c>
      <c r="D208" s="70">
        <v>40</v>
      </c>
      <c r="E208" s="70">
        <v>80</v>
      </c>
      <c r="F208" s="70">
        <v>95</v>
      </c>
      <c r="G208" s="70">
        <v>95</v>
      </c>
    </row>
    <row r="209" spans="2:7">
      <c r="B209" s="69" t="s">
        <v>222</v>
      </c>
      <c r="C209" s="70">
        <v>10</v>
      </c>
      <c r="D209" s="70">
        <v>12</v>
      </c>
      <c r="E209" s="70">
        <v>20</v>
      </c>
      <c r="F209" s="70">
        <v>25</v>
      </c>
      <c r="G209" s="70">
        <v>27</v>
      </c>
    </row>
    <row r="210" spans="2:7">
      <c r="B210" s="69" t="s">
        <v>216</v>
      </c>
      <c r="C210" s="70">
        <v>25</v>
      </c>
      <c r="D210" s="70">
        <v>30</v>
      </c>
      <c r="E210" s="70">
        <v>65</v>
      </c>
      <c r="F210" s="70">
        <v>78</v>
      </c>
      <c r="G210" s="70">
        <v>80</v>
      </c>
    </row>
    <row r="211" spans="2:7">
      <c r="B211" s="69" t="s">
        <v>217</v>
      </c>
      <c r="C211" s="70">
        <v>10</v>
      </c>
      <c r="D211" s="70">
        <v>13</v>
      </c>
      <c r="E211" s="70">
        <v>20</v>
      </c>
      <c r="F211" s="70">
        <v>23</v>
      </c>
      <c r="G211" s="70">
        <v>24</v>
      </c>
    </row>
    <row r="212" spans="2:7">
      <c r="B212" s="69" t="s">
        <v>221</v>
      </c>
      <c r="C212" s="70">
        <v>10</v>
      </c>
      <c r="D212" s="70">
        <v>13</v>
      </c>
      <c r="E212" s="70">
        <v>20</v>
      </c>
      <c r="F212" s="70">
        <v>23</v>
      </c>
      <c r="G212" s="70">
        <v>24</v>
      </c>
    </row>
    <row r="213" spans="2:7">
      <c r="B213" s="69" t="s">
        <v>214</v>
      </c>
      <c r="C213" s="70">
        <v>5</v>
      </c>
      <c r="D213" s="70">
        <v>7</v>
      </c>
      <c r="E213" s="70">
        <v>9</v>
      </c>
      <c r="F213" s="70">
        <v>11</v>
      </c>
      <c r="G213" s="70">
        <v>12</v>
      </c>
    </row>
    <row r="214" spans="2:7">
      <c r="B214" s="69" t="s">
        <v>215</v>
      </c>
      <c r="C214" s="70">
        <v>7</v>
      </c>
      <c r="D214" s="70">
        <v>9</v>
      </c>
      <c r="E214" s="70">
        <v>11</v>
      </c>
      <c r="F214" s="70">
        <v>13</v>
      </c>
      <c r="G214" s="70">
        <v>14</v>
      </c>
    </row>
    <row r="215" spans="2:7">
      <c r="B215" s="69" t="s">
        <v>213</v>
      </c>
      <c r="C215" s="70">
        <v>15</v>
      </c>
      <c r="D215" s="70">
        <v>17</v>
      </c>
      <c r="E215" s="70">
        <v>22</v>
      </c>
      <c r="F215" s="70">
        <v>27</v>
      </c>
      <c r="G215" s="70">
        <v>27</v>
      </c>
    </row>
    <row r="216" spans="2:7">
      <c r="B216" s="69" t="s">
        <v>219</v>
      </c>
      <c r="C216" s="70">
        <v>8</v>
      </c>
      <c r="D216" s="70">
        <v>11</v>
      </c>
      <c r="E216" s="70">
        <v>14</v>
      </c>
      <c r="F216" s="70">
        <v>17</v>
      </c>
      <c r="G216" s="70">
        <v>18</v>
      </c>
    </row>
    <row r="217" spans="2:7">
      <c r="B217" s="69" t="s">
        <v>218</v>
      </c>
      <c r="C217" s="70">
        <v>10</v>
      </c>
      <c r="D217" s="70">
        <v>8</v>
      </c>
      <c r="E217" s="70">
        <v>8</v>
      </c>
      <c r="F217" s="70">
        <v>11</v>
      </c>
      <c r="G217" s="70">
        <v>7</v>
      </c>
    </row>
    <row r="218" spans="2:7">
      <c r="B218" s="1"/>
      <c r="C218" s="1"/>
      <c r="D218" s="1"/>
      <c r="E218" s="1"/>
      <c r="F218" s="1"/>
      <c r="G218" s="1"/>
    </row>
    <row r="219" spans="2:7">
      <c r="B219" t="s">
        <v>224</v>
      </c>
      <c r="C219"/>
      <c r="D219"/>
      <c r="E219"/>
      <c r="F219"/>
      <c r="G219"/>
    </row>
    <row r="220" spans="2:7">
      <c r="B220" s="9"/>
      <c r="C220" s="9"/>
      <c r="D220" s="3"/>
      <c r="E220" s="3"/>
      <c r="F220" s="3"/>
      <c r="G220" s="3"/>
    </row>
    <row r="221" spans="2:7">
      <c r="B221" s="4" t="s">
        <v>30</v>
      </c>
      <c r="C221" s="4">
        <v>2016</v>
      </c>
      <c r="D221" s="4">
        <v>2017</v>
      </c>
      <c r="E221" s="4">
        <v>2018</v>
      </c>
      <c r="F221" s="4">
        <v>2019</v>
      </c>
      <c r="G221" s="4">
        <v>2020</v>
      </c>
    </row>
    <row r="222" spans="2:7">
      <c r="B222" s="73" t="s">
        <v>225</v>
      </c>
      <c r="C222" s="74">
        <v>4231448</v>
      </c>
      <c r="D222" s="74">
        <v>7286748</v>
      </c>
      <c r="E222" s="74">
        <v>14794639</v>
      </c>
      <c r="F222" s="74">
        <v>31340127</v>
      </c>
      <c r="G222" s="74">
        <v>33000060</v>
      </c>
    </row>
    <row r="225" spans="2:8" ht="15.6">
      <c r="B225" s="105" t="s">
        <v>345</v>
      </c>
      <c r="C225"/>
      <c r="D225"/>
      <c r="E225"/>
      <c r="F225"/>
      <c r="G225"/>
    </row>
    <row r="226" spans="2:8">
      <c r="B226" s="109" t="s">
        <v>30</v>
      </c>
      <c r="C226" s="109">
        <v>2016</v>
      </c>
      <c r="D226" s="109">
        <v>2017</v>
      </c>
      <c r="E226" s="109">
        <v>2018</v>
      </c>
      <c r="F226" s="109">
        <v>2019</v>
      </c>
      <c r="G226" s="109">
        <v>2020</v>
      </c>
      <c r="H226" s="109" t="s">
        <v>349</v>
      </c>
    </row>
    <row r="227" spans="2:8">
      <c r="B227" s="110" t="s">
        <v>346</v>
      </c>
      <c r="C227" s="108">
        <v>3284058</v>
      </c>
      <c r="D227" s="108">
        <v>4307705</v>
      </c>
      <c r="E227" s="108">
        <v>4358205</v>
      </c>
      <c r="F227" s="108">
        <v>4319765</v>
      </c>
      <c r="G227" s="111">
        <v>12670135</v>
      </c>
      <c r="H227" s="111">
        <v>12485455</v>
      </c>
    </row>
    <row r="228" spans="2:8">
      <c r="B228" s="110" t="s">
        <v>347</v>
      </c>
      <c r="C228" s="108">
        <v>19532</v>
      </c>
      <c r="D228" s="108">
        <v>2239</v>
      </c>
      <c r="E228" s="108">
        <v>128963</v>
      </c>
      <c r="F228" s="108">
        <v>144580</v>
      </c>
      <c r="G228" s="111">
        <v>144580</v>
      </c>
      <c r="H228" s="111">
        <v>157336</v>
      </c>
    </row>
    <row r="229" spans="2:8">
      <c r="B229" s="110" t="s">
        <v>348</v>
      </c>
      <c r="C229" s="108">
        <v>3264526</v>
      </c>
      <c r="D229" s="108">
        <v>4305466</v>
      </c>
      <c r="E229" s="108">
        <v>4229242</v>
      </c>
      <c r="F229" s="108">
        <v>4175185</v>
      </c>
      <c r="G229" s="111">
        <v>12525555</v>
      </c>
      <c r="H229" s="111">
        <v>12328119</v>
      </c>
    </row>
    <row r="230" spans="2:8" s="106" customFormat="1">
      <c r="B230" s="112"/>
      <c r="C230" s="107"/>
      <c r="D230" s="107"/>
      <c r="E230" s="107"/>
      <c r="F230" s="113"/>
      <c r="G230" s="114"/>
      <c r="H230" s="114"/>
    </row>
    <row r="231" spans="2:8">
      <c r="B231" s="110" t="s">
        <v>350</v>
      </c>
      <c r="C231" s="108">
        <v>0</v>
      </c>
      <c r="D231" s="108">
        <v>273224</v>
      </c>
      <c r="E231" s="108">
        <v>273224</v>
      </c>
      <c r="F231" s="108">
        <v>273224</v>
      </c>
      <c r="G231" s="111">
        <v>273224</v>
      </c>
      <c r="H231" s="111">
        <v>801281</v>
      </c>
    </row>
  </sheetData>
  <phoneticPr fontId="2" type="noConversion"/>
  <conditionalFormatting sqref="I149:I169">
    <cfRule type="colorScale" priority="2">
      <colorScale>
        <cfvo type="min"/>
        <cfvo type="max"/>
        <color rgb="FFFCFCFF"/>
        <color rgb="FF63BE7B"/>
      </colorScale>
    </cfRule>
  </conditionalFormatting>
  <conditionalFormatting sqref="J149:J16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theme="0" tint="-0.14999847407452621"/>
  </sheetPr>
  <dimension ref="B2:G47"/>
  <sheetViews>
    <sheetView showGridLines="0" zoomScale="115" zoomScaleNormal="115" workbookViewId="0">
      <pane xSplit="2" ySplit="2" topLeftCell="C3" activePane="bottomRight" state="frozen"/>
      <selection pane="topRight"/>
      <selection pane="bottomLeft"/>
      <selection pane="bottomRight" activeCell="C14" sqref="C14"/>
    </sheetView>
  </sheetViews>
  <sheetFormatPr defaultColWidth="8.88671875" defaultRowHeight="13.8" outlineLevelRow="1"/>
  <cols>
    <col min="1" max="1" width="2.77734375" style="60" customWidth="1"/>
    <col min="2" max="2" width="27" style="60" bestFit="1" customWidth="1"/>
    <col min="3" max="3" width="9.88671875" style="60" bestFit="1" customWidth="1"/>
    <col min="4" max="4" width="9" style="60" customWidth="1"/>
    <col min="5" max="5" width="9.88671875" style="60" bestFit="1" customWidth="1"/>
    <col min="6" max="6" width="9" style="60" customWidth="1"/>
    <col min="7" max="7" width="9.88671875" style="60" bestFit="1" customWidth="1"/>
    <col min="8" max="8" width="8.88671875" style="60"/>
    <col min="9" max="9" width="10.33203125" style="60" bestFit="1" customWidth="1"/>
    <col min="10" max="16384" width="8.88671875" style="60"/>
  </cols>
  <sheetData>
    <row r="2" spans="2:7">
      <c r="B2" s="68" t="s">
        <v>208</v>
      </c>
      <c r="C2" s="66">
        <v>2016</v>
      </c>
      <c r="D2" s="66">
        <v>2017</v>
      </c>
      <c r="E2" s="66">
        <v>2018</v>
      </c>
      <c r="F2" s="66">
        <v>2019</v>
      </c>
      <c r="G2" s="66">
        <v>2020</v>
      </c>
    </row>
    <row r="3" spans="2:7" s="63" customFormat="1">
      <c r="B3" s="61" t="s">
        <v>164</v>
      </c>
      <c r="C3" s="62">
        <v>124.20000000000002</v>
      </c>
      <c r="D3" s="62">
        <v>182.10000000000002</v>
      </c>
      <c r="E3" s="62">
        <v>182.3</v>
      </c>
      <c r="F3" s="62">
        <v>204.6</v>
      </c>
      <c r="G3" s="62">
        <v>211</v>
      </c>
    </row>
    <row r="4" spans="2:7">
      <c r="B4" s="64" t="s">
        <v>165</v>
      </c>
      <c r="C4" s="65">
        <v>64</v>
      </c>
      <c r="D4" s="65">
        <v>108.8</v>
      </c>
      <c r="E4" s="65">
        <v>93.600000000000009</v>
      </c>
      <c r="F4" s="65">
        <v>92.2</v>
      </c>
      <c r="G4" s="65">
        <v>109.5</v>
      </c>
    </row>
    <row r="5" spans="2:7">
      <c r="B5" s="64" t="s">
        <v>170</v>
      </c>
      <c r="C5" s="65">
        <v>24.96</v>
      </c>
      <c r="D5" s="65">
        <v>32.56</v>
      </c>
      <c r="E5" s="65">
        <v>34.515000000000001</v>
      </c>
      <c r="F5" s="65">
        <v>37.617600000000003</v>
      </c>
      <c r="G5" s="65">
        <v>39.091499999999996</v>
      </c>
    </row>
    <row r="6" spans="2:7">
      <c r="B6" s="64" t="s">
        <v>171</v>
      </c>
      <c r="C6" s="65">
        <v>39.04</v>
      </c>
      <c r="D6" s="65">
        <v>76.239999999999995</v>
      </c>
      <c r="E6" s="65">
        <v>59.085000000000008</v>
      </c>
      <c r="F6" s="65">
        <v>54.5824</v>
      </c>
      <c r="G6" s="65">
        <v>70.408500000000004</v>
      </c>
    </row>
    <row r="7" spans="2:7">
      <c r="B7" s="64" t="s">
        <v>166</v>
      </c>
      <c r="C7" s="65">
        <v>47.3</v>
      </c>
      <c r="D7" s="65">
        <v>56.5</v>
      </c>
      <c r="E7" s="65">
        <v>48.2</v>
      </c>
      <c r="F7" s="65">
        <v>61.8</v>
      </c>
      <c r="G7" s="65">
        <v>67.8</v>
      </c>
    </row>
    <row r="8" spans="2:7">
      <c r="B8" s="64" t="s">
        <v>170</v>
      </c>
      <c r="C8" s="65">
        <v>28.38</v>
      </c>
      <c r="D8" s="65">
        <v>24.9</v>
      </c>
      <c r="E8" s="65">
        <v>32.200000000000003</v>
      </c>
      <c r="F8" s="65">
        <v>31.518000000000001</v>
      </c>
      <c r="G8" s="65">
        <v>34.577999999999996</v>
      </c>
    </row>
    <row r="9" spans="2:7">
      <c r="B9" s="64" t="s">
        <v>171</v>
      </c>
      <c r="C9" s="65">
        <v>18.919999999999998</v>
      </c>
      <c r="D9" s="65">
        <v>31.6</v>
      </c>
      <c r="E9" s="65">
        <v>16</v>
      </c>
      <c r="F9" s="65">
        <v>30.281999999999996</v>
      </c>
      <c r="G9" s="65">
        <v>33.222000000000001</v>
      </c>
    </row>
    <row r="10" spans="2:7">
      <c r="B10" s="64" t="s">
        <v>167</v>
      </c>
      <c r="C10" s="65">
        <v>12.200000000000001</v>
      </c>
      <c r="D10" s="65">
        <v>13.9</v>
      </c>
      <c r="E10" s="65">
        <v>15</v>
      </c>
      <c r="F10" s="65">
        <v>18.899999999999999</v>
      </c>
      <c r="G10" s="65">
        <v>18</v>
      </c>
    </row>
    <row r="11" spans="2:7">
      <c r="B11" s="64" t="s">
        <v>168</v>
      </c>
      <c r="C11" s="65">
        <f>+C3-C4-C7-C10-C12</f>
        <v>0.70000000000001883</v>
      </c>
      <c r="D11" s="65">
        <f>+D3-D4-D7-D10-D12</f>
        <v>2.9000000000000252</v>
      </c>
      <c r="E11" s="65">
        <f>+E3-E4-E7-E10-E12</f>
        <v>24.6</v>
      </c>
      <c r="F11" s="65">
        <f>+F3-F4-F7-F10-F12</f>
        <v>27.399999999999995</v>
      </c>
      <c r="G11" s="65">
        <f>+G3-G4-G7-G10-G12</f>
        <v>13.200000000000003</v>
      </c>
    </row>
    <row r="12" spans="2:7">
      <c r="B12" s="64" t="s">
        <v>169</v>
      </c>
      <c r="C12" s="65">
        <v>0</v>
      </c>
      <c r="D12" s="65">
        <v>0</v>
      </c>
      <c r="E12" s="65">
        <v>0.9</v>
      </c>
      <c r="F12" s="65">
        <v>4.3</v>
      </c>
      <c r="G12" s="65">
        <v>2.5</v>
      </c>
    </row>
    <row r="14" spans="2:7">
      <c r="B14" s="68" t="s">
        <v>207</v>
      </c>
      <c r="C14" s="66">
        <v>2016</v>
      </c>
      <c r="D14" s="66">
        <v>2017</v>
      </c>
      <c r="E14" s="66">
        <v>2018</v>
      </c>
      <c r="F14" s="66">
        <v>2019</v>
      </c>
      <c r="G14" s="66">
        <v>2020</v>
      </c>
    </row>
    <row r="15" spans="2:7">
      <c r="B15" s="64" t="s">
        <v>165</v>
      </c>
      <c r="C15" s="67">
        <v>0.79629268292682931</v>
      </c>
      <c r="D15" s="67">
        <v>0.8031663602941177</v>
      </c>
      <c r="E15" s="67">
        <v>0.74081899460188938</v>
      </c>
      <c r="F15" s="67">
        <v>0.72485454545454542</v>
      </c>
      <c r="G15" s="67">
        <v>0.71857575757575765</v>
      </c>
    </row>
    <row r="16" spans="2:7">
      <c r="B16" s="64" t="s">
        <v>166</v>
      </c>
      <c r="C16" s="67">
        <v>0.76288</v>
      </c>
      <c r="D16" s="67">
        <v>0.78911735282801077</v>
      </c>
      <c r="E16" s="67">
        <v>0.78159185213127125</v>
      </c>
      <c r="F16" s="67">
        <v>0.79828571428571427</v>
      </c>
      <c r="G16" s="67">
        <v>0.78820000000000001</v>
      </c>
    </row>
    <row r="17" spans="2:7">
      <c r="B17" s="64" t="s">
        <v>167</v>
      </c>
      <c r="C17" s="67">
        <v>0.6</v>
      </c>
      <c r="D17" s="67">
        <v>0.64</v>
      </c>
      <c r="E17" s="67">
        <v>0.68</v>
      </c>
      <c r="F17" s="67">
        <v>0.68</v>
      </c>
      <c r="G17" s="67">
        <v>0.68</v>
      </c>
    </row>
    <row r="18" spans="2:7">
      <c r="B18" s="64" t="s">
        <v>168</v>
      </c>
      <c r="C18" s="67"/>
      <c r="D18" s="67"/>
      <c r="E18" s="67"/>
      <c r="F18" s="67"/>
      <c r="G18" s="67"/>
    </row>
    <row r="19" spans="2:7">
      <c r="B19" s="64" t="s">
        <v>169</v>
      </c>
      <c r="C19" s="67"/>
      <c r="D19" s="67"/>
      <c r="E19" s="67">
        <v>1</v>
      </c>
      <c r="F19" s="67">
        <v>1</v>
      </c>
      <c r="G19" s="67">
        <v>1</v>
      </c>
    </row>
    <row r="21" spans="2:7">
      <c r="B21" s="68" t="s">
        <v>293</v>
      </c>
      <c r="C21" s="66">
        <v>2016</v>
      </c>
      <c r="D21" s="66">
        <f>+C21+1</f>
        <v>2017</v>
      </c>
      <c r="E21" s="66">
        <f>+D21+1</f>
        <v>2018</v>
      </c>
      <c r="F21" s="66">
        <f>+E21+1</f>
        <v>2019</v>
      </c>
      <c r="G21" s="66">
        <f>+F21+1</f>
        <v>2020</v>
      </c>
    </row>
    <row r="22" spans="2:7" s="86" customFormat="1" ht="14.4">
      <c r="B22" s="87" t="s">
        <v>201</v>
      </c>
      <c r="C22" s="87"/>
      <c r="D22" s="87"/>
      <c r="E22" s="87"/>
      <c r="F22" s="87"/>
      <c r="G22" s="87"/>
    </row>
    <row r="23" spans="2:7" ht="14.4">
      <c r="B23" s="88" t="s">
        <v>202</v>
      </c>
      <c r="C23" s="74">
        <v>41000</v>
      </c>
      <c r="D23" s="74">
        <v>40000</v>
      </c>
      <c r="E23" s="74">
        <v>24000</v>
      </c>
      <c r="F23" s="74">
        <v>22000.000000000004</v>
      </c>
      <c r="G23" s="74">
        <v>22000</v>
      </c>
    </row>
    <row r="24" spans="2:7" ht="14.4">
      <c r="B24" s="88" t="s">
        <v>203</v>
      </c>
      <c r="C24" s="74">
        <v>50000</v>
      </c>
      <c r="D24" s="74">
        <v>50000</v>
      </c>
      <c r="E24" s="74">
        <v>38000</v>
      </c>
      <c r="F24" s="74">
        <v>35000</v>
      </c>
      <c r="G24" s="74">
        <v>33000.000000000007</v>
      </c>
    </row>
    <row r="25" spans="2:7" ht="14.4">
      <c r="B25" s="73"/>
      <c r="C25" s="74"/>
      <c r="D25" s="74"/>
      <c r="E25" s="74"/>
      <c r="F25" s="74"/>
      <c r="G25" s="74"/>
    </row>
    <row r="26" spans="2:7" s="86" customFormat="1" ht="14.4">
      <c r="B26" s="87" t="s">
        <v>204</v>
      </c>
      <c r="C26" s="89"/>
      <c r="D26" s="89"/>
      <c r="E26" s="89"/>
      <c r="F26" s="89"/>
      <c r="G26" s="89"/>
    </row>
    <row r="27" spans="2:7" ht="14.4">
      <c r="B27" s="88" t="s">
        <v>202</v>
      </c>
      <c r="C27" s="74">
        <v>25000</v>
      </c>
      <c r="D27" s="74">
        <v>23000</v>
      </c>
      <c r="E27" s="74">
        <v>22000</v>
      </c>
      <c r="F27" s="74">
        <v>21000</v>
      </c>
      <c r="G27" s="74">
        <v>20000</v>
      </c>
    </row>
    <row r="28" spans="2:7" ht="14.4">
      <c r="B28" s="88" t="s">
        <v>203</v>
      </c>
      <c r="C28" s="74">
        <v>62500</v>
      </c>
      <c r="D28" s="74">
        <v>57500</v>
      </c>
      <c r="E28" s="74">
        <v>55000</v>
      </c>
      <c r="F28" s="74">
        <v>52500</v>
      </c>
      <c r="G28" s="74">
        <v>50000</v>
      </c>
    </row>
    <row r="30" spans="2:7" hidden="1" outlineLevel="1">
      <c r="B30" s="64" t="s">
        <v>165</v>
      </c>
      <c r="C30" s="65">
        <f>+C38</f>
        <v>64</v>
      </c>
      <c r="D30" s="65">
        <f t="shared" ref="D30:G30" si="0">+D38</f>
        <v>108.8</v>
      </c>
      <c r="E30" s="65">
        <f t="shared" si="0"/>
        <v>93.600000000000009</v>
      </c>
      <c r="F30" s="65">
        <f t="shared" si="0"/>
        <v>92.2</v>
      </c>
      <c r="G30" s="65">
        <f t="shared" si="0"/>
        <v>109.5</v>
      </c>
    </row>
    <row r="31" spans="2:7" hidden="1" outlineLevel="1">
      <c r="B31" s="64" t="s">
        <v>170</v>
      </c>
      <c r="C31" s="65">
        <f>+C39*(1-C34)</f>
        <v>24.96</v>
      </c>
      <c r="D31" s="65">
        <f t="shared" ref="D31:G31" si="1">+D39*(1-D34)</f>
        <v>32.56</v>
      </c>
      <c r="E31" s="65">
        <f t="shared" si="1"/>
        <v>34.515000000000001</v>
      </c>
      <c r="F31" s="65">
        <f t="shared" si="1"/>
        <v>37.617600000000003</v>
      </c>
      <c r="G31" s="65">
        <f t="shared" si="1"/>
        <v>39.091499999999996</v>
      </c>
    </row>
    <row r="32" spans="2:7" hidden="1" outlineLevel="1">
      <c r="B32" s="64" t="s">
        <v>171</v>
      </c>
      <c r="C32" s="65">
        <f>+C30-C31</f>
        <v>39.04</v>
      </c>
      <c r="D32" s="65">
        <f t="shared" ref="D32:G32" si="2">+D30-D31</f>
        <v>76.239999999999995</v>
      </c>
      <c r="E32" s="65">
        <f t="shared" si="2"/>
        <v>59.085000000000008</v>
      </c>
      <c r="F32" s="65">
        <f t="shared" si="2"/>
        <v>54.5824</v>
      </c>
      <c r="G32" s="65">
        <f t="shared" si="2"/>
        <v>70.408500000000004</v>
      </c>
    </row>
    <row r="33" spans="2:7" hidden="1" outlineLevel="1">
      <c r="B33" s="103"/>
      <c r="C33" s="103"/>
      <c r="D33" s="103"/>
      <c r="E33" s="103"/>
      <c r="F33" s="103"/>
      <c r="G33" s="103"/>
    </row>
    <row r="34" spans="2:7" hidden="1" outlineLevel="1">
      <c r="B34" s="103" t="s">
        <v>336</v>
      </c>
      <c r="C34" s="104">
        <v>0.35</v>
      </c>
      <c r="D34" s="104">
        <v>0.2</v>
      </c>
      <c r="E34" s="104">
        <v>0.35</v>
      </c>
      <c r="F34" s="104">
        <v>0.2</v>
      </c>
      <c r="G34" s="104">
        <v>0.3</v>
      </c>
    </row>
    <row r="35" spans="2:7" hidden="1" outlineLevel="1"/>
    <row r="36" spans="2:7" hidden="1" outlineLevel="1">
      <c r="B36" s="68" t="s">
        <v>344</v>
      </c>
      <c r="C36" s="66">
        <v>2016</v>
      </c>
      <c r="D36" s="66">
        <v>2017</v>
      </c>
      <c r="E36" s="66">
        <v>2018</v>
      </c>
      <c r="F36" s="66">
        <v>2019</v>
      </c>
      <c r="G36" s="66">
        <v>2020</v>
      </c>
    </row>
    <row r="37" spans="2:7" hidden="1" outlineLevel="1">
      <c r="B37" s="61" t="s">
        <v>290</v>
      </c>
      <c r="C37" s="62">
        <v>124.20000000000002</v>
      </c>
      <c r="D37" s="62">
        <v>182.10000000000002</v>
      </c>
      <c r="E37" s="62">
        <v>182.3</v>
      </c>
      <c r="F37" s="62">
        <v>204.6</v>
      </c>
      <c r="G37" s="62">
        <v>211</v>
      </c>
    </row>
    <row r="38" spans="2:7" hidden="1" outlineLevel="1">
      <c r="B38" s="64" t="s">
        <v>337</v>
      </c>
      <c r="C38" s="65">
        <v>64</v>
      </c>
      <c r="D38" s="65">
        <v>108.8</v>
      </c>
      <c r="E38" s="65">
        <v>93.600000000000009</v>
      </c>
      <c r="F38" s="65">
        <v>92.2</v>
      </c>
      <c r="G38" s="65">
        <v>109.5</v>
      </c>
    </row>
    <row r="39" spans="2:7" hidden="1" outlineLevel="1">
      <c r="B39" s="64" t="s">
        <v>338</v>
      </c>
      <c r="C39" s="65">
        <v>38.4</v>
      </c>
      <c r="D39" s="65">
        <v>40.700000000000003</v>
      </c>
      <c r="E39" s="65">
        <v>53.099999999999994</v>
      </c>
      <c r="F39" s="65">
        <v>47.022000000000006</v>
      </c>
      <c r="G39" s="65">
        <v>55.844999999999999</v>
      </c>
    </row>
    <row r="40" spans="2:7" hidden="1" outlineLevel="1">
      <c r="B40" s="64" t="s">
        <v>339</v>
      </c>
      <c r="C40" s="65">
        <v>25.6</v>
      </c>
      <c r="D40" s="65">
        <v>68.099999999999994</v>
      </c>
      <c r="E40" s="65">
        <v>40.500000000000014</v>
      </c>
      <c r="F40" s="65">
        <v>45.177999999999997</v>
      </c>
      <c r="G40" s="65">
        <v>53.655000000000001</v>
      </c>
    </row>
    <row r="41" spans="2:7" hidden="1" outlineLevel="1">
      <c r="B41" s="64" t="s">
        <v>340</v>
      </c>
      <c r="C41" s="65">
        <v>47.3</v>
      </c>
      <c r="D41" s="65">
        <v>56.5</v>
      </c>
      <c r="E41" s="65">
        <v>48.2</v>
      </c>
      <c r="F41" s="65">
        <v>61.8</v>
      </c>
      <c r="G41" s="65">
        <v>67.8</v>
      </c>
    </row>
    <row r="42" spans="2:7" hidden="1" outlineLevel="1">
      <c r="B42" s="64" t="s">
        <v>338</v>
      </c>
      <c r="C42" s="65">
        <v>28.38</v>
      </c>
      <c r="D42" s="65">
        <v>24.9</v>
      </c>
      <c r="E42" s="65">
        <v>32.200000000000003</v>
      </c>
      <c r="F42" s="65">
        <v>31.518000000000001</v>
      </c>
      <c r="G42" s="65">
        <v>34.577999999999996</v>
      </c>
    </row>
    <row r="43" spans="2:7" hidden="1" outlineLevel="1">
      <c r="B43" s="64" t="s">
        <v>339</v>
      </c>
      <c r="C43" s="65">
        <v>18.919999999999998</v>
      </c>
      <c r="D43" s="65">
        <v>31.6</v>
      </c>
      <c r="E43" s="65">
        <v>16</v>
      </c>
      <c r="F43" s="65">
        <v>30.281999999999996</v>
      </c>
      <c r="G43" s="65">
        <v>33.222000000000001</v>
      </c>
    </row>
    <row r="44" spans="2:7" hidden="1" outlineLevel="1">
      <c r="B44" s="64" t="s">
        <v>341</v>
      </c>
      <c r="C44" s="65">
        <v>12.200000000000001</v>
      </c>
      <c r="D44" s="65">
        <v>13.9</v>
      </c>
      <c r="E44" s="65">
        <v>15</v>
      </c>
      <c r="F44" s="65">
        <v>18.899999999999999</v>
      </c>
      <c r="G44" s="65">
        <v>18</v>
      </c>
    </row>
    <row r="45" spans="2:7" hidden="1" outlineLevel="1">
      <c r="B45" s="64" t="s">
        <v>342</v>
      </c>
      <c r="C45" s="65">
        <v>0.70000000000001883</v>
      </c>
      <c r="D45" s="65">
        <v>2.9000000000000252</v>
      </c>
      <c r="E45" s="65">
        <v>24.6</v>
      </c>
      <c r="F45" s="65">
        <v>27.399999999999995</v>
      </c>
      <c r="G45" s="65">
        <v>13.200000000000003</v>
      </c>
    </row>
    <row r="46" spans="2:7" hidden="1" outlineLevel="1">
      <c r="B46" s="64" t="s">
        <v>343</v>
      </c>
      <c r="C46" s="65">
        <v>0</v>
      </c>
      <c r="D46" s="65">
        <v>0</v>
      </c>
      <c r="E46" s="65">
        <v>0.9</v>
      </c>
      <c r="F46" s="65">
        <v>4.3</v>
      </c>
      <c r="G46" s="65">
        <v>2.5</v>
      </c>
    </row>
    <row r="47" spans="2:7" collapsed="1"/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B2:K20"/>
  <sheetViews>
    <sheetView showGridLines="0" zoomScale="145" zoomScaleNormal="145" workbookViewId="0">
      <selection activeCell="D5" sqref="D5"/>
    </sheetView>
  </sheetViews>
  <sheetFormatPr defaultColWidth="8.88671875" defaultRowHeight="13.2"/>
  <cols>
    <col min="1" max="1" width="2.77734375" style="91" customWidth="1"/>
    <col min="2" max="2" width="13" style="91" customWidth="1"/>
    <col min="3" max="3" width="9.21875" style="91" bestFit="1" customWidth="1"/>
    <col min="4" max="6" width="8.88671875" style="91"/>
    <col min="7" max="7" width="9.21875" style="91" bestFit="1" customWidth="1"/>
    <col min="8" max="16384" width="8.88671875" style="91"/>
  </cols>
  <sheetData>
    <row r="2" spans="2:9">
      <c r="B2" s="97" t="s">
        <v>335</v>
      </c>
    </row>
    <row r="3" spans="2:9">
      <c r="B3" s="93" t="s">
        <v>298</v>
      </c>
      <c r="C3" s="94">
        <v>2016</v>
      </c>
      <c r="D3" s="94">
        <v>2017</v>
      </c>
      <c r="E3" s="94">
        <v>2018</v>
      </c>
      <c r="F3" s="94">
        <v>2019</v>
      </c>
      <c r="G3" s="94">
        <v>2020</v>
      </c>
    </row>
    <row r="4" spans="2:9">
      <c r="B4" s="95" t="s">
        <v>291</v>
      </c>
      <c r="C4" s="96">
        <v>24.643999999999998</v>
      </c>
      <c r="D4" s="96">
        <v>34.299999999999997</v>
      </c>
      <c r="E4" s="96">
        <v>46.1</v>
      </c>
      <c r="F4" s="96">
        <v>54.4</v>
      </c>
      <c r="G4" s="96">
        <v>22.6</v>
      </c>
    </row>
    <row r="5" spans="2:9">
      <c r="B5" s="95" t="s">
        <v>223</v>
      </c>
      <c r="C5" s="96">
        <v>24.96</v>
      </c>
      <c r="D5" s="96">
        <v>32.56</v>
      </c>
      <c r="E5" s="96">
        <v>34.515000000000001</v>
      </c>
      <c r="F5" s="96">
        <v>37.617600000000003</v>
      </c>
      <c r="G5" s="96">
        <v>39.091499999999996</v>
      </c>
    </row>
    <row r="6" spans="2:9">
      <c r="B6" s="95" t="s">
        <v>294</v>
      </c>
      <c r="C6" s="96">
        <v>8.4</v>
      </c>
      <c r="D6" s="96">
        <v>9.1999999999999993</v>
      </c>
      <c r="E6" s="96">
        <v>9.9</v>
      </c>
      <c r="F6" s="96">
        <v>11.32</v>
      </c>
      <c r="G6" s="96">
        <v>20.399999999999999</v>
      </c>
    </row>
    <row r="7" spans="2:9">
      <c r="B7" s="95" t="s">
        <v>295</v>
      </c>
      <c r="C7" s="96">
        <v>0</v>
      </c>
      <c r="D7" s="96">
        <v>0</v>
      </c>
      <c r="E7" s="96">
        <v>0</v>
      </c>
      <c r="F7" s="96">
        <v>4</v>
      </c>
      <c r="G7" s="96">
        <v>16</v>
      </c>
    </row>
    <row r="8" spans="2:9">
      <c r="B8" s="95" t="s">
        <v>0</v>
      </c>
      <c r="C8" s="96">
        <v>9</v>
      </c>
      <c r="D8" s="96">
        <v>8</v>
      </c>
      <c r="E8" s="96">
        <v>7</v>
      </c>
      <c r="F8" s="96">
        <v>5.5</v>
      </c>
      <c r="G8" s="96">
        <v>4.38</v>
      </c>
      <c r="I8" s="92"/>
    </row>
    <row r="9" spans="2:9">
      <c r="B9" s="95" t="s">
        <v>296</v>
      </c>
      <c r="C9" s="96">
        <v>2</v>
      </c>
      <c r="D9" s="96">
        <v>1.7</v>
      </c>
      <c r="E9" s="96">
        <v>1.4</v>
      </c>
      <c r="F9" s="96">
        <v>1.1000000000000001</v>
      </c>
      <c r="G9" s="96">
        <v>0.74000000000000554</v>
      </c>
    </row>
    <row r="10" spans="2:9">
      <c r="B10" s="95" t="s">
        <v>297</v>
      </c>
      <c r="C10" s="96">
        <v>5.8</v>
      </c>
      <c r="D10" s="96">
        <v>7.2</v>
      </c>
      <c r="E10" s="96">
        <v>9</v>
      </c>
      <c r="F10" s="96">
        <v>10</v>
      </c>
      <c r="G10" s="96">
        <v>11.68</v>
      </c>
    </row>
    <row r="12" spans="2:9">
      <c r="B12" s="97" t="s">
        <v>300</v>
      </c>
    </row>
    <row r="13" spans="2:9">
      <c r="B13" s="93" t="s">
        <v>299</v>
      </c>
      <c r="C13" s="94">
        <v>2016</v>
      </c>
      <c r="D13" s="94">
        <v>2017</v>
      </c>
      <c r="E13" s="94">
        <v>2018</v>
      </c>
      <c r="F13" s="94">
        <v>2019</v>
      </c>
      <c r="G13" s="94">
        <v>2020</v>
      </c>
    </row>
    <row r="14" spans="2:9">
      <c r="B14" s="95" t="s">
        <v>291</v>
      </c>
      <c r="C14" s="98">
        <v>41000</v>
      </c>
      <c r="D14" s="98">
        <v>40000</v>
      </c>
      <c r="E14" s="98">
        <v>24000</v>
      </c>
      <c r="F14" s="98">
        <v>22000.000000000004</v>
      </c>
      <c r="G14" s="98">
        <v>22000</v>
      </c>
      <c r="I14" s="99"/>
    </row>
    <row r="15" spans="2:9">
      <c r="B15" s="95" t="s">
        <v>223</v>
      </c>
      <c r="C15" s="98">
        <v>41000</v>
      </c>
      <c r="D15" s="98">
        <v>40000</v>
      </c>
      <c r="E15" s="98">
        <v>24000</v>
      </c>
      <c r="F15" s="98">
        <v>22000.000000000004</v>
      </c>
      <c r="G15" s="98">
        <v>22000.000000000004</v>
      </c>
      <c r="I15" s="99"/>
    </row>
    <row r="16" spans="2:9">
      <c r="B16" s="95" t="s">
        <v>294</v>
      </c>
      <c r="C16" s="98">
        <v>50000</v>
      </c>
      <c r="D16" s="98">
        <v>48000</v>
      </c>
      <c r="E16" s="98">
        <v>35000</v>
      </c>
      <c r="F16" s="98">
        <v>33000</v>
      </c>
      <c r="G16" s="98">
        <v>30000</v>
      </c>
      <c r="I16" s="99"/>
    </row>
    <row r="17" spans="2:11">
      <c r="B17" s="95" t="s">
        <v>295</v>
      </c>
      <c r="C17" s="98"/>
      <c r="D17" s="98"/>
      <c r="E17" s="98"/>
      <c r="F17" s="98">
        <v>18000</v>
      </c>
      <c r="G17" s="98">
        <v>18000</v>
      </c>
      <c r="I17" s="99"/>
    </row>
    <row r="18" spans="2:11">
      <c r="B18" s="95" t="s">
        <v>0</v>
      </c>
      <c r="C18" s="98">
        <v>300000</v>
      </c>
      <c r="D18" s="98">
        <v>285000</v>
      </c>
      <c r="E18" s="98">
        <v>270000</v>
      </c>
      <c r="F18" s="98">
        <v>255000</v>
      </c>
      <c r="G18" s="98">
        <v>240000</v>
      </c>
      <c r="I18" s="99"/>
      <c r="K18" s="100"/>
    </row>
    <row r="19" spans="2:11">
      <c r="B19" s="95" t="s">
        <v>296</v>
      </c>
      <c r="C19" s="98">
        <v>180000</v>
      </c>
      <c r="D19" s="98">
        <v>155000</v>
      </c>
      <c r="E19" s="98">
        <v>130000</v>
      </c>
      <c r="F19" s="98">
        <v>105000</v>
      </c>
      <c r="G19" s="98">
        <v>80000</v>
      </c>
      <c r="I19" s="99"/>
    </row>
    <row r="20" spans="2:11">
      <c r="B20" s="95" t="s">
        <v>297</v>
      </c>
      <c r="C20" s="98">
        <v>180000</v>
      </c>
      <c r="D20" s="98">
        <v>155000</v>
      </c>
      <c r="E20" s="98">
        <v>130000</v>
      </c>
      <c r="F20" s="98">
        <v>105000</v>
      </c>
      <c r="G20" s="98">
        <v>80000</v>
      </c>
      <c r="I20" s="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:W22"/>
  <sheetViews>
    <sheetView zoomScale="70" zoomScaleNormal="70" workbookViewId="0">
      <selection activeCell="C4" sqref="C4"/>
    </sheetView>
  </sheetViews>
  <sheetFormatPr defaultColWidth="8.88671875" defaultRowHeight="14.4"/>
  <cols>
    <col min="1" max="2" width="21.33203125" style="76" customWidth="1"/>
    <col min="3" max="23" width="18.77734375" style="76" customWidth="1"/>
    <col min="24" max="16384" width="8.88671875" style="76"/>
  </cols>
  <sheetData>
    <row r="1" spans="1:23" ht="19.95" customHeight="1">
      <c r="A1" s="83" t="s">
        <v>334</v>
      </c>
      <c r="B1" s="83" t="s">
        <v>333</v>
      </c>
      <c r="C1" s="82" t="s">
        <v>286</v>
      </c>
      <c r="D1" s="82" t="s">
        <v>177</v>
      </c>
      <c r="E1" s="82" t="s">
        <v>178</v>
      </c>
      <c r="F1" s="82" t="s">
        <v>179</v>
      </c>
      <c r="G1" s="82" t="s">
        <v>180</v>
      </c>
      <c r="H1" s="82" t="s">
        <v>181</v>
      </c>
      <c r="I1" s="82" t="s">
        <v>182</v>
      </c>
      <c r="J1" s="82" t="s">
        <v>183</v>
      </c>
      <c r="K1" s="82" t="s">
        <v>184</v>
      </c>
      <c r="L1" s="82" t="s">
        <v>185</v>
      </c>
      <c r="M1" s="82" t="s">
        <v>186</v>
      </c>
      <c r="N1" s="82" t="s">
        <v>332</v>
      </c>
      <c r="O1" s="82" t="s">
        <v>331</v>
      </c>
      <c r="P1" s="82" t="s">
        <v>330</v>
      </c>
      <c r="Q1" s="82" t="s">
        <v>329</v>
      </c>
      <c r="R1" s="82" t="s">
        <v>328</v>
      </c>
      <c r="S1" s="82" t="s">
        <v>327</v>
      </c>
      <c r="T1" s="82" t="s">
        <v>326</v>
      </c>
      <c r="U1" s="82" t="s">
        <v>325</v>
      </c>
      <c r="V1" s="82" t="s">
        <v>324</v>
      </c>
      <c r="W1" s="82" t="s">
        <v>323</v>
      </c>
    </row>
    <row r="2" spans="1:23" ht="19.95" customHeight="1">
      <c r="A2" s="80" t="s">
        <v>322</v>
      </c>
      <c r="B2" s="80" t="s">
        <v>321</v>
      </c>
      <c r="C2" s="77">
        <v>49554112</v>
      </c>
      <c r="D2" s="77">
        <v>49936638</v>
      </c>
      <c r="E2" s="77">
        <v>50199853</v>
      </c>
      <c r="F2" s="77">
        <v>50428893</v>
      </c>
      <c r="G2" s="77">
        <v>50746659</v>
      </c>
      <c r="H2" s="77">
        <v>51014947</v>
      </c>
      <c r="I2" s="77">
        <v>51217803</v>
      </c>
      <c r="J2" s="77">
        <v>51361911</v>
      </c>
      <c r="K2" s="77">
        <v>51606633</v>
      </c>
      <c r="L2" s="77">
        <v>51709098</v>
      </c>
      <c r="M2" s="77">
        <v>51780579</v>
      </c>
      <c r="N2" s="77">
        <v>51821669</v>
      </c>
      <c r="O2" s="77">
        <v>51846339</v>
      </c>
      <c r="P2" s="77">
        <v>51868100</v>
      </c>
      <c r="Q2" s="77">
        <v>51887623</v>
      </c>
      <c r="R2" s="77">
        <v>51905126</v>
      </c>
      <c r="S2" s="77">
        <v>51920462</v>
      </c>
      <c r="T2" s="77">
        <v>51933215</v>
      </c>
      <c r="U2" s="77">
        <v>51941946</v>
      </c>
      <c r="V2" s="77">
        <v>51940598</v>
      </c>
      <c r="W2" s="77">
        <v>51926953</v>
      </c>
    </row>
    <row r="3" spans="1:23" ht="19.95" customHeight="1">
      <c r="A3" s="102" t="s">
        <v>193</v>
      </c>
      <c r="B3" s="80" t="s">
        <v>320</v>
      </c>
      <c r="C3" s="77">
        <v>24881114</v>
      </c>
      <c r="D3" s="77">
        <v>25069867</v>
      </c>
      <c r="E3" s="77">
        <v>25187380</v>
      </c>
      <c r="F3" s="77">
        <v>25285319</v>
      </c>
      <c r="G3" s="77">
        <v>25445077</v>
      </c>
      <c r="H3" s="77">
        <v>25585894</v>
      </c>
      <c r="I3" s="77">
        <v>25670949</v>
      </c>
      <c r="J3" s="77">
        <v>25736793</v>
      </c>
      <c r="K3" s="77">
        <v>25863502</v>
      </c>
      <c r="L3" s="77">
        <v>25913295</v>
      </c>
      <c r="M3" s="77">
        <v>25945737</v>
      </c>
      <c r="N3" s="77">
        <v>25961532</v>
      </c>
      <c r="O3" s="77">
        <v>25967841</v>
      </c>
      <c r="P3" s="77">
        <v>25971608</v>
      </c>
      <c r="Q3" s="77">
        <v>25973590</v>
      </c>
      <c r="R3" s="77">
        <v>25974283</v>
      </c>
      <c r="S3" s="77">
        <v>25973804</v>
      </c>
      <c r="T3" s="77">
        <v>25971995</v>
      </c>
      <c r="U3" s="77">
        <v>25968119</v>
      </c>
      <c r="V3" s="77">
        <v>25959144</v>
      </c>
      <c r="W3" s="77">
        <v>25943315</v>
      </c>
    </row>
    <row r="4" spans="1:23" ht="19.95" customHeight="1">
      <c r="A4" s="102" t="s">
        <v>193</v>
      </c>
      <c r="B4" s="80" t="s">
        <v>319</v>
      </c>
      <c r="C4" s="77">
        <v>24672998</v>
      </c>
      <c r="D4" s="77">
        <v>24866771</v>
      </c>
      <c r="E4" s="77">
        <v>25012473</v>
      </c>
      <c r="F4" s="77">
        <v>25143574</v>
      </c>
      <c r="G4" s="77">
        <v>25301582</v>
      </c>
      <c r="H4" s="77">
        <v>25429053</v>
      </c>
      <c r="I4" s="77">
        <v>25546854</v>
      </c>
      <c r="J4" s="77">
        <v>25625118</v>
      </c>
      <c r="K4" s="77">
        <v>25743131</v>
      </c>
      <c r="L4" s="77">
        <v>25795803</v>
      </c>
      <c r="M4" s="77">
        <v>25834842</v>
      </c>
      <c r="N4" s="77">
        <v>25860137</v>
      </c>
      <c r="O4" s="77">
        <v>25878498</v>
      </c>
      <c r="P4" s="77">
        <v>25896492</v>
      </c>
      <c r="Q4" s="77">
        <v>25914033</v>
      </c>
      <c r="R4" s="77">
        <v>25930843</v>
      </c>
      <c r="S4" s="77">
        <v>25946658</v>
      </c>
      <c r="T4" s="77">
        <v>25961220</v>
      </c>
      <c r="U4" s="77">
        <v>25973827</v>
      </c>
      <c r="V4" s="77">
        <v>25981454</v>
      </c>
      <c r="W4" s="77">
        <v>25983638</v>
      </c>
    </row>
    <row r="5" spans="1:23" ht="19.95" customHeight="1">
      <c r="A5" s="102" t="s">
        <v>193</v>
      </c>
      <c r="B5" s="80" t="s">
        <v>318</v>
      </c>
      <c r="C5" s="78">
        <v>100.8</v>
      </c>
      <c r="D5" s="78">
        <v>100.8</v>
      </c>
      <c r="E5" s="78">
        <v>100.7</v>
      </c>
      <c r="F5" s="78">
        <v>100.6</v>
      </c>
      <c r="G5" s="78">
        <v>100.6</v>
      </c>
      <c r="H5" s="78">
        <v>100.6</v>
      </c>
      <c r="I5" s="78">
        <v>100.5</v>
      </c>
      <c r="J5" s="78">
        <v>100.4</v>
      </c>
      <c r="K5" s="78">
        <v>100.5</v>
      </c>
      <c r="L5" s="78">
        <v>100.5</v>
      </c>
      <c r="M5" s="78">
        <v>100.4</v>
      </c>
      <c r="N5" s="78">
        <v>100.4</v>
      </c>
      <c r="O5" s="78">
        <v>100.3</v>
      </c>
      <c r="P5" s="78">
        <v>100.3</v>
      </c>
      <c r="Q5" s="78">
        <v>100.2</v>
      </c>
      <c r="R5" s="78">
        <v>100.2</v>
      </c>
      <c r="S5" s="78">
        <v>100.1</v>
      </c>
      <c r="T5" s="78">
        <v>100</v>
      </c>
      <c r="U5" s="78">
        <v>100</v>
      </c>
      <c r="V5" s="78">
        <v>99.9</v>
      </c>
      <c r="W5" s="78">
        <v>99.8</v>
      </c>
    </row>
    <row r="6" spans="1:23" ht="19.95" customHeight="1">
      <c r="A6" s="102" t="s">
        <v>193</v>
      </c>
      <c r="B6" s="80" t="s">
        <v>317</v>
      </c>
      <c r="C6" s="81">
        <v>0.5</v>
      </c>
      <c r="D6" s="81">
        <v>0.77</v>
      </c>
      <c r="E6" s="81">
        <v>0.53</v>
      </c>
      <c r="F6" s="81">
        <v>0.46</v>
      </c>
      <c r="G6" s="81">
        <v>0.63</v>
      </c>
      <c r="H6" s="81">
        <v>0.53</v>
      </c>
      <c r="I6" s="81">
        <v>0.4</v>
      </c>
      <c r="J6" s="81">
        <v>0.28000000000000003</v>
      </c>
      <c r="K6" s="81">
        <v>0.48</v>
      </c>
      <c r="L6" s="81">
        <v>0.2</v>
      </c>
      <c r="M6" s="81">
        <v>0.14000000000000001</v>
      </c>
      <c r="N6" s="81">
        <v>0.08</v>
      </c>
      <c r="O6" s="81">
        <v>0.05</v>
      </c>
      <c r="P6" s="81">
        <v>0.04</v>
      </c>
      <c r="Q6" s="81">
        <v>0.04</v>
      </c>
      <c r="R6" s="81">
        <v>0.03</v>
      </c>
      <c r="S6" s="81">
        <v>0.03</v>
      </c>
      <c r="T6" s="81">
        <v>0.02</v>
      </c>
      <c r="U6" s="81">
        <v>0.02</v>
      </c>
      <c r="V6" s="81">
        <v>0</v>
      </c>
      <c r="W6" s="81">
        <v>-0.03</v>
      </c>
    </row>
    <row r="7" spans="1:23" ht="19.95" customHeight="1">
      <c r="A7" s="102" t="s">
        <v>193</v>
      </c>
      <c r="B7" s="80" t="s">
        <v>316</v>
      </c>
      <c r="C7" s="77">
        <v>7979439</v>
      </c>
      <c r="D7" s="77">
        <v>7771460</v>
      </c>
      <c r="E7" s="77">
        <v>7577231</v>
      </c>
      <c r="F7" s="77">
        <v>7392237</v>
      </c>
      <c r="G7" s="77">
        <v>7213693</v>
      </c>
      <c r="H7" s="77">
        <v>7029883</v>
      </c>
      <c r="I7" s="77">
        <v>6864563</v>
      </c>
      <c r="J7" s="77">
        <v>6724283</v>
      </c>
      <c r="K7" s="77">
        <v>6589388</v>
      </c>
      <c r="L7" s="77">
        <v>6434627</v>
      </c>
      <c r="M7" s="77">
        <v>6296838</v>
      </c>
      <c r="N7" s="77">
        <v>6151690</v>
      </c>
      <c r="O7" s="77">
        <v>5984826</v>
      </c>
      <c r="P7" s="77">
        <v>5800820</v>
      </c>
      <c r="Q7" s="77">
        <v>5661411</v>
      </c>
      <c r="R7" s="77">
        <v>5540591</v>
      </c>
      <c r="S7" s="77">
        <v>5395288</v>
      </c>
      <c r="T7" s="77">
        <v>5268941</v>
      </c>
      <c r="U7" s="77">
        <v>5160717</v>
      </c>
      <c r="V7" s="77">
        <v>5084469</v>
      </c>
      <c r="W7" s="77">
        <v>5000090</v>
      </c>
    </row>
    <row r="8" spans="1:23" ht="19.95" customHeight="1">
      <c r="A8" s="102" t="s">
        <v>193</v>
      </c>
      <c r="B8" s="80" t="s">
        <v>315</v>
      </c>
      <c r="C8" s="77">
        <v>36208564</v>
      </c>
      <c r="D8" s="77">
        <v>36649999</v>
      </c>
      <c r="E8" s="77">
        <v>36855893</v>
      </c>
      <c r="F8" s="77">
        <v>37013997</v>
      </c>
      <c r="G8" s="77">
        <v>37255840</v>
      </c>
      <c r="H8" s="77">
        <v>37443896</v>
      </c>
      <c r="I8" s="77">
        <v>37596157</v>
      </c>
      <c r="J8" s="77">
        <v>37571568</v>
      </c>
      <c r="K8" s="77">
        <v>37645085</v>
      </c>
      <c r="L8" s="77">
        <v>37589552</v>
      </c>
      <c r="M8" s="77">
        <v>37358309</v>
      </c>
      <c r="N8" s="77">
        <v>37132956</v>
      </c>
      <c r="O8" s="77">
        <v>36886870</v>
      </c>
      <c r="P8" s="77">
        <v>36620006</v>
      </c>
      <c r="Q8" s="77">
        <v>36281510</v>
      </c>
      <c r="R8" s="77">
        <v>35853375</v>
      </c>
      <c r="S8" s="77">
        <v>35410811</v>
      </c>
      <c r="T8" s="77">
        <v>35075159</v>
      </c>
      <c r="U8" s="77">
        <v>34663702</v>
      </c>
      <c r="V8" s="77">
        <v>34338789</v>
      </c>
      <c r="W8" s="77">
        <v>33947290</v>
      </c>
    </row>
    <row r="9" spans="1:23" ht="19.95" customHeight="1">
      <c r="A9" s="102" t="s">
        <v>193</v>
      </c>
      <c r="B9" s="80" t="s">
        <v>314</v>
      </c>
      <c r="C9" s="77">
        <v>5366109</v>
      </c>
      <c r="D9" s="77">
        <v>5515179</v>
      </c>
      <c r="E9" s="77">
        <v>5766729</v>
      </c>
      <c r="F9" s="77">
        <v>6022659</v>
      </c>
      <c r="G9" s="77">
        <v>6277126</v>
      </c>
      <c r="H9" s="77">
        <v>6541168</v>
      </c>
      <c r="I9" s="77">
        <v>6757083</v>
      </c>
      <c r="J9" s="77">
        <v>7066060</v>
      </c>
      <c r="K9" s="77">
        <v>7372160</v>
      </c>
      <c r="L9" s="77">
        <v>7684919</v>
      </c>
      <c r="M9" s="77">
        <v>8125432</v>
      </c>
      <c r="N9" s="77">
        <v>8537023</v>
      </c>
      <c r="O9" s="77">
        <v>8974643</v>
      </c>
      <c r="P9" s="77">
        <v>9447274</v>
      </c>
      <c r="Q9" s="77">
        <v>9944702</v>
      </c>
      <c r="R9" s="77">
        <v>10511160</v>
      </c>
      <c r="S9" s="77">
        <v>11114363</v>
      </c>
      <c r="T9" s="77">
        <v>11589115</v>
      </c>
      <c r="U9" s="77">
        <v>12117527</v>
      </c>
      <c r="V9" s="77">
        <v>12517340</v>
      </c>
      <c r="W9" s="77">
        <v>12979573</v>
      </c>
    </row>
    <row r="10" spans="1:23" ht="19.95" customHeight="1">
      <c r="A10" s="102" t="s">
        <v>193</v>
      </c>
      <c r="B10" s="80" t="s">
        <v>313</v>
      </c>
      <c r="C10" s="78">
        <v>16.100000000000001</v>
      </c>
      <c r="D10" s="78">
        <v>15.6</v>
      </c>
      <c r="E10" s="78">
        <v>15.1</v>
      </c>
      <c r="F10" s="78">
        <v>14.7</v>
      </c>
      <c r="G10" s="78">
        <v>14.2</v>
      </c>
      <c r="H10" s="78">
        <v>13.8</v>
      </c>
      <c r="I10" s="78">
        <v>13.4</v>
      </c>
      <c r="J10" s="78">
        <v>13.1</v>
      </c>
      <c r="K10" s="78">
        <v>12.8</v>
      </c>
      <c r="L10" s="78">
        <v>12.4</v>
      </c>
      <c r="M10" s="78">
        <v>12.2</v>
      </c>
      <c r="N10" s="78">
        <v>11.9</v>
      </c>
      <c r="O10" s="78">
        <v>11.5</v>
      </c>
      <c r="P10" s="78">
        <v>11.2</v>
      </c>
      <c r="Q10" s="78">
        <v>10.9</v>
      </c>
      <c r="R10" s="78">
        <v>10.7</v>
      </c>
      <c r="S10" s="78">
        <v>10.4</v>
      </c>
      <c r="T10" s="78">
        <v>10.1</v>
      </c>
      <c r="U10" s="78">
        <v>9.9</v>
      </c>
      <c r="V10" s="78">
        <v>9.8000000000000007</v>
      </c>
      <c r="W10" s="78">
        <v>9.6</v>
      </c>
    </row>
    <row r="11" spans="1:23" ht="19.95" customHeight="1">
      <c r="A11" s="102" t="s">
        <v>193</v>
      </c>
      <c r="B11" s="80" t="s">
        <v>312</v>
      </c>
      <c r="C11" s="78">
        <v>73.099999999999994</v>
      </c>
      <c r="D11" s="78">
        <v>73.400000000000006</v>
      </c>
      <c r="E11" s="78">
        <v>73.400000000000006</v>
      </c>
      <c r="F11" s="78">
        <v>73.400000000000006</v>
      </c>
      <c r="G11" s="78">
        <v>73.400000000000006</v>
      </c>
      <c r="H11" s="78">
        <v>73.400000000000006</v>
      </c>
      <c r="I11" s="78">
        <v>73.400000000000006</v>
      </c>
      <c r="J11" s="78">
        <v>73.2</v>
      </c>
      <c r="K11" s="78">
        <v>72.900000000000006</v>
      </c>
      <c r="L11" s="78">
        <v>72.7</v>
      </c>
      <c r="M11" s="78">
        <v>72.099999999999994</v>
      </c>
      <c r="N11" s="78">
        <v>71.7</v>
      </c>
      <c r="O11" s="78">
        <v>71.099999999999994</v>
      </c>
      <c r="P11" s="78">
        <v>70.599999999999994</v>
      </c>
      <c r="Q11" s="78">
        <v>69.900000000000006</v>
      </c>
      <c r="R11" s="78">
        <v>69.099999999999994</v>
      </c>
      <c r="S11" s="78">
        <v>68.2</v>
      </c>
      <c r="T11" s="78">
        <v>67.5</v>
      </c>
      <c r="U11" s="78">
        <v>66.7</v>
      </c>
      <c r="V11" s="78">
        <v>66.099999999999994</v>
      </c>
      <c r="W11" s="78">
        <v>65.400000000000006</v>
      </c>
    </row>
    <row r="12" spans="1:23" ht="19.95" customHeight="1">
      <c r="A12" s="102" t="s">
        <v>193</v>
      </c>
      <c r="B12" s="80" t="s">
        <v>311</v>
      </c>
      <c r="C12" s="78">
        <v>10.8</v>
      </c>
      <c r="D12" s="78">
        <v>11</v>
      </c>
      <c r="E12" s="78">
        <v>11.5</v>
      </c>
      <c r="F12" s="78">
        <v>11.9</v>
      </c>
      <c r="G12" s="78">
        <v>12.4</v>
      </c>
      <c r="H12" s="78">
        <v>12.8</v>
      </c>
      <c r="I12" s="78">
        <v>13.2</v>
      </c>
      <c r="J12" s="78">
        <v>13.8</v>
      </c>
      <c r="K12" s="78">
        <v>14.3</v>
      </c>
      <c r="L12" s="78">
        <v>14.9</v>
      </c>
      <c r="M12" s="78">
        <v>15.7</v>
      </c>
      <c r="N12" s="78">
        <v>16.5</v>
      </c>
      <c r="O12" s="78">
        <v>17.3</v>
      </c>
      <c r="P12" s="78">
        <v>18.2</v>
      </c>
      <c r="Q12" s="78">
        <v>19.2</v>
      </c>
      <c r="R12" s="78">
        <v>20.3</v>
      </c>
      <c r="S12" s="78">
        <v>21.4</v>
      </c>
      <c r="T12" s="78">
        <v>22.3</v>
      </c>
      <c r="U12" s="78">
        <v>23.3</v>
      </c>
      <c r="V12" s="78">
        <v>24.1</v>
      </c>
      <c r="W12" s="78">
        <v>25</v>
      </c>
    </row>
    <row r="13" spans="1:23" ht="19.95" customHeight="1">
      <c r="A13" s="102" t="s">
        <v>193</v>
      </c>
      <c r="B13" s="80" t="s">
        <v>310</v>
      </c>
      <c r="C13" s="78">
        <v>36.9</v>
      </c>
      <c r="D13" s="78">
        <v>36.299999999999997</v>
      </c>
      <c r="E13" s="78">
        <v>36.200000000000003</v>
      </c>
      <c r="F13" s="78">
        <v>36.200000000000003</v>
      </c>
      <c r="G13" s="78">
        <v>36.200000000000003</v>
      </c>
      <c r="H13" s="78">
        <v>36.200000000000003</v>
      </c>
      <c r="I13" s="78">
        <v>36.200000000000003</v>
      </c>
      <c r="J13" s="78">
        <v>36.700000000000003</v>
      </c>
      <c r="K13" s="78">
        <v>37.1</v>
      </c>
      <c r="L13" s="78">
        <v>37.6</v>
      </c>
      <c r="M13" s="78">
        <v>38.6</v>
      </c>
      <c r="N13" s="78">
        <v>39.6</v>
      </c>
      <c r="O13" s="78">
        <v>40.6</v>
      </c>
      <c r="P13" s="78">
        <v>41.6</v>
      </c>
      <c r="Q13" s="78">
        <v>43</v>
      </c>
      <c r="R13" s="78">
        <v>44.8</v>
      </c>
      <c r="S13" s="78">
        <v>46.6</v>
      </c>
      <c r="T13" s="78">
        <v>48.1</v>
      </c>
      <c r="U13" s="78">
        <v>49.8</v>
      </c>
      <c r="V13" s="78">
        <v>51.3</v>
      </c>
      <c r="W13" s="78">
        <v>53</v>
      </c>
    </row>
    <row r="14" spans="1:23" ht="19.95" customHeight="1">
      <c r="A14" s="102" t="s">
        <v>193</v>
      </c>
      <c r="B14" s="80" t="s">
        <v>309</v>
      </c>
      <c r="C14" s="78">
        <v>22</v>
      </c>
      <c r="D14" s="78">
        <v>21.2</v>
      </c>
      <c r="E14" s="78">
        <v>20.6</v>
      </c>
      <c r="F14" s="78">
        <v>20</v>
      </c>
      <c r="G14" s="78">
        <v>19.399999999999999</v>
      </c>
      <c r="H14" s="78">
        <v>18.8</v>
      </c>
      <c r="I14" s="78">
        <v>18.3</v>
      </c>
      <c r="J14" s="78">
        <v>17.899999999999999</v>
      </c>
      <c r="K14" s="78">
        <v>17.5</v>
      </c>
      <c r="L14" s="78">
        <v>17.100000000000001</v>
      </c>
      <c r="M14" s="78">
        <v>16.899999999999999</v>
      </c>
      <c r="N14" s="78">
        <v>16.600000000000001</v>
      </c>
      <c r="O14" s="78">
        <v>16.2</v>
      </c>
      <c r="P14" s="78">
        <v>15.8</v>
      </c>
      <c r="Q14" s="78">
        <v>15.6</v>
      </c>
      <c r="R14" s="78">
        <v>15.5</v>
      </c>
      <c r="S14" s="78">
        <v>15.2</v>
      </c>
      <c r="T14" s="78">
        <v>15</v>
      </c>
      <c r="U14" s="78">
        <v>14.9</v>
      </c>
      <c r="V14" s="78">
        <v>14.8</v>
      </c>
      <c r="W14" s="78">
        <v>14.7</v>
      </c>
    </row>
    <row r="15" spans="1:23" ht="19.95" customHeight="1">
      <c r="A15" s="102" t="s">
        <v>193</v>
      </c>
      <c r="B15" s="80" t="s">
        <v>308</v>
      </c>
      <c r="C15" s="78">
        <v>14.8</v>
      </c>
      <c r="D15" s="78">
        <v>15</v>
      </c>
      <c r="E15" s="78">
        <v>15.6</v>
      </c>
      <c r="F15" s="78">
        <v>16.3</v>
      </c>
      <c r="G15" s="78">
        <v>16.8</v>
      </c>
      <c r="H15" s="78">
        <v>17.5</v>
      </c>
      <c r="I15" s="78">
        <v>18</v>
      </c>
      <c r="J15" s="78">
        <v>18.8</v>
      </c>
      <c r="K15" s="78">
        <v>19.600000000000001</v>
      </c>
      <c r="L15" s="78">
        <v>20.399999999999999</v>
      </c>
      <c r="M15" s="78">
        <v>21.7</v>
      </c>
      <c r="N15" s="78">
        <v>23</v>
      </c>
      <c r="O15" s="78">
        <v>24.3</v>
      </c>
      <c r="P15" s="78">
        <v>25.8</v>
      </c>
      <c r="Q15" s="78">
        <v>27.4</v>
      </c>
      <c r="R15" s="78">
        <v>29.3</v>
      </c>
      <c r="S15" s="78">
        <v>31.4</v>
      </c>
      <c r="T15" s="78">
        <v>33</v>
      </c>
      <c r="U15" s="78">
        <v>35</v>
      </c>
      <c r="V15" s="78">
        <v>36.5</v>
      </c>
      <c r="W15" s="78">
        <v>38.200000000000003</v>
      </c>
    </row>
    <row r="16" spans="1:23" ht="19.95" customHeight="1">
      <c r="A16" s="102" t="s">
        <v>193</v>
      </c>
      <c r="B16" s="80" t="s">
        <v>307</v>
      </c>
      <c r="C16" s="78">
        <v>67.2</v>
      </c>
      <c r="D16" s="78">
        <v>71</v>
      </c>
      <c r="E16" s="78">
        <v>76.099999999999994</v>
      </c>
      <c r="F16" s="78">
        <v>81.5</v>
      </c>
      <c r="G16" s="78">
        <v>87</v>
      </c>
      <c r="H16" s="78">
        <v>93</v>
      </c>
      <c r="I16" s="78">
        <v>98.4</v>
      </c>
      <c r="J16" s="78">
        <v>105.1</v>
      </c>
      <c r="K16" s="78">
        <v>111.9</v>
      </c>
      <c r="L16" s="78">
        <v>119.4</v>
      </c>
      <c r="M16" s="78">
        <v>129</v>
      </c>
      <c r="N16" s="78">
        <v>138.80000000000001</v>
      </c>
      <c r="O16" s="78">
        <v>150</v>
      </c>
      <c r="P16" s="78">
        <v>162.9</v>
      </c>
      <c r="Q16" s="78">
        <v>175.7</v>
      </c>
      <c r="R16" s="78">
        <v>189.7</v>
      </c>
      <c r="S16" s="78">
        <v>206</v>
      </c>
      <c r="T16" s="78">
        <v>220</v>
      </c>
      <c r="U16" s="78">
        <v>234.8</v>
      </c>
      <c r="V16" s="78">
        <v>246.2</v>
      </c>
      <c r="W16" s="78">
        <v>259.60000000000002</v>
      </c>
    </row>
    <row r="17" spans="1:23" ht="19.95" customHeight="1">
      <c r="A17" s="102" t="s">
        <v>193</v>
      </c>
      <c r="B17" s="80" t="s">
        <v>306</v>
      </c>
      <c r="C17" s="78">
        <v>37.9</v>
      </c>
      <c r="D17" s="78">
        <v>38.5</v>
      </c>
      <c r="E17" s="78">
        <v>39.1</v>
      </c>
      <c r="F17" s="78">
        <v>39.700000000000003</v>
      </c>
      <c r="G17" s="78">
        <v>40.299999999999997</v>
      </c>
      <c r="H17" s="78">
        <v>40.9</v>
      </c>
      <c r="I17" s="78">
        <v>41.4</v>
      </c>
      <c r="J17" s="78">
        <v>42</v>
      </c>
      <c r="K17" s="78">
        <v>42.6</v>
      </c>
      <c r="L17" s="78">
        <v>43.1</v>
      </c>
      <c r="M17" s="78">
        <v>43.7</v>
      </c>
      <c r="N17" s="78">
        <v>44.3</v>
      </c>
      <c r="O17" s="78">
        <v>44.9</v>
      </c>
      <c r="P17" s="78">
        <v>45.5</v>
      </c>
      <c r="Q17" s="78">
        <v>46.1</v>
      </c>
      <c r="R17" s="78">
        <v>46.7</v>
      </c>
      <c r="S17" s="78">
        <v>47.2</v>
      </c>
      <c r="T17" s="78">
        <v>47.8</v>
      </c>
      <c r="U17" s="78">
        <v>48.4</v>
      </c>
      <c r="V17" s="78">
        <v>48.9</v>
      </c>
      <c r="W17" s="78">
        <v>49.5</v>
      </c>
    </row>
    <row r="18" spans="1:23" ht="19.95" customHeight="1">
      <c r="A18" s="102" t="s">
        <v>193</v>
      </c>
      <c r="B18" s="80" t="s">
        <v>305</v>
      </c>
      <c r="C18" s="78">
        <v>36.9</v>
      </c>
      <c r="D18" s="78">
        <v>37.5</v>
      </c>
      <c r="E18" s="78">
        <v>38</v>
      </c>
      <c r="F18" s="78">
        <v>38.5</v>
      </c>
      <c r="G18" s="78">
        <v>39.1</v>
      </c>
      <c r="H18" s="78">
        <v>39.6</v>
      </c>
      <c r="I18" s="78">
        <v>40.1</v>
      </c>
      <c r="J18" s="78">
        <v>40.700000000000003</v>
      </c>
      <c r="K18" s="78">
        <v>41.2</v>
      </c>
      <c r="L18" s="78">
        <v>41.8</v>
      </c>
      <c r="M18" s="78">
        <v>42.3</v>
      </c>
      <c r="N18" s="78">
        <v>42.9</v>
      </c>
      <c r="O18" s="78">
        <v>43.5</v>
      </c>
      <c r="P18" s="78">
        <v>44.1</v>
      </c>
      <c r="Q18" s="78">
        <v>44.7</v>
      </c>
      <c r="R18" s="78">
        <v>45.3</v>
      </c>
      <c r="S18" s="78">
        <v>45.9</v>
      </c>
      <c r="T18" s="78">
        <v>46.5</v>
      </c>
      <c r="U18" s="78">
        <v>47.1</v>
      </c>
      <c r="V18" s="78">
        <v>47.7</v>
      </c>
      <c r="W18" s="78">
        <v>48.2</v>
      </c>
    </row>
    <row r="19" spans="1:23" ht="19.95" customHeight="1">
      <c r="A19" s="102" t="s">
        <v>193</v>
      </c>
      <c r="B19" s="80" t="s">
        <v>304</v>
      </c>
      <c r="C19" s="78">
        <v>39</v>
      </c>
      <c r="D19" s="78">
        <v>39.6</v>
      </c>
      <c r="E19" s="78">
        <v>40.200000000000003</v>
      </c>
      <c r="F19" s="78">
        <v>40.799999999999997</v>
      </c>
      <c r="G19" s="78">
        <v>41.5</v>
      </c>
      <c r="H19" s="78">
        <v>42.1</v>
      </c>
      <c r="I19" s="78">
        <v>42.7</v>
      </c>
      <c r="J19" s="78">
        <v>43.3</v>
      </c>
      <c r="K19" s="78">
        <v>43.9</v>
      </c>
      <c r="L19" s="78">
        <v>44.5</v>
      </c>
      <c r="M19" s="78">
        <v>45.2</v>
      </c>
      <c r="N19" s="78">
        <v>45.8</v>
      </c>
      <c r="O19" s="78">
        <v>46.4</v>
      </c>
      <c r="P19" s="78">
        <v>47</v>
      </c>
      <c r="Q19" s="78">
        <v>47.6</v>
      </c>
      <c r="R19" s="78">
        <v>48.1</v>
      </c>
      <c r="S19" s="78">
        <v>48.7</v>
      </c>
      <c r="T19" s="78">
        <v>49.2</v>
      </c>
      <c r="U19" s="78">
        <v>49.8</v>
      </c>
      <c r="V19" s="78">
        <v>50.3</v>
      </c>
      <c r="W19" s="78">
        <v>50.8</v>
      </c>
    </row>
    <row r="20" spans="1:23" ht="19.95" customHeight="1">
      <c r="A20" s="102" t="s">
        <v>193</v>
      </c>
      <c r="B20" s="80" t="s">
        <v>303</v>
      </c>
      <c r="C20" s="78">
        <v>37.9</v>
      </c>
      <c r="D20" s="78">
        <v>38.4</v>
      </c>
      <c r="E20" s="78">
        <v>38.799999999999997</v>
      </c>
      <c r="F20" s="78">
        <v>39.299999999999997</v>
      </c>
      <c r="G20" s="78">
        <v>39.700000000000003</v>
      </c>
      <c r="H20" s="78">
        <v>40.200000000000003</v>
      </c>
      <c r="I20" s="78">
        <v>40.700000000000003</v>
      </c>
      <c r="J20" s="78">
        <v>41.2</v>
      </c>
      <c r="K20" s="78">
        <v>41.7</v>
      </c>
      <c r="L20" s="78">
        <v>42.2</v>
      </c>
      <c r="M20" s="78">
        <v>42.8</v>
      </c>
      <c r="N20" s="78">
        <v>43.3</v>
      </c>
      <c r="O20" s="78">
        <v>43.8</v>
      </c>
      <c r="P20" s="78">
        <v>44.4</v>
      </c>
      <c r="Q20" s="78">
        <v>44.9</v>
      </c>
      <c r="R20" s="78">
        <v>45.4</v>
      </c>
      <c r="S20" s="78">
        <v>45.8</v>
      </c>
      <c r="T20" s="78">
        <v>46.3</v>
      </c>
      <c r="U20" s="78">
        <v>46.7</v>
      </c>
      <c r="V20" s="78">
        <v>47.1</v>
      </c>
      <c r="W20" s="78">
        <v>47.6</v>
      </c>
    </row>
    <row r="21" spans="1:23" ht="19.95" customHeight="1">
      <c r="A21" s="102" t="s">
        <v>193</v>
      </c>
      <c r="B21" s="80" t="s">
        <v>302</v>
      </c>
      <c r="C21" s="78">
        <v>36.700000000000003</v>
      </c>
      <c r="D21" s="78">
        <v>37.200000000000003</v>
      </c>
      <c r="E21" s="78">
        <v>37.6</v>
      </c>
      <c r="F21" s="78">
        <v>38.1</v>
      </c>
      <c r="G21" s="78">
        <v>38.5</v>
      </c>
      <c r="H21" s="78">
        <v>39</v>
      </c>
      <c r="I21" s="78">
        <v>39.5</v>
      </c>
      <c r="J21" s="78">
        <v>40</v>
      </c>
      <c r="K21" s="78">
        <v>40.5</v>
      </c>
      <c r="L21" s="78">
        <v>41</v>
      </c>
      <c r="M21" s="78">
        <v>41.6</v>
      </c>
      <c r="N21" s="78">
        <v>42.1</v>
      </c>
      <c r="O21" s="78">
        <v>42.7</v>
      </c>
      <c r="P21" s="78">
        <v>43.2</v>
      </c>
      <c r="Q21" s="78">
        <v>43.7</v>
      </c>
      <c r="R21" s="78">
        <v>44.2</v>
      </c>
      <c r="S21" s="78">
        <v>44.7</v>
      </c>
      <c r="T21" s="78">
        <v>45.1</v>
      </c>
      <c r="U21" s="78">
        <v>45.6</v>
      </c>
      <c r="V21" s="78">
        <v>46</v>
      </c>
      <c r="W21" s="78">
        <v>46.4</v>
      </c>
    </row>
    <row r="22" spans="1:23" ht="19.95" customHeight="1">
      <c r="A22" s="101" t="s">
        <v>193</v>
      </c>
      <c r="B22" s="79" t="s">
        <v>301</v>
      </c>
      <c r="C22" s="78">
        <v>39.1</v>
      </c>
      <c r="D22" s="78">
        <v>39.6</v>
      </c>
      <c r="E22" s="78">
        <v>40</v>
      </c>
      <c r="F22" s="78">
        <v>40.5</v>
      </c>
      <c r="G22" s="78">
        <v>40.9</v>
      </c>
      <c r="H22" s="78">
        <v>41.4</v>
      </c>
      <c r="I22" s="78">
        <v>41.9</v>
      </c>
      <c r="J22" s="78">
        <v>42.4</v>
      </c>
      <c r="K22" s="78">
        <v>42.9</v>
      </c>
      <c r="L22" s="78">
        <v>43.4</v>
      </c>
      <c r="M22" s="78">
        <v>43.9</v>
      </c>
      <c r="N22" s="78">
        <v>44.5</v>
      </c>
      <c r="O22" s="78">
        <v>45</v>
      </c>
      <c r="P22" s="78">
        <v>45.5</v>
      </c>
      <c r="Q22" s="78">
        <v>46</v>
      </c>
      <c r="R22" s="78">
        <v>46.5</v>
      </c>
      <c r="S22" s="78">
        <v>47</v>
      </c>
      <c r="T22" s="78">
        <v>47.4</v>
      </c>
      <c r="U22" s="78">
        <v>47.9</v>
      </c>
      <c r="V22" s="78">
        <v>48.3</v>
      </c>
      <c r="W22" s="78">
        <v>48.7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14999847407452621"/>
  </sheetPr>
  <dimension ref="A1:BQ4"/>
  <sheetViews>
    <sheetView zoomScale="85" zoomScaleNormal="85" workbookViewId="0"/>
  </sheetViews>
  <sheetFormatPr defaultColWidth="9.109375" defaultRowHeight="14.4"/>
  <cols>
    <col min="1" max="1" width="34.109375" style="76" customWidth="1"/>
    <col min="2" max="16" width="23.33203125" style="76" customWidth="1"/>
    <col min="17" max="36" width="21.109375" style="76" customWidth="1"/>
    <col min="37" max="47" width="18.77734375" style="76" customWidth="1"/>
    <col min="48" max="56" width="16.33203125" style="76" customWidth="1"/>
    <col min="57" max="67" width="14" style="76" customWidth="1"/>
    <col min="68" max="69" width="11.77734375" style="76" customWidth="1"/>
    <col min="70" max="16384" width="9.109375" style="76"/>
  </cols>
  <sheetData>
    <row r="1" spans="1:69" ht="20.100000000000001" customHeight="1">
      <c r="A1" s="83" t="s">
        <v>287</v>
      </c>
      <c r="B1" s="82" t="s">
        <v>186</v>
      </c>
      <c r="C1" s="82" t="s">
        <v>185</v>
      </c>
      <c r="D1" s="82" t="s">
        <v>184</v>
      </c>
      <c r="E1" s="82" t="s">
        <v>183</v>
      </c>
      <c r="F1" s="82" t="s">
        <v>182</v>
      </c>
      <c r="G1" s="82" t="s">
        <v>181</v>
      </c>
      <c r="H1" s="82" t="s">
        <v>180</v>
      </c>
      <c r="I1" s="82" t="s">
        <v>179</v>
      </c>
      <c r="J1" s="82" t="s">
        <v>178</v>
      </c>
      <c r="K1" s="82" t="s">
        <v>177</v>
      </c>
      <c r="L1" s="82" t="s">
        <v>286</v>
      </c>
      <c r="M1" s="82" t="s">
        <v>285</v>
      </c>
      <c r="N1" s="82" t="s">
        <v>284</v>
      </c>
      <c r="O1" s="82" t="s">
        <v>283</v>
      </c>
      <c r="P1" s="82" t="s">
        <v>282</v>
      </c>
      <c r="Q1" s="82" t="s">
        <v>281</v>
      </c>
      <c r="R1" s="82" t="s">
        <v>280</v>
      </c>
      <c r="S1" s="82" t="s">
        <v>279</v>
      </c>
      <c r="T1" s="82" t="s">
        <v>278</v>
      </c>
      <c r="U1" s="82" t="s">
        <v>277</v>
      </c>
      <c r="V1" s="82" t="s">
        <v>276</v>
      </c>
      <c r="W1" s="82" t="s">
        <v>275</v>
      </c>
      <c r="X1" s="82" t="s">
        <v>274</v>
      </c>
      <c r="Y1" s="82" t="s">
        <v>273</v>
      </c>
      <c r="Z1" s="82" t="s">
        <v>272</v>
      </c>
      <c r="AA1" s="82" t="s">
        <v>271</v>
      </c>
      <c r="AB1" s="82" t="s">
        <v>270</v>
      </c>
      <c r="AC1" s="82" t="s">
        <v>269</v>
      </c>
      <c r="AD1" s="82" t="s">
        <v>268</v>
      </c>
      <c r="AE1" s="82" t="s">
        <v>267</v>
      </c>
      <c r="AF1" s="82" t="s">
        <v>266</v>
      </c>
      <c r="AG1" s="82" t="s">
        <v>265</v>
      </c>
      <c r="AH1" s="82" t="s">
        <v>264</v>
      </c>
      <c r="AI1" s="82" t="s">
        <v>263</v>
      </c>
      <c r="AJ1" s="82" t="s">
        <v>262</v>
      </c>
      <c r="AK1" s="82" t="s">
        <v>261</v>
      </c>
      <c r="AL1" s="82" t="s">
        <v>260</v>
      </c>
      <c r="AM1" s="82" t="s">
        <v>259</v>
      </c>
      <c r="AN1" s="82" t="s">
        <v>258</v>
      </c>
      <c r="AO1" s="82" t="s">
        <v>257</v>
      </c>
      <c r="AP1" s="82" t="s">
        <v>256</v>
      </c>
      <c r="AQ1" s="82" t="s">
        <v>255</v>
      </c>
      <c r="AR1" s="82" t="s">
        <v>254</v>
      </c>
      <c r="AS1" s="82" t="s">
        <v>253</v>
      </c>
      <c r="AT1" s="82" t="s">
        <v>252</v>
      </c>
      <c r="AU1" s="82" t="s">
        <v>251</v>
      </c>
      <c r="AV1" s="82" t="s">
        <v>250</v>
      </c>
      <c r="AW1" s="82" t="s">
        <v>249</v>
      </c>
      <c r="AX1" s="82" t="s">
        <v>248</v>
      </c>
      <c r="AY1" s="82" t="s">
        <v>247</v>
      </c>
      <c r="AZ1" s="82" t="s">
        <v>246</v>
      </c>
      <c r="BA1" s="82" t="s">
        <v>245</v>
      </c>
      <c r="BB1" s="82" t="s">
        <v>244</v>
      </c>
      <c r="BC1" s="82" t="s">
        <v>243</v>
      </c>
      <c r="BD1" s="82" t="s">
        <v>242</v>
      </c>
      <c r="BE1" s="82" t="s">
        <v>241</v>
      </c>
      <c r="BF1" s="82" t="s">
        <v>240</v>
      </c>
      <c r="BG1" s="82" t="s">
        <v>239</v>
      </c>
      <c r="BH1" s="82" t="s">
        <v>238</v>
      </c>
      <c r="BI1" s="82" t="s">
        <v>237</v>
      </c>
      <c r="BJ1" s="82" t="s">
        <v>236</v>
      </c>
      <c r="BK1" s="82" t="s">
        <v>235</v>
      </c>
      <c r="BL1" s="82" t="s">
        <v>234</v>
      </c>
      <c r="BM1" s="82" t="s">
        <v>233</v>
      </c>
      <c r="BN1" s="82" t="s">
        <v>232</v>
      </c>
      <c r="BO1" s="82" t="s">
        <v>231</v>
      </c>
      <c r="BP1" s="82" t="s">
        <v>230</v>
      </c>
      <c r="BQ1" s="82" t="s">
        <v>229</v>
      </c>
    </row>
    <row r="2" spans="1:69" ht="20.100000000000001" customHeight="1">
      <c r="A2" s="80" t="s">
        <v>228</v>
      </c>
      <c r="B2" s="81">
        <v>1933152.4</v>
      </c>
      <c r="C2" s="81">
        <v>1924498.1</v>
      </c>
      <c r="D2" s="81">
        <v>1898192.6</v>
      </c>
      <c r="E2" s="81">
        <v>1835698.2</v>
      </c>
      <c r="F2" s="81">
        <v>1740779.6</v>
      </c>
      <c r="G2" s="81">
        <v>1658020.4</v>
      </c>
      <c r="H2" s="81">
        <v>1562928.9</v>
      </c>
      <c r="I2" s="81">
        <v>1500819.1</v>
      </c>
      <c r="J2" s="81">
        <v>1440111.4</v>
      </c>
      <c r="K2" s="81">
        <v>1388937.2</v>
      </c>
      <c r="L2" s="81">
        <v>1322611.2</v>
      </c>
      <c r="M2" s="81">
        <v>1205347.7</v>
      </c>
      <c r="N2" s="81">
        <v>1154216.5</v>
      </c>
      <c r="O2" s="81">
        <v>1089660.2</v>
      </c>
      <c r="P2" s="81">
        <v>1005601.5</v>
      </c>
      <c r="Q2" s="81">
        <v>957447.8</v>
      </c>
      <c r="R2" s="81">
        <v>908439.2</v>
      </c>
      <c r="S2" s="81">
        <v>837365</v>
      </c>
      <c r="T2" s="81">
        <v>784741.3</v>
      </c>
      <c r="U2" s="81">
        <v>707021.3</v>
      </c>
      <c r="V2" s="81">
        <v>651634.4</v>
      </c>
      <c r="W2" s="81">
        <v>591453</v>
      </c>
      <c r="X2" s="81">
        <v>537215.30000000005</v>
      </c>
      <c r="Y2" s="81">
        <v>542001.80000000005</v>
      </c>
      <c r="Z2" s="81">
        <v>490850.9</v>
      </c>
      <c r="AA2" s="81">
        <v>436988.8</v>
      </c>
      <c r="AB2" s="81">
        <v>372493.4</v>
      </c>
      <c r="AC2" s="81">
        <v>315181.3</v>
      </c>
      <c r="AD2" s="81">
        <v>277540.8</v>
      </c>
      <c r="AE2" s="81">
        <v>242481.1</v>
      </c>
      <c r="AF2" s="81">
        <v>200556.2</v>
      </c>
      <c r="AG2" s="81">
        <v>165801.79999999999</v>
      </c>
      <c r="AH2" s="81">
        <v>145994.70000000001</v>
      </c>
      <c r="AI2" s="81">
        <v>121697.8</v>
      </c>
      <c r="AJ2" s="81">
        <v>102985.8</v>
      </c>
      <c r="AK2" s="81">
        <v>88129.7</v>
      </c>
      <c r="AL2" s="81">
        <v>78591.3</v>
      </c>
      <c r="AM2" s="81">
        <v>68080.100000000006</v>
      </c>
      <c r="AN2" s="81">
        <v>57286.6</v>
      </c>
      <c r="AO2" s="81">
        <v>49669.8</v>
      </c>
      <c r="AP2" s="81">
        <v>39725.1</v>
      </c>
      <c r="AQ2" s="81">
        <v>32402.3</v>
      </c>
      <c r="AR2" s="81">
        <v>25154.5</v>
      </c>
      <c r="AS2" s="81">
        <v>18608.099999999999</v>
      </c>
      <c r="AT2" s="81">
        <v>14472.8</v>
      </c>
      <c r="AU2" s="81">
        <v>10543.6</v>
      </c>
      <c r="AV2" s="81">
        <v>7905</v>
      </c>
      <c r="AW2" s="81">
        <v>5527.3</v>
      </c>
      <c r="AX2" s="81">
        <v>4267.7</v>
      </c>
      <c r="AY2" s="81">
        <v>3438</v>
      </c>
      <c r="AZ2" s="81">
        <v>2796.6</v>
      </c>
      <c r="BA2" s="81">
        <v>2212.66</v>
      </c>
      <c r="BB2" s="81">
        <v>1692.9</v>
      </c>
      <c r="BC2" s="81">
        <v>1313.62</v>
      </c>
      <c r="BD2" s="81">
        <v>1066.07</v>
      </c>
      <c r="BE2" s="81">
        <v>831.39</v>
      </c>
      <c r="BF2" s="81">
        <v>739.68</v>
      </c>
      <c r="BG2" s="81">
        <v>518.54</v>
      </c>
      <c r="BH2" s="81">
        <v>365.86</v>
      </c>
      <c r="BI2" s="81">
        <v>301.69</v>
      </c>
      <c r="BJ2" s="81">
        <v>249.86</v>
      </c>
      <c r="BK2" s="81">
        <v>220.76</v>
      </c>
      <c r="BL2" s="81">
        <v>207.59</v>
      </c>
      <c r="BM2" s="81">
        <v>198.43</v>
      </c>
      <c r="BN2" s="81">
        <v>151.5</v>
      </c>
      <c r="BO2" s="81">
        <v>114.22</v>
      </c>
      <c r="BP2" s="81">
        <v>66.28</v>
      </c>
      <c r="BQ2" s="81">
        <v>47.74</v>
      </c>
    </row>
    <row r="3" spans="1:69" ht="20.100000000000001" customHeight="1">
      <c r="A3" s="80" t="s">
        <v>227</v>
      </c>
      <c r="B3" s="78">
        <v>-0.9</v>
      </c>
      <c r="C3" s="78">
        <v>2.2000000000000002</v>
      </c>
      <c r="D3" s="78">
        <v>2.9</v>
      </c>
      <c r="E3" s="78">
        <v>3.2</v>
      </c>
      <c r="F3" s="78">
        <v>2.9</v>
      </c>
      <c r="G3" s="78">
        <v>2.8</v>
      </c>
      <c r="H3" s="78">
        <v>3.2</v>
      </c>
      <c r="I3" s="78">
        <v>3.2</v>
      </c>
      <c r="J3" s="78">
        <v>2.4</v>
      </c>
      <c r="K3" s="78">
        <v>3.7</v>
      </c>
      <c r="L3" s="78">
        <v>6.8</v>
      </c>
      <c r="M3" s="78">
        <v>0.8</v>
      </c>
      <c r="N3" s="78">
        <v>3</v>
      </c>
      <c r="O3" s="78">
        <v>5.8</v>
      </c>
      <c r="P3" s="78">
        <v>5.3</v>
      </c>
      <c r="Q3" s="78">
        <v>4.3</v>
      </c>
      <c r="R3" s="78">
        <v>5.2</v>
      </c>
      <c r="S3" s="78">
        <v>3.1</v>
      </c>
      <c r="T3" s="78">
        <v>7.7</v>
      </c>
      <c r="U3" s="78">
        <v>4.9000000000000004</v>
      </c>
      <c r="V3" s="78">
        <v>9.1</v>
      </c>
      <c r="W3" s="78">
        <v>11.5</v>
      </c>
      <c r="X3" s="78">
        <v>-5.0999999999999996</v>
      </c>
      <c r="Y3" s="78">
        <v>6.2</v>
      </c>
      <c r="Z3" s="78">
        <v>7.9</v>
      </c>
      <c r="AA3" s="78">
        <v>9.6</v>
      </c>
      <c r="AB3" s="78">
        <v>9.3000000000000007</v>
      </c>
      <c r="AC3" s="78">
        <v>6.9</v>
      </c>
      <c r="AD3" s="78">
        <v>6.2</v>
      </c>
      <c r="AE3" s="78">
        <v>10.8</v>
      </c>
      <c r="AF3" s="78">
        <v>9.9</v>
      </c>
      <c r="AG3" s="78">
        <v>7.1</v>
      </c>
      <c r="AH3" s="78">
        <v>12</v>
      </c>
      <c r="AI3" s="78">
        <v>12.7</v>
      </c>
      <c r="AJ3" s="78">
        <v>11.3</v>
      </c>
      <c r="AK3" s="78">
        <v>7.8</v>
      </c>
      <c r="AL3" s="78">
        <v>10.6</v>
      </c>
      <c r="AM3" s="78">
        <v>13.4</v>
      </c>
      <c r="AN3" s="78">
        <v>8.3000000000000007</v>
      </c>
      <c r="AO3" s="78">
        <v>7.2</v>
      </c>
      <c r="AP3" s="78">
        <v>-1.6</v>
      </c>
      <c r="AQ3" s="78">
        <v>8.6999999999999993</v>
      </c>
      <c r="AR3" s="78">
        <v>11</v>
      </c>
      <c r="AS3" s="78">
        <v>12.3</v>
      </c>
      <c r="AT3" s="78">
        <v>13.2</v>
      </c>
      <c r="AU3" s="78">
        <v>7.8</v>
      </c>
      <c r="AV3" s="78">
        <v>9.5</v>
      </c>
      <c r="AW3" s="78">
        <v>14.9</v>
      </c>
      <c r="AX3" s="78">
        <v>7.2</v>
      </c>
      <c r="AY3" s="78">
        <v>10.5</v>
      </c>
      <c r="AZ3" s="78">
        <v>10.1</v>
      </c>
      <c r="BA3" s="78">
        <v>14.6</v>
      </c>
      <c r="BB3" s="78">
        <v>13.2</v>
      </c>
      <c r="BC3" s="78">
        <v>9.1</v>
      </c>
      <c r="BD3" s="78">
        <v>12</v>
      </c>
      <c r="BE3" s="78">
        <v>7.3</v>
      </c>
      <c r="BF3" s="78">
        <v>9.5</v>
      </c>
      <c r="BG3" s="78">
        <v>9</v>
      </c>
      <c r="BH3" s="78">
        <v>3.9</v>
      </c>
      <c r="BI3" s="78">
        <v>6.9</v>
      </c>
      <c r="BJ3" s="78">
        <v>2.2999999999999998</v>
      </c>
      <c r="BK3" s="78">
        <v>5.6</v>
      </c>
      <c r="BL3" s="78">
        <v>6.6</v>
      </c>
      <c r="BM3" s="78">
        <v>9.4</v>
      </c>
      <c r="BN3" s="78">
        <v>0.6</v>
      </c>
      <c r="BO3" s="78">
        <v>5.6</v>
      </c>
      <c r="BP3" s="78">
        <v>7.5</v>
      </c>
      <c r="BQ3" s="77" t="s">
        <v>50</v>
      </c>
    </row>
    <row r="4" spans="1:69" ht="20.100000000000001" customHeight="1">
      <c r="A4" s="80" t="s">
        <v>226</v>
      </c>
      <c r="B4" s="78">
        <v>-0.2</v>
      </c>
      <c r="C4" s="78">
        <v>-0.1</v>
      </c>
      <c r="D4" s="78">
        <v>1.6</v>
      </c>
      <c r="E4" s="78">
        <v>3.3</v>
      </c>
      <c r="F4" s="78">
        <v>4.4000000000000004</v>
      </c>
      <c r="G4" s="78">
        <v>6.5</v>
      </c>
      <c r="H4" s="78">
        <v>3.6</v>
      </c>
      <c r="I4" s="78">
        <v>4.3</v>
      </c>
      <c r="J4" s="78">
        <v>2.5</v>
      </c>
      <c r="K4" s="78">
        <v>1.2</v>
      </c>
      <c r="L4" s="78">
        <v>6.9</v>
      </c>
      <c r="M4" s="78">
        <v>2.6</v>
      </c>
      <c r="N4" s="78">
        <v>0.1</v>
      </c>
      <c r="O4" s="78">
        <v>5.6</v>
      </c>
      <c r="P4" s="78">
        <v>3.6</v>
      </c>
      <c r="Q4" s="78">
        <v>3</v>
      </c>
      <c r="R4" s="78">
        <v>4.0999999999999996</v>
      </c>
      <c r="S4" s="78">
        <v>2.6</v>
      </c>
      <c r="T4" s="78">
        <v>8.3000000000000007</v>
      </c>
      <c r="U4" s="78">
        <v>4</v>
      </c>
      <c r="V4" s="78">
        <v>6</v>
      </c>
      <c r="W4" s="78">
        <v>10.5</v>
      </c>
      <c r="X4" s="78">
        <v>-7</v>
      </c>
      <c r="Y4" s="78">
        <v>4.2</v>
      </c>
      <c r="Z4" s="78">
        <v>6.6</v>
      </c>
      <c r="AA4" s="78">
        <v>8.9</v>
      </c>
      <c r="AB4" s="78">
        <v>9.5</v>
      </c>
      <c r="AC4" s="78">
        <v>7.2</v>
      </c>
      <c r="AD4" s="78">
        <v>6.2</v>
      </c>
      <c r="AE4" s="78">
        <v>10.9</v>
      </c>
      <c r="AF4" s="78">
        <v>9.3000000000000007</v>
      </c>
      <c r="AG4" s="78">
        <v>8.1999999999999993</v>
      </c>
      <c r="AH4" s="78">
        <v>12.9</v>
      </c>
      <c r="AI4" s="78">
        <v>13.8</v>
      </c>
      <c r="AJ4" s="78">
        <v>13.9</v>
      </c>
      <c r="AK4" s="78">
        <v>7.6</v>
      </c>
      <c r="AL4" s="78">
        <v>11</v>
      </c>
      <c r="AM4" s="78">
        <v>14.1</v>
      </c>
      <c r="AN4" s="78">
        <v>9.3000000000000007</v>
      </c>
      <c r="AO4" s="78">
        <v>6</v>
      </c>
      <c r="AP4" s="78">
        <v>-4.9000000000000004</v>
      </c>
      <c r="AQ4" s="78">
        <v>8.1999999999999993</v>
      </c>
      <c r="AR4" s="78">
        <v>11.8</v>
      </c>
      <c r="AS4" s="78">
        <v>13.6</v>
      </c>
      <c r="AT4" s="78">
        <v>16.8</v>
      </c>
      <c r="AU4" s="78">
        <v>5.7</v>
      </c>
      <c r="AV4" s="78">
        <v>6.2</v>
      </c>
      <c r="AW4" s="78">
        <v>14.6</v>
      </c>
      <c r="AX4" s="78">
        <v>6.9</v>
      </c>
      <c r="AY4" s="78">
        <v>10.1</v>
      </c>
      <c r="AZ4" s="78">
        <v>9.1</v>
      </c>
      <c r="BA4" s="78">
        <v>13.9</v>
      </c>
      <c r="BB4" s="78">
        <v>13.1</v>
      </c>
      <c r="BC4" s="78">
        <v>9.1</v>
      </c>
      <c r="BD4" s="78">
        <v>11.6</v>
      </c>
      <c r="BE4" s="78">
        <v>7.8</v>
      </c>
      <c r="BF4" s="78">
        <v>8</v>
      </c>
      <c r="BG4" s="78">
        <v>11.3</v>
      </c>
      <c r="BH4" s="78">
        <v>3.9</v>
      </c>
      <c r="BI4" s="78">
        <v>6</v>
      </c>
      <c r="BJ4" s="78">
        <v>2.2999999999999998</v>
      </c>
      <c r="BK4" s="78">
        <v>5.3</v>
      </c>
      <c r="BL4" s="78">
        <v>6.8</v>
      </c>
      <c r="BM4" s="78">
        <v>10.4</v>
      </c>
      <c r="BN4" s="78">
        <v>-0.8</v>
      </c>
      <c r="BO4" s="78">
        <v>7.2</v>
      </c>
      <c r="BP4" s="78">
        <v>7.1</v>
      </c>
      <c r="BQ4" s="77" t="s">
        <v>50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BD2"/>
  <sheetViews>
    <sheetView zoomScale="115" zoomScaleNormal="115" workbookViewId="0">
      <selection activeCell="B2" sqref="B2"/>
    </sheetView>
  </sheetViews>
  <sheetFormatPr defaultColWidth="9.109375" defaultRowHeight="14.4"/>
  <cols>
    <col min="1" max="1" width="10.77734375" style="76" customWidth="1"/>
    <col min="2" max="40" width="7" style="76" customWidth="1"/>
    <col min="41" max="48" width="9.33203125" style="76" customWidth="1"/>
    <col min="49" max="49" width="7" style="76" customWidth="1"/>
    <col min="50" max="56" width="9.33203125" style="76" customWidth="1"/>
    <col min="57" max="16384" width="9.109375" style="76"/>
  </cols>
  <sheetData>
    <row r="1" spans="1:56" ht="20.100000000000001" customHeight="1">
      <c r="A1" s="83" t="s">
        <v>289</v>
      </c>
      <c r="B1" s="82" t="s">
        <v>186</v>
      </c>
      <c r="C1" s="82" t="s">
        <v>185</v>
      </c>
      <c r="D1" s="82" t="s">
        <v>184</v>
      </c>
      <c r="E1" s="82" t="s">
        <v>183</v>
      </c>
      <c r="F1" s="82" t="s">
        <v>182</v>
      </c>
      <c r="G1" s="82" t="s">
        <v>181</v>
      </c>
      <c r="H1" s="82" t="s">
        <v>180</v>
      </c>
      <c r="I1" s="82" t="s">
        <v>179</v>
      </c>
      <c r="J1" s="82" t="s">
        <v>178</v>
      </c>
      <c r="K1" s="82" t="s">
        <v>177</v>
      </c>
      <c r="L1" s="82" t="s">
        <v>286</v>
      </c>
      <c r="M1" s="82" t="s">
        <v>285</v>
      </c>
      <c r="N1" s="82" t="s">
        <v>284</v>
      </c>
      <c r="O1" s="82" t="s">
        <v>283</v>
      </c>
      <c r="P1" s="82" t="s">
        <v>282</v>
      </c>
      <c r="Q1" s="82" t="s">
        <v>281</v>
      </c>
      <c r="R1" s="82" t="s">
        <v>280</v>
      </c>
      <c r="S1" s="82" t="s">
        <v>279</v>
      </c>
      <c r="T1" s="82" t="s">
        <v>278</v>
      </c>
      <c r="U1" s="82" t="s">
        <v>277</v>
      </c>
      <c r="V1" s="82" t="s">
        <v>276</v>
      </c>
      <c r="W1" s="82" t="s">
        <v>275</v>
      </c>
      <c r="X1" s="82" t="s">
        <v>274</v>
      </c>
      <c r="Y1" s="82" t="s">
        <v>273</v>
      </c>
      <c r="Z1" s="82" t="s">
        <v>272</v>
      </c>
      <c r="AA1" s="82" t="s">
        <v>271</v>
      </c>
      <c r="AB1" s="82" t="s">
        <v>270</v>
      </c>
      <c r="AC1" s="82" t="s">
        <v>269</v>
      </c>
      <c r="AD1" s="82" t="s">
        <v>268</v>
      </c>
      <c r="AE1" s="82" t="s">
        <v>267</v>
      </c>
      <c r="AF1" s="82" t="s">
        <v>266</v>
      </c>
      <c r="AG1" s="82" t="s">
        <v>265</v>
      </c>
      <c r="AH1" s="82" t="s">
        <v>264</v>
      </c>
      <c r="AI1" s="82" t="s">
        <v>263</v>
      </c>
      <c r="AJ1" s="82" t="s">
        <v>262</v>
      </c>
      <c r="AK1" s="82" t="s">
        <v>261</v>
      </c>
      <c r="AL1" s="82" t="s">
        <v>260</v>
      </c>
      <c r="AM1" s="82" t="s">
        <v>259</v>
      </c>
      <c r="AN1" s="82" t="s">
        <v>258</v>
      </c>
      <c r="AO1" s="82" t="s">
        <v>257</v>
      </c>
      <c r="AP1" s="82" t="s">
        <v>256</v>
      </c>
      <c r="AQ1" s="82" t="s">
        <v>255</v>
      </c>
      <c r="AR1" s="82" t="s">
        <v>254</v>
      </c>
      <c r="AS1" s="82" t="s">
        <v>253</v>
      </c>
      <c r="AT1" s="82" t="s">
        <v>252</v>
      </c>
      <c r="AU1" s="82" t="s">
        <v>251</v>
      </c>
      <c r="AV1" s="82" t="s">
        <v>250</v>
      </c>
      <c r="AW1" s="82" t="s">
        <v>249</v>
      </c>
      <c r="AX1" s="82" t="s">
        <v>248</v>
      </c>
      <c r="AY1" s="82" t="s">
        <v>247</v>
      </c>
      <c r="AZ1" s="82" t="s">
        <v>246</v>
      </c>
      <c r="BA1" s="82" t="s">
        <v>245</v>
      </c>
      <c r="BB1" s="82" t="s">
        <v>244</v>
      </c>
      <c r="BC1" s="82" t="s">
        <v>243</v>
      </c>
      <c r="BD1" s="82" t="s">
        <v>242</v>
      </c>
    </row>
    <row r="2" spans="1:56" ht="20.100000000000001" customHeight="1">
      <c r="A2" s="79" t="s">
        <v>288</v>
      </c>
      <c r="B2" s="78">
        <v>0.5</v>
      </c>
      <c r="C2" s="78">
        <v>0.4</v>
      </c>
      <c r="D2" s="78">
        <v>1.5</v>
      </c>
      <c r="E2" s="78">
        <v>1.9</v>
      </c>
      <c r="F2" s="78">
        <v>1</v>
      </c>
      <c r="G2" s="78">
        <v>0.7</v>
      </c>
      <c r="H2" s="78">
        <v>1.3</v>
      </c>
      <c r="I2" s="78">
        <v>1.3</v>
      </c>
      <c r="J2" s="78">
        <v>2.2000000000000002</v>
      </c>
      <c r="K2" s="78">
        <v>4</v>
      </c>
      <c r="L2" s="78">
        <v>2.9</v>
      </c>
      <c r="M2" s="78">
        <v>2.8</v>
      </c>
      <c r="N2" s="78">
        <v>4.7</v>
      </c>
      <c r="O2" s="78">
        <v>2.5</v>
      </c>
      <c r="P2" s="78">
        <v>2.2000000000000002</v>
      </c>
      <c r="Q2" s="78">
        <v>2.8</v>
      </c>
      <c r="R2" s="78">
        <v>3.6</v>
      </c>
      <c r="S2" s="78">
        <v>3.5</v>
      </c>
      <c r="T2" s="78">
        <v>2.8</v>
      </c>
      <c r="U2" s="78">
        <v>4.0999999999999996</v>
      </c>
      <c r="V2" s="78">
        <v>2.2999999999999998</v>
      </c>
      <c r="W2" s="78">
        <v>0.8</v>
      </c>
      <c r="X2" s="78">
        <v>7.5</v>
      </c>
      <c r="Y2" s="78">
        <v>4.4000000000000004</v>
      </c>
      <c r="Z2" s="78">
        <v>4.9000000000000004</v>
      </c>
      <c r="AA2" s="78">
        <v>4.5</v>
      </c>
      <c r="AB2" s="78">
        <v>6.3</v>
      </c>
      <c r="AC2" s="78">
        <v>4.8</v>
      </c>
      <c r="AD2" s="78">
        <v>6.2</v>
      </c>
      <c r="AE2" s="78">
        <v>9.3000000000000007</v>
      </c>
      <c r="AF2" s="78">
        <v>8.6</v>
      </c>
      <c r="AG2" s="78">
        <v>5.7</v>
      </c>
      <c r="AH2" s="78">
        <v>7.1</v>
      </c>
      <c r="AI2" s="78">
        <v>3</v>
      </c>
      <c r="AJ2" s="78">
        <v>2.8</v>
      </c>
      <c r="AK2" s="78">
        <v>2.5</v>
      </c>
      <c r="AL2" s="78">
        <v>2.2999999999999998</v>
      </c>
      <c r="AM2" s="78">
        <v>3.4</v>
      </c>
      <c r="AN2" s="78">
        <v>7.2</v>
      </c>
      <c r="AO2" s="78">
        <v>21.4</v>
      </c>
      <c r="AP2" s="78">
        <v>28.7</v>
      </c>
      <c r="AQ2" s="78">
        <v>18.3</v>
      </c>
      <c r="AR2" s="78">
        <v>14.5</v>
      </c>
      <c r="AS2" s="78">
        <v>10.1</v>
      </c>
      <c r="AT2" s="78">
        <v>15.3</v>
      </c>
      <c r="AU2" s="78">
        <v>25.2</v>
      </c>
      <c r="AV2" s="78">
        <v>24.3</v>
      </c>
      <c r="AW2" s="78">
        <v>3.2</v>
      </c>
      <c r="AX2" s="78">
        <v>11.7</v>
      </c>
      <c r="AY2" s="78">
        <v>13.5</v>
      </c>
      <c r="AZ2" s="78">
        <v>16</v>
      </c>
      <c r="BA2" s="78">
        <v>12.4</v>
      </c>
      <c r="BB2" s="78">
        <v>10.7</v>
      </c>
      <c r="BC2" s="78">
        <v>10.9</v>
      </c>
      <c r="BD2" s="78">
        <v>11.3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EBIT</vt:lpstr>
      <vt:lpstr>Model</vt:lpstr>
      <vt:lpstr>RAW &gt;&gt;</vt:lpstr>
      <vt:lpstr>rFS</vt:lpstr>
      <vt:lpstr>rSegment</vt:lpstr>
      <vt:lpstr>rKorea</vt:lpstr>
      <vt:lpstr>rPop</vt:lpstr>
      <vt:lpstr>rGDP</vt:lpstr>
      <vt:lpstr>rInflation</vt:lpstr>
      <vt:lpstr>rFX</vt:lpstr>
      <vt:lpstr>'RAW &gt;&gt;'!Print_Area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agh10</dc:creator>
  <cp:lastModifiedBy>장수 김</cp:lastModifiedBy>
  <dcterms:created xsi:type="dcterms:W3CDTF">2021-05-24T22:23:42Z</dcterms:created>
  <dcterms:modified xsi:type="dcterms:W3CDTF">2021-12-25T07:00:11Z</dcterms:modified>
</cp:coreProperties>
</file>