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7"/>
  </bookViews>
  <sheets>
    <sheet name="综合" sheetId="1" r:id="rId1"/>
    <sheet name="物品定价" sheetId="4" r:id="rId2"/>
    <sheet name="等级时间" sheetId="2" r:id="rId3"/>
    <sheet name="体力抽奖" sheetId="3" r:id="rId4"/>
    <sheet name="Sheet1" sheetId="5" r:id="rId5"/>
    <sheet name="树木" sheetId="6" r:id="rId6"/>
    <sheet name="矿山" sheetId="7" r:id="rId7"/>
    <sheet name="旅店" sheetId="8" r:id="rId8"/>
    <sheet name="圣池" sheetId="9" r:id="rId9"/>
    <sheet name="土地规划" sheetId="10" r:id="rId10"/>
  </sheets>
  <externalReferences>
    <externalReference r:id="rId11"/>
  </externalReferences>
  <calcPr calcId="152511"/>
</workbook>
</file>

<file path=xl/calcChain.xml><?xml version="1.0" encoding="utf-8"?>
<calcChain xmlns="http://schemas.openxmlformats.org/spreadsheetml/2006/main">
  <c r="R6" i="9" l="1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Q27" i="9" s="1"/>
  <c r="P28" i="9"/>
  <c r="P29" i="9"/>
  <c r="P30" i="9"/>
  <c r="Q30" i="9" s="1"/>
  <c r="P31" i="9"/>
  <c r="P32" i="9"/>
  <c r="P33" i="9"/>
  <c r="P34" i="9"/>
  <c r="P35" i="9"/>
  <c r="P36" i="9"/>
  <c r="P37" i="9"/>
  <c r="P38" i="9"/>
  <c r="P39" i="9"/>
  <c r="P40" i="9"/>
  <c r="P41" i="9"/>
  <c r="P42" i="9"/>
  <c r="Q42" i="9" s="1"/>
  <c r="P43" i="9"/>
  <c r="P44" i="9"/>
  <c r="P45" i="9"/>
  <c r="P46" i="9"/>
  <c r="P47" i="9"/>
  <c r="P48" i="9"/>
  <c r="Q48" i="9" s="1"/>
  <c r="P49" i="9"/>
  <c r="P50" i="9"/>
  <c r="P51" i="9"/>
  <c r="P52" i="9"/>
  <c r="P53" i="9"/>
  <c r="P54" i="9"/>
  <c r="Q54" i="9" s="1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Q78" i="9" s="1"/>
  <c r="P79" i="9"/>
  <c r="P80" i="9"/>
  <c r="P81" i="9"/>
  <c r="P82" i="9"/>
  <c r="P83" i="9"/>
  <c r="P84" i="9"/>
  <c r="P85" i="9"/>
  <c r="Q85" i="9" s="1"/>
  <c r="P6" i="9"/>
  <c r="P5" i="9"/>
  <c r="O6" i="9"/>
  <c r="O7" i="9"/>
  <c r="O8" i="9"/>
  <c r="O9" i="9"/>
  <c r="Q9" i="9" s="1"/>
  <c r="O10" i="9"/>
  <c r="O11" i="9"/>
  <c r="Q12" i="9" s="1"/>
  <c r="O12" i="9"/>
  <c r="O13" i="9"/>
  <c r="O14" i="9"/>
  <c r="O15" i="9"/>
  <c r="O16" i="9"/>
  <c r="O17" i="9"/>
  <c r="O18" i="9"/>
  <c r="O19" i="9"/>
  <c r="Q20" i="9" s="1"/>
  <c r="O20" i="9"/>
  <c r="O21" i="9"/>
  <c r="O22" i="9"/>
  <c r="O23" i="9"/>
  <c r="O24" i="9"/>
  <c r="O25" i="9"/>
  <c r="O26" i="9"/>
  <c r="O27" i="9"/>
  <c r="Q28" i="9" s="1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Q44" i="9" s="1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Q64" i="9" s="1"/>
  <c r="O65" i="9"/>
  <c r="O66" i="9"/>
  <c r="O67" i="9"/>
  <c r="Q68" i="9" s="1"/>
  <c r="O68" i="9"/>
  <c r="O69" i="9"/>
  <c r="O70" i="9"/>
  <c r="O71" i="9"/>
  <c r="O72" i="9"/>
  <c r="Q72" i="9" s="1"/>
  <c r="O73" i="9"/>
  <c r="O74" i="9"/>
  <c r="O75" i="9"/>
  <c r="Q76" i="9" s="1"/>
  <c r="O76" i="9"/>
  <c r="O77" i="9"/>
  <c r="O78" i="9"/>
  <c r="O79" i="9"/>
  <c r="O80" i="9"/>
  <c r="O81" i="9"/>
  <c r="O82" i="9"/>
  <c r="O83" i="9"/>
  <c r="Q84" i="9" s="1"/>
  <c r="O84" i="9"/>
  <c r="O85" i="9"/>
  <c r="Q80" i="9"/>
  <c r="Q66" i="9"/>
  <c r="Q56" i="9"/>
  <c r="Q52" i="9"/>
  <c r="Q40" i="9"/>
  <c r="Q32" i="9"/>
  <c r="Q24" i="9"/>
  <c r="Q22" i="9"/>
  <c r="Q16" i="9"/>
  <c r="Q15" i="9"/>
  <c r="Q13" i="9"/>
  <c r="Q8" i="9"/>
  <c r="Q7" i="9"/>
  <c r="Q6" i="9"/>
  <c r="O5" i="9"/>
  <c r="Q5" i="9" s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5" i="9"/>
  <c r="H102" i="9" a="1"/>
  <c r="H102" i="9" s="1"/>
  <c r="H100" i="9" a="1"/>
  <c r="H100" i="9" s="1"/>
  <c r="G100" i="9" a="1"/>
  <c r="G100" i="9" s="1"/>
  <c r="H97" i="9" a="1"/>
  <c r="H97" i="9" s="1"/>
  <c r="F97" i="9" a="1"/>
  <c r="F97" i="9" s="1"/>
  <c r="H95" i="9" a="1"/>
  <c r="H95" i="9" s="1"/>
  <c r="H92" i="9" a="1"/>
  <c r="H92" i="9" s="1"/>
  <c r="G92" i="9" a="1"/>
  <c r="G92" i="9" s="1"/>
  <c r="G89" i="9" a="1"/>
  <c r="G89" i="9" s="1"/>
  <c r="I84" i="9" a="1"/>
  <c r="I84" i="9" s="1"/>
  <c r="G84" i="9" a="1"/>
  <c r="G84" i="9" s="1"/>
  <c r="H81" i="9" a="1"/>
  <c r="H81" i="9" s="1"/>
  <c r="I78" i="9" a="1"/>
  <c r="I78" i="9" s="1"/>
  <c r="H76" i="9" a="1"/>
  <c r="H76" i="9" s="1"/>
  <c r="G73" i="9" a="1"/>
  <c r="G73" i="9" s="1"/>
  <c r="G71" i="9" a="1"/>
  <c r="G71" i="9" s="1"/>
  <c r="H70" i="9" a="1"/>
  <c r="H70" i="9" s="1"/>
  <c r="G68" i="9" a="1"/>
  <c r="G68" i="9" s="1"/>
  <c r="F68" i="9" a="1"/>
  <c r="F68" i="9" s="1"/>
  <c r="I65" i="9" a="1"/>
  <c r="I65" i="9" s="1"/>
  <c r="H65" i="9" a="1"/>
  <c r="H65" i="9" s="1"/>
  <c r="F63" i="9" a="1"/>
  <c r="F63" i="9" s="1"/>
  <c r="F62" i="9" a="1"/>
  <c r="F62" i="9" s="1"/>
  <c r="G57" i="9" a="1"/>
  <c r="G57" i="9" s="1"/>
  <c r="I53" i="9" a="1"/>
  <c r="I53" i="9" s="1"/>
  <c r="G52" i="9" a="1"/>
  <c r="G52" i="9" s="1"/>
  <c r="I49" i="9" a="1"/>
  <c r="I49" i="9" s="1"/>
  <c r="F49" i="9" a="1"/>
  <c r="F49" i="9" s="1"/>
  <c r="G46" i="9" a="1"/>
  <c r="G46" i="9" s="1"/>
  <c r="I41" i="9" a="1"/>
  <c r="I41" i="9" s="1"/>
  <c r="I37" i="9" a="1"/>
  <c r="I37" i="9" s="1"/>
  <c r="F36" i="9" a="1"/>
  <c r="F36" i="9" s="1"/>
  <c r="H35" i="9" a="1"/>
  <c r="H35" i="9" s="1"/>
  <c r="H33" i="9" a="1"/>
  <c r="H33" i="9" s="1"/>
  <c r="F33" i="9" a="1"/>
  <c r="F33" i="9" s="1"/>
  <c r="F31" i="9" a="1"/>
  <c r="F31" i="9" s="1"/>
  <c r="H29" i="9" a="1"/>
  <c r="H29" i="9" s="1"/>
  <c r="G28" i="9" a="1"/>
  <c r="G28" i="9" s="1"/>
  <c r="G25" i="9" a="1"/>
  <c r="G25" i="9" s="1"/>
  <c r="F25" i="9" a="1"/>
  <c r="F25" i="9" s="1"/>
  <c r="I22" i="9" a="1"/>
  <c r="I22" i="9" s="1"/>
  <c r="H21" i="9" a="1"/>
  <c r="H21" i="9" s="1"/>
  <c r="F20" i="9" a="1"/>
  <c r="F20" i="9" s="1"/>
  <c r="H18" i="9" a="1"/>
  <c r="H18" i="9" s="1"/>
  <c r="F15" i="9" a="1"/>
  <c r="F15" i="9" s="1"/>
  <c r="H14" i="9" a="1"/>
  <c r="H14" i="9" s="1"/>
  <c r="G12" i="9" a="1"/>
  <c r="G12" i="9" s="1"/>
  <c r="F12" i="9" a="1"/>
  <c r="F12" i="9" s="1"/>
  <c r="I9" i="9" a="1"/>
  <c r="I9" i="9" s="1"/>
  <c r="G7" i="9" a="1"/>
  <c r="G7" i="9" s="1"/>
  <c r="F7" i="9" a="1"/>
  <c r="F7" i="9" s="1"/>
  <c r="H6" i="9" a="1"/>
  <c r="H6" i="9" s="1"/>
  <c r="I6" i="8" a="1"/>
  <c r="I6" i="8" s="1"/>
  <c r="I9" i="8" a="1"/>
  <c r="I9" i="8"/>
  <c r="I15" i="8" a="1"/>
  <c r="I15" i="8" s="1"/>
  <c r="I25" i="8" a="1"/>
  <c r="I25" i="8" s="1"/>
  <c r="I36" i="8" a="1"/>
  <c r="I36" i="8" s="1"/>
  <c r="I43" i="8" a="1"/>
  <c r="I43" i="8" s="1"/>
  <c r="I49" i="8" a="1"/>
  <c r="I49" i="8" s="1"/>
  <c r="I67" i="8" a="1"/>
  <c r="I67" i="8" s="1"/>
  <c r="I68" i="8" a="1"/>
  <c r="I68" i="8" s="1"/>
  <c r="I78" i="8" a="1"/>
  <c r="I78" i="8" s="1"/>
  <c r="I84" i="8" a="1"/>
  <c r="I84" i="8" s="1"/>
  <c r="I95" i="8" a="1"/>
  <c r="I95" i="8" s="1"/>
  <c r="I5" i="8" a="1"/>
  <c r="I5" i="8" s="1"/>
  <c r="H6" i="8" a="1"/>
  <c r="H6" i="8" s="1"/>
  <c r="H12" i="8" a="1"/>
  <c r="H12" i="8" s="1"/>
  <c r="H23" i="8" a="1"/>
  <c r="H23" i="8" s="1"/>
  <c r="H36" i="8" a="1"/>
  <c r="H36" i="8" s="1"/>
  <c r="H41" i="8" a="1"/>
  <c r="H41" i="8"/>
  <c r="H46" i="8" a="1"/>
  <c r="H46" i="8" s="1"/>
  <c r="H53" i="8" a="1"/>
  <c r="H53" i="8"/>
  <c r="H62" i="8" a="1"/>
  <c r="H62" i="8" s="1"/>
  <c r="H63" i="8" a="1"/>
  <c r="H63" i="8" s="1"/>
  <c r="H68" i="8" a="1"/>
  <c r="H68" i="8" s="1"/>
  <c r="H72" i="8" a="1"/>
  <c r="H72" i="8" s="1"/>
  <c r="H79" i="8" a="1"/>
  <c r="H79" i="8"/>
  <c r="H84" i="8" a="1"/>
  <c r="H84" i="8" s="1"/>
  <c r="H85" i="8" a="1"/>
  <c r="H85" i="8" s="1"/>
  <c r="H89" i="8" a="1"/>
  <c r="H89" i="8" s="1"/>
  <c r="H94" i="8" a="1"/>
  <c r="H94" i="8" s="1"/>
  <c r="H100" i="8" a="1"/>
  <c r="H100" i="8" s="1"/>
  <c r="H101" i="8" a="1"/>
  <c r="H101" i="8"/>
  <c r="G6" i="8" a="1"/>
  <c r="G6" i="8" s="1"/>
  <c r="G7" i="8" a="1"/>
  <c r="G7" i="8" s="1"/>
  <c r="G12" i="8" a="1"/>
  <c r="G12" i="8"/>
  <c r="G23" i="8" a="1"/>
  <c r="G23" i="8" s="1"/>
  <c r="G28" i="8" a="1"/>
  <c r="G28" i="8"/>
  <c r="G29" i="8" a="1"/>
  <c r="G29" i="8" s="1"/>
  <c r="G33" i="8" a="1"/>
  <c r="G33" i="8" s="1"/>
  <c r="G38" i="8" a="1"/>
  <c r="G38" i="8" s="1"/>
  <c r="G39" i="8" a="1"/>
  <c r="G39" i="8" s="1"/>
  <c r="G45" i="8" a="1"/>
  <c r="G45" i="8"/>
  <c r="G49" i="8" a="1"/>
  <c r="G49" i="8"/>
  <c r="G54" i="8" a="1"/>
  <c r="G54" i="8" s="1"/>
  <c r="G55" i="8" a="1"/>
  <c r="G55" i="8" s="1"/>
  <c r="G59" i="8" a="1"/>
  <c r="G59" i="8" s="1"/>
  <c r="G61" i="8" a="1"/>
  <c r="G61" i="8"/>
  <c r="G66" i="8" a="1"/>
  <c r="G66" i="8" s="1"/>
  <c r="G77" i="8" a="1"/>
  <c r="G77" i="8" s="1"/>
  <c r="G84" i="8" a="1"/>
  <c r="G84" i="8" s="1"/>
  <c r="G85" i="8" a="1"/>
  <c r="G85" i="8" s="1"/>
  <c r="G86" i="8" a="1"/>
  <c r="G86" i="8" s="1"/>
  <c r="G92" i="8" a="1"/>
  <c r="G92" i="8"/>
  <c r="G100" i="8" a="1"/>
  <c r="G100" i="8" s="1"/>
  <c r="G102" i="8" a="1"/>
  <c r="G102" i="8" s="1"/>
  <c r="G5" i="8" a="1"/>
  <c r="G5" i="8" s="1"/>
  <c r="R6" i="6"/>
  <c r="S6" i="6" s="1"/>
  <c r="S7" i="6"/>
  <c r="S8" i="6"/>
  <c r="S9" i="6"/>
  <c r="S10" i="6"/>
  <c r="S13" i="6"/>
  <c r="S15" i="6"/>
  <c r="S16" i="6"/>
  <c r="S17" i="6"/>
  <c r="S18" i="6"/>
  <c r="S21" i="6"/>
  <c r="S23" i="6"/>
  <c r="S24" i="6"/>
  <c r="S25" i="6"/>
  <c r="S26" i="6"/>
  <c r="S29" i="6"/>
  <c r="S31" i="6"/>
  <c r="S32" i="6"/>
  <c r="S33" i="6"/>
  <c r="S34" i="6"/>
  <c r="S37" i="6"/>
  <c r="S39" i="6"/>
  <c r="S40" i="6"/>
  <c r="S41" i="6"/>
  <c r="S42" i="6"/>
  <c r="S45" i="6"/>
  <c r="S47" i="6"/>
  <c r="S48" i="6"/>
  <c r="S49" i="6"/>
  <c r="S50" i="6"/>
  <c r="S53" i="6"/>
  <c r="S55" i="6"/>
  <c r="S56" i="6"/>
  <c r="S57" i="6"/>
  <c r="S58" i="6"/>
  <c r="S61" i="6"/>
  <c r="S63" i="6"/>
  <c r="S64" i="6"/>
  <c r="S65" i="6"/>
  <c r="S66" i="6"/>
  <c r="S69" i="6"/>
  <c r="S71" i="6"/>
  <c r="S72" i="6"/>
  <c r="S73" i="6"/>
  <c r="S74" i="6"/>
  <c r="S77" i="6"/>
  <c r="S79" i="6"/>
  <c r="S80" i="6"/>
  <c r="S81" i="6"/>
  <c r="S82" i="6"/>
  <c r="S85" i="6"/>
  <c r="S5" i="6"/>
  <c r="R5" i="6"/>
  <c r="Q7" i="6"/>
  <c r="Q8" i="6"/>
  <c r="Q9" i="6"/>
  <c r="Q10" i="6"/>
  <c r="Q11" i="6"/>
  <c r="Q12" i="6"/>
  <c r="Q13" i="6"/>
  <c r="Q14" i="6"/>
  <c r="Q15" i="6"/>
  <c r="Q16" i="6"/>
  <c r="Q17" i="6"/>
  <c r="Q18" i="6"/>
  <c r="R18" i="6" s="1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R38" i="6" s="1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R70" i="6" s="1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6" i="6"/>
  <c r="Q5" i="6"/>
  <c r="P6" i="6"/>
  <c r="P7" i="6"/>
  <c r="P8" i="6"/>
  <c r="P9" i="6"/>
  <c r="P10" i="6"/>
  <c r="R10" i="6" s="1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R26" i="6" s="1"/>
  <c r="P27" i="6"/>
  <c r="P28" i="6"/>
  <c r="P29" i="6"/>
  <c r="P30" i="6"/>
  <c r="P31" i="6"/>
  <c r="P32" i="6"/>
  <c r="P33" i="6"/>
  <c r="P34" i="6"/>
  <c r="R34" i="6" s="1"/>
  <c r="P35" i="6"/>
  <c r="P36" i="6"/>
  <c r="P37" i="6"/>
  <c r="P38" i="6"/>
  <c r="P39" i="6"/>
  <c r="P40" i="6"/>
  <c r="P41" i="6"/>
  <c r="P42" i="6"/>
  <c r="R42" i="6" s="1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R58" i="6" s="1"/>
  <c r="P59" i="6"/>
  <c r="P60" i="6"/>
  <c r="P61" i="6"/>
  <c r="P62" i="6"/>
  <c r="P63" i="6"/>
  <c r="P64" i="6"/>
  <c r="P65" i="6"/>
  <c r="P66" i="6"/>
  <c r="R66" i="6" s="1"/>
  <c r="P67" i="6"/>
  <c r="P68" i="6"/>
  <c r="P69" i="6"/>
  <c r="P70" i="6"/>
  <c r="P71" i="6"/>
  <c r="P72" i="6"/>
  <c r="P73" i="6"/>
  <c r="P74" i="6"/>
  <c r="R74" i="6" s="1"/>
  <c r="P75" i="6"/>
  <c r="P76" i="6"/>
  <c r="P77" i="6"/>
  <c r="P78" i="6"/>
  <c r="P79" i="6"/>
  <c r="P80" i="6"/>
  <c r="P81" i="6"/>
  <c r="P82" i="6"/>
  <c r="P83" i="6"/>
  <c r="P84" i="6"/>
  <c r="P85" i="6"/>
  <c r="P5" i="6"/>
  <c r="R82" i="6"/>
  <c r="R50" i="6"/>
  <c r="R14" i="6"/>
  <c r="E6" i="8"/>
  <c r="E7" i="8"/>
  <c r="E8" i="8"/>
  <c r="E9" i="8"/>
  <c r="E10" i="8"/>
  <c r="E11" i="8"/>
  <c r="E12" i="8"/>
  <c r="E13" i="8"/>
  <c r="G13" i="8" s="1" a="1"/>
  <c r="G13" i="8" s="1"/>
  <c r="E14" i="8"/>
  <c r="E15" i="8"/>
  <c r="E16" i="8"/>
  <c r="E17" i="8"/>
  <c r="E18" i="8"/>
  <c r="E19" i="8"/>
  <c r="E20" i="8"/>
  <c r="E21" i="8"/>
  <c r="E22" i="8"/>
  <c r="H22" i="8" s="1" a="1"/>
  <c r="H22" i="8" s="1"/>
  <c r="E23" i="8"/>
  <c r="E24" i="8"/>
  <c r="E25" i="8"/>
  <c r="E26" i="8"/>
  <c r="E27" i="8"/>
  <c r="F27" i="9" s="1" a="1"/>
  <c r="F27" i="9" s="1"/>
  <c r="E28" i="8"/>
  <c r="H28" i="8" s="1" a="1"/>
  <c r="H28" i="8" s="1"/>
  <c r="E29" i="8"/>
  <c r="E30" i="8"/>
  <c r="H30" i="8" s="1" a="1"/>
  <c r="H30" i="8" s="1"/>
  <c r="E31" i="8"/>
  <c r="E32" i="8"/>
  <c r="E33" i="8"/>
  <c r="E34" i="8"/>
  <c r="E35" i="8"/>
  <c r="E36" i="8"/>
  <c r="G36" i="9" s="1" a="1"/>
  <c r="G36" i="9" s="1"/>
  <c r="E37" i="8"/>
  <c r="E38" i="8"/>
  <c r="F38" i="9" s="1" a="1"/>
  <c r="F38" i="9" s="1"/>
  <c r="E39" i="8"/>
  <c r="E40" i="8"/>
  <c r="E41" i="8"/>
  <c r="E42" i="8"/>
  <c r="H42" i="8" s="1" a="1"/>
  <c r="H42" i="8" s="1"/>
  <c r="E43" i="8"/>
  <c r="I43" i="9" s="1" a="1"/>
  <c r="I43" i="9" s="1"/>
  <c r="E44" i="8"/>
  <c r="G44" i="8" s="1" a="1"/>
  <c r="G44" i="8" s="1"/>
  <c r="E45" i="8"/>
  <c r="H45" i="9" s="1" a="1"/>
  <c r="H45" i="9" s="1"/>
  <c r="E46" i="8"/>
  <c r="H46" i="9" s="1" a="1"/>
  <c r="H46" i="9" s="1"/>
  <c r="E47" i="8"/>
  <c r="E48" i="8"/>
  <c r="E49" i="8"/>
  <c r="E50" i="8"/>
  <c r="E51" i="8"/>
  <c r="E52" i="8"/>
  <c r="I52" i="8" s="1" a="1"/>
  <c r="I52" i="8" s="1"/>
  <c r="E53" i="8"/>
  <c r="E54" i="8"/>
  <c r="I54" i="9" s="1" a="1"/>
  <c r="I54" i="9" s="1"/>
  <c r="E55" i="8"/>
  <c r="E56" i="8"/>
  <c r="E57" i="8"/>
  <c r="E58" i="8"/>
  <c r="E59" i="8"/>
  <c r="H59" i="8" s="1" a="1"/>
  <c r="H59" i="8" s="1"/>
  <c r="E60" i="8"/>
  <c r="G60" i="9" s="1" a="1"/>
  <c r="G60" i="9" s="1"/>
  <c r="E61" i="8"/>
  <c r="E62" i="8"/>
  <c r="I62" i="8" s="1" a="1"/>
  <c r="I62" i="8" s="1"/>
  <c r="E63" i="8"/>
  <c r="E64" i="8"/>
  <c r="E65" i="8"/>
  <c r="E66" i="8"/>
  <c r="E67" i="8"/>
  <c r="E68" i="8"/>
  <c r="H68" i="9" s="1" a="1"/>
  <c r="H68" i="9" s="1"/>
  <c r="E69" i="8"/>
  <c r="H69" i="8" s="1" a="1"/>
  <c r="H69" i="8" s="1"/>
  <c r="E70" i="8"/>
  <c r="I70" i="9" s="1" a="1"/>
  <c r="I70" i="9" s="1"/>
  <c r="E71" i="8"/>
  <c r="E72" i="8"/>
  <c r="E73" i="8"/>
  <c r="E74" i="8"/>
  <c r="F74" i="9" s="1" a="1"/>
  <c r="F74" i="9" s="1"/>
  <c r="E75" i="8"/>
  <c r="E76" i="8"/>
  <c r="E77" i="8"/>
  <c r="E78" i="8"/>
  <c r="F78" i="9" s="1" a="1"/>
  <c r="F78" i="9" s="1"/>
  <c r="E79" i="8"/>
  <c r="G79" i="8" s="1" a="1"/>
  <c r="G79" i="8" s="1"/>
  <c r="E80" i="8"/>
  <c r="E81" i="8"/>
  <c r="E82" i="8"/>
  <c r="E83" i="8"/>
  <c r="H83" i="9" s="1" a="1"/>
  <c r="H83" i="9" s="1"/>
  <c r="E84" i="8"/>
  <c r="H84" i="9" s="1" a="1"/>
  <c r="H84" i="9" s="1"/>
  <c r="E85" i="8"/>
  <c r="E86" i="8"/>
  <c r="E87" i="8"/>
  <c r="G87" i="9" s="1" a="1"/>
  <c r="G87" i="9" s="1"/>
  <c r="E88" i="8"/>
  <c r="E89" i="8"/>
  <c r="E90" i="8"/>
  <c r="E91" i="8"/>
  <c r="E92" i="8"/>
  <c r="E93" i="8"/>
  <c r="G93" i="8" s="1" a="1"/>
  <c r="G93" i="8" s="1"/>
  <c r="E94" i="8"/>
  <c r="G94" i="9" s="1" a="1"/>
  <c r="G94" i="9" s="1"/>
  <c r="E95" i="8"/>
  <c r="H95" i="8" s="1" a="1"/>
  <c r="H95" i="8" s="1"/>
  <c r="E96" i="8"/>
  <c r="E97" i="8"/>
  <c r="E98" i="8"/>
  <c r="E99" i="8"/>
  <c r="E100" i="8"/>
  <c r="F100" i="9" s="1" a="1"/>
  <c r="F100" i="9" s="1"/>
  <c r="E101" i="8"/>
  <c r="E102" i="8"/>
  <c r="E103" i="8"/>
  <c r="G103" i="8" s="1" a="1"/>
  <c r="G103" i="8" s="1"/>
  <c r="E104" i="8"/>
  <c r="E5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5" i="9"/>
  <c r="Q59" i="9" l="1"/>
  <c r="Q51" i="9"/>
  <c r="Q35" i="9"/>
  <c r="Q82" i="9"/>
  <c r="Q74" i="9"/>
  <c r="Q58" i="9"/>
  <c r="Q50" i="9"/>
  <c r="Q34" i="9"/>
  <c r="Q26" i="9"/>
  <c r="Q18" i="9"/>
  <c r="Q10" i="9"/>
  <c r="Q70" i="9"/>
  <c r="Q62" i="9"/>
  <c r="Q46" i="9"/>
  <c r="Q38" i="9"/>
  <c r="Q14" i="9"/>
  <c r="Q43" i="9"/>
  <c r="Q60" i="9"/>
  <c r="Q36" i="9"/>
  <c r="Q75" i="9"/>
  <c r="Q67" i="9"/>
  <c r="Q19" i="9"/>
  <c r="Q83" i="9"/>
  <c r="Q31" i="9"/>
  <c r="Q47" i="9"/>
  <c r="Q63" i="9"/>
  <c r="Q79" i="9"/>
  <c r="Q11" i="9"/>
  <c r="Q17" i="9"/>
  <c r="Q25" i="9"/>
  <c r="Q33" i="9"/>
  <c r="Q41" i="9"/>
  <c r="Q49" i="9"/>
  <c r="Q57" i="9"/>
  <c r="Q65" i="9"/>
  <c r="Q73" i="9"/>
  <c r="Q81" i="9"/>
  <c r="Q23" i="9"/>
  <c r="Q39" i="9"/>
  <c r="Q55" i="9"/>
  <c r="Q71" i="9"/>
  <c r="R5" i="9"/>
  <c r="Q21" i="9"/>
  <c r="Q29" i="9"/>
  <c r="Q37" i="9"/>
  <c r="Q45" i="9"/>
  <c r="Q53" i="9"/>
  <c r="Q61" i="9"/>
  <c r="Q69" i="9"/>
  <c r="Q77" i="9"/>
  <c r="I104" i="9" a="1"/>
  <c r="I104" i="9" s="1"/>
  <c r="H104" i="9" a="1"/>
  <c r="H104" i="9" s="1"/>
  <c r="I104" i="8" a="1"/>
  <c r="I104" i="8" s="1"/>
  <c r="G104" i="9" a="1"/>
  <c r="G104" i="9" s="1"/>
  <c r="F104" i="9" a="1"/>
  <c r="F104" i="9" s="1"/>
  <c r="H104" i="8" a="1"/>
  <c r="H104" i="8" s="1"/>
  <c r="H96" i="9" a="1"/>
  <c r="H96" i="9" s="1"/>
  <c r="G96" i="9" a="1"/>
  <c r="G96" i="9" s="1"/>
  <c r="I96" i="9" a="1"/>
  <c r="I96" i="9" s="1"/>
  <c r="F96" i="9" a="1"/>
  <c r="F96" i="9" s="1"/>
  <c r="F88" i="9" a="1"/>
  <c r="F88" i="9" s="1"/>
  <c r="I88" i="9" a="1"/>
  <c r="I88" i="9" s="1"/>
  <c r="H88" i="9" a="1"/>
  <c r="H88" i="9" s="1"/>
  <c r="G88" i="9" a="1"/>
  <c r="G88" i="9" s="1"/>
  <c r="G88" i="8" a="1"/>
  <c r="G88" i="8" s="1"/>
  <c r="I88" i="8" a="1"/>
  <c r="I88" i="8" s="1"/>
  <c r="G80" i="9" a="1"/>
  <c r="G80" i="9" s="1"/>
  <c r="H80" i="9" a="1"/>
  <c r="H80" i="9" s="1"/>
  <c r="I80" i="8" a="1"/>
  <c r="I80" i="8" s="1"/>
  <c r="F80" i="9" a="1"/>
  <c r="F80" i="9" s="1"/>
  <c r="H80" i="8" a="1"/>
  <c r="H80" i="8" s="1"/>
  <c r="G80" i="8" a="1"/>
  <c r="G80" i="8" s="1"/>
  <c r="I80" i="9" a="1"/>
  <c r="I80" i="9" s="1"/>
  <c r="I72" i="9" a="1"/>
  <c r="I72" i="9" s="1"/>
  <c r="G72" i="9" a="1"/>
  <c r="G72" i="9" s="1"/>
  <c r="I72" i="8" a="1"/>
  <c r="I72" i="8" s="1"/>
  <c r="F72" i="9" a="1"/>
  <c r="F72" i="9" s="1"/>
  <c r="G72" i="8" a="1"/>
  <c r="G72" i="8" s="1"/>
  <c r="H72" i="9" a="1"/>
  <c r="H72" i="9" s="1"/>
  <c r="H64" i="9" a="1"/>
  <c r="H64" i="9" s="1"/>
  <c r="G64" i="9" a="1"/>
  <c r="G64" i="9" s="1"/>
  <c r="F64" i="9" a="1"/>
  <c r="F64" i="9" s="1"/>
  <c r="I64" i="8" a="1"/>
  <c r="I64" i="8" s="1"/>
  <c r="G64" i="8" a="1"/>
  <c r="G64" i="8" s="1"/>
  <c r="H64" i="8" a="1"/>
  <c r="H64" i="8" s="1"/>
  <c r="I64" i="9" a="1"/>
  <c r="I64" i="9" s="1"/>
  <c r="F56" i="9" a="1"/>
  <c r="F56" i="9" s="1"/>
  <c r="I56" i="9" a="1"/>
  <c r="I56" i="9" s="1"/>
  <c r="G56" i="9" a="1"/>
  <c r="G56" i="9" s="1"/>
  <c r="I56" i="8" a="1"/>
  <c r="I56" i="8" s="1"/>
  <c r="H56" i="8" a="1"/>
  <c r="H56" i="8" s="1"/>
  <c r="H56" i="9" a="1"/>
  <c r="H56" i="9" s="1"/>
  <c r="G56" i="8" a="1"/>
  <c r="G56" i="8" s="1"/>
  <c r="G48" i="9" a="1"/>
  <c r="G48" i="9" s="1"/>
  <c r="F48" i="9" a="1"/>
  <c r="F48" i="9" s="1"/>
  <c r="I48" i="8" a="1"/>
  <c r="I48" i="8" s="1"/>
  <c r="G48" i="8" a="1"/>
  <c r="G48" i="8" s="1"/>
  <c r="H48" i="9" a="1"/>
  <c r="H48" i="9" s="1"/>
  <c r="H48" i="8" a="1"/>
  <c r="H48" i="8" s="1"/>
  <c r="I40" i="9" a="1"/>
  <c r="I40" i="9" s="1"/>
  <c r="F40" i="9" a="1"/>
  <c r="F40" i="9" s="1"/>
  <c r="I40" i="8" a="1"/>
  <c r="I40" i="8" s="1"/>
  <c r="H40" i="8" a="1"/>
  <c r="H40" i="8" s="1"/>
  <c r="H40" i="9" a="1"/>
  <c r="H40" i="9" s="1"/>
  <c r="H32" i="9" a="1"/>
  <c r="H32" i="9" s="1"/>
  <c r="G32" i="9" a="1"/>
  <c r="G32" i="9" s="1"/>
  <c r="H32" i="8" a="1"/>
  <c r="H32" i="8" s="1"/>
  <c r="G32" i="8" a="1"/>
  <c r="G32" i="8" s="1"/>
  <c r="I32" i="8" a="1"/>
  <c r="I32" i="8" s="1"/>
  <c r="I32" i="9" a="1"/>
  <c r="I32" i="9" s="1"/>
  <c r="F32" i="9" a="1"/>
  <c r="F32" i="9" s="1"/>
  <c r="F24" i="9" a="1"/>
  <c r="F24" i="9" s="1"/>
  <c r="I24" i="9" a="1"/>
  <c r="I24" i="9" s="1"/>
  <c r="H24" i="8" a="1"/>
  <c r="H24" i="8" s="1"/>
  <c r="H24" i="9" a="1"/>
  <c r="H24" i="9" s="1"/>
  <c r="I24" i="8" a="1"/>
  <c r="I24" i="8" s="1"/>
  <c r="G24" i="9" a="1"/>
  <c r="G24" i="9" s="1"/>
  <c r="F16" i="9" a="1"/>
  <c r="F16" i="9" s="1"/>
  <c r="H16" i="8" a="1"/>
  <c r="H16" i="8" s="1"/>
  <c r="G16" i="8" a="1"/>
  <c r="G16" i="8" s="1"/>
  <c r="I16" i="9" a="1"/>
  <c r="I16" i="9" s="1"/>
  <c r="H16" i="9" a="1"/>
  <c r="H16" i="9" s="1"/>
  <c r="G16" i="9" a="1"/>
  <c r="G16" i="9" s="1"/>
  <c r="G8" i="9" a="1"/>
  <c r="G8" i="9" s="1"/>
  <c r="F8" i="9" a="1"/>
  <c r="F8" i="9" s="1"/>
  <c r="H8" i="8" a="1"/>
  <c r="H8" i="8" s="1"/>
  <c r="G8" i="8" a="1"/>
  <c r="G8" i="8" s="1"/>
  <c r="I8" i="9" a="1"/>
  <c r="I8" i="9" s="1"/>
  <c r="I8" i="8" a="1"/>
  <c r="I8" i="8" s="1"/>
  <c r="H8" i="9" a="1"/>
  <c r="H8" i="9" s="1"/>
  <c r="G40" i="8" a="1"/>
  <c r="G40" i="8" s="1"/>
  <c r="G24" i="8" a="1"/>
  <c r="G24" i="8" s="1"/>
  <c r="H88" i="8" a="1"/>
  <c r="H88" i="8" s="1"/>
  <c r="I96" i="8" a="1"/>
  <c r="I96" i="8" s="1"/>
  <c r="G40" i="9" a="1"/>
  <c r="G40" i="9" s="1"/>
  <c r="I99" i="9" a="1"/>
  <c r="I99" i="9" s="1"/>
  <c r="G99" i="9" a="1"/>
  <c r="G99" i="9" s="1"/>
  <c r="F99" i="9" a="1"/>
  <c r="F99" i="9" s="1"/>
  <c r="I99" i="8" a="1"/>
  <c r="I99" i="8" s="1"/>
  <c r="H99" i="8" a="1"/>
  <c r="H99" i="8" s="1"/>
  <c r="H99" i="9" a="1"/>
  <c r="H99" i="9" s="1"/>
  <c r="G99" i="8" a="1"/>
  <c r="G99" i="8" s="1"/>
  <c r="H91" i="9" a="1"/>
  <c r="H91" i="9" s="1"/>
  <c r="G91" i="9" a="1"/>
  <c r="G91" i="9" s="1"/>
  <c r="F91" i="9" a="1"/>
  <c r="F91" i="9" s="1"/>
  <c r="I91" i="8" a="1"/>
  <c r="I91" i="8" s="1"/>
  <c r="H91" i="8" a="1"/>
  <c r="H91" i="8" s="1"/>
  <c r="G91" i="8" a="1"/>
  <c r="G91" i="8" s="1"/>
  <c r="F83" i="9" a="1"/>
  <c r="F83" i="9" s="1"/>
  <c r="G83" i="9" a="1"/>
  <c r="G83" i="9" s="1"/>
  <c r="I83" i="8" a="1"/>
  <c r="I83" i="8" s="1"/>
  <c r="H83" i="8" a="1"/>
  <c r="H83" i="8" s="1"/>
  <c r="G83" i="8" a="1"/>
  <c r="G83" i="8" s="1"/>
  <c r="I83" i="9" a="1"/>
  <c r="I83" i="9" s="1"/>
  <c r="G75" i="9" a="1"/>
  <c r="G75" i="9" s="1"/>
  <c r="F75" i="9" a="1"/>
  <c r="F75" i="9" s="1"/>
  <c r="G75" i="8" a="1"/>
  <c r="G75" i="8" s="1"/>
  <c r="I75" i="8" a="1"/>
  <c r="I75" i="8" s="1"/>
  <c r="H75" i="8" a="1"/>
  <c r="H75" i="8" s="1"/>
  <c r="I75" i="9" a="1"/>
  <c r="I75" i="9" s="1"/>
  <c r="H75" i="9" a="1"/>
  <c r="H75" i="9" s="1"/>
  <c r="I67" i="9" a="1"/>
  <c r="I67" i="9" s="1"/>
  <c r="F67" i="9" a="1"/>
  <c r="F67" i="9" s="1"/>
  <c r="G67" i="8" a="1"/>
  <c r="G67" i="8" s="1"/>
  <c r="H67" i="9" a="1"/>
  <c r="H67" i="9" s="1"/>
  <c r="H67" i="8" a="1"/>
  <c r="H67" i="8" s="1"/>
  <c r="G67" i="9" a="1"/>
  <c r="G67" i="9" s="1"/>
  <c r="H59" i="9" a="1"/>
  <c r="H59" i="9" s="1"/>
  <c r="G59" i="9" a="1"/>
  <c r="G59" i="9" s="1"/>
  <c r="I59" i="8" a="1"/>
  <c r="I59" i="8" s="1"/>
  <c r="I59" i="9" a="1"/>
  <c r="I59" i="9" s="1"/>
  <c r="F59" i="9" a="1"/>
  <c r="F59" i="9" s="1"/>
  <c r="F51" i="9" a="1"/>
  <c r="F51" i="9" s="1"/>
  <c r="I51" i="9" a="1"/>
  <c r="I51" i="9" s="1"/>
  <c r="G51" i="8" a="1"/>
  <c r="G51" i="8" s="1"/>
  <c r="H51" i="9" a="1"/>
  <c r="H51" i="9" s="1"/>
  <c r="G51" i="9" a="1"/>
  <c r="G51" i="9" s="1"/>
  <c r="I51" i="8" a="1"/>
  <c r="I51" i="8" s="1"/>
  <c r="H51" i="8" a="1"/>
  <c r="H51" i="8" s="1"/>
  <c r="G43" i="9" a="1"/>
  <c r="G43" i="9" s="1"/>
  <c r="G43" i="8" a="1"/>
  <c r="G43" i="8" s="1"/>
  <c r="H43" i="9" a="1"/>
  <c r="H43" i="9" s="1"/>
  <c r="F43" i="9" a="1"/>
  <c r="F43" i="9" s="1"/>
  <c r="H43" i="8" a="1"/>
  <c r="H43" i="8" s="1"/>
  <c r="I35" i="9" a="1"/>
  <c r="I35" i="9" s="1"/>
  <c r="G35" i="9" a="1"/>
  <c r="G35" i="9" s="1"/>
  <c r="I35" i="8" a="1"/>
  <c r="I35" i="8" s="1"/>
  <c r="G35" i="8" a="1"/>
  <c r="G35" i="8" s="1"/>
  <c r="F35" i="9" a="1"/>
  <c r="F35" i="9" s="1"/>
  <c r="H35" i="8" a="1"/>
  <c r="H35" i="8" s="1"/>
  <c r="H27" i="9" a="1"/>
  <c r="H27" i="9" s="1"/>
  <c r="G27" i="9" a="1"/>
  <c r="G27" i="9" s="1"/>
  <c r="G27" i="8" a="1"/>
  <c r="G27" i="8" s="1"/>
  <c r="I27" i="9" a="1"/>
  <c r="I27" i="9" s="1"/>
  <c r="I27" i="8" a="1"/>
  <c r="I27" i="8" s="1"/>
  <c r="F19" i="9" a="1"/>
  <c r="F19" i="9" s="1"/>
  <c r="H19" i="9" a="1"/>
  <c r="H19" i="9" s="1"/>
  <c r="H19" i="8" a="1"/>
  <c r="H19" i="8" s="1"/>
  <c r="G19" i="8" a="1"/>
  <c r="G19" i="8" s="1"/>
  <c r="I19" i="8" a="1"/>
  <c r="I19" i="8" s="1"/>
  <c r="I19" i="9" a="1"/>
  <c r="I19" i="9" s="1"/>
  <c r="G19" i="9" a="1"/>
  <c r="G19" i="9" s="1"/>
  <c r="F11" i="9" a="1"/>
  <c r="F11" i="9" s="1"/>
  <c r="H11" i="9" a="1"/>
  <c r="H11" i="9" s="1"/>
  <c r="G11" i="8" a="1"/>
  <c r="G11" i="8" s="1"/>
  <c r="I11" i="9" a="1"/>
  <c r="I11" i="9" s="1"/>
  <c r="I11" i="8" a="1"/>
  <c r="I11" i="8" s="1"/>
  <c r="H11" i="8" a="1"/>
  <c r="H11" i="8" s="1"/>
  <c r="G11" i="9" a="1"/>
  <c r="G11" i="9" s="1"/>
  <c r="H96" i="8" a="1"/>
  <c r="H96" i="8" s="1"/>
  <c r="G96" i="8" a="1"/>
  <c r="G96" i="8" s="1"/>
  <c r="I16" i="8" a="1"/>
  <c r="I16" i="8" s="1"/>
  <c r="F98" i="9" a="1"/>
  <c r="F98" i="9" s="1"/>
  <c r="I98" i="8" a="1"/>
  <c r="I98" i="8" s="1"/>
  <c r="I98" i="9" a="1"/>
  <c r="I98" i="9" s="1"/>
  <c r="H98" i="9" a="1"/>
  <c r="H98" i="9" s="1"/>
  <c r="H98" i="8" a="1"/>
  <c r="H98" i="8" s="1"/>
  <c r="G98" i="9" a="1"/>
  <c r="G98" i="9" s="1"/>
  <c r="G98" i="8" a="1"/>
  <c r="G98" i="8" s="1"/>
  <c r="G90" i="9" a="1"/>
  <c r="G90" i="9" s="1"/>
  <c r="I90" i="8" a="1"/>
  <c r="I90" i="8" s="1"/>
  <c r="I90" i="9" a="1"/>
  <c r="I90" i="9" s="1"/>
  <c r="H90" i="9" a="1"/>
  <c r="H90" i="9" s="1"/>
  <c r="H90" i="8" a="1"/>
  <c r="H90" i="8" s="1"/>
  <c r="G90" i="8" a="1"/>
  <c r="G90" i="8" s="1"/>
  <c r="F90" i="9" a="1"/>
  <c r="F90" i="9" s="1"/>
  <c r="I82" i="9" a="1"/>
  <c r="I82" i="9" s="1"/>
  <c r="I82" i="8" a="1"/>
  <c r="I82" i="8" s="1"/>
  <c r="F82" i="9" a="1"/>
  <c r="F82" i="9" s="1"/>
  <c r="H82" i="9" a="1"/>
  <c r="H82" i="9" s="1"/>
  <c r="G82" i="9" a="1"/>
  <c r="G82" i="9" s="1"/>
  <c r="H82" i="8" a="1"/>
  <c r="H82" i="8" s="1"/>
  <c r="G82" i="8" a="1"/>
  <c r="G82" i="8" s="1"/>
  <c r="H74" i="9" a="1"/>
  <c r="H74" i="9" s="1"/>
  <c r="G74" i="9" a="1"/>
  <c r="G74" i="9" s="1"/>
  <c r="I74" i="8" a="1"/>
  <c r="I74" i="8" s="1"/>
  <c r="G74" i="8" a="1"/>
  <c r="G74" i="8" s="1"/>
  <c r="I74" i="9" a="1"/>
  <c r="I74" i="9" s="1"/>
  <c r="H74" i="8" a="1"/>
  <c r="H74" i="8" s="1"/>
  <c r="F66" i="9" a="1"/>
  <c r="F66" i="9" s="1"/>
  <c r="I66" i="8" a="1"/>
  <c r="I66" i="8" s="1"/>
  <c r="I66" i="9" a="1"/>
  <c r="I66" i="9" s="1"/>
  <c r="H66" i="9" a="1"/>
  <c r="H66" i="9" s="1"/>
  <c r="G66" i="9" a="1"/>
  <c r="G66" i="9" s="1"/>
  <c r="H66" i="8" a="1"/>
  <c r="H66" i="8" s="1"/>
  <c r="G58" i="9" a="1"/>
  <c r="G58" i="9" s="1"/>
  <c r="I58" i="8" a="1"/>
  <c r="I58" i="8" s="1"/>
  <c r="I58" i="9" a="1"/>
  <c r="I58" i="9" s="1"/>
  <c r="H58" i="9" a="1"/>
  <c r="H58" i="9" s="1"/>
  <c r="G58" i="8" a="1"/>
  <c r="G58" i="8" s="1"/>
  <c r="H58" i="8" a="1"/>
  <c r="H58" i="8" s="1"/>
  <c r="F58" i="9" a="1"/>
  <c r="F58" i="9" s="1"/>
  <c r="I50" i="9" a="1"/>
  <c r="I50" i="9" s="1"/>
  <c r="I50" i="8" a="1"/>
  <c r="I50" i="8" s="1"/>
  <c r="F50" i="9" a="1"/>
  <c r="F50" i="9" s="1"/>
  <c r="H50" i="9" a="1"/>
  <c r="H50" i="9" s="1"/>
  <c r="G50" i="9" a="1"/>
  <c r="G50" i="9" s="1"/>
  <c r="H50" i="8" a="1"/>
  <c r="H50" i="8" s="1"/>
  <c r="G50" i="8" a="1"/>
  <c r="G50" i="8" s="1"/>
  <c r="H42" i="9" a="1"/>
  <c r="H42" i="9" s="1"/>
  <c r="G42" i="9" a="1"/>
  <c r="G42" i="9" s="1"/>
  <c r="I42" i="8" a="1"/>
  <c r="I42" i="8" s="1"/>
  <c r="I42" i="9" a="1"/>
  <c r="I42" i="9" s="1"/>
  <c r="F42" i="9" a="1"/>
  <c r="F42" i="9" s="1"/>
  <c r="G42" i="8" a="1"/>
  <c r="G42" i="8" s="1"/>
  <c r="F34" i="9" a="1"/>
  <c r="F34" i="9" s="1"/>
  <c r="I34" i="8" a="1"/>
  <c r="I34" i="8" s="1"/>
  <c r="I34" i="9" a="1"/>
  <c r="I34" i="9" s="1"/>
  <c r="H34" i="8" a="1"/>
  <c r="H34" i="8" s="1"/>
  <c r="H34" i="9" a="1"/>
  <c r="H34" i="9" s="1"/>
  <c r="G34" i="9" a="1"/>
  <c r="G34" i="9" s="1"/>
  <c r="G34" i="8" a="1"/>
  <c r="G34" i="8" s="1"/>
  <c r="G26" i="9" a="1"/>
  <c r="G26" i="9" s="1"/>
  <c r="I26" i="8" a="1"/>
  <c r="I26" i="8" s="1"/>
  <c r="H26" i="9" a="1"/>
  <c r="H26" i="9" s="1"/>
  <c r="F26" i="9" a="1"/>
  <c r="F26" i="9" s="1"/>
  <c r="H26" i="8" a="1"/>
  <c r="H26" i="8" s="1"/>
  <c r="G26" i="8" a="1"/>
  <c r="G26" i="8" s="1"/>
  <c r="I26" i="9" a="1"/>
  <c r="I26" i="9" s="1"/>
  <c r="I18" i="9" a="1"/>
  <c r="I18" i="9" s="1"/>
  <c r="I18" i="8" a="1"/>
  <c r="I18" i="8" s="1"/>
  <c r="F18" i="9" a="1"/>
  <c r="F18" i="9" s="1"/>
  <c r="H18" i="8" a="1"/>
  <c r="H18" i="8" s="1"/>
  <c r="G18" i="9" a="1"/>
  <c r="G18" i="9" s="1"/>
  <c r="G18" i="8" a="1"/>
  <c r="G18" i="8" s="1"/>
  <c r="I10" i="9" a="1"/>
  <c r="I10" i="9" s="1"/>
  <c r="H10" i="8" a="1"/>
  <c r="H10" i="8" s="1"/>
  <c r="F10" i="9" a="1"/>
  <c r="F10" i="9" s="1"/>
  <c r="I10" i="8" a="1"/>
  <c r="I10" i="8" s="1"/>
  <c r="H10" i="9" a="1"/>
  <c r="H10" i="9" s="1"/>
  <c r="G10" i="9" a="1"/>
  <c r="G10" i="9" s="1"/>
  <c r="G10" i="8" a="1"/>
  <c r="G10" i="8" s="1"/>
  <c r="G104" i="8" a="1"/>
  <c r="G104" i="8" s="1"/>
  <c r="H27" i="8" a="1"/>
  <c r="H27" i="8" s="1"/>
  <c r="I48" i="9" a="1"/>
  <c r="I48" i="9" s="1"/>
  <c r="I91" i="9" a="1"/>
  <c r="I91" i="9" s="1"/>
  <c r="G62" i="9" a="1"/>
  <c r="G62" i="9" s="1"/>
  <c r="F79" i="9" a="1"/>
  <c r="F79" i="9" s="1"/>
  <c r="G5" i="9" a="1"/>
  <c r="G5" i="9" s="1"/>
  <c r="H5" i="9" a="1"/>
  <c r="H5" i="9" s="1"/>
  <c r="F5" i="9" a="1"/>
  <c r="F5" i="9" s="1"/>
  <c r="G97" i="9" a="1"/>
  <c r="G97" i="9" s="1"/>
  <c r="I97" i="8" a="1"/>
  <c r="I97" i="8" s="1"/>
  <c r="H97" i="8" a="1"/>
  <c r="H97" i="8" s="1"/>
  <c r="I89" i="9" a="1"/>
  <c r="I89" i="9" s="1"/>
  <c r="H89" i="9" a="1"/>
  <c r="H89" i="9" s="1"/>
  <c r="I89" i="8" a="1"/>
  <c r="I89" i="8" s="1"/>
  <c r="G81" i="9" a="1"/>
  <c r="G81" i="9" s="1"/>
  <c r="H81" i="8" a="1"/>
  <c r="H81" i="8" s="1"/>
  <c r="I81" i="8" a="1"/>
  <c r="I81" i="8" s="1"/>
  <c r="G81" i="8" a="1"/>
  <c r="G81" i="8" s="1"/>
  <c r="F73" i="9" a="1"/>
  <c r="F73" i="9" s="1"/>
  <c r="H73" i="9" a="1"/>
  <c r="H73" i="9" s="1"/>
  <c r="I73" i="8" a="1"/>
  <c r="I73" i="8" s="1"/>
  <c r="G65" i="9" a="1"/>
  <c r="G65" i="9" s="1"/>
  <c r="H65" i="8" a="1"/>
  <c r="H65" i="8" s="1"/>
  <c r="I65" i="8" a="1"/>
  <c r="I65" i="8" s="1"/>
  <c r="I57" i="9" a="1"/>
  <c r="I57" i="9" s="1"/>
  <c r="H57" i="9" a="1"/>
  <c r="H57" i="9" s="1"/>
  <c r="G57" i="8" a="1"/>
  <c r="G57" i="8" s="1"/>
  <c r="I57" i="8" a="1"/>
  <c r="I57" i="8" s="1"/>
  <c r="G49" i="9" a="1"/>
  <c r="G49" i="9" s="1"/>
  <c r="H49" i="8" a="1"/>
  <c r="H49" i="8" s="1"/>
  <c r="F41" i="9" a="1"/>
  <c r="F41" i="9" s="1"/>
  <c r="H41" i="9" a="1"/>
  <c r="H41" i="9" s="1"/>
  <c r="G41" i="8" a="1"/>
  <c r="G41" i="8" s="1"/>
  <c r="G33" i="9" a="1"/>
  <c r="G33" i="9" s="1"/>
  <c r="I33" i="9" a="1"/>
  <c r="I33" i="9" s="1"/>
  <c r="H33" i="8" a="1"/>
  <c r="H33" i="8" s="1"/>
  <c r="I25" i="9" a="1"/>
  <c r="I25" i="9" s="1"/>
  <c r="H25" i="9" a="1"/>
  <c r="H25" i="9" s="1"/>
  <c r="G25" i="8" a="1"/>
  <c r="G25" i="8" s="1"/>
  <c r="H25" i="8" a="1"/>
  <c r="H25" i="8" s="1"/>
  <c r="G17" i="9" a="1"/>
  <c r="G17" i="9" s="1"/>
  <c r="H17" i="8" a="1"/>
  <c r="H17" i="8" s="1"/>
  <c r="I17" i="9" a="1"/>
  <c r="I17" i="9" s="1"/>
  <c r="G9" i="9" a="1"/>
  <c r="G9" i="9" s="1"/>
  <c r="G9" i="8" a="1"/>
  <c r="G9" i="8" s="1"/>
  <c r="H9" i="8" a="1"/>
  <c r="H9" i="8" s="1"/>
  <c r="G73" i="8" a="1"/>
  <c r="G73" i="8" s="1"/>
  <c r="G65" i="8" a="1"/>
  <c r="G65" i="8" s="1"/>
  <c r="G22" i="8" a="1"/>
  <c r="G22" i="8" s="1"/>
  <c r="H5" i="8" a="1"/>
  <c r="H5" i="8" s="1"/>
  <c r="H78" i="8" a="1"/>
  <c r="H78" i="8" s="1"/>
  <c r="H52" i="8" a="1"/>
  <c r="H52" i="8" s="1"/>
  <c r="I94" i="8" a="1"/>
  <c r="I94" i="8" s="1"/>
  <c r="I79" i="8" a="1"/>
  <c r="I79" i="8" s="1"/>
  <c r="I41" i="8" a="1"/>
  <c r="I41" i="8" s="1"/>
  <c r="G41" i="9" a="1"/>
  <c r="G41" i="9" s="1"/>
  <c r="H49" i="9" a="1"/>
  <c r="H49" i="9" s="1"/>
  <c r="F54" i="9" a="1"/>
  <c r="F54" i="9" s="1"/>
  <c r="H62" i="9" a="1"/>
  <c r="H62" i="9" s="1"/>
  <c r="F84" i="9" a="1"/>
  <c r="F84" i="9" s="1"/>
  <c r="F89" i="9" a="1"/>
  <c r="F89" i="9" s="1"/>
  <c r="I100" i="9" a="1"/>
  <c r="I100" i="9" s="1"/>
  <c r="I103" i="8" a="1"/>
  <c r="I103" i="8" s="1"/>
  <c r="F103" i="9" a="1"/>
  <c r="F103" i="9" s="1"/>
  <c r="I103" i="9" a="1"/>
  <c r="I103" i="9" s="1"/>
  <c r="H103" i="8" a="1"/>
  <c r="H103" i="8" s="1"/>
  <c r="I87" i="8" a="1"/>
  <c r="I87" i="8" s="1"/>
  <c r="I87" i="9" a="1"/>
  <c r="I87" i="9" s="1"/>
  <c r="F87" i="9" a="1"/>
  <c r="F87" i="9" s="1"/>
  <c r="G87" i="8" a="1"/>
  <c r="G87" i="8" s="1"/>
  <c r="H87" i="8" a="1"/>
  <c r="H87" i="8" s="1"/>
  <c r="H87" i="9" a="1"/>
  <c r="H87" i="9" s="1"/>
  <c r="I71" i="8" a="1"/>
  <c r="I71" i="8" s="1"/>
  <c r="F71" i="9" a="1"/>
  <c r="F71" i="9" s="1"/>
  <c r="I71" i="9" a="1"/>
  <c r="I71" i="9" s="1"/>
  <c r="H71" i="8" a="1"/>
  <c r="H71" i="8" s="1"/>
  <c r="H71" i="9" a="1"/>
  <c r="H71" i="9" s="1"/>
  <c r="G63" i="9" a="1"/>
  <c r="G63" i="9" s="1"/>
  <c r="I63" i="8" a="1"/>
  <c r="I63" i="8" s="1"/>
  <c r="I63" i="9" a="1"/>
  <c r="I63" i="9" s="1"/>
  <c r="G63" i="8" a="1"/>
  <c r="G63" i="8" s="1"/>
  <c r="H63" i="9" a="1"/>
  <c r="H63" i="9" s="1"/>
  <c r="I55" i="8" a="1"/>
  <c r="I55" i="8" s="1"/>
  <c r="I55" i="9" a="1"/>
  <c r="I55" i="9" s="1"/>
  <c r="F55" i="9" a="1"/>
  <c r="F55" i="9" s="1"/>
  <c r="H55" i="9" a="1"/>
  <c r="H55" i="9" s="1"/>
  <c r="H55" i="8" a="1"/>
  <c r="H55" i="8" s="1"/>
  <c r="G55" i="9" a="1"/>
  <c r="G55" i="9" s="1"/>
  <c r="H47" i="9" a="1"/>
  <c r="H47" i="9" s="1"/>
  <c r="G47" i="9" a="1"/>
  <c r="G47" i="9" s="1"/>
  <c r="I47" i="9" a="1"/>
  <c r="I47" i="9" s="1"/>
  <c r="I47" i="8" a="1"/>
  <c r="I47" i="8" s="1"/>
  <c r="G47" i="8" a="1"/>
  <c r="G47" i="8" s="1"/>
  <c r="F81" i="9" a="1"/>
  <c r="F81" i="9" s="1"/>
  <c r="I97" i="9" a="1"/>
  <c r="I97" i="9" s="1"/>
  <c r="G95" i="9" a="1"/>
  <c r="G95" i="9" s="1"/>
  <c r="I95" i="9" a="1"/>
  <c r="I95" i="9" s="1"/>
  <c r="G95" i="8" a="1"/>
  <c r="G95" i="8" s="1"/>
  <c r="G102" i="9" a="1"/>
  <c r="G102" i="9" s="1"/>
  <c r="F102" i="9" a="1"/>
  <c r="F102" i="9" s="1"/>
  <c r="H102" i="8" a="1"/>
  <c r="H102" i="8" s="1"/>
  <c r="I94" i="9" a="1"/>
  <c r="I94" i="9" s="1"/>
  <c r="F94" i="9" a="1"/>
  <c r="F94" i="9" s="1"/>
  <c r="G94" i="8" a="1"/>
  <c r="G94" i="8" s="1"/>
  <c r="H86" i="9" a="1"/>
  <c r="H86" i="9" s="1"/>
  <c r="G86" i="9" a="1"/>
  <c r="G86" i="9" s="1"/>
  <c r="H86" i="8" a="1"/>
  <c r="H86" i="8" s="1"/>
  <c r="G70" i="9" a="1"/>
  <c r="G70" i="9" s="1"/>
  <c r="H70" i="8" a="1"/>
  <c r="H70" i="8" s="1"/>
  <c r="H54" i="9" a="1"/>
  <c r="H54" i="9" s="1"/>
  <c r="G54" i="9" a="1"/>
  <c r="G54" i="9" s="1"/>
  <c r="I54" i="8" a="1"/>
  <c r="I54" i="8" s="1"/>
  <c r="H54" i="8" a="1"/>
  <c r="H54" i="8" s="1"/>
  <c r="F46" i="9" a="1"/>
  <c r="F46" i="9" s="1"/>
  <c r="I46" i="8" a="1"/>
  <c r="I46" i="8" s="1"/>
  <c r="G46" i="8" a="1"/>
  <c r="G46" i="8" s="1"/>
  <c r="I30" i="9" a="1"/>
  <c r="I30" i="9" s="1"/>
  <c r="G30" i="8" a="1"/>
  <c r="G30" i="8" s="1"/>
  <c r="I30" i="8" a="1"/>
  <c r="I30" i="8" s="1"/>
  <c r="H22" i="9" a="1"/>
  <c r="H22" i="9" s="1"/>
  <c r="G22" i="9" a="1"/>
  <c r="G22" i="9" s="1"/>
  <c r="I22" i="8" a="1"/>
  <c r="I22" i="8" s="1"/>
  <c r="G14" i="9" a="1"/>
  <c r="G14" i="9" s="1"/>
  <c r="F14" i="9" a="1"/>
  <c r="F14" i="9" s="1"/>
  <c r="I14" i="9" a="1"/>
  <c r="I14" i="9" s="1"/>
  <c r="G14" i="8" a="1"/>
  <c r="G14" i="8" s="1"/>
  <c r="I14" i="8" a="1"/>
  <c r="I14" i="8" s="1"/>
  <c r="G71" i="8" a="1"/>
  <c r="G71" i="8" s="1"/>
  <c r="H94" i="9" a="1"/>
  <c r="H94" i="9" s="1"/>
  <c r="I102" i="9" a="1"/>
  <c r="I102" i="9" s="1"/>
  <c r="H101" i="9" a="1"/>
  <c r="H101" i="9" s="1"/>
  <c r="G101" i="9" a="1"/>
  <c r="G101" i="9" s="1"/>
  <c r="I101" i="8" a="1"/>
  <c r="I101" i="8" s="1"/>
  <c r="I101" i="9" a="1"/>
  <c r="I101" i="9" s="1"/>
  <c r="F101" i="9" a="1"/>
  <c r="F101" i="9" s="1"/>
  <c r="G101" i="8" a="1"/>
  <c r="G101" i="8" s="1"/>
  <c r="F93" i="9" a="1"/>
  <c r="F93" i="9" s="1"/>
  <c r="I93" i="8" a="1"/>
  <c r="I93" i="8" s="1"/>
  <c r="I93" i="9" a="1"/>
  <c r="I93" i="9" s="1"/>
  <c r="H93" i="9" a="1"/>
  <c r="H93" i="9" s="1"/>
  <c r="G93" i="9" a="1"/>
  <c r="G93" i="9" s="1"/>
  <c r="H93" i="8" a="1"/>
  <c r="H93" i="8" s="1"/>
  <c r="G85" i="9" a="1"/>
  <c r="G85" i="9" s="1"/>
  <c r="I85" i="8" a="1"/>
  <c r="I85" i="8" s="1"/>
  <c r="I85" i="9" a="1"/>
  <c r="I85" i="9" s="1"/>
  <c r="H85" i="9" a="1"/>
  <c r="H85" i="9" s="1"/>
  <c r="F85" i="9" a="1"/>
  <c r="F85" i="9" s="1"/>
  <c r="I77" i="9" a="1"/>
  <c r="I77" i="9" s="1"/>
  <c r="I77" i="8" a="1"/>
  <c r="I77" i="8" s="1"/>
  <c r="H77" i="9" a="1"/>
  <c r="H77" i="9" s="1"/>
  <c r="G77" i="9" a="1"/>
  <c r="G77" i="9" s="1"/>
  <c r="F77" i="9" a="1"/>
  <c r="F77" i="9" s="1"/>
  <c r="H77" i="8" a="1"/>
  <c r="H77" i="8" s="1"/>
  <c r="H69" i="9" a="1"/>
  <c r="H69" i="9" s="1"/>
  <c r="G69" i="9" a="1"/>
  <c r="G69" i="9" s="1"/>
  <c r="I69" i="8" a="1"/>
  <c r="I69" i="8" s="1"/>
  <c r="I69" i="9" a="1"/>
  <c r="I69" i="9" s="1"/>
  <c r="F69" i="9" a="1"/>
  <c r="F69" i="9" s="1"/>
  <c r="G69" i="8" a="1"/>
  <c r="G69" i="8" s="1"/>
  <c r="F61" i="9" a="1"/>
  <c r="F61" i="9" s="1"/>
  <c r="I61" i="8" a="1"/>
  <c r="I61" i="8" s="1"/>
  <c r="I61" i="9" a="1"/>
  <c r="I61" i="9" s="1"/>
  <c r="H61" i="9" a="1"/>
  <c r="H61" i="9" s="1"/>
  <c r="G61" i="9" a="1"/>
  <c r="G61" i="9" s="1"/>
  <c r="H61" i="8" a="1"/>
  <c r="H61" i="8" s="1"/>
  <c r="G53" i="9" a="1"/>
  <c r="G53" i="9" s="1"/>
  <c r="I53" i="8" a="1"/>
  <c r="I53" i="8" s="1"/>
  <c r="H53" i="9" a="1"/>
  <c r="H53" i="9" s="1"/>
  <c r="F53" i="9" a="1"/>
  <c r="F53" i="9" s="1"/>
  <c r="G53" i="8" a="1"/>
  <c r="G53" i="8" s="1"/>
  <c r="I45" i="9" a="1"/>
  <c r="I45" i="9" s="1"/>
  <c r="I45" i="8" a="1"/>
  <c r="I45" i="8" s="1"/>
  <c r="G45" i="9" a="1"/>
  <c r="G45" i="9" s="1"/>
  <c r="F45" i="9" a="1"/>
  <c r="F45" i="9" s="1"/>
  <c r="H45" i="8" a="1"/>
  <c r="H45" i="8" s="1"/>
  <c r="H37" i="9" a="1"/>
  <c r="H37" i="9" s="1"/>
  <c r="G37" i="9" a="1"/>
  <c r="G37" i="9" s="1"/>
  <c r="I37" i="8" a="1"/>
  <c r="I37" i="8" s="1"/>
  <c r="F37" i="9" a="1"/>
  <c r="F37" i="9" s="1"/>
  <c r="G37" i="8" a="1"/>
  <c r="G37" i="8" s="1"/>
  <c r="F29" i="9" a="1"/>
  <c r="F29" i="9" s="1"/>
  <c r="I29" i="8" a="1"/>
  <c r="I29" i="8" s="1"/>
  <c r="I29" i="9" a="1"/>
  <c r="I29" i="9" s="1"/>
  <c r="H29" i="8" a="1"/>
  <c r="H29" i="8" s="1"/>
  <c r="G29" i="9" a="1"/>
  <c r="G29" i="9" s="1"/>
  <c r="H21" i="8" a="1"/>
  <c r="H21" i="8" s="1"/>
  <c r="G21" i="9" a="1"/>
  <c r="G21" i="9" s="1"/>
  <c r="I21" i="8" a="1"/>
  <c r="I21" i="8" s="1"/>
  <c r="F21" i="9" a="1"/>
  <c r="F21" i="9" s="1"/>
  <c r="G21" i="8" a="1"/>
  <c r="G21" i="8" s="1"/>
  <c r="I13" i="8" a="1"/>
  <c r="I13" i="8" s="1"/>
  <c r="G13" i="9" a="1"/>
  <c r="G13" i="9" s="1"/>
  <c r="H13" i="8" a="1"/>
  <c r="H13" i="8" s="1"/>
  <c r="F13" i="9" a="1"/>
  <c r="F13" i="9" s="1"/>
  <c r="G70" i="8" a="1"/>
  <c r="G70" i="8" s="1"/>
  <c r="H57" i="8" a="1"/>
  <c r="H57" i="8" s="1"/>
  <c r="H14" i="8" a="1"/>
  <c r="H14" i="8" s="1"/>
  <c r="I86" i="8" a="1"/>
  <c r="I86" i="8" s="1"/>
  <c r="I33" i="8" a="1"/>
  <c r="I33" i="8" s="1"/>
  <c r="F9" i="9" a="1"/>
  <c r="F9" i="9" s="1"/>
  <c r="H13" i="9" a="1"/>
  <c r="H13" i="9" s="1"/>
  <c r="F17" i="9" a="1"/>
  <c r="F17" i="9" s="1"/>
  <c r="I21" i="9" a="1"/>
  <c r="I21" i="9" s="1"/>
  <c r="G30" i="9" a="1"/>
  <c r="G30" i="9" s="1"/>
  <c r="F47" i="9" a="1"/>
  <c r="F47" i="9" s="1"/>
  <c r="F65" i="9" a="1"/>
  <c r="F65" i="9" s="1"/>
  <c r="G78" i="9" a="1"/>
  <c r="G78" i="9" s="1"/>
  <c r="I81" i="9" a="1"/>
  <c r="I81" i="9" s="1"/>
  <c r="F95" i="9" a="1"/>
  <c r="F95" i="9" s="1"/>
  <c r="G103" i="9" a="1"/>
  <c r="G103" i="9" s="1"/>
  <c r="H79" i="9" a="1"/>
  <c r="H79" i="9" s="1"/>
  <c r="G79" i="9" a="1"/>
  <c r="G79" i="9" s="1"/>
  <c r="I79" i="9" a="1"/>
  <c r="I79" i="9" s="1"/>
  <c r="I62" i="9" a="1"/>
  <c r="I62" i="9" s="1"/>
  <c r="G62" i="8" a="1"/>
  <c r="G62" i="8" s="1"/>
  <c r="G38" i="9" a="1"/>
  <c r="G38" i="9" s="1"/>
  <c r="I38" i="8" a="1"/>
  <c r="I38" i="8" s="1"/>
  <c r="H38" i="8" a="1"/>
  <c r="H38" i="8" s="1"/>
  <c r="I102" i="8" a="1"/>
  <c r="I102" i="8" s="1"/>
  <c r="F30" i="9" a="1"/>
  <c r="F30" i="9" s="1"/>
  <c r="H38" i="9" a="1"/>
  <c r="H38" i="9" s="1"/>
  <c r="I46" i="9" a="1"/>
  <c r="I46" i="9" s="1"/>
  <c r="F86" i="9" a="1"/>
  <c r="F86" i="9" s="1"/>
  <c r="I92" i="8" a="1"/>
  <c r="I92" i="8" s="1"/>
  <c r="I92" i="9" a="1"/>
  <c r="I92" i="9" s="1"/>
  <c r="F92" i="9" a="1"/>
  <c r="F92" i="9" s="1"/>
  <c r="H92" i="8" a="1"/>
  <c r="H92" i="8" s="1"/>
  <c r="G76" i="9" a="1"/>
  <c r="G76" i="9" s="1"/>
  <c r="I76" i="8" a="1"/>
  <c r="I76" i="8" s="1"/>
  <c r="F76" i="9" a="1"/>
  <c r="F76" i="9" s="1"/>
  <c r="I76" i="9" a="1"/>
  <c r="I76" i="9" s="1"/>
  <c r="H76" i="8" a="1"/>
  <c r="H76" i="8" s="1"/>
  <c r="G76" i="8" a="1"/>
  <c r="G76" i="8" s="1"/>
  <c r="G68" i="8" a="1"/>
  <c r="G68" i="8" s="1"/>
  <c r="I68" i="9" a="1"/>
  <c r="I68" i="9" s="1"/>
  <c r="I60" i="8" a="1"/>
  <c r="I60" i="8" s="1"/>
  <c r="I60" i="9" a="1"/>
  <c r="I60" i="9" s="1"/>
  <c r="F60" i="9" a="1"/>
  <c r="F60" i="9" s="1"/>
  <c r="H60" i="8" a="1"/>
  <c r="H60" i="8" s="1"/>
  <c r="H60" i="9" a="1"/>
  <c r="H60" i="9" s="1"/>
  <c r="H52" i="9" a="1"/>
  <c r="H52" i="9" s="1"/>
  <c r="G52" i="8" a="1"/>
  <c r="G52" i="8" s="1"/>
  <c r="I52" i="9" a="1"/>
  <c r="I52" i="9" s="1"/>
  <c r="G44" i="9" a="1"/>
  <c r="G44" i="9" s="1"/>
  <c r="I44" i="8" a="1"/>
  <c r="I44" i="8" s="1"/>
  <c r="F44" i="9" a="1"/>
  <c r="F44" i="9" s="1"/>
  <c r="I44" i="9" a="1"/>
  <c r="I44" i="9" s="1"/>
  <c r="H44" i="8" a="1"/>
  <c r="H44" i="8" s="1"/>
  <c r="H44" i="9" a="1"/>
  <c r="H44" i="9" s="1"/>
  <c r="G36" i="8" a="1"/>
  <c r="G36" i="8" s="1"/>
  <c r="I36" i="9" a="1"/>
  <c r="I36" i="9" s="1"/>
  <c r="H36" i="9" a="1"/>
  <c r="H36" i="9" s="1"/>
  <c r="I28" i="8" a="1"/>
  <c r="I28" i="8" s="1"/>
  <c r="I28" i="9" a="1"/>
  <c r="I28" i="9" s="1"/>
  <c r="F28" i="9" a="1"/>
  <c r="F28" i="9" s="1"/>
  <c r="H28" i="9" a="1"/>
  <c r="H28" i="9" s="1"/>
  <c r="H20" i="9" a="1"/>
  <c r="H20" i="9" s="1"/>
  <c r="H20" i="8" a="1"/>
  <c r="H20" i="8" s="1"/>
  <c r="I20" i="8" a="1"/>
  <c r="I20" i="8" s="1"/>
  <c r="G20" i="8" a="1"/>
  <c r="G20" i="8" s="1"/>
  <c r="I20" i="9" a="1"/>
  <c r="I20" i="9" s="1"/>
  <c r="G20" i="9" a="1"/>
  <c r="G20" i="9" s="1"/>
  <c r="H12" i="9" a="1"/>
  <c r="H12" i="9" s="1"/>
  <c r="I12" i="8" a="1"/>
  <c r="I12" i="8" s="1"/>
  <c r="I12" i="9" a="1"/>
  <c r="I12" i="9" s="1"/>
  <c r="G97" i="8" a="1"/>
  <c r="G97" i="8" s="1"/>
  <c r="G89" i="8" a="1"/>
  <c r="G89" i="8" s="1"/>
  <c r="G78" i="8" a="1"/>
  <c r="G78" i="8" s="1"/>
  <c r="G60" i="8" a="1"/>
  <c r="G60" i="8" s="1"/>
  <c r="G17" i="8" a="1"/>
  <c r="G17" i="8" s="1"/>
  <c r="H73" i="8" a="1"/>
  <c r="H73" i="8" s="1"/>
  <c r="H47" i="8" a="1"/>
  <c r="H47" i="8" s="1"/>
  <c r="H37" i="8" a="1"/>
  <c r="H37" i="8" s="1"/>
  <c r="I100" i="8" a="1"/>
  <c r="I100" i="8" s="1"/>
  <c r="I70" i="8" a="1"/>
  <c r="I70" i="8" s="1"/>
  <c r="I17" i="8" a="1"/>
  <c r="I17" i="8" s="1"/>
  <c r="I5" i="9" a="1"/>
  <c r="I5" i="9" s="1"/>
  <c r="H9" i="9" a="1"/>
  <c r="H9" i="9" s="1"/>
  <c r="I13" i="9" a="1"/>
  <c r="I13" i="9" s="1"/>
  <c r="H17" i="9" a="1"/>
  <c r="H17" i="9" s="1"/>
  <c r="F22" i="9" a="1"/>
  <c r="F22" i="9" s="1"/>
  <c r="H30" i="9" a="1"/>
  <c r="H30" i="9" s="1"/>
  <c r="I38" i="9" a="1"/>
  <c r="I38" i="9" s="1"/>
  <c r="F52" i="9" a="1"/>
  <c r="F52" i="9" s="1"/>
  <c r="F57" i="9" a="1"/>
  <c r="F57" i="9" s="1"/>
  <c r="F70" i="9" a="1"/>
  <c r="F70" i="9" s="1"/>
  <c r="I73" i="9" a="1"/>
  <c r="I73" i="9" s="1"/>
  <c r="H78" i="9" a="1"/>
  <c r="H78" i="9" s="1"/>
  <c r="I86" i="9" a="1"/>
  <c r="I86" i="9" s="1"/>
  <c r="H103" i="9" a="1"/>
  <c r="H103" i="9" s="1"/>
  <c r="I39" i="8" a="1"/>
  <c r="I39" i="8" s="1"/>
  <c r="F39" i="9" a="1"/>
  <c r="F39" i="9" s="1"/>
  <c r="I39" i="9" a="1"/>
  <c r="I39" i="9" s="1"/>
  <c r="H31" i="8" a="1"/>
  <c r="H31" i="8" s="1"/>
  <c r="G31" i="9" a="1"/>
  <c r="G31" i="9" s="1"/>
  <c r="I23" i="8" a="1"/>
  <c r="I23" i="8" s="1"/>
  <c r="I23" i="9" a="1"/>
  <c r="I23" i="9" s="1"/>
  <c r="F23" i="9" a="1"/>
  <c r="F23" i="9" s="1"/>
  <c r="I15" i="9" a="1"/>
  <c r="I15" i="9" s="1"/>
  <c r="H15" i="8" a="1"/>
  <c r="H15" i="8" s="1"/>
  <c r="H15" i="9" a="1"/>
  <c r="H15" i="9" s="1"/>
  <c r="I7" i="9" a="1"/>
  <c r="I7" i="9" s="1"/>
  <c r="I7" i="8" a="1"/>
  <c r="I7" i="8" s="1"/>
  <c r="H7" i="9" a="1"/>
  <c r="H7" i="9" s="1"/>
  <c r="H39" i="8" a="1"/>
  <c r="H39" i="8" s="1"/>
  <c r="I31" i="8" a="1"/>
  <c r="I31" i="8" s="1"/>
  <c r="G15" i="9" a="1"/>
  <c r="G15" i="9" s="1"/>
  <c r="G39" i="9" a="1"/>
  <c r="G39" i="9" s="1"/>
  <c r="G6" i="9" a="1"/>
  <c r="G6" i="9" s="1"/>
  <c r="F6" i="9" a="1"/>
  <c r="F6" i="9" s="1"/>
  <c r="I6" i="9" a="1"/>
  <c r="I6" i="9" s="1"/>
  <c r="G31" i="8" a="1"/>
  <c r="G31" i="8" s="1"/>
  <c r="G15" i="8" a="1"/>
  <c r="G15" i="8" s="1"/>
  <c r="G23" i="9" a="1"/>
  <c r="G23" i="9" s="1"/>
  <c r="H31" i="9" a="1"/>
  <c r="H31" i="9" s="1"/>
  <c r="H39" i="9" a="1"/>
  <c r="H39" i="9" s="1"/>
  <c r="H7" i="8" a="1"/>
  <c r="H7" i="8" s="1"/>
  <c r="H23" i="9" a="1"/>
  <c r="H23" i="9" s="1"/>
  <c r="I31" i="9" a="1"/>
  <c r="I31" i="9" s="1"/>
  <c r="S84" i="6"/>
  <c r="S76" i="6"/>
  <c r="S68" i="6"/>
  <c r="S60" i="6"/>
  <c r="S52" i="6"/>
  <c r="S44" i="6"/>
  <c r="S36" i="6"/>
  <c r="S28" i="6"/>
  <c r="S20" i="6"/>
  <c r="S12" i="6"/>
  <c r="S83" i="6"/>
  <c r="S75" i="6"/>
  <c r="S67" i="6"/>
  <c r="S59" i="6"/>
  <c r="S51" i="6"/>
  <c r="S43" i="6"/>
  <c r="S35" i="6"/>
  <c r="S27" i="6"/>
  <c r="S19" i="6"/>
  <c r="S11" i="6"/>
  <c r="S78" i="6"/>
  <c r="S70" i="6"/>
  <c r="S62" i="6"/>
  <c r="S54" i="6"/>
  <c r="S46" i="6"/>
  <c r="S38" i="6"/>
  <c r="S30" i="6"/>
  <c r="S22" i="6"/>
  <c r="S14" i="6"/>
  <c r="R78" i="6"/>
  <c r="R62" i="6"/>
  <c r="R54" i="6"/>
  <c r="R46" i="6"/>
  <c r="R30" i="6"/>
  <c r="R22" i="6"/>
  <c r="R77" i="6"/>
  <c r="R85" i="6"/>
  <c r="R73" i="6"/>
  <c r="R81" i="6"/>
  <c r="R7" i="6"/>
  <c r="R19" i="6"/>
  <c r="R31" i="6"/>
  <c r="R43" i="6"/>
  <c r="R55" i="6"/>
  <c r="R63" i="6"/>
  <c r="R75" i="6"/>
  <c r="R12" i="6"/>
  <c r="R24" i="6"/>
  <c r="R32" i="6"/>
  <c r="R36" i="6"/>
  <c r="R40" i="6"/>
  <c r="R44" i="6"/>
  <c r="R48" i="6"/>
  <c r="R52" i="6"/>
  <c r="R56" i="6"/>
  <c r="R60" i="6"/>
  <c r="R64" i="6"/>
  <c r="R68" i="6"/>
  <c r="R72" i="6"/>
  <c r="R76" i="6"/>
  <c r="R80" i="6"/>
  <c r="R84" i="6"/>
  <c r="R15" i="6"/>
  <c r="R27" i="6"/>
  <c r="R39" i="6"/>
  <c r="R51" i="6"/>
  <c r="R67" i="6"/>
  <c r="R79" i="6"/>
  <c r="R8" i="6"/>
  <c r="R20" i="6"/>
  <c r="R13" i="6"/>
  <c r="R21" i="6"/>
  <c r="R29" i="6"/>
  <c r="R37" i="6"/>
  <c r="R45" i="6"/>
  <c r="R53" i="6"/>
  <c r="R61" i="6"/>
  <c r="R69" i="6"/>
  <c r="R11" i="6"/>
  <c r="R23" i="6"/>
  <c r="R35" i="6"/>
  <c r="R47" i="6"/>
  <c r="R59" i="6"/>
  <c r="R71" i="6"/>
  <c r="R83" i="6"/>
  <c r="R16" i="6"/>
  <c r="R28" i="6"/>
  <c r="R9" i="6"/>
  <c r="R17" i="6"/>
  <c r="R25" i="6"/>
  <c r="R33" i="6"/>
  <c r="R41" i="6"/>
  <c r="R49" i="6"/>
  <c r="R57" i="6"/>
  <c r="R65" i="6"/>
  <c r="O85" i="8"/>
  <c r="P85" i="8" s="1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P5" i="8" s="1"/>
  <c r="K6" i="7"/>
  <c r="K7" i="7"/>
  <c r="K8" i="7"/>
  <c r="L8" i="7" s="1"/>
  <c r="K9" i="7"/>
  <c r="K10" i="7"/>
  <c r="K11" i="7"/>
  <c r="K12" i="7"/>
  <c r="K13" i="7"/>
  <c r="K14" i="7"/>
  <c r="K15" i="7"/>
  <c r="K16" i="7"/>
  <c r="L16" i="7" s="1"/>
  <c r="K17" i="7"/>
  <c r="K18" i="7"/>
  <c r="K19" i="7"/>
  <c r="K20" i="7"/>
  <c r="K21" i="7"/>
  <c r="K22" i="7"/>
  <c r="K23" i="7"/>
  <c r="K24" i="7"/>
  <c r="L24" i="7" s="1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L40" i="7" s="1"/>
  <c r="K41" i="7"/>
  <c r="K42" i="7"/>
  <c r="K43" i="7"/>
  <c r="K44" i="7"/>
  <c r="K45" i="7"/>
  <c r="K46" i="7"/>
  <c r="K47" i="7"/>
  <c r="K48" i="7"/>
  <c r="L48" i="7" s="1"/>
  <c r="K49" i="7"/>
  <c r="K50" i="7"/>
  <c r="K51" i="7"/>
  <c r="K52" i="7"/>
  <c r="K53" i="7"/>
  <c r="K54" i="7"/>
  <c r="K55" i="7"/>
  <c r="K56" i="7"/>
  <c r="L56" i="7" s="1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L72" i="7" s="1"/>
  <c r="K73" i="7"/>
  <c r="K74" i="7"/>
  <c r="K75" i="7"/>
  <c r="K76" i="7"/>
  <c r="K77" i="7"/>
  <c r="K78" i="7"/>
  <c r="L79" i="7" s="1"/>
  <c r="K79" i="7"/>
  <c r="K80" i="7"/>
  <c r="L80" i="7" s="1"/>
  <c r="K81" i="7"/>
  <c r="K82" i="7"/>
  <c r="K83" i="7"/>
  <c r="K84" i="7"/>
  <c r="K85" i="7"/>
  <c r="K5" i="7"/>
  <c r="L5" i="7" s="1"/>
  <c r="L64" i="7"/>
  <c r="L63" i="7"/>
  <c r="L47" i="7"/>
  <c r="L32" i="7"/>
  <c r="L31" i="7"/>
  <c r="L15" i="7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6" i="6"/>
  <c r="L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5" i="6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6" i="8"/>
  <c r="D5" i="8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5" i="6"/>
  <c r="C104" i="6"/>
  <c r="M85" i="6" s="1"/>
  <c r="C103" i="6"/>
  <c r="M84" i="6" s="1"/>
  <c r="C102" i="6"/>
  <c r="M83" i="6" s="1"/>
  <c r="C101" i="6"/>
  <c r="M82" i="6" s="1"/>
  <c r="C100" i="6"/>
  <c r="M81" i="6" s="1"/>
  <c r="C99" i="6"/>
  <c r="M80" i="6" s="1"/>
  <c r="C98" i="6"/>
  <c r="M79" i="6" s="1"/>
  <c r="C97" i="6"/>
  <c r="M78" i="6" s="1"/>
  <c r="C96" i="6"/>
  <c r="M77" i="6" s="1"/>
  <c r="C95" i="6"/>
  <c r="M76" i="6" s="1"/>
  <c r="C94" i="6"/>
  <c r="M75" i="6" s="1"/>
  <c r="C93" i="6"/>
  <c r="M74" i="6" s="1"/>
  <c r="C92" i="6"/>
  <c r="M73" i="6" s="1"/>
  <c r="C91" i="6"/>
  <c r="M72" i="6" s="1"/>
  <c r="C90" i="6"/>
  <c r="M71" i="6" s="1"/>
  <c r="C89" i="6"/>
  <c r="M70" i="6" s="1"/>
  <c r="C88" i="6"/>
  <c r="M69" i="6" s="1"/>
  <c r="C87" i="6"/>
  <c r="M68" i="6" s="1"/>
  <c r="C86" i="6"/>
  <c r="M67" i="6" s="1"/>
  <c r="C85" i="6"/>
  <c r="M66" i="6" s="1"/>
  <c r="C84" i="6"/>
  <c r="M65" i="6" s="1"/>
  <c r="C83" i="6"/>
  <c r="M64" i="6" s="1"/>
  <c r="C82" i="6"/>
  <c r="M63" i="6" s="1"/>
  <c r="C81" i="6"/>
  <c r="M62" i="6" s="1"/>
  <c r="C80" i="6"/>
  <c r="M61" i="6" s="1"/>
  <c r="C79" i="6"/>
  <c r="M60" i="6" s="1"/>
  <c r="C78" i="6"/>
  <c r="M59" i="6" s="1"/>
  <c r="C77" i="6"/>
  <c r="M58" i="6" s="1"/>
  <c r="C76" i="6"/>
  <c r="M57" i="6" s="1"/>
  <c r="C75" i="6"/>
  <c r="M56" i="6" s="1"/>
  <c r="C74" i="6"/>
  <c r="M55" i="6" s="1"/>
  <c r="C73" i="6"/>
  <c r="M54" i="6" s="1"/>
  <c r="C72" i="6"/>
  <c r="M53" i="6" s="1"/>
  <c r="C71" i="6"/>
  <c r="M52" i="6" s="1"/>
  <c r="C70" i="6"/>
  <c r="M51" i="6" s="1"/>
  <c r="C69" i="6"/>
  <c r="M50" i="6" s="1"/>
  <c r="C68" i="6"/>
  <c r="M49" i="6" s="1"/>
  <c r="C67" i="6"/>
  <c r="M48" i="6" s="1"/>
  <c r="C66" i="6"/>
  <c r="M47" i="6" s="1"/>
  <c r="C65" i="6"/>
  <c r="M46" i="6" s="1"/>
  <c r="C64" i="6"/>
  <c r="M45" i="6" s="1"/>
  <c r="C63" i="6"/>
  <c r="M44" i="6" s="1"/>
  <c r="C62" i="6"/>
  <c r="M43" i="6" s="1"/>
  <c r="C61" i="6"/>
  <c r="M42" i="6" s="1"/>
  <c r="C60" i="6"/>
  <c r="M41" i="6" s="1"/>
  <c r="C59" i="6"/>
  <c r="M40" i="6" s="1"/>
  <c r="C58" i="6"/>
  <c r="M39" i="6" s="1"/>
  <c r="C57" i="6"/>
  <c r="M38" i="6" s="1"/>
  <c r="C56" i="6"/>
  <c r="M37" i="6" s="1"/>
  <c r="C55" i="6"/>
  <c r="M36" i="6" s="1"/>
  <c r="C54" i="6"/>
  <c r="M35" i="6" s="1"/>
  <c r="C53" i="6"/>
  <c r="M34" i="6" s="1"/>
  <c r="C52" i="6"/>
  <c r="M33" i="6" s="1"/>
  <c r="C51" i="6"/>
  <c r="M32" i="6" s="1"/>
  <c r="C50" i="6"/>
  <c r="M31" i="6" s="1"/>
  <c r="C49" i="6"/>
  <c r="M30" i="6" s="1"/>
  <c r="C48" i="6"/>
  <c r="M29" i="6" s="1"/>
  <c r="C47" i="6"/>
  <c r="M28" i="6" s="1"/>
  <c r="C46" i="6"/>
  <c r="M27" i="6" s="1"/>
  <c r="C45" i="6"/>
  <c r="M26" i="6" s="1"/>
  <c r="C44" i="6"/>
  <c r="M25" i="6" s="1"/>
  <c r="C43" i="6"/>
  <c r="M24" i="6" s="1"/>
  <c r="C42" i="6"/>
  <c r="M23" i="6" s="1"/>
  <c r="C41" i="6"/>
  <c r="M22" i="6" s="1"/>
  <c r="C40" i="6"/>
  <c r="M21" i="6" s="1"/>
  <c r="C39" i="6"/>
  <c r="M20" i="6" s="1"/>
  <c r="C38" i="6"/>
  <c r="M19" i="6" s="1"/>
  <c r="C37" i="6"/>
  <c r="M18" i="6" s="1"/>
  <c r="C36" i="6"/>
  <c r="M17" i="6" s="1"/>
  <c r="C35" i="6"/>
  <c r="M16" i="6" s="1"/>
  <c r="C34" i="6"/>
  <c r="M15" i="6" s="1"/>
  <c r="C33" i="6"/>
  <c r="M14" i="6" s="1"/>
  <c r="C32" i="6"/>
  <c r="M13" i="6" s="1"/>
  <c r="C31" i="6"/>
  <c r="M12" i="6" s="1"/>
  <c r="C30" i="6"/>
  <c r="M11" i="6" s="1"/>
  <c r="C29" i="6"/>
  <c r="M10" i="6" s="1"/>
  <c r="C28" i="6"/>
  <c r="M9" i="6" s="1"/>
  <c r="C27" i="6"/>
  <c r="M8" i="6" s="1"/>
  <c r="C26" i="6"/>
  <c r="M7" i="6" s="1"/>
  <c r="C25" i="6"/>
  <c r="M6" i="6" s="1"/>
  <c r="C24" i="6"/>
  <c r="M5" i="6" s="1"/>
  <c r="N5" i="6" s="1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6" i="7"/>
  <c r="C7" i="7"/>
  <c r="C8" i="7"/>
  <c r="C9" i="7"/>
  <c r="C10" i="7"/>
  <c r="C11" i="7"/>
  <c r="C12" i="7"/>
  <c r="C13" i="7"/>
  <c r="C14" i="7"/>
  <c r="C5" i="7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5" i="8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5" i="9"/>
  <c r="M8" i="3"/>
  <c r="T47" i="3"/>
  <c r="T48" i="3"/>
  <c r="T49" i="3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46" i="3"/>
  <c r="H98" i="3"/>
  <c r="E98" i="3"/>
  <c r="G98" i="3" s="1"/>
  <c r="H97" i="3"/>
  <c r="K95" i="3" s="1"/>
  <c r="E97" i="3"/>
  <c r="G97" i="3" s="1"/>
  <c r="K96" i="3"/>
  <c r="H96" i="3"/>
  <c r="E96" i="3"/>
  <c r="G96" i="3" s="1"/>
  <c r="H95" i="3"/>
  <c r="E95" i="3"/>
  <c r="G95" i="3" s="1"/>
  <c r="K94" i="3"/>
  <c r="H94" i="3"/>
  <c r="K93" i="3"/>
  <c r="H93" i="3"/>
  <c r="D93" i="3"/>
  <c r="D94" i="3" s="1"/>
  <c r="E94" i="3" s="1"/>
  <c r="G94" i="3" s="1"/>
  <c r="H92" i="3"/>
  <c r="E92" i="3"/>
  <c r="G92" i="3" s="1"/>
  <c r="F90" i="3"/>
  <c r="H87" i="3"/>
  <c r="K85" i="3" s="1"/>
  <c r="E87" i="3"/>
  <c r="G87" i="3" s="1"/>
  <c r="H86" i="3"/>
  <c r="E86" i="3"/>
  <c r="G86" i="3" s="1"/>
  <c r="H85" i="3"/>
  <c r="K83" i="3" s="1"/>
  <c r="E85" i="3"/>
  <c r="G85" i="3" s="1"/>
  <c r="K84" i="3"/>
  <c r="H84" i="3"/>
  <c r="E84" i="3"/>
  <c r="G84" i="3" s="1"/>
  <c r="H83" i="3"/>
  <c r="K82" i="3"/>
  <c r="H82" i="3"/>
  <c r="E82" i="3"/>
  <c r="G82" i="3" s="1"/>
  <c r="D82" i="3"/>
  <c r="D83" i="3" s="1"/>
  <c r="E83" i="3" s="1"/>
  <c r="G83" i="3" s="1"/>
  <c r="H81" i="3"/>
  <c r="K81" i="3" s="1"/>
  <c r="E81" i="3"/>
  <c r="G81" i="3" s="1"/>
  <c r="F79" i="3"/>
  <c r="H76" i="3"/>
  <c r="E76" i="3"/>
  <c r="G76" i="3" s="1"/>
  <c r="H75" i="3"/>
  <c r="K73" i="3" s="1"/>
  <c r="E75" i="3"/>
  <c r="G75" i="3" s="1"/>
  <c r="K74" i="3"/>
  <c r="H74" i="3"/>
  <c r="E74" i="3"/>
  <c r="G74" i="3" s="1"/>
  <c r="H73" i="3"/>
  <c r="E73" i="3"/>
  <c r="G73" i="3" s="1"/>
  <c r="K72" i="3"/>
  <c r="H72" i="3"/>
  <c r="K71" i="3"/>
  <c r="H71" i="3"/>
  <c r="D71" i="3"/>
  <c r="D72" i="3" s="1"/>
  <c r="E72" i="3" s="1"/>
  <c r="G72" i="3" s="1"/>
  <c r="H70" i="3"/>
  <c r="E70" i="3"/>
  <c r="G70" i="3" s="1"/>
  <c r="F68" i="3"/>
  <c r="K63" i="3"/>
  <c r="H65" i="3"/>
  <c r="E65" i="3"/>
  <c r="G65" i="3" s="1"/>
  <c r="H64" i="3"/>
  <c r="K62" i="3" s="1"/>
  <c r="E64" i="3"/>
  <c r="G64" i="3" s="1"/>
  <c r="H63" i="3"/>
  <c r="E63" i="3"/>
  <c r="G63" i="3" s="1"/>
  <c r="H62" i="3"/>
  <c r="K60" i="3" s="1"/>
  <c r="E62" i="3"/>
  <c r="G62" i="3" s="1"/>
  <c r="K61" i="3"/>
  <c r="H61" i="3"/>
  <c r="D61" i="3"/>
  <c r="E61" i="3" s="1"/>
  <c r="G61" i="3" s="1"/>
  <c r="H60" i="3"/>
  <c r="D60" i="3"/>
  <c r="E60" i="3" s="1"/>
  <c r="G60" i="3" s="1"/>
  <c r="K59" i="3"/>
  <c r="H59" i="3"/>
  <c r="E59" i="3"/>
  <c r="G59" i="3" s="1"/>
  <c r="F57" i="3"/>
  <c r="H54" i="3"/>
  <c r="K52" i="3" s="1"/>
  <c r="E54" i="3"/>
  <c r="G54" i="3" s="1"/>
  <c r="H53" i="3"/>
  <c r="E53" i="3"/>
  <c r="G53" i="3" s="1"/>
  <c r="H52" i="3"/>
  <c r="K50" i="3" s="1"/>
  <c r="E52" i="3"/>
  <c r="G52" i="3" s="1"/>
  <c r="K51" i="3"/>
  <c r="H51" i="3"/>
  <c r="H50" i="3"/>
  <c r="D50" i="3"/>
  <c r="D51" i="3" s="1"/>
  <c r="E51" i="3" s="1"/>
  <c r="G51" i="3" s="1"/>
  <c r="H49" i="3"/>
  <c r="E49" i="3"/>
  <c r="G49" i="3" s="1"/>
  <c r="F47" i="3"/>
  <c r="F36" i="3"/>
  <c r="H44" i="3"/>
  <c r="E44" i="3"/>
  <c r="G44" i="3" s="1"/>
  <c r="H43" i="3"/>
  <c r="K41" i="3" s="1"/>
  <c r="E43" i="3"/>
  <c r="G43" i="3" s="1"/>
  <c r="K42" i="3"/>
  <c r="H42" i="3"/>
  <c r="E42" i="3"/>
  <c r="G42" i="3" s="1"/>
  <c r="H41" i="3"/>
  <c r="K39" i="3" s="1"/>
  <c r="E41" i="3"/>
  <c r="G41" i="3" s="1"/>
  <c r="K40" i="3"/>
  <c r="H40" i="3"/>
  <c r="H39" i="3"/>
  <c r="D39" i="3"/>
  <c r="D40" i="3" s="1"/>
  <c r="E40" i="3" s="1"/>
  <c r="G40" i="3" s="1"/>
  <c r="H38" i="3"/>
  <c r="E38" i="3"/>
  <c r="G38" i="3" s="1"/>
  <c r="F25" i="3"/>
  <c r="H33" i="3"/>
  <c r="K31" i="3" s="1"/>
  <c r="E33" i="3"/>
  <c r="G33" i="3" s="1"/>
  <c r="H12" i="3"/>
  <c r="E12" i="3"/>
  <c r="G12" i="3" s="1"/>
  <c r="H11" i="3"/>
  <c r="K9" i="3" s="1"/>
  <c r="E11" i="3"/>
  <c r="G11" i="3" s="1"/>
  <c r="H10" i="3"/>
  <c r="K8" i="3" s="1"/>
  <c r="E10" i="3"/>
  <c r="G10" i="3" s="1"/>
  <c r="L73" i="7" l="1"/>
  <c r="L6" i="7"/>
  <c r="M56" i="7"/>
  <c r="M40" i="7"/>
  <c r="M24" i="7"/>
  <c r="M8" i="7"/>
  <c r="L55" i="7"/>
  <c r="L39" i="7"/>
  <c r="M39" i="7" s="1"/>
  <c r="L23" i="7"/>
  <c r="M23" i="7" s="1"/>
  <c r="L7" i="7"/>
  <c r="M72" i="7"/>
  <c r="L83" i="7"/>
  <c r="M83" i="7" s="1"/>
  <c r="L67" i="7"/>
  <c r="M67" i="7" s="1"/>
  <c r="L59" i="7"/>
  <c r="M59" i="7" s="1"/>
  <c r="L51" i="7"/>
  <c r="L43" i="7"/>
  <c r="M43" i="7" s="1"/>
  <c r="L35" i="7"/>
  <c r="M35" i="7" s="1"/>
  <c r="L27" i="7"/>
  <c r="M27" i="7" s="1"/>
  <c r="L19" i="7"/>
  <c r="M19" i="7" s="1"/>
  <c r="L11" i="7"/>
  <c r="M11" i="7" s="1"/>
  <c r="P6" i="8"/>
  <c r="Q6" i="8" s="1"/>
  <c r="P30" i="8"/>
  <c r="Q30" i="8" s="1"/>
  <c r="P46" i="8"/>
  <c r="Q46" i="8" s="1"/>
  <c r="P62" i="8"/>
  <c r="Q62" i="8" s="1"/>
  <c r="P14" i="8"/>
  <c r="Q14" i="8" s="1"/>
  <c r="P38" i="8"/>
  <c r="Q38" i="8" s="1"/>
  <c r="P78" i="8"/>
  <c r="Q78" i="8" s="1"/>
  <c r="P22" i="8"/>
  <c r="Q22" i="8" s="1"/>
  <c r="P54" i="8"/>
  <c r="Q54" i="8" s="1"/>
  <c r="P70" i="8"/>
  <c r="Q70" i="8" s="1"/>
  <c r="P12" i="8"/>
  <c r="Q12" i="8" s="1"/>
  <c r="P20" i="8"/>
  <c r="Q20" i="8" s="1"/>
  <c r="P28" i="8"/>
  <c r="Q28" i="8" s="1"/>
  <c r="P36" i="8"/>
  <c r="Q36" i="8" s="1"/>
  <c r="P44" i="8"/>
  <c r="Q44" i="8" s="1"/>
  <c r="P52" i="8"/>
  <c r="Q52" i="8" s="1"/>
  <c r="P60" i="8"/>
  <c r="Q60" i="8" s="1"/>
  <c r="P68" i="8"/>
  <c r="Q68" i="8" s="1"/>
  <c r="P76" i="8"/>
  <c r="Q76" i="8" s="1"/>
  <c r="P84" i="8"/>
  <c r="Q84" i="8" s="1"/>
  <c r="P7" i="8"/>
  <c r="Q7" i="8" s="1"/>
  <c r="P31" i="8"/>
  <c r="Q31" i="8" s="1"/>
  <c r="P55" i="8"/>
  <c r="Q55" i="8" s="1"/>
  <c r="P63" i="8"/>
  <c r="Q63" i="8" s="1"/>
  <c r="P32" i="8"/>
  <c r="Q32" i="8" s="1"/>
  <c r="P56" i="8"/>
  <c r="Q56" i="8" s="1"/>
  <c r="P72" i="8"/>
  <c r="Q72" i="8" s="1"/>
  <c r="P25" i="8"/>
  <c r="Q25" i="8" s="1"/>
  <c r="P49" i="8"/>
  <c r="Q49" i="8" s="1"/>
  <c r="P65" i="8"/>
  <c r="Q65" i="8" s="1"/>
  <c r="P10" i="8"/>
  <c r="Q10" i="8" s="1"/>
  <c r="P34" i="8"/>
  <c r="Q34" i="8" s="1"/>
  <c r="P50" i="8"/>
  <c r="Q50" i="8" s="1"/>
  <c r="P58" i="8"/>
  <c r="Q58" i="8" s="1"/>
  <c r="P82" i="8"/>
  <c r="Q82" i="8" s="1"/>
  <c r="P11" i="8"/>
  <c r="Q11" i="8" s="1"/>
  <c r="P19" i="8"/>
  <c r="Q19" i="8" s="1"/>
  <c r="P27" i="8"/>
  <c r="Q27" i="8" s="1"/>
  <c r="P35" i="8"/>
  <c r="Q35" i="8" s="1"/>
  <c r="P43" i="8"/>
  <c r="Q43" i="8" s="1"/>
  <c r="P51" i="8"/>
  <c r="Q51" i="8" s="1"/>
  <c r="P59" i="8"/>
  <c r="Q59" i="8" s="1"/>
  <c r="P67" i="8"/>
  <c r="Q67" i="8" s="1"/>
  <c r="P75" i="8"/>
  <c r="Q75" i="8" s="1"/>
  <c r="P83" i="8"/>
  <c r="Q83" i="8" s="1"/>
  <c r="P23" i="8"/>
  <c r="Q23" i="8" s="1"/>
  <c r="P47" i="8"/>
  <c r="Q47" i="8" s="1"/>
  <c r="P71" i="8"/>
  <c r="Q71" i="8" s="1"/>
  <c r="P8" i="8"/>
  <c r="Q8" i="8" s="1"/>
  <c r="P24" i="8"/>
  <c r="Q24" i="8" s="1"/>
  <c r="P48" i="8"/>
  <c r="Q48" i="8" s="1"/>
  <c r="P64" i="8"/>
  <c r="Q64" i="8" s="1"/>
  <c r="P17" i="8"/>
  <c r="Q17" i="8" s="1"/>
  <c r="P41" i="8"/>
  <c r="Q41" i="8" s="1"/>
  <c r="P81" i="8"/>
  <c r="Q81" i="8" s="1"/>
  <c r="P26" i="8"/>
  <c r="Q26" i="8" s="1"/>
  <c r="P66" i="8"/>
  <c r="Q66" i="8" s="1"/>
  <c r="P15" i="8"/>
  <c r="Q15" i="8" s="1"/>
  <c r="P39" i="8"/>
  <c r="Q39" i="8" s="1"/>
  <c r="P79" i="8"/>
  <c r="Q79" i="8" s="1"/>
  <c r="P16" i="8"/>
  <c r="Q16" i="8" s="1"/>
  <c r="P40" i="8"/>
  <c r="Q40" i="8" s="1"/>
  <c r="P80" i="8"/>
  <c r="Q80" i="8" s="1"/>
  <c r="P9" i="8"/>
  <c r="Q9" i="8" s="1"/>
  <c r="P33" i="8"/>
  <c r="Q33" i="8" s="1"/>
  <c r="P57" i="8"/>
  <c r="Q57" i="8" s="1"/>
  <c r="P73" i="8"/>
  <c r="Q73" i="8" s="1"/>
  <c r="P18" i="8"/>
  <c r="Q18" i="8" s="1"/>
  <c r="P42" i="8"/>
  <c r="Q42" i="8" s="1"/>
  <c r="P74" i="8"/>
  <c r="Q74" i="8" s="1"/>
  <c r="Q5" i="8"/>
  <c r="P13" i="8"/>
  <c r="Q13" i="8" s="1"/>
  <c r="P21" i="8"/>
  <c r="Q21" i="8" s="1"/>
  <c r="P29" i="8"/>
  <c r="Q29" i="8" s="1"/>
  <c r="P37" i="8"/>
  <c r="Q37" i="8" s="1"/>
  <c r="P45" i="8"/>
  <c r="Q45" i="8" s="1"/>
  <c r="P53" i="8"/>
  <c r="Q53" i="8" s="1"/>
  <c r="P61" i="8"/>
  <c r="Q61" i="8" s="1"/>
  <c r="P69" i="8"/>
  <c r="Q69" i="8" s="1"/>
  <c r="P77" i="8"/>
  <c r="Q77" i="8" s="1"/>
  <c r="Q85" i="8"/>
  <c r="L84" i="7"/>
  <c r="M84" i="7" s="1"/>
  <c r="L68" i="7"/>
  <c r="M68" i="7" s="1"/>
  <c r="L60" i="7"/>
  <c r="M60" i="7" s="1"/>
  <c r="L52" i="7"/>
  <c r="M52" i="7" s="1"/>
  <c r="L44" i="7"/>
  <c r="M44" i="7" s="1"/>
  <c r="L36" i="7"/>
  <c r="M36" i="7" s="1"/>
  <c r="L28" i="7"/>
  <c r="M28" i="7" s="1"/>
  <c r="L20" i="7"/>
  <c r="M20" i="7" s="1"/>
  <c r="L12" i="7"/>
  <c r="M12" i="7" s="1"/>
  <c r="M51" i="7"/>
  <c r="M55" i="7"/>
  <c r="M7" i="7"/>
  <c r="L78" i="7"/>
  <c r="M78" i="7" s="1"/>
  <c r="L70" i="7"/>
  <c r="M70" i="7" s="1"/>
  <c r="L62" i="7"/>
  <c r="M62" i="7" s="1"/>
  <c r="L54" i="7"/>
  <c r="M54" i="7" s="1"/>
  <c r="M79" i="7"/>
  <c r="M31" i="7"/>
  <c r="M63" i="7"/>
  <c r="L82" i="7"/>
  <c r="M82" i="7" s="1"/>
  <c r="L66" i="7"/>
  <c r="M66" i="7" s="1"/>
  <c r="L50" i="7"/>
  <c r="M50" i="7" s="1"/>
  <c r="L34" i="7"/>
  <c r="M34" i="7" s="1"/>
  <c r="L18" i="7"/>
  <c r="M18" i="7" s="1"/>
  <c r="M32" i="7"/>
  <c r="M64" i="7"/>
  <c r="M6" i="7"/>
  <c r="L69" i="7"/>
  <c r="M69" i="7" s="1"/>
  <c r="M5" i="7"/>
  <c r="M73" i="7"/>
  <c r="M15" i="7"/>
  <c r="M47" i="7"/>
  <c r="M80" i="7"/>
  <c r="L74" i="7"/>
  <c r="M74" i="7" s="1"/>
  <c r="L58" i="7"/>
  <c r="M58" i="7" s="1"/>
  <c r="L42" i="7"/>
  <c r="M42" i="7" s="1"/>
  <c r="L26" i="7"/>
  <c r="M26" i="7" s="1"/>
  <c r="L10" i="7"/>
  <c r="M10" i="7" s="1"/>
  <c r="M16" i="7"/>
  <c r="M48" i="7"/>
  <c r="L85" i="7"/>
  <c r="M85" i="7" s="1"/>
  <c r="L46" i="7"/>
  <c r="M46" i="7" s="1"/>
  <c r="L38" i="7"/>
  <c r="M38" i="7" s="1"/>
  <c r="L30" i="7"/>
  <c r="M30" i="7" s="1"/>
  <c r="L22" i="7"/>
  <c r="M22" i="7" s="1"/>
  <c r="L14" i="7"/>
  <c r="M14" i="7" s="1"/>
  <c r="L9" i="7"/>
  <c r="M9" i="7" s="1"/>
  <c r="L13" i="7"/>
  <c r="M13" i="7" s="1"/>
  <c r="L17" i="7"/>
  <c r="M17" i="7" s="1"/>
  <c r="L21" i="7"/>
  <c r="M21" i="7" s="1"/>
  <c r="L25" i="7"/>
  <c r="M25" i="7" s="1"/>
  <c r="L29" i="7"/>
  <c r="M29" i="7" s="1"/>
  <c r="L33" i="7"/>
  <c r="M33" i="7" s="1"/>
  <c r="L37" i="7"/>
  <c r="M37" i="7" s="1"/>
  <c r="L41" i="7"/>
  <c r="M41" i="7" s="1"/>
  <c r="L45" i="7"/>
  <c r="M45" i="7" s="1"/>
  <c r="L49" i="7"/>
  <c r="M49" i="7" s="1"/>
  <c r="L53" i="7"/>
  <c r="M53" i="7" s="1"/>
  <c r="L57" i="7"/>
  <c r="M57" i="7" s="1"/>
  <c r="L61" i="7"/>
  <c r="M61" i="7" s="1"/>
  <c r="L65" i="7"/>
  <c r="M65" i="7" s="1"/>
  <c r="L77" i="7"/>
  <c r="M77" i="7" s="1"/>
  <c r="L81" i="7"/>
  <c r="M81" i="7" s="1"/>
  <c r="L71" i="7"/>
  <c r="M71" i="7" s="1"/>
  <c r="L75" i="7"/>
  <c r="M75" i="7" s="1"/>
  <c r="L76" i="7"/>
  <c r="M76" i="7" s="1"/>
  <c r="E93" i="3"/>
  <c r="G93" i="3" s="1"/>
  <c r="K92" i="3"/>
  <c r="E71" i="3"/>
  <c r="G71" i="3" s="1"/>
  <c r="K70" i="3"/>
  <c r="E50" i="3"/>
  <c r="G50" i="3" s="1"/>
  <c r="K49" i="3"/>
  <c r="E39" i="3"/>
  <c r="G39" i="3" s="1"/>
  <c r="K38" i="3"/>
  <c r="H32" i="3"/>
  <c r="K30" i="3" s="1"/>
  <c r="E32" i="3"/>
  <c r="G32" i="3" s="1"/>
  <c r="H31" i="3"/>
  <c r="K29" i="3" s="1"/>
  <c r="E31" i="3"/>
  <c r="G31" i="3" s="1"/>
  <c r="H30" i="3"/>
  <c r="K28" i="3" s="1"/>
  <c r="E30" i="3"/>
  <c r="G30" i="3" s="1"/>
  <c r="H29" i="3"/>
  <c r="H28" i="3"/>
  <c r="D28" i="3"/>
  <c r="D29" i="3" s="1"/>
  <c r="H27" i="3"/>
  <c r="E27" i="3"/>
  <c r="G27" i="3" s="1"/>
  <c r="F5" i="3"/>
  <c r="F15" i="3"/>
  <c r="N7" i="7" l="1"/>
  <c r="N5" i="7"/>
  <c r="N6" i="7"/>
  <c r="N13" i="7"/>
  <c r="N8" i="7"/>
  <c r="N14" i="7"/>
  <c r="N24" i="7"/>
  <c r="R8" i="8"/>
  <c r="R7" i="8"/>
  <c r="R84" i="8"/>
  <c r="R12" i="8"/>
  <c r="R52" i="8"/>
  <c r="R60" i="8"/>
  <c r="R28" i="8"/>
  <c r="R68" i="8"/>
  <c r="R36" i="8"/>
  <c r="R44" i="8"/>
  <c r="R46" i="8"/>
  <c r="R83" i="8"/>
  <c r="R20" i="8"/>
  <c r="R5" i="8"/>
  <c r="R6" i="8"/>
  <c r="R76" i="8"/>
  <c r="R13" i="8"/>
  <c r="R53" i="8"/>
  <c r="R77" i="8"/>
  <c r="R14" i="8"/>
  <c r="R38" i="8"/>
  <c r="R54" i="8"/>
  <c r="R62" i="8"/>
  <c r="R70" i="8"/>
  <c r="R78" i="8"/>
  <c r="R15" i="8"/>
  <c r="R23" i="8"/>
  <c r="R31" i="8"/>
  <c r="R39" i="8"/>
  <c r="R47" i="8"/>
  <c r="R55" i="8"/>
  <c r="R63" i="8"/>
  <c r="R71" i="8"/>
  <c r="R79" i="8"/>
  <c r="R37" i="8"/>
  <c r="R61" i="8"/>
  <c r="R85" i="8"/>
  <c r="R22" i="8"/>
  <c r="R40" i="8"/>
  <c r="R9" i="8"/>
  <c r="R17" i="8"/>
  <c r="R25" i="8"/>
  <c r="R33" i="8"/>
  <c r="R41" i="8"/>
  <c r="R49" i="8"/>
  <c r="R57" i="8"/>
  <c r="R65" i="8"/>
  <c r="R73" i="8"/>
  <c r="R81" i="8"/>
  <c r="R29" i="8"/>
  <c r="R30" i="8"/>
  <c r="R24" i="8"/>
  <c r="R32" i="8"/>
  <c r="R48" i="8"/>
  <c r="R64" i="8"/>
  <c r="R72" i="8"/>
  <c r="R80" i="8"/>
  <c r="R10" i="8"/>
  <c r="R18" i="8"/>
  <c r="R26" i="8"/>
  <c r="R34" i="8"/>
  <c r="R42" i="8"/>
  <c r="R50" i="8"/>
  <c r="R58" i="8"/>
  <c r="R66" i="8"/>
  <c r="R74" i="8"/>
  <c r="R82" i="8"/>
  <c r="R21" i="8"/>
  <c r="R45" i="8"/>
  <c r="R69" i="8"/>
  <c r="R16" i="8"/>
  <c r="R56" i="8"/>
  <c r="R11" i="8"/>
  <c r="R19" i="8"/>
  <c r="R27" i="8"/>
  <c r="R35" i="8"/>
  <c r="R43" i="8"/>
  <c r="R51" i="8"/>
  <c r="R59" i="8"/>
  <c r="R67" i="8"/>
  <c r="R75" i="8"/>
  <c r="N12" i="7"/>
  <c r="N56" i="7"/>
  <c r="N60" i="7"/>
  <c r="N32" i="7"/>
  <c r="N85" i="7"/>
  <c r="N48" i="7"/>
  <c r="N28" i="7"/>
  <c r="N15" i="7"/>
  <c r="N36" i="7"/>
  <c r="N68" i="7"/>
  <c r="N63" i="7"/>
  <c r="N64" i="7"/>
  <c r="N9" i="7"/>
  <c r="N17" i="7"/>
  <c r="N44" i="7"/>
  <c r="N67" i="7"/>
  <c r="N16" i="7"/>
  <c r="N40" i="7"/>
  <c r="N70" i="7"/>
  <c r="N10" i="7"/>
  <c r="N19" i="7"/>
  <c r="N11" i="7"/>
  <c r="N20" i="7"/>
  <c r="N52" i="7"/>
  <c r="N21" i="7"/>
  <c r="N25" i="7"/>
  <c r="N29" i="7"/>
  <c r="N33" i="7"/>
  <c r="N37" i="7"/>
  <c r="N41" i="7"/>
  <c r="N45" i="7"/>
  <c r="N49" i="7"/>
  <c r="N53" i="7"/>
  <c r="N57" i="7"/>
  <c r="N61" i="7"/>
  <c r="N65" i="7"/>
  <c r="N69" i="7"/>
  <c r="N18" i="7"/>
  <c r="N22" i="7"/>
  <c r="N26" i="7"/>
  <c r="N30" i="7"/>
  <c r="N34" i="7"/>
  <c r="N38" i="7"/>
  <c r="N42" i="7"/>
  <c r="N46" i="7"/>
  <c r="N50" i="7"/>
  <c r="N54" i="7"/>
  <c r="N58" i="7"/>
  <c r="N62" i="7"/>
  <c r="N66" i="7"/>
  <c r="N23" i="7"/>
  <c r="N27" i="7"/>
  <c r="N31" i="7"/>
  <c r="N35" i="7"/>
  <c r="N39" i="7"/>
  <c r="N43" i="7"/>
  <c r="N47" i="7"/>
  <c r="N51" i="7"/>
  <c r="N55" i="7"/>
  <c r="N59" i="7"/>
  <c r="N74" i="7"/>
  <c r="N78" i="7"/>
  <c r="N82" i="7"/>
  <c r="N71" i="7"/>
  <c r="N75" i="7"/>
  <c r="N79" i="7"/>
  <c r="N83" i="7"/>
  <c r="N72" i="7"/>
  <c r="N76" i="7"/>
  <c r="N80" i="7"/>
  <c r="N84" i="7"/>
  <c r="N73" i="7"/>
  <c r="N77" i="7"/>
  <c r="N81" i="7"/>
  <c r="N8" i="6"/>
  <c r="N12" i="6"/>
  <c r="N16" i="6"/>
  <c r="N20" i="6"/>
  <c r="N24" i="6"/>
  <c r="N28" i="6"/>
  <c r="N32" i="6"/>
  <c r="N36" i="6"/>
  <c r="N40" i="6"/>
  <c r="N44" i="6"/>
  <c r="N48" i="6"/>
  <c r="N52" i="6"/>
  <c r="N56" i="6"/>
  <c r="N60" i="6"/>
  <c r="N64" i="6"/>
  <c r="N68" i="6"/>
  <c r="N72" i="6"/>
  <c r="N76" i="6"/>
  <c r="N80" i="6"/>
  <c r="N84" i="6"/>
  <c r="N7" i="6"/>
  <c r="N15" i="6"/>
  <c r="N23" i="6"/>
  <c r="N35" i="6"/>
  <c r="N43" i="6"/>
  <c r="N51" i="6"/>
  <c r="N59" i="6"/>
  <c r="N67" i="6"/>
  <c r="N75" i="6"/>
  <c r="N83" i="6"/>
  <c r="N9" i="6"/>
  <c r="N13" i="6"/>
  <c r="N17" i="6"/>
  <c r="N21" i="6"/>
  <c r="N25" i="6"/>
  <c r="N29" i="6"/>
  <c r="N33" i="6"/>
  <c r="N37" i="6"/>
  <c r="N41" i="6"/>
  <c r="N45" i="6"/>
  <c r="N49" i="6"/>
  <c r="N53" i="6"/>
  <c r="N57" i="6"/>
  <c r="N61" i="6"/>
  <c r="N65" i="6"/>
  <c r="N69" i="6"/>
  <c r="N73" i="6"/>
  <c r="N77" i="6"/>
  <c r="N81" i="6"/>
  <c r="N85" i="6"/>
  <c r="N6" i="6"/>
  <c r="N10" i="6"/>
  <c r="N14" i="6"/>
  <c r="N18" i="6"/>
  <c r="N22" i="6"/>
  <c r="N26" i="6"/>
  <c r="N30" i="6"/>
  <c r="N34" i="6"/>
  <c r="N38" i="6"/>
  <c r="N42" i="6"/>
  <c r="N46" i="6"/>
  <c r="N50" i="6"/>
  <c r="N54" i="6"/>
  <c r="N58" i="6"/>
  <c r="N62" i="6"/>
  <c r="N66" i="6"/>
  <c r="N70" i="6"/>
  <c r="N74" i="6"/>
  <c r="N78" i="6"/>
  <c r="N82" i="6"/>
  <c r="N11" i="6"/>
  <c r="N19" i="6"/>
  <c r="N27" i="6"/>
  <c r="N31" i="6"/>
  <c r="N39" i="6"/>
  <c r="N47" i="6"/>
  <c r="N55" i="6"/>
  <c r="N63" i="6"/>
  <c r="N71" i="6"/>
  <c r="N79" i="6"/>
  <c r="E29" i="3"/>
  <c r="G29" i="3" s="1"/>
  <c r="K27" i="3"/>
  <c r="E28" i="3"/>
  <c r="G28" i="3" s="1"/>
  <c r="H22" i="3"/>
  <c r="K20" i="3" s="1"/>
  <c r="E22" i="3"/>
  <c r="G22" i="3" s="1"/>
  <c r="H21" i="3"/>
  <c r="K19" i="3" s="1"/>
  <c r="E21" i="3"/>
  <c r="G21" i="3" s="1"/>
  <c r="H20" i="3"/>
  <c r="K18" i="3" s="1"/>
  <c r="H19" i="3"/>
  <c r="H18" i="3"/>
  <c r="D18" i="3"/>
  <c r="E18" i="3" s="1"/>
  <c r="G18" i="3" s="1"/>
  <c r="H17" i="3"/>
  <c r="E17" i="3"/>
  <c r="G17" i="3" s="1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R94" i="3"/>
  <c r="R88" i="3"/>
  <c r="R89" i="3"/>
  <c r="R90" i="3"/>
  <c r="R91" i="3"/>
  <c r="R92" i="3"/>
  <c r="R93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28" i="3"/>
  <c r="F18" i="8" l="1" a="1"/>
  <c r="F18" i="8" s="1"/>
  <c r="F82" i="8" a="1"/>
  <c r="F82" i="8" s="1"/>
  <c r="F42" i="8" a="1"/>
  <c r="F42" i="8" s="1"/>
  <c r="F59" i="8" a="1"/>
  <c r="F59" i="8" s="1"/>
  <c r="F45" i="8" a="1"/>
  <c r="F45" i="8" s="1"/>
  <c r="F99" i="8" a="1"/>
  <c r="F99" i="8" s="1"/>
  <c r="F37" i="8" a="1"/>
  <c r="F37" i="8" s="1"/>
  <c r="F49" i="8" a="1"/>
  <c r="F49" i="8" s="1"/>
  <c r="F62" i="8" a="1"/>
  <c r="F62" i="8" s="1"/>
  <c r="F89" i="8" a="1"/>
  <c r="F89" i="8" s="1"/>
  <c r="F27" i="8" a="1"/>
  <c r="F27" i="8" s="1"/>
  <c r="F53" i="8" a="1"/>
  <c r="F53" i="8" s="1"/>
  <c r="F43" i="8" a="1"/>
  <c r="F43" i="8" s="1"/>
  <c r="F33" i="8" a="1"/>
  <c r="F33" i="8" s="1"/>
  <c r="F24" i="8" a="1"/>
  <c r="F24" i="8" s="1"/>
  <c r="F35" i="8" a="1"/>
  <c r="F35" i="8" s="1"/>
  <c r="F66" i="8" a="1"/>
  <c r="F66" i="8" s="1"/>
  <c r="F93" i="8" a="1"/>
  <c r="F93" i="8" s="1"/>
  <c r="F41" i="8" a="1"/>
  <c r="F41" i="8" s="1"/>
  <c r="F100" i="8" a="1"/>
  <c r="F100" i="8" s="1"/>
  <c r="F95" i="8" a="1"/>
  <c r="F95" i="8" s="1"/>
  <c r="F96" i="8" a="1"/>
  <c r="F96" i="8" s="1"/>
  <c r="F23" i="8" a="1"/>
  <c r="F23" i="8" s="1"/>
  <c r="F87" i="8" a="1"/>
  <c r="F87" i="8" s="1"/>
  <c r="F63" i="8" a="1"/>
  <c r="F63" i="8" s="1"/>
  <c r="F86" i="8" a="1"/>
  <c r="F86" i="8" s="1"/>
  <c r="F56" i="8" a="1"/>
  <c r="F56" i="8" s="1"/>
  <c r="F36" i="8" a="1"/>
  <c r="F36" i="8" s="1"/>
  <c r="F64" i="8" a="1"/>
  <c r="F64" i="8" s="1"/>
  <c r="F65" i="8" a="1"/>
  <c r="F65" i="8" s="1"/>
  <c r="F67" i="8" a="1"/>
  <c r="F67" i="8" s="1"/>
  <c r="F31" i="8" a="1"/>
  <c r="F31" i="8" s="1"/>
  <c r="F54" i="8" a="1"/>
  <c r="F54" i="8" s="1"/>
  <c r="F81" i="8" a="1"/>
  <c r="F81" i="8" s="1"/>
  <c r="F30" i="8" a="1"/>
  <c r="F30" i="8" s="1"/>
  <c r="F55" i="8" a="1"/>
  <c r="F55" i="8" s="1"/>
  <c r="F88" i="8" a="1"/>
  <c r="F88" i="8" s="1"/>
  <c r="F20" i="8" a="1"/>
  <c r="F20" i="8" s="1"/>
  <c r="F73" i="8" a="1"/>
  <c r="F73" i="8" s="1"/>
  <c r="F74" i="8" a="1"/>
  <c r="F74" i="8" s="1"/>
  <c r="F69" i="8" a="1"/>
  <c r="F69" i="8" s="1"/>
  <c r="F38" i="8" a="1"/>
  <c r="F38" i="8" s="1"/>
  <c r="F28" i="8" a="1"/>
  <c r="F28" i="8" s="1"/>
  <c r="F97" i="8" a="1"/>
  <c r="F97" i="8" s="1"/>
  <c r="F34" i="8" a="1"/>
  <c r="F34" i="8" s="1"/>
  <c r="F98" i="8" a="1"/>
  <c r="F98" i="8" s="1"/>
  <c r="F90" i="8" a="1"/>
  <c r="F90" i="8" s="1"/>
  <c r="F17" i="8" a="1"/>
  <c r="F17" i="8" s="1"/>
  <c r="F61" i="8" a="1"/>
  <c r="F61" i="8" s="1"/>
  <c r="F57" i="8" a="1"/>
  <c r="F57" i="8" s="1"/>
  <c r="F85" i="8" a="1"/>
  <c r="F85" i="8" s="1"/>
  <c r="F92" i="8" a="1"/>
  <c r="F92" i="8" s="1"/>
  <c r="F78" i="8" a="1"/>
  <c r="F78" i="8" s="1"/>
  <c r="F58" i="8" a="1"/>
  <c r="F58" i="8" s="1"/>
  <c r="F75" i="8" a="1"/>
  <c r="F75" i="8" s="1"/>
  <c r="F25" i="8" a="1"/>
  <c r="F25" i="8" s="1"/>
  <c r="F26" i="8" a="1"/>
  <c r="F26" i="8" s="1"/>
  <c r="F32" i="8" a="1"/>
  <c r="F32" i="8" s="1"/>
  <c r="F80" i="8" a="1"/>
  <c r="F80" i="8" s="1"/>
  <c r="F70" i="8" a="1"/>
  <c r="F70" i="8" s="1"/>
  <c r="F60" i="8" a="1"/>
  <c r="F60" i="8" s="1"/>
  <c r="F29" i="8" a="1"/>
  <c r="F29" i="8" s="1"/>
  <c r="F46" i="8" a="1"/>
  <c r="F46" i="8" s="1"/>
  <c r="F71" i="8" a="1"/>
  <c r="F71" i="8" s="1"/>
  <c r="F104" i="8" a="1"/>
  <c r="F104" i="8" s="1"/>
  <c r="F68" i="8" a="1"/>
  <c r="F68" i="8" s="1"/>
  <c r="F39" i="8" a="1"/>
  <c r="F39" i="8" s="1"/>
  <c r="F103" i="8" a="1"/>
  <c r="F103" i="8" s="1"/>
  <c r="F21" i="8" a="1"/>
  <c r="F21" i="8" s="1"/>
  <c r="F44" i="8" a="1"/>
  <c r="F44" i="8" s="1"/>
  <c r="F72" i="8" a="1"/>
  <c r="F72" i="8" s="1"/>
  <c r="F84" i="8" a="1"/>
  <c r="F84" i="8" s="1"/>
  <c r="F22" i="8" a="1"/>
  <c r="F22" i="8" s="1"/>
  <c r="F19" i="8" a="1"/>
  <c r="F19" i="8" s="1"/>
  <c r="F83" i="8" a="1"/>
  <c r="F83" i="8" s="1"/>
  <c r="F79" i="8" a="1"/>
  <c r="F79" i="8" s="1"/>
  <c r="F102" i="8" a="1"/>
  <c r="F102" i="8" s="1"/>
  <c r="F50" i="8" a="1"/>
  <c r="F50" i="8" s="1"/>
  <c r="F77" i="8" a="1"/>
  <c r="F77" i="8" s="1"/>
  <c r="F94" i="8" a="1"/>
  <c r="F94" i="8" s="1"/>
  <c r="F52" i="8" a="1"/>
  <c r="F52" i="8" s="1"/>
  <c r="F47" i="8" a="1"/>
  <c r="F47" i="8" s="1"/>
  <c r="F48" i="8" a="1"/>
  <c r="F48" i="8" s="1"/>
  <c r="F101" i="8" a="1"/>
  <c r="F101" i="8" s="1"/>
  <c r="F91" i="8" a="1"/>
  <c r="F91" i="8" s="1"/>
  <c r="F76" i="8" a="1"/>
  <c r="F76" i="8" s="1"/>
  <c r="F40" i="8" a="1"/>
  <c r="F40" i="8" s="1"/>
  <c r="F51" i="8" a="1"/>
  <c r="F51" i="8" s="1"/>
  <c r="F6" i="8" a="1"/>
  <c r="F6" i="8" s="1"/>
  <c r="F8" i="8" a="1"/>
  <c r="F8" i="8" s="1"/>
  <c r="F9" i="8" a="1"/>
  <c r="F9" i="8" s="1"/>
  <c r="F12" i="8" a="1"/>
  <c r="F12" i="8" s="1"/>
  <c r="F16" i="8" a="1"/>
  <c r="F16" i="8" s="1"/>
  <c r="F7" i="8" a="1"/>
  <c r="F7" i="8" s="1"/>
  <c r="F13" i="8" a="1"/>
  <c r="F13" i="8" s="1"/>
  <c r="F14" i="8" a="1"/>
  <c r="F14" i="8" s="1"/>
  <c r="F15" i="8" a="1"/>
  <c r="F15" i="8" s="1"/>
  <c r="F11" i="8" a="1"/>
  <c r="F11" i="8" s="1"/>
  <c r="F10" i="8" a="1"/>
  <c r="F10" i="8" s="1"/>
  <c r="F5" i="8" a="1"/>
  <c r="F5" i="8" s="1"/>
  <c r="U28" i="3"/>
  <c r="R28" i="3"/>
  <c r="T28" i="3"/>
  <c r="S28" i="3"/>
  <c r="R37" i="3"/>
  <c r="U37" i="3"/>
  <c r="S37" i="3"/>
  <c r="T37" i="3"/>
  <c r="R33" i="3"/>
  <c r="U33" i="3"/>
  <c r="S33" i="3"/>
  <c r="T33" i="3"/>
  <c r="R29" i="3"/>
  <c r="U29" i="3"/>
  <c r="T29" i="3"/>
  <c r="S29" i="3"/>
  <c r="R40" i="3"/>
  <c r="U40" i="3"/>
  <c r="T40" i="3"/>
  <c r="S40" i="3"/>
  <c r="R36" i="3"/>
  <c r="U36" i="3"/>
  <c r="T36" i="3"/>
  <c r="S36" i="3"/>
  <c r="R32" i="3"/>
  <c r="U32" i="3"/>
  <c r="S32" i="3"/>
  <c r="T32" i="3"/>
  <c r="R41" i="3"/>
  <c r="U41" i="3"/>
  <c r="S41" i="3"/>
  <c r="T41" i="3"/>
  <c r="U39" i="3"/>
  <c r="R39" i="3"/>
  <c r="S39" i="3"/>
  <c r="T39" i="3"/>
  <c r="U35" i="3"/>
  <c r="R35" i="3"/>
  <c r="S35" i="3"/>
  <c r="T35" i="3"/>
  <c r="U31" i="3"/>
  <c r="R31" i="3"/>
  <c r="T31" i="3"/>
  <c r="S31" i="3"/>
  <c r="U38" i="3"/>
  <c r="R38" i="3"/>
  <c r="T38" i="3"/>
  <c r="S38" i="3"/>
  <c r="U34" i="3"/>
  <c r="R34" i="3"/>
  <c r="S34" i="3"/>
  <c r="T34" i="3"/>
  <c r="U30" i="3"/>
  <c r="R30" i="3"/>
  <c r="T30" i="3"/>
  <c r="S30" i="3"/>
  <c r="D19" i="3"/>
  <c r="K17" i="3" s="1"/>
  <c r="E4" i="3"/>
  <c r="D8" i="3"/>
  <c r="D9" i="3" s="1"/>
  <c r="E7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L18" i="3" l="1"/>
  <c r="L82" i="3"/>
  <c r="L39" i="3"/>
  <c r="L83" i="3"/>
  <c r="L50" i="3"/>
  <c r="L72" i="3"/>
  <c r="L74" i="3"/>
  <c r="L51" i="3"/>
  <c r="L60" i="3"/>
  <c r="L85" i="3"/>
  <c r="L52" i="3"/>
  <c r="L81" i="3"/>
  <c r="L31" i="3"/>
  <c r="L84" i="3"/>
  <c r="L71" i="3"/>
  <c r="L63" i="3"/>
  <c r="L95" i="3"/>
  <c r="L59" i="3"/>
  <c r="L94" i="3"/>
  <c r="L40" i="3"/>
  <c r="L96" i="3"/>
  <c r="L93" i="3"/>
  <c r="L73" i="3"/>
  <c r="L41" i="3"/>
  <c r="L62" i="3"/>
  <c r="L61" i="3"/>
  <c r="L42" i="3"/>
  <c r="L49" i="3"/>
  <c r="L92" i="3"/>
  <c r="L38" i="3"/>
  <c r="L70" i="3"/>
  <c r="L9" i="3"/>
  <c r="L29" i="3"/>
  <c r="L30" i="3"/>
  <c r="L20" i="3"/>
  <c r="L28" i="3"/>
  <c r="L19" i="3"/>
  <c r="L27" i="3"/>
  <c r="E19" i="3"/>
  <c r="G19" i="3" s="1"/>
  <c r="E8" i="3"/>
  <c r="E9" i="3"/>
  <c r="G9" i="3" s="1"/>
  <c r="D46" i="4"/>
  <c r="D47" i="4" s="1"/>
  <c r="D48" i="4" s="1"/>
  <c r="D49" i="4" s="1"/>
  <c r="D50" i="4" s="1"/>
  <c r="D51" i="4" s="1"/>
  <c r="D52" i="4" s="1"/>
  <c r="H9" i="3"/>
  <c r="E20" i="3" l="1"/>
  <c r="G20" i="3" s="1"/>
  <c r="L17" i="3"/>
  <c r="R54" i="3"/>
  <c r="R53" i="3"/>
  <c r="R52" i="3"/>
  <c r="R51" i="3"/>
  <c r="R50" i="3"/>
  <c r="R49" i="3"/>
  <c r="R48" i="3"/>
  <c r="R47" i="3"/>
  <c r="U46" i="3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R46" i="3"/>
  <c r="Q46" i="3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R45" i="3"/>
  <c r="K10" i="3"/>
  <c r="H8" i="3"/>
  <c r="G8" i="3"/>
  <c r="H7" i="3"/>
  <c r="K7" i="3" s="1"/>
  <c r="G7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Q18" i="3" l="1"/>
  <c r="Q14" i="3"/>
  <c r="Q10" i="3"/>
  <c r="Q11" i="3"/>
  <c r="Q17" i="3"/>
  <c r="Q13" i="3"/>
  <c r="Q9" i="3"/>
  <c r="Q19" i="3"/>
  <c r="Q15" i="3"/>
  <c r="Q7" i="3"/>
  <c r="Q20" i="3"/>
  <c r="Q16" i="3"/>
  <c r="Q12" i="3"/>
  <c r="Q8" i="3"/>
  <c r="L10" i="3"/>
  <c r="L8" i="3"/>
  <c r="G5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U19" i="3" l="1"/>
  <c r="Y19" i="3"/>
  <c r="AC19" i="3"/>
  <c r="T19" i="3"/>
  <c r="R19" i="3"/>
  <c r="V19" i="3"/>
  <c r="Z19" i="3"/>
  <c r="S19" i="3"/>
  <c r="W19" i="3"/>
  <c r="AA19" i="3"/>
  <c r="X19" i="3"/>
  <c r="AB19" i="3"/>
  <c r="T20" i="3"/>
  <c r="X20" i="3"/>
  <c r="R20" i="3"/>
  <c r="W20" i="3"/>
  <c r="U20" i="3"/>
  <c r="Y20" i="3"/>
  <c r="AB20" i="3"/>
  <c r="S20" i="3"/>
  <c r="V20" i="3"/>
  <c r="Z20" i="3"/>
  <c r="AC20" i="3"/>
  <c r="AA20" i="3"/>
  <c r="S9" i="3"/>
  <c r="W9" i="3"/>
  <c r="AA9" i="3"/>
  <c r="AC9" i="3"/>
  <c r="T9" i="3"/>
  <c r="X9" i="3"/>
  <c r="R9" i="3"/>
  <c r="V9" i="3"/>
  <c r="U9" i="3"/>
  <c r="Y9" i="3"/>
  <c r="Z9" i="3"/>
  <c r="AB9" i="3"/>
  <c r="V10" i="3"/>
  <c r="Z10" i="3"/>
  <c r="U10" i="3"/>
  <c r="S10" i="3"/>
  <c r="W10" i="3"/>
  <c r="AA10" i="3"/>
  <c r="AB10" i="3"/>
  <c r="Y10" i="3"/>
  <c r="T10" i="3"/>
  <c r="X10" i="3"/>
  <c r="R10" i="3"/>
  <c r="AC10" i="3"/>
  <c r="U11" i="3"/>
  <c r="Y11" i="3"/>
  <c r="AC11" i="3"/>
  <c r="X11" i="3"/>
  <c r="R11" i="3"/>
  <c r="V11" i="3"/>
  <c r="Z11" i="3"/>
  <c r="AB11" i="3"/>
  <c r="S11" i="3"/>
  <c r="W11" i="3"/>
  <c r="AA11" i="3"/>
  <c r="T11" i="3"/>
  <c r="T8" i="3"/>
  <c r="X8" i="3"/>
  <c r="R8" i="3"/>
  <c r="S8" i="3"/>
  <c r="AA8" i="3"/>
  <c r="U8" i="3"/>
  <c r="Y8" i="3"/>
  <c r="AB8" i="3"/>
  <c r="V8" i="3"/>
  <c r="Z8" i="3"/>
  <c r="AC8" i="3"/>
  <c r="W8" i="3"/>
  <c r="U7" i="3"/>
  <c r="Y7" i="3"/>
  <c r="V7" i="3"/>
  <c r="Z7" i="3"/>
  <c r="X7" i="3"/>
  <c r="S7" i="3"/>
  <c r="W7" i="3"/>
  <c r="AA7" i="3"/>
  <c r="T7" i="3"/>
  <c r="S13" i="3"/>
  <c r="W13" i="3"/>
  <c r="AA13" i="3"/>
  <c r="AC13" i="3"/>
  <c r="AB13" i="3"/>
  <c r="T13" i="3"/>
  <c r="X13" i="3"/>
  <c r="R13" i="3"/>
  <c r="V13" i="3"/>
  <c r="U13" i="3"/>
  <c r="Y13" i="3"/>
  <c r="Z13" i="3"/>
  <c r="V14" i="3"/>
  <c r="Z14" i="3"/>
  <c r="U14" i="3"/>
  <c r="S14" i="3"/>
  <c r="W14" i="3"/>
  <c r="AA14" i="3"/>
  <c r="AB14" i="3"/>
  <c r="Y14" i="3"/>
  <c r="T14" i="3"/>
  <c r="X14" i="3"/>
  <c r="R14" i="3"/>
  <c r="AC14" i="3"/>
  <c r="T16" i="3"/>
  <c r="X16" i="3"/>
  <c r="R16" i="3"/>
  <c r="AA16" i="3"/>
  <c r="U16" i="3"/>
  <c r="Y16" i="3"/>
  <c r="AB16" i="3"/>
  <c r="W16" i="3"/>
  <c r="V16" i="3"/>
  <c r="Z16" i="3"/>
  <c r="AC16" i="3"/>
  <c r="S16" i="3"/>
  <c r="T12" i="3"/>
  <c r="X12" i="3"/>
  <c r="R12" i="3"/>
  <c r="AA12" i="3"/>
  <c r="U12" i="3"/>
  <c r="Y12" i="3"/>
  <c r="AB12" i="3"/>
  <c r="S12" i="3"/>
  <c r="V12" i="3"/>
  <c r="Z12" i="3"/>
  <c r="AC12" i="3"/>
  <c r="W12" i="3"/>
  <c r="U15" i="3"/>
  <c r="Y15" i="3"/>
  <c r="AC15" i="3"/>
  <c r="X15" i="3"/>
  <c r="V15" i="3"/>
  <c r="Z15" i="3"/>
  <c r="R15" i="3"/>
  <c r="S15" i="3"/>
  <c r="W15" i="3"/>
  <c r="AA15" i="3"/>
  <c r="T15" i="3"/>
  <c r="AB15" i="3"/>
  <c r="S17" i="3"/>
  <c r="W17" i="3"/>
  <c r="AA17" i="3"/>
  <c r="AC17" i="3"/>
  <c r="Z17" i="3"/>
  <c r="AB17" i="3"/>
  <c r="T17" i="3"/>
  <c r="X17" i="3"/>
  <c r="R17" i="3"/>
  <c r="U17" i="3"/>
  <c r="Y17" i="3"/>
  <c r="V17" i="3"/>
  <c r="V18" i="3"/>
  <c r="Z18" i="3"/>
  <c r="S18" i="3"/>
  <c r="W18" i="3"/>
  <c r="AA18" i="3"/>
  <c r="AB18" i="3"/>
  <c r="U18" i="3"/>
  <c r="T18" i="3"/>
  <c r="X18" i="3"/>
  <c r="R18" i="3"/>
  <c r="AC18" i="3"/>
  <c r="Y18" i="3"/>
  <c r="AI9" i="3"/>
  <c r="AQ9" i="3"/>
  <c r="AY9" i="3"/>
  <c r="BG9" i="3"/>
  <c r="BO9" i="3"/>
  <c r="AJ9" i="3"/>
  <c r="AR9" i="3"/>
  <c r="AZ9" i="3"/>
  <c r="BH9" i="3"/>
  <c r="AK9" i="3"/>
  <c r="AS9" i="3"/>
  <c r="BA9" i="3"/>
  <c r="BI9" i="3"/>
  <c r="AD9" i="3"/>
  <c r="AL9" i="3"/>
  <c r="AT9" i="3"/>
  <c r="BB9" i="3"/>
  <c r="BJ9" i="3"/>
  <c r="AE9" i="3"/>
  <c r="AU9" i="3"/>
  <c r="BK9" i="3"/>
  <c r="AG9" i="3"/>
  <c r="AW9" i="3"/>
  <c r="BM9" i="3"/>
  <c r="AH9" i="3"/>
  <c r="AX9" i="3"/>
  <c r="BN9" i="3"/>
  <c r="AM9" i="3"/>
  <c r="BC9" i="3"/>
  <c r="AN9" i="3"/>
  <c r="BD9" i="3"/>
  <c r="BE9" i="3"/>
  <c r="BF9" i="3"/>
  <c r="AO9" i="3"/>
  <c r="AV9" i="3"/>
  <c r="AF9" i="3"/>
  <c r="AP9" i="3"/>
  <c r="BL9" i="3"/>
  <c r="AH8" i="3"/>
  <c r="AP8" i="3"/>
  <c r="AX8" i="3"/>
  <c r="BF8" i="3"/>
  <c r="BN8" i="3"/>
  <c r="AI8" i="3"/>
  <c r="AQ8" i="3"/>
  <c r="AY8" i="3"/>
  <c r="BG8" i="3"/>
  <c r="BO8" i="3"/>
  <c r="AJ8" i="3"/>
  <c r="AR8" i="3"/>
  <c r="AZ8" i="3"/>
  <c r="BH8" i="3"/>
  <c r="AK8" i="3"/>
  <c r="AS8" i="3"/>
  <c r="BA8" i="3"/>
  <c r="BI8" i="3"/>
  <c r="AD8" i="3"/>
  <c r="AT8" i="3"/>
  <c r="BJ8" i="3"/>
  <c r="AE8" i="3"/>
  <c r="AF8" i="3"/>
  <c r="AV8" i="3"/>
  <c r="BL8" i="3"/>
  <c r="AG8" i="3"/>
  <c r="AW8" i="3"/>
  <c r="BM8" i="3"/>
  <c r="AL8" i="3"/>
  <c r="BB8" i="3"/>
  <c r="AM8" i="3"/>
  <c r="BC8" i="3"/>
  <c r="BE8" i="3"/>
  <c r="BK8" i="3"/>
  <c r="AU8" i="3"/>
  <c r="AN8" i="3"/>
  <c r="AO8" i="3"/>
  <c r="BD8" i="3"/>
  <c r="AE13" i="3"/>
  <c r="AM13" i="3"/>
  <c r="AU13" i="3"/>
  <c r="BC13" i="3"/>
  <c r="BK13" i="3"/>
  <c r="AF13" i="3"/>
  <c r="AN13" i="3"/>
  <c r="AV13" i="3"/>
  <c r="BD13" i="3"/>
  <c r="BL13" i="3"/>
  <c r="AG13" i="3"/>
  <c r="AH13" i="3"/>
  <c r="AP13" i="3"/>
  <c r="AX13" i="3"/>
  <c r="BF13" i="3"/>
  <c r="BN13" i="3"/>
  <c r="AI13" i="3"/>
  <c r="AT13" i="3"/>
  <c r="BH13" i="3"/>
  <c r="AK13" i="3"/>
  <c r="AY13" i="3"/>
  <c r="BJ13" i="3"/>
  <c r="AL13" i="3"/>
  <c r="AZ13" i="3"/>
  <c r="BM13" i="3"/>
  <c r="AO13" i="3"/>
  <c r="BA13" i="3"/>
  <c r="BO13" i="3"/>
  <c r="AD13" i="3"/>
  <c r="BG13" i="3"/>
  <c r="AJ13" i="3"/>
  <c r="BI13" i="3"/>
  <c r="AR13" i="3"/>
  <c r="AW13" i="3"/>
  <c r="BE13" i="3"/>
  <c r="AS13" i="3"/>
  <c r="BB13" i="3"/>
  <c r="AQ13" i="3"/>
  <c r="AF19" i="3"/>
  <c r="AN19" i="3"/>
  <c r="AV19" i="3"/>
  <c r="BD19" i="3"/>
  <c r="BL19" i="3"/>
  <c r="AG19" i="3"/>
  <c r="AP19" i="3"/>
  <c r="AY19" i="3"/>
  <c r="BH19" i="3"/>
  <c r="AI19" i="3"/>
  <c r="AR19" i="3"/>
  <c r="BA19" i="3"/>
  <c r="BJ19" i="3"/>
  <c r="AJ19" i="3"/>
  <c r="AK19" i="3"/>
  <c r="AW19" i="3"/>
  <c r="BI19" i="3"/>
  <c r="AM19" i="3"/>
  <c r="AZ19" i="3"/>
  <c r="BM19" i="3"/>
  <c r="AD19" i="3"/>
  <c r="BC19" i="3"/>
  <c r="AS19" i="3"/>
  <c r="AH19" i="3"/>
  <c r="BF19" i="3"/>
  <c r="BG19" i="3"/>
  <c r="AO19" i="3"/>
  <c r="BB19" i="3"/>
  <c r="BN19" i="3"/>
  <c r="AQ19" i="3"/>
  <c r="BO19" i="3"/>
  <c r="AE19" i="3"/>
  <c r="BE19" i="3"/>
  <c r="AT19" i="3"/>
  <c r="AU19" i="3"/>
  <c r="BK19" i="3"/>
  <c r="AX19" i="3"/>
  <c r="AL19" i="3"/>
  <c r="AD12" i="3"/>
  <c r="AL12" i="3"/>
  <c r="AT12" i="3"/>
  <c r="BB12" i="3"/>
  <c r="BJ12" i="3"/>
  <c r="AE12" i="3"/>
  <c r="AM12" i="3"/>
  <c r="AU12" i="3"/>
  <c r="BC12" i="3"/>
  <c r="BK12" i="3"/>
  <c r="AF12" i="3"/>
  <c r="AN12" i="3"/>
  <c r="AV12" i="3"/>
  <c r="BD12" i="3"/>
  <c r="BL12" i="3"/>
  <c r="AG12" i="3"/>
  <c r="AO12" i="3"/>
  <c r="AW12" i="3"/>
  <c r="BE12" i="3"/>
  <c r="BM12" i="3"/>
  <c r="AH12" i="3"/>
  <c r="AX12" i="3"/>
  <c r="BN12" i="3"/>
  <c r="AJ12" i="3"/>
  <c r="AZ12" i="3"/>
  <c r="AK12" i="3"/>
  <c r="BA12" i="3"/>
  <c r="AP12" i="3"/>
  <c r="BF12" i="3"/>
  <c r="AS12" i="3"/>
  <c r="AY12" i="3"/>
  <c r="BH12" i="3"/>
  <c r="AI12" i="3"/>
  <c r="AR12" i="3"/>
  <c r="BI12" i="3"/>
  <c r="BO12" i="3"/>
  <c r="AQ12" i="3"/>
  <c r="BG12" i="3"/>
  <c r="AI17" i="3"/>
  <c r="AQ17" i="3"/>
  <c r="AY17" i="3"/>
  <c r="BG17" i="3"/>
  <c r="BO17" i="3"/>
  <c r="AJ17" i="3"/>
  <c r="AR17" i="3"/>
  <c r="AZ17" i="3"/>
  <c r="BH17" i="3"/>
  <c r="AD17" i="3"/>
  <c r="AL17" i="3"/>
  <c r="AT17" i="3"/>
  <c r="BB17" i="3"/>
  <c r="BJ17" i="3"/>
  <c r="AO17" i="3"/>
  <c r="BC17" i="3"/>
  <c r="BN17" i="3"/>
  <c r="AF17" i="3"/>
  <c r="AS17" i="3"/>
  <c r="BE17" i="3"/>
  <c r="AG17" i="3"/>
  <c r="AW17" i="3"/>
  <c r="BM17" i="3"/>
  <c r="AH17" i="3"/>
  <c r="AX17" i="3"/>
  <c r="AM17" i="3"/>
  <c r="BD17" i="3"/>
  <c r="BI17" i="3"/>
  <c r="AU17" i="3"/>
  <c r="AE17" i="3"/>
  <c r="BL17" i="3"/>
  <c r="AN17" i="3"/>
  <c r="BF17" i="3"/>
  <c r="AP17" i="3"/>
  <c r="BK17" i="3"/>
  <c r="AV17" i="3"/>
  <c r="AK17" i="3"/>
  <c r="BA17" i="3"/>
  <c r="AH16" i="3"/>
  <c r="AP16" i="3"/>
  <c r="AX16" i="3"/>
  <c r="BF16" i="3"/>
  <c r="BN16" i="3"/>
  <c r="AI16" i="3"/>
  <c r="AQ16" i="3"/>
  <c r="AY16" i="3"/>
  <c r="BG16" i="3"/>
  <c r="BO16" i="3"/>
  <c r="AK16" i="3"/>
  <c r="AS16" i="3"/>
  <c r="BA16" i="3"/>
  <c r="BI16" i="3"/>
  <c r="AL16" i="3"/>
  <c r="AW16" i="3"/>
  <c r="BK16" i="3"/>
  <c r="AM16" i="3"/>
  <c r="AZ16" i="3"/>
  <c r="AN16" i="3"/>
  <c r="BB16" i="3"/>
  <c r="BM16" i="3"/>
  <c r="AR16" i="3"/>
  <c r="BJ16" i="3"/>
  <c r="AT16" i="3"/>
  <c r="BL16" i="3"/>
  <c r="AE16" i="3"/>
  <c r="AV16" i="3"/>
  <c r="BD16" i="3"/>
  <c r="BE16" i="3"/>
  <c r="AO16" i="3"/>
  <c r="AF16" i="3"/>
  <c r="BC16" i="3"/>
  <c r="AG16" i="3"/>
  <c r="AJ16" i="3"/>
  <c r="BH16" i="3"/>
  <c r="AU16" i="3"/>
  <c r="AD16" i="3"/>
  <c r="AK11" i="3"/>
  <c r="AS11" i="3"/>
  <c r="BA11" i="3"/>
  <c r="BI11" i="3"/>
  <c r="AD11" i="3"/>
  <c r="AL11" i="3"/>
  <c r="AT11" i="3"/>
  <c r="BB11" i="3"/>
  <c r="BJ11" i="3"/>
  <c r="AE11" i="3"/>
  <c r="AM11" i="3"/>
  <c r="AU11" i="3"/>
  <c r="BC11" i="3"/>
  <c r="BK11" i="3"/>
  <c r="AF11" i="3"/>
  <c r="AN11" i="3"/>
  <c r="AV11" i="3"/>
  <c r="BD11" i="3"/>
  <c r="BL11" i="3"/>
  <c r="AG11" i="3"/>
  <c r="AW11" i="3"/>
  <c r="BM11" i="3"/>
  <c r="AI11" i="3"/>
  <c r="AY11" i="3"/>
  <c r="BO11" i="3"/>
  <c r="AJ11" i="3"/>
  <c r="AZ11" i="3"/>
  <c r="AO11" i="3"/>
  <c r="BE11" i="3"/>
  <c r="BH11" i="3"/>
  <c r="AH11" i="3"/>
  <c r="BN11" i="3"/>
  <c r="AQ11" i="3"/>
  <c r="AX11" i="3"/>
  <c r="BF11" i="3"/>
  <c r="AR11" i="3"/>
  <c r="BG11" i="3"/>
  <c r="AP11" i="3"/>
  <c r="AJ10" i="3"/>
  <c r="AR10" i="3"/>
  <c r="AZ10" i="3"/>
  <c r="BH10" i="3"/>
  <c r="AK10" i="3"/>
  <c r="AS10" i="3"/>
  <c r="BA10" i="3"/>
  <c r="BI10" i="3"/>
  <c r="AD10" i="3"/>
  <c r="AL10" i="3"/>
  <c r="AT10" i="3"/>
  <c r="BB10" i="3"/>
  <c r="BJ10" i="3"/>
  <c r="AE10" i="3"/>
  <c r="AM10" i="3"/>
  <c r="AU10" i="3"/>
  <c r="BC10" i="3"/>
  <c r="BK10" i="3"/>
  <c r="AF10" i="3"/>
  <c r="AV10" i="3"/>
  <c r="BL10" i="3"/>
  <c r="AH10" i="3"/>
  <c r="AX10" i="3"/>
  <c r="BN10" i="3"/>
  <c r="AI10" i="3"/>
  <c r="AY10" i="3"/>
  <c r="BO10" i="3"/>
  <c r="AN10" i="3"/>
  <c r="BD10" i="3"/>
  <c r="AQ10" i="3"/>
  <c r="AW10" i="3"/>
  <c r="BF10" i="3"/>
  <c r="AG10" i="3"/>
  <c r="BM10" i="3"/>
  <c r="AO10" i="3"/>
  <c r="BG10" i="3"/>
  <c r="AP10" i="3"/>
  <c r="BE10" i="3"/>
  <c r="AF14" i="3"/>
  <c r="AN14" i="3"/>
  <c r="AV14" i="3"/>
  <c r="BD14" i="3"/>
  <c r="BL14" i="3"/>
  <c r="AG14" i="3"/>
  <c r="AO14" i="3"/>
  <c r="AW14" i="3"/>
  <c r="BE14" i="3"/>
  <c r="BM14" i="3"/>
  <c r="AI14" i="3"/>
  <c r="AQ14" i="3"/>
  <c r="AY14" i="3"/>
  <c r="BG14" i="3"/>
  <c r="BO14" i="3"/>
  <c r="AP14" i="3"/>
  <c r="BB14" i="3"/>
  <c r="AD14" i="3"/>
  <c r="AR14" i="3"/>
  <c r="BC14" i="3"/>
  <c r="AE14" i="3"/>
  <c r="AS14" i="3"/>
  <c r="BF14" i="3"/>
  <c r="AJ14" i="3"/>
  <c r="BA14" i="3"/>
  <c r="AK14" i="3"/>
  <c r="BH14" i="3"/>
  <c r="AM14" i="3"/>
  <c r="BJ14" i="3"/>
  <c r="BN14" i="3"/>
  <c r="AZ14" i="3"/>
  <c r="AT14" i="3"/>
  <c r="BK14" i="3"/>
  <c r="AU14" i="3"/>
  <c r="AX14" i="3"/>
  <c r="AH14" i="3"/>
  <c r="AL14" i="3"/>
  <c r="BI14" i="3"/>
  <c r="AG20" i="3"/>
  <c r="AO20" i="3"/>
  <c r="AW20" i="3"/>
  <c r="BE20" i="3"/>
  <c r="BM20" i="3"/>
  <c r="AE20" i="3"/>
  <c r="AN20" i="3"/>
  <c r="AX20" i="3"/>
  <c r="BG20" i="3"/>
  <c r="AH20" i="3"/>
  <c r="AQ20" i="3"/>
  <c r="AZ20" i="3"/>
  <c r="BI20" i="3"/>
  <c r="AV20" i="3"/>
  <c r="AL20" i="3"/>
  <c r="AP20" i="3"/>
  <c r="BB20" i="3"/>
  <c r="BN20" i="3"/>
  <c r="BO20" i="3"/>
  <c r="AF20" i="3"/>
  <c r="BD20" i="3"/>
  <c r="AT20" i="3"/>
  <c r="AJ20" i="3"/>
  <c r="AU20" i="3"/>
  <c r="AK20" i="3"/>
  <c r="AY20" i="3"/>
  <c r="AD20" i="3"/>
  <c r="AR20" i="3"/>
  <c r="BC20" i="3"/>
  <c r="AS20" i="3"/>
  <c r="AI20" i="3"/>
  <c r="BF20" i="3"/>
  <c r="BH20" i="3"/>
  <c r="BJ20" i="3"/>
  <c r="BK20" i="3"/>
  <c r="AM20" i="3"/>
  <c r="BA20" i="3"/>
  <c r="BL20" i="3"/>
  <c r="AG7" i="3"/>
  <c r="AO7" i="3"/>
  <c r="AW7" i="3"/>
  <c r="BE7" i="3"/>
  <c r="BM7" i="3"/>
  <c r="AH7" i="3"/>
  <c r="AP7" i="3"/>
  <c r="AX7" i="3"/>
  <c r="BF7" i="3"/>
  <c r="BN7" i="3"/>
  <c r="AI7" i="3"/>
  <c r="AQ7" i="3"/>
  <c r="AY7" i="3"/>
  <c r="BG7" i="3"/>
  <c r="BO7" i="3"/>
  <c r="AB7" i="3"/>
  <c r="AJ7" i="3"/>
  <c r="AR7" i="3"/>
  <c r="AZ7" i="3"/>
  <c r="BH7" i="3"/>
  <c r="AC7" i="3"/>
  <c r="AS7" i="3"/>
  <c r="BI7" i="3"/>
  <c r="AD7" i="3"/>
  <c r="AT7" i="3"/>
  <c r="BJ7" i="3"/>
  <c r="AE7" i="3"/>
  <c r="AU7" i="3"/>
  <c r="BK7" i="3"/>
  <c r="AF7" i="3"/>
  <c r="AV7" i="3"/>
  <c r="BL7" i="3"/>
  <c r="AK7" i="3"/>
  <c r="BA7" i="3"/>
  <c r="AL7" i="3"/>
  <c r="BB7" i="3"/>
  <c r="BC7" i="3"/>
  <c r="BD7" i="3"/>
  <c r="AN7" i="3"/>
  <c r="R7" i="3"/>
  <c r="AM7" i="3"/>
  <c r="AG15" i="3"/>
  <c r="AO15" i="3"/>
  <c r="AW15" i="3"/>
  <c r="BE15" i="3"/>
  <c r="BM15" i="3"/>
  <c r="AH15" i="3"/>
  <c r="AP15" i="3"/>
  <c r="AX15" i="3"/>
  <c r="BF15" i="3"/>
  <c r="BN15" i="3"/>
  <c r="AJ15" i="3"/>
  <c r="AR15" i="3"/>
  <c r="AZ15" i="3"/>
  <c r="BH15" i="3"/>
  <c r="AF15" i="3"/>
  <c r="AT15" i="3"/>
  <c r="BG15" i="3"/>
  <c r="AI15" i="3"/>
  <c r="AU15" i="3"/>
  <c r="BI15" i="3"/>
  <c r="AK15" i="3"/>
  <c r="AV15" i="3"/>
  <c r="BJ15" i="3"/>
  <c r="AY15" i="3"/>
  <c r="AD15" i="3"/>
  <c r="BA15" i="3"/>
  <c r="AL15" i="3"/>
  <c r="BC15" i="3"/>
  <c r="BK15" i="3"/>
  <c r="BL15" i="3"/>
  <c r="AS15" i="3"/>
  <c r="AM15" i="3"/>
  <c r="BD15" i="3"/>
  <c r="AN15" i="3"/>
  <c r="AQ15" i="3"/>
  <c r="BO15" i="3"/>
  <c r="AE15" i="3"/>
  <c r="BB15" i="3"/>
  <c r="AJ18" i="3"/>
  <c r="AR18" i="3"/>
  <c r="AZ18" i="3"/>
  <c r="BH18" i="3"/>
  <c r="AK18" i="3"/>
  <c r="AS18" i="3"/>
  <c r="BA18" i="3"/>
  <c r="BI18" i="3"/>
  <c r="AE18" i="3"/>
  <c r="AM18" i="3"/>
  <c r="AU18" i="3"/>
  <c r="BC18" i="3"/>
  <c r="BK18" i="3"/>
  <c r="AG18" i="3"/>
  <c r="AT18" i="3"/>
  <c r="BF18" i="3"/>
  <c r="AI18" i="3"/>
  <c r="AW18" i="3"/>
  <c r="BJ18" i="3"/>
  <c r="AL18" i="3"/>
  <c r="BB18" i="3"/>
  <c r="AN18" i="3"/>
  <c r="BD18" i="3"/>
  <c r="AP18" i="3"/>
  <c r="BG18" i="3"/>
  <c r="AV18" i="3"/>
  <c r="AF18" i="3"/>
  <c r="BN18" i="3"/>
  <c r="AY18" i="3"/>
  <c r="AQ18" i="3"/>
  <c r="BL18" i="3"/>
  <c r="AD18" i="3"/>
  <c r="BM18" i="3"/>
  <c r="AX18" i="3"/>
  <c r="AH18" i="3"/>
  <c r="BO18" i="3"/>
  <c r="AO18" i="3"/>
  <c r="BE18" i="3"/>
  <c r="L7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AE7" i="2" l="1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AU12" i="2" l="1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AU13" i="2" l="1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AU14" i="2" l="1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AU15" i="2" l="1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AS16" i="2" l="1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AC18" i="2" l="1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AO18" i="2" l="1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AC20" i="2" l="1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AC21" i="2" l="1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AO21" i="2" l="1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AC23" i="2" l="1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AC24" i="2" l="1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AO24" i="2" l="1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AC26" i="2" l="1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AO26" i="2" l="1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AC28" i="2" l="1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AQ28" i="2" l="1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AC30" i="2" l="1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AC31" i="2" l="1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AA33" i="2" l="1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AU32" i="2" l="1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AC34" i="2" l="1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AC35" i="2" l="1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AC36" i="2" l="1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AS36" i="2" l="1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AP37" i="2" l="1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AC39" i="2" l="1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AR39" i="2" l="1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<sst xmlns="http://schemas.openxmlformats.org/spreadsheetml/2006/main" count="721" uniqueCount="320">
  <si>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</si>
  <si>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</si>
  <si>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</si>
  <si>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</si>
  <si>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</si>
  <si>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</si>
  <si>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</si>
  <si>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</si>
  <si>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</si>
  <si>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</si>
  <si>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</si>
  <si>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</si>
  <si>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</si>
  <si>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</si>
  <si>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</si>
  <si>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</si>
  <si>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</si>
  <si>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</si>
  <si>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</si>
  <si>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</si>
  <si>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</si>
  <si>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</si>
  <si>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</si>
  <si>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</si>
  <si>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</si>
  <si>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</si>
  <si>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</si>
  <si>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</si>
  <si>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</si>
  <si>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</si>
  <si>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</si>
  <si>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</si>
  <si>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</si>
  <si>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</si>
  <si>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</si>
  <si>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</si>
  <si>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</si>
  <si>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</si>
  <si>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</si>
  <si>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</si>
  <si>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</si>
  <si>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</si>
  <si>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</si>
  <si>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</si>
  <si>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</si>
  <si>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</si>
  <si>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</si>
  <si>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</si>
  <si>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</si>
  <si>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</si>
  <si>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</si>
  <si>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</si>
  <si>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</si>
  <si>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</si>
  <si>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</si>
  <si>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</si>
  <si>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</si>
  <si>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</si>
  <si>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</si>
  <si>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</si>
  <si>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</si>
  <si>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</si>
  <si>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</si>
  <si>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</si>
  <si>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</si>
  <si>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</si>
  <si>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</si>
  <si>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</si>
  <si>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</si>
  <si>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</si>
  <si>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</si>
  <si>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</si>
  <si>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</si>
  <si>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</si>
  <si>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</si>
  <si>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</si>
  <si>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</si>
  <si>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</si>
  <si>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</si>
  <si>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</si>
  <si>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</si>
  <si>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</si>
  <si>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</si>
  <si>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</si>
  <si>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</si>
  <si>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</si>
  <si>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</si>
  <si>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</si>
  <si>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</si>
  <si>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</si>
  <si>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</si>
  <si>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</si>
  <si>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</si>
  <si>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</si>
  <si>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</si>
  <si>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</si>
  <si>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</si>
  <si>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</si>
  <si>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</si>
  <si>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</si>
  <si>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</si>
  <si>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</si>
  <si>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</si>
  <si>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</si>
  <si>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</si>
  <si>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</si>
  <si>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</si>
  <si>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</si>
  <si>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</si>
  <si>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</si>
  <si>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</si>
  <si>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</si>
  <si>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</si>
  <si>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</si>
  <si>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</si>
  <si>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</si>
  <si>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数量</t>
    <phoneticPr fontId="1" type="noConversion"/>
  </si>
  <si>
    <t>价值-钻石</t>
    <phoneticPr fontId="1" type="noConversion"/>
  </si>
  <si>
    <t>概率</t>
    <phoneticPr fontId="1" type="noConversion"/>
  </si>
  <si>
    <t>抽中价值</t>
    <phoneticPr fontId="1" type="noConversion"/>
  </si>
  <si>
    <t>每次抽中期望</t>
    <phoneticPr fontId="1" type="noConversion"/>
  </si>
  <si>
    <t>vip0</t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</si>
  <si>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</si>
  <si>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</si>
  <si>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</si>
  <si>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</si>
  <si>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</si>
  <si>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</si>
  <si>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</si>
  <si>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</si>
  <si>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每次抽中数量</t>
    <phoneticPr fontId="1" type="noConversion"/>
  </si>
  <si>
    <t>每日抽中数量</t>
    <phoneticPr fontId="1" type="noConversion"/>
  </si>
  <si>
    <t>2级鲜花</t>
  </si>
  <si>
    <t>3级鲜花</t>
  </si>
  <si>
    <t>4级鲜花</t>
  </si>
  <si>
    <t>5级鲜花</t>
  </si>
  <si>
    <t>6级鲜花</t>
  </si>
  <si>
    <t>拥有体力</t>
    <phoneticPr fontId="1" type="noConversion"/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</si>
  <si>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</si>
  <si>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</si>
  <si>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</si>
  <si>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</si>
  <si>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</si>
  <si>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</si>
  <si>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</si>
  <si>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</si>
  <si>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</si>
  <si>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</si>
  <si>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</si>
  <si>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</si>
  <si>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</si>
  <si>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</si>
  <si>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</si>
  <si>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</si>
  <si>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</si>
  <si>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</si>
  <si>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</si>
  <si>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</si>
  <si>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</si>
  <si>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</si>
  <si>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</si>
  <si>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</si>
  <si>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</si>
  <si>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</si>
  <si>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</si>
  <si>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</si>
  <si>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</si>
  <si>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</si>
  <si>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</si>
  <si>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</si>
  <si>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</si>
  <si>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</si>
  <si>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</si>
  <si>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</si>
  <si>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</si>
  <si>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</si>
  <si>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</si>
  <si>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</si>
  <si>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</si>
  <si>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</si>
  <si>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</si>
  <si>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</si>
  <si>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</si>
  <si>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</si>
  <si>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</si>
  <si>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</si>
  <si>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</si>
  <si>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</si>
  <si>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</si>
  <si>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</si>
  <si>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</si>
  <si>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</si>
  <si>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</si>
  <si>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</si>
  <si>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</si>
  <si>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</si>
  <si>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</si>
  <si>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</si>
  <si>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</si>
  <si>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</si>
  <si>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</si>
  <si>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</si>
  <si>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</si>
  <si>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</si>
  <si>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</si>
  <si>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</si>
  <si>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</si>
  <si>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</si>
  <si>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</si>
  <si>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</si>
  <si>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</si>
  <si>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</si>
  <si>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</si>
  <si>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</si>
  <si>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</si>
  <si>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</si>
  <si>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</si>
  <si>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</si>
  <si>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</si>
  <si>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</si>
  <si>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</si>
  <si>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</si>
  <si>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</si>
  <si>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</si>
  <si>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</si>
  <si>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</si>
  <si>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</si>
  <si>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</si>
  <si>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</si>
  <si>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</si>
  <si>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</si>
  <si>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</si>
  <si>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</si>
  <si>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</si>
  <si>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</si>
  <si>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</si>
  <si>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</si>
  <si>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</si>
  <si>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</si>
  <si>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</si>
  <si>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</si>
  <si>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t>价值-金币</t>
    <phoneticPr fontId="1" type="noConversion"/>
  </si>
  <si>
    <t>加速金币</t>
    <phoneticPr fontId="1" type="noConversion"/>
  </si>
  <si>
    <t>加速鲜花</t>
    <phoneticPr fontId="1" type="noConversion"/>
  </si>
  <si>
    <t>2级猫</t>
    <phoneticPr fontId="1" type="noConversion"/>
  </si>
  <si>
    <t>3级猫</t>
    <phoneticPr fontId="1" type="noConversion"/>
  </si>
  <si>
    <t>20级以下</t>
    <phoneticPr fontId="1" type="noConversion"/>
  </si>
  <si>
    <t>20-30级</t>
    <phoneticPr fontId="1" type="noConversion"/>
  </si>
  <si>
    <t>30-40级</t>
    <phoneticPr fontId="1" type="noConversion"/>
  </si>
  <si>
    <t>40-50级</t>
    <phoneticPr fontId="1" type="noConversion"/>
  </si>
  <si>
    <t>50-60级</t>
    <phoneticPr fontId="1" type="noConversion"/>
  </si>
  <si>
    <t>60-70级</t>
    <phoneticPr fontId="1" type="noConversion"/>
  </si>
  <si>
    <t>5级猫</t>
    <phoneticPr fontId="1" type="noConversion"/>
  </si>
  <si>
    <t>70-80级</t>
    <phoneticPr fontId="1" type="noConversion"/>
  </si>
  <si>
    <t>80-90级</t>
    <phoneticPr fontId="1" type="noConversion"/>
  </si>
  <si>
    <t>90-100级</t>
    <phoneticPr fontId="1" type="noConversion"/>
  </si>
  <si>
    <t>6级猫</t>
    <phoneticPr fontId="1" type="noConversion"/>
  </si>
  <si>
    <t>7级猫</t>
    <phoneticPr fontId="1" type="noConversion"/>
  </si>
  <si>
    <t>8级猫</t>
    <phoneticPr fontId="1" type="noConversion"/>
  </si>
  <si>
    <r>
      <t>1.召唤奖励与玩家等级对应；玩家只能抽取</t>
    </r>
    <r>
      <rPr>
        <sz val="10.5"/>
        <color rgb="FFFF0000"/>
        <rFont val="微软雅黑"/>
        <family val="2"/>
        <charset val="134"/>
      </rPr>
      <t>当前等级对应的召唤包</t>
    </r>
    <r>
      <rPr>
        <sz val="10.5"/>
        <color theme="1"/>
        <rFont val="微软雅黑"/>
        <family val="2"/>
        <charset val="134"/>
      </rPr>
      <t>获得奖励；随等级提高，召唤奖励提升；</t>
    </r>
  </si>
  <si>
    <t xml:space="preserve"> 2.召唤包内容：猫、金币、木材、矿石以及体力，其中猫召唤概率最大，金币、木材、矿石概率稍低，体力概率最低；（通过配置表配置）</t>
  </si>
  <si>
    <t>除体力外，显示金币、木材、矿石、圣水和钻石；</t>
  </si>
  <si>
    <t>钻石、体力和圣水产出途径不同，另做处理</t>
  </si>
  <si>
    <t>资源点出现与地图开启相关；通过配置将资源点配置在对应的地块上；当地块没有解锁时，资源点同样不可开启和移动；</t>
  </si>
  <si>
    <t>玩家拥有的各种资源总量在主界面上方显示；</t>
    <phoneticPr fontId="1" type="noConversion"/>
  </si>
  <si>
    <t>1.体力：用于玩家的操作消耗；每分钟恢复1点；</t>
  </si>
  <si>
    <t>2.金币：用于资源点升级和猫的购买；由猫在旅店打工产出；</t>
  </si>
  <si>
    <t>3.木材：用于资源点升级；</t>
  </si>
  <si>
    <t>4.矿石：用于资源点升级；</t>
  </si>
  <si>
    <t>5.圣水：用于净化被污染的土地；</t>
  </si>
  <si>
    <t>6.钻石：用于钻石商店购买猫和道具；</t>
  </si>
  <si>
    <t>2.1资源点功能</t>
  </si>
  <si>
    <t>2.2资源点出现方式</t>
  </si>
  <si>
    <t>2.2资源点产出规则</t>
  </si>
  <si>
    <t>1.资源点解锁后并不主动产出资源；</t>
  </si>
  <si>
    <t>2.将猫拖动到已开启的资源点时，如资源点为中心的九宫格如有空白地块，则猫自动移动到空白地块进行采集；采集产出为每3秒结算1次；如没有空白地块，则提示没有空位不进行采集；</t>
  </si>
  <si>
    <t xml:space="preserve">3.猫在资源点进行采集可使资源点获得经验，经验达到后可点击资源点进行升级，升级后资源点形象改变且基础产出值获得提升； </t>
  </si>
  <si>
    <t>2.3资源点的移动</t>
  </si>
  <si>
    <t>1.资源点出现后可以进行拖动操作，来移动到其他空白地块；</t>
  </si>
  <si>
    <t>2.资源点移动到已有资源点的地块时，两边交换位置；</t>
  </si>
  <si>
    <t>3.资源点移动到有猫的地块时，两边交换位置；</t>
  </si>
  <si>
    <t>4.猫移动到有资源点的地块时，如有空位则进行采集；没有则提示没有空位；</t>
  </si>
  <si>
    <r>
      <t>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猫旅店：猫在猫旅店进行打工可产出金币；</t>
    </r>
  </si>
  <si>
    <r>
      <t>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树林：猫在树林进行采集可以产出木材；</t>
    </r>
  </si>
  <si>
    <r>
      <t>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矿山：猫在矿山进行采集可以产出矿石</t>
    </r>
  </si>
  <si>
    <t>旅店</t>
    <phoneticPr fontId="1" type="noConversion"/>
  </si>
  <si>
    <t>树木</t>
    <phoneticPr fontId="1" type="noConversion"/>
  </si>
  <si>
    <t>旅店等级</t>
    <phoneticPr fontId="1" type="noConversion"/>
  </si>
  <si>
    <t>每日产出金币</t>
    <phoneticPr fontId="1" type="noConversion"/>
  </si>
  <si>
    <t>升级消耗金币</t>
    <phoneticPr fontId="1" type="noConversion"/>
  </si>
  <si>
    <t>树木等级</t>
    <phoneticPr fontId="1" type="noConversion"/>
  </si>
  <si>
    <t>每日产出木材</t>
    <phoneticPr fontId="1" type="noConversion"/>
  </si>
  <si>
    <t>矿山等级</t>
    <phoneticPr fontId="1" type="noConversion"/>
  </si>
  <si>
    <t>每日产出矿石</t>
    <phoneticPr fontId="1" type="noConversion"/>
  </si>
  <si>
    <t>圣池等级</t>
    <phoneticPr fontId="1" type="noConversion"/>
  </si>
  <si>
    <t>k</t>
    <phoneticPr fontId="1" type="noConversion"/>
  </si>
  <si>
    <t>b</t>
    <phoneticPr fontId="1" type="noConversion"/>
  </si>
  <si>
    <t>升级消耗</t>
  </si>
  <si>
    <t>等级开放</t>
    <phoneticPr fontId="1" type="noConversion"/>
  </si>
  <si>
    <t>树</t>
    <phoneticPr fontId="1" type="noConversion"/>
  </si>
  <si>
    <t>矿</t>
    <phoneticPr fontId="1" type="noConversion"/>
  </si>
  <si>
    <t>圣池</t>
    <phoneticPr fontId="1" type="noConversion"/>
  </si>
  <si>
    <t>开放建筑</t>
    <phoneticPr fontId="1" type="noConversion"/>
  </si>
  <si>
    <t>累计产出木材</t>
    <phoneticPr fontId="1" type="noConversion"/>
  </si>
  <si>
    <t>当前等级产出木材</t>
    <phoneticPr fontId="1" type="noConversion"/>
  </si>
  <si>
    <t>当前等级产出矿石</t>
  </si>
  <si>
    <t>累计产出矿石</t>
  </si>
  <si>
    <t>当前等级产出金币</t>
  </si>
  <si>
    <t>累计产出金币</t>
  </si>
  <si>
    <t>vip0本级时间</t>
    <phoneticPr fontId="1" type="noConversion"/>
  </si>
  <si>
    <t>vip16</t>
    <phoneticPr fontId="1" type="noConversion"/>
  </si>
  <si>
    <t>vip16本级时间</t>
    <phoneticPr fontId="1" type="noConversion"/>
  </si>
  <si>
    <t>VIP0玩家等级</t>
    <phoneticPr fontId="1" type="noConversion"/>
  </si>
  <si>
    <t>VIP0升级需求天数</t>
    <phoneticPr fontId="1" type="noConversion"/>
  </si>
  <si>
    <t>VIP16升级需求天数</t>
    <phoneticPr fontId="1" type="noConversion"/>
  </si>
  <si>
    <t>VIP16玩家等级</t>
    <phoneticPr fontId="1" type="noConversion"/>
  </si>
  <si>
    <t>金币</t>
    <phoneticPr fontId="1" type="noConversion"/>
  </si>
  <si>
    <t>矿石</t>
  </si>
  <si>
    <t>当前等级产出圣水</t>
    <phoneticPr fontId="1" type="noConversion"/>
  </si>
  <si>
    <t>累计产出圣水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</si>
</sst>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0.5"/>
      <color rgb="FF339966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9" fontId="10" fillId="0" borderId="0" xfId="0" applyNumberFormat="1" applyFont="1" applyAlignment="1"/>
    <xf numFmtId="9" fontId="11" fillId="0" borderId="10" xfId="0" applyNumberFormat="1" applyFont="1" applyBorder="1" applyAlignment="1"/>
    <xf numFmtId="0" fontId="15" fillId="0" borderId="0" xfId="0" applyFont="1" applyAlignment="1">
      <alignment horizontal="left" vertical="center" indent="2"/>
    </xf>
    <xf numFmtId="0" fontId="13" fillId="0" borderId="0" xfId="0" applyFont="1">
      <alignment vertical="center"/>
    </xf>
    <xf numFmtId="0" fontId="15" fillId="6" borderId="0" xfId="0" applyFont="1" applyFill="1" applyAlignment="1">
      <alignment horizontal="left" vertical="center" indent="2"/>
    </xf>
    <xf numFmtId="0" fontId="2" fillId="6" borderId="0" xfId="0" applyFont="1" applyFill="1">
      <alignment vertical="center"/>
    </xf>
    <xf numFmtId="0" fontId="17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9" fillId="6" borderId="0" xfId="0" applyFont="1" applyFill="1" applyAlignment="1">
      <alignment horizontal="left" vertical="center" indent="2"/>
    </xf>
    <xf numFmtId="0" fontId="13" fillId="0" borderId="10" xfId="0" applyFont="1" applyBorder="1">
      <alignment vertical="center"/>
    </xf>
    <xf numFmtId="0" fontId="13" fillId="7" borderId="10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569544"/>
        <c:axId val="247093056"/>
      </c:lineChart>
      <c:catAx>
        <c:axId val="24656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7093056"/>
        <c:crosses val="autoZero"/>
        <c:auto val="1"/>
        <c:lblAlgn val="ctr"/>
        <c:lblOffset val="100"/>
        <c:noMultiLvlLbl val="0"/>
      </c:catAx>
      <c:valAx>
        <c:axId val="2470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56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297080"/>
        <c:axId val="247325520"/>
      </c:lineChart>
      <c:catAx>
        <c:axId val="247297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7325520"/>
        <c:crosses val="autoZero"/>
        <c:auto val="1"/>
        <c:lblAlgn val="ctr"/>
        <c:lblOffset val="100"/>
        <c:noMultiLvlLbl val="0"/>
      </c:catAx>
      <c:valAx>
        <c:axId val="2473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729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xiuxian\&#29579;&#32773;&#21941;&#21941;\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34" zoomScale="85" zoomScaleNormal="85" workbookViewId="0">
      <selection activeCell="D44" sqref="D44:D68"/>
    </sheetView>
  </sheetViews>
  <sheetFormatPr defaultRowHeight="16.5" x14ac:dyDescent="0.35"/>
  <cols>
    <col min="1" max="1" width="9" style="63"/>
    <col min="2" max="2" width="10" style="63" bestFit="1" customWidth="1"/>
    <col min="3" max="3" width="11.25" style="63" bestFit="1" customWidth="1"/>
    <col min="4" max="4" width="13.875" style="63" bestFit="1" customWidth="1"/>
    <col min="5" max="5" width="60.5" style="63" bestFit="1" customWidth="1"/>
    <col min="6" max="8" width="9" style="63"/>
    <col min="9" max="18" width="9" style="64"/>
    <col min="19" max="19" width="20.125" style="64" bestFit="1" customWidth="1"/>
    <col min="20" max="20" width="9" style="64"/>
    <col min="21" max="16384" width="9" style="63"/>
  </cols>
  <sheetData>
    <row r="3" spans="2:21" x14ac:dyDescent="0.35">
      <c r="B3" s="62" t="s">
        <v>147</v>
      </c>
      <c r="C3" s="62" t="s">
        <v>162</v>
      </c>
      <c r="D3" s="62" t="s">
        <v>163</v>
      </c>
      <c r="E3" s="62" t="s">
        <v>164</v>
      </c>
    </row>
    <row r="4" spans="2:21" x14ac:dyDescent="0.35">
      <c r="B4" s="62" t="s">
        <v>1</v>
      </c>
      <c r="C4" s="62"/>
      <c r="D4" s="62">
        <v>1E-3</v>
      </c>
      <c r="E4" s="62"/>
    </row>
    <row r="5" spans="2:21" x14ac:dyDescent="0.35">
      <c r="B5" s="62" t="s">
        <v>165</v>
      </c>
      <c r="C5" s="62"/>
      <c r="D5" s="62">
        <v>1</v>
      </c>
      <c r="E5" s="62"/>
    </row>
    <row r="6" spans="2:21" x14ac:dyDescent="0.35">
      <c r="B6" s="62" t="s">
        <v>166</v>
      </c>
      <c r="C6" s="62"/>
      <c r="D6" s="62"/>
      <c r="E6" s="62"/>
      <c r="R6" s="63"/>
      <c r="S6" s="63"/>
      <c r="T6" s="63"/>
    </row>
    <row r="7" spans="2:21" x14ac:dyDescent="0.35">
      <c r="B7" s="62" t="s">
        <v>167</v>
      </c>
      <c r="C7" s="62"/>
      <c r="D7" s="62">
        <v>10</v>
      </c>
      <c r="E7" s="62" t="s">
        <v>168</v>
      </c>
      <c r="R7" s="63"/>
      <c r="S7" s="63"/>
      <c r="T7" s="63"/>
    </row>
    <row r="8" spans="2:21" x14ac:dyDescent="0.35">
      <c r="B8" s="62" t="s">
        <v>169</v>
      </c>
      <c r="C8" s="62"/>
      <c r="D8" s="62">
        <v>10</v>
      </c>
      <c r="E8" s="62" t="s">
        <v>170</v>
      </c>
      <c r="R8" s="63"/>
      <c r="S8" s="63"/>
      <c r="T8" s="63"/>
    </row>
    <row r="9" spans="2:21" x14ac:dyDescent="0.35">
      <c r="B9" s="62"/>
      <c r="C9" s="62"/>
      <c r="D9" s="62"/>
      <c r="E9" s="62"/>
      <c r="R9" s="63"/>
      <c r="S9" s="63"/>
      <c r="T9" s="63"/>
    </row>
    <row r="10" spans="2:21" x14ac:dyDescent="0.35">
      <c r="B10" s="62"/>
      <c r="C10" s="62"/>
      <c r="D10" s="62"/>
      <c r="E10" s="62"/>
      <c r="R10" s="65" t="s">
        <v>171</v>
      </c>
      <c r="S10" s="65" t="s">
        <v>172</v>
      </c>
      <c r="T10" s="63" t="s">
        <v>173</v>
      </c>
      <c r="U10" s="65" t="s">
        <v>174</v>
      </c>
    </row>
    <row r="11" spans="2:21" x14ac:dyDescent="0.35">
      <c r="B11" s="66" t="s">
        <v>189</v>
      </c>
      <c r="C11" s="66" t="s">
        <v>189</v>
      </c>
      <c r="D11" s="66">
        <v>10</v>
      </c>
      <c r="E11" s="66"/>
      <c r="R11" s="65" t="s">
        <v>175</v>
      </c>
      <c r="S11" s="65" t="s">
        <v>176</v>
      </c>
      <c r="T11" s="65" t="s">
        <v>177</v>
      </c>
      <c r="U11" s="65" t="s">
        <v>178</v>
      </c>
    </row>
    <row r="12" spans="2:21" x14ac:dyDescent="0.35">
      <c r="B12" s="66" t="s">
        <v>190</v>
      </c>
      <c r="C12" s="66" t="s">
        <v>190</v>
      </c>
      <c r="D12" s="66">
        <f>2*D11</f>
        <v>20</v>
      </c>
      <c r="E12" s="66"/>
      <c r="R12" s="65" t="s">
        <v>179</v>
      </c>
      <c r="S12" s="65" t="s">
        <v>180</v>
      </c>
      <c r="T12" s="65" t="s">
        <v>181</v>
      </c>
      <c r="U12" s="65" t="s">
        <v>182</v>
      </c>
    </row>
    <row r="13" spans="2:21" x14ac:dyDescent="0.35">
      <c r="B13" s="66" t="s">
        <v>148</v>
      </c>
      <c r="C13" s="66" t="s">
        <v>148</v>
      </c>
      <c r="D13" s="66">
        <f t="shared" ref="D13:D19" si="0">2*D12</f>
        <v>40</v>
      </c>
      <c r="E13" s="66"/>
      <c r="R13" s="65" t="s">
        <v>183</v>
      </c>
      <c r="S13" s="65" t="s">
        <v>176</v>
      </c>
      <c r="T13" s="65" t="s">
        <v>184</v>
      </c>
      <c r="U13" s="65" t="s">
        <v>185</v>
      </c>
    </row>
    <row r="14" spans="2:21" x14ac:dyDescent="0.35">
      <c r="B14" s="66" t="s">
        <v>149</v>
      </c>
      <c r="C14" s="66" t="s">
        <v>149</v>
      </c>
      <c r="D14" s="66">
        <f t="shared" si="0"/>
        <v>80</v>
      </c>
      <c r="E14" s="66"/>
      <c r="R14" s="65" t="s">
        <v>186</v>
      </c>
      <c r="S14" s="65" t="s">
        <v>180</v>
      </c>
      <c r="T14" s="65" t="s">
        <v>187</v>
      </c>
      <c r="U14" s="65" t="s">
        <v>188</v>
      </c>
    </row>
    <row r="15" spans="2:21" x14ac:dyDescent="0.35">
      <c r="B15" s="66" t="s">
        <v>150</v>
      </c>
      <c r="C15" s="66" t="s">
        <v>150</v>
      </c>
      <c r="D15" s="66">
        <f t="shared" si="0"/>
        <v>160</v>
      </c>
      <c r="E15" s="66"/>
      <c r="R15" s="63"/>
      <c r="S15" s="63"/>
      <c r="T15" s="63"/>
    </row>
    <row r="16" spans="2:21" x14ac:dyDescent="0.35">
      <c r="B16" s="66" t="s">
        <v>151</v>
      </c>
      <c r="C16" s="66" t="s">
        <v>151</v>
      </c>
      <c r="D16" s="66">
        <f t="shared" si="0"/>
        <v>320</v>
      </c>
      <c r="E16" s="66"/>
    </row>
    <row r="17" spans="2:5" x14ac:dyDescent="0.35">
      <c r="B17" s="66" t="s">
        <v>152</v>
      </c>
      <c r="C17" s="66" t="s">
        <v>152</v>
      </c>
      <c r="D17" s="66">
        <f t="shared" si="0"/>
        <v>640</v>
      </c>
      <c r="E17" s="66"/>
    </row>
    <row r="18" spans="2:5" x14ac:dyDescent="0.35">
      <c r="B18" s="66" t="s">
        <v>153</v>
      </c>
      <c r="C18" s="66" t="s">
        <v>153</v>
      </c>
      <c r="D18" s="66">
        <f t="shared" si="0"/>
        <v>1280</v>
      </c>
      <c r="E18" s="66"/>
    </row>
    <row r="19" spans="2:5" x14ac:dyDescent="0.35">
      <c r="B19" s="66" t="s">
        <v>154</v>
      </c>
      <c r="C19" s="66" t="s">
        <v>154</v>
      </c>
      <c r="D19" s="66">
        <f t="shared" si="0"/>
        <v>2560</v>
      </c>
      <c r="E19" s="66"/>
    </row>
    <row r="20" spans="2:5" x14ac:dyDescent="0.35">
      <c r="B20" s="62" t="s">
        <v>127</v>
      </c>
      <c r="C20" s="62" t="s">
        <v>127</v>
      </c>
      <c r="D20" s="62">
        <v>10</v>
      </c>
      <c r="E20" s="62"/>
    </row>
    <row r="21" spans="2:5" x14ac:dyDescent="0.35">
      <c r="B21" s="62" t="s">
        <v>191</v>
      </c>
      <c r="C21" s="62" t="s">
        <v>191</v>
      </c>
      <c r="D21" s="62">
        <f>2*D20</f>
        <v>20</v>
      </c>
      <c r="E21" s="62"/>
    </row>
    <row r="22" spans="2:5" x14ac:dyDescent="0.35">
      <c r="B22" s="62" t="s">
        <v>192</v>
      </c>
      <c r="C22" s="62" t="s">
        <v>192</v>
      </c>
      <c r="D22" s="62">
        <f t="shared" ref="D22:D29" si="1">2*D21</f>
        <v>40</v>
      </c>
      <c r="E22" s="62"/>
    </row>
    <row r="23" spans="2:5" x14ac:dyDescent="0.35">
      <c r="B23" s="62" t="s">
        <v>193</v>
      </c>
      <c r="C23" s="62" t="s">
        <v>193</v>
      </c>
      <c r="D23" s="62">
        <f t="shared" si="1"/>
        <v>80</v>
      </c>
      <c r="E23" s="62"/>
    </row>
    <row r="24" spans="2:5" x14ac:dyDescent="0.35">
      <c r="B24" s="62" t="s">
        <v>122</v>
      </c>
      <c r="C24" s="62" t="s">
        <v>122</v>
      </c>
      <c r="D24" s="62">
        <f t="shared" si="1"/>
        <v>160</v>
      </c>
      <c r="E24" s="62"/>
    </row>
    <row r="25" spans="2:5" x14ac:dyDescent="0.35">
      <c r="B25" s="62" t="s">
        <v>123</v>
      </c>
      <c r="C25" s="62" t="s">
        <v>123</v>
      </c>
      <c r="D25" s="62">
        <f t="shared" si="1"/>
        <v>320</v>
      </c>
      <c r="E25" s="62"/>
    </row>
    <row r="26" spans="2:5" x14ac:dyDescent="0.35">
      <c r="B26" s="62" t="s">
        <v>124</v>
      </c>
      <c r="C26" s="62" t="s">
        <v>124</v>
      </c>
      <c r="D26" s="62">
        <f t="shared" si="1"/>
        <v>640</v>
      </c>
      <c r="E26" s="62"/>
    </row>
    <row r="27" spans="2:5" x14ac:dyDescent="0.35">
      <c r="B27" s="62" t="s">
        <v>125</v>
      </c>
      <c r="C27" s="62" t="s">
        <v>125</v>
      </c>
      <c r="D27" s="62">
        <f t="shared" si="1"/>
        <v>1280</v>
      </c>
      <c r="E27" s="62"/>
    </row>
    <row r="28" spans="2:5" x14ac:dyDescent="0.35">
      <c r="B28" s="62" t="s">
        <v>126</v>
      </c>
      <c r="C28" s="62" t="s">
        <v>126</v>
      </c>
      <c r="D28" s="62">
        <f t="shared" si="1"/>
        <v>2560</v>
      </c>
      <c r="E28" s="62"/>
    </row>
    <row r="29" spans="2:5" x14ac:dyDescent="0.35">
      <c r="B29" s="62" t="s">
        <v>194</v>
      </c>
      <c r="C29" s="62" t="s">
        <v>194</v>
      </c>
      <c r="D29" s="62">
        <f t="shared" si="1"/>
        <v>5120</v>
      </c>
      <c r="E29" s="62"/>
    </row>
    <row r="30" spans="2:5" x14ac:dyDescent="0.35">
      <c r="B30" s="66" t="s">
        <v>195</v>
      </c>
      <c r="C30" s="66"/>
      <c r="D30" s="66">
        <v>50</v>
      </c>
      <c r="E30" s="66"/>
    </row>
    <row r="31" spans="2:5" x14ac:dyDescent="0.35">
      <c r="B31" s="66" t="s">
        <v>132</v>
      </c>
      <c r="C31" s="66"/>
      <c r="D31" s="66">
        <f>2*D30</f>
        <v>100</v>
      </c>
      <c r="E31" s="66"/>
    </row>
    <row r="32" spans="2:5" x14ac:dyDescent="0.35">
      <c r="B32" s="66" t="s">
        <v>133</v>
      </c>
      <c r="C32" s="66"/>
      <c r="D32" s="66">
        <f t="shared" ref="D32:D39" si="2">2*D31</f>
        <v>200</v>
      </c>
      <c r="E32" s="66"/>
    </row>
    <row r="33" spans="2:5" x14ac:dyDescent="0.35">
      <c r="B33" s="66" t="s">
        <v>134</v>
      </c>
      <c r="C33" s="66"/>
      <c r="D33" s="66">
        <f t="shared" si="2"/>
        <v>400</v>
      </c>
      <c r="E33" s="66"/>
    </row>
    <row r="34" spans="2:5" x14ac:dyDescent="0.35">
      <c r="B34" s="66" t="s">
        <v>135</v>
      </c>
      <c r="C34" s="66"/>
      <c r="D34" s="66">
        <f t="shared" si="2"/>
        <v>800</v>
      </c>
      <c r="E34" s="66"/>
    </row>
    <row r="35" spans="2:5" x14ac:dyDescent="0.35">
      <c r="B35" s="66" t="s">
        <v>136</v>
      </c>
      <c r="C35" s="66"/>
      <c r="D35" s="66">
        <f t="shared" si="2"/>
        <v>1600</v>
      </c>
      <c r="E35" s="66"/>
    </row>
    <row r="36" spans="2:5" x14ac:dyDescent="0.35">
      <c r="B36" s="67" t="s">
        <v>155</v>
      </c>
      <c r="C36" s="67"/>
      <c r="D36" s="67">
        <f t="shared" si="2"/>
        <v>3200</v>
      </c>
      <c r="E36" s="67"/>
    </row>
    <row r="37" spans="2:5" x14ac:dyDescent="0.35">
      <c r="B37" s="67" t="s">
        <v>156</v>
      </c>
      <c r="C37" s="67"/>
      <c r="D37" s="67">
        <f t="shared" si="2"/>
        <v>6400</v>
      </c>
      <c r="E37" s="67"/>
    </row>
    <row r="38" spans="2:5" x14ac:dyDescent="0.35">
      <c r="B38" s="67" t="s">
        <v>157</v>
      </c>
      <c r="C38" s="67"/>
      <c r="D38" s="67">
        <f t="shared" si="2"/>
        <v>12800</v>
      </c>
      <c r="E38" s="67"/>
    </row>
    <row r="39" spans="2:5" x14ac:dyDescent="0.35">
      <c r="B39" s="67" t="s">
        <v>158</v>
      </c>
      <c r="C39" s="67"/>
      <c r="D39" s="67">
        <f t="shared" si="2"/>
        <v>25600</v>
      </c>
      <c r="E39" s="67"/>
    </row>
    <row r="40" spans="2:5" x14ac:dyDescent="0.35">
      <c r="B40" s="62" t="s">
        <v>196</v>
      </c>
      <c r="C40" s="62"/>
      <c r="D40" s="62">
        <v>100</v>
      </c>
      <c r="E40" s="62"/>
    </row>
    <row r="41" spans="2:5" x14ac:dyDescent="0.35">
      <c r="B41" s="62"/>
      <c r="C41" s="62"/>
      <c r="D41" s="62"/>
      <c r="E41" s="62"/>
    </row>
    <row r="42" spans="2:5" x14ac:dyDescent="0.35">
      <c r="B42" s="68" t="s">
        <v>197</v>
      </c>
      <c r="C42" s="68"/>
      <c r="D42" s="68">
        <f>200000*D4</f>
        <v>200</v>
      </c>
      <c r="E42" s="68" t="s">
        <v>198</v>
      </c>
    </row>
    <row r="43" spans="2:5" x14ac:dyDescent="0.35">
      <c r="B43" s="62" t="s">
        <v>199</v>
      </c>
      <c r="C43" s="62"/>
      <c r="D43" s="62">
        <f>200000*D4</f>
        <v>200</v>
      </c>
      <c r="E43" s="62" t="s">
        <v>200</v>
      </c>
    </row>
    <row r="44" spans="2:5" x14ac:dyDescent="0.35">
      <c r="B44" s="62" t="s">
        <v>160</v>
      </c>
      <c r="C44" s="62"/>
      <c r="D44" s="62">
        <v>1</v>
      </c>
      <c r="E44" s="62"/>
    </row>
    <row r="45" spans="2:5" x14ac:dyDescent="0.35">
      <c r="B45" s="62" t="s">
        <v>138</v>
      </c>
      <c r="C45" s="62"/>
      <c r="D45" s="62">
        <f>2*D44</f>
        <v>2</v>
      </c>
      <c r="E45" s="62"/>
    </row>
    <row r="46" spans="2:5" x14ac:dyDescent="0.35">
      <c r="B46" s="62" t="s">
        <v>139</v>
      </c>
      <c r="C46" s="62"/>
      <c r="D46" s="62">
        <f t="shared" ref="D46:D93" si="3">2*D45</f>
        <v>4</v>
      </c>
      <c r="E46" s="62"/>
    </row>
    <row r="47" spans="2:5" x14ac:dyDescent="0.35">
      <c r="B47" s="62" t="s">
        <v>140</v>
      </c>
      <c r="C47" s="62"/>
      <c r="D47" s="62">
        <f t="shared" si="3"/>
        <v>8</v>
      </c>
      <c r="E47" s="62"/>
    </row>
    <row r="48" spans="2:5" x14ac:dyDescent="0.35">
      <c r="B48" s="62" t="s">
        <v>141</v>
      </c>
      <c r="C48" s="62"/>
      <c r="D48" s="62">
        <f t="shared" si="3"/>
        <v>16</v>
      </c>
      <c r="E48" s="62"/>
    </row>
    <row r="49" spans="2:5" x14ac:dyDescent="0.35">
      <c r="B49" s="62" t="s">
        <v>142</v>
      </c>
      <c r="C49" s="62"/>
      <c r="D49" s="62">
        <f t="shared" si="3"/>
        <v>32</v>
      </c>
      <c r="E49" s="62"/>
    </row>
    <row r="50" spans="2:5" x14ac:dyDescent="0.35">
      <c r="B50" s="62" t="s">
        <v>143</v>
      </c>
      <c r="C50" s="62"/>
      <c r="D50" s="62">
        <f t="shared" si="3"/>
        <v>64</v>
      </c>
      <c r="E50" s="62"/>
    </row>
    <row r="51" spans="2:5" x14ac:dyDescent="0.35">
      <c r="B51" s="62" t="s">
        <v>144</v>
      </c>
      <c r="C51" s="62"/>
      <c r="D51" s="62">
        <f t="shared" si="3"/>
        <v>128</v>
      </c>
      <c r="E51" s="62"/>
    </row>
    <row r="52" spans="2:5" x14ac:dyDescent="0.35">
      <c r="B52" s="62" t="s">
        <v>145</v>
      </c>
      <c r="C52" s="62"/>
      <c r="D52" s="62">
        <f t="shared" si="3"/>
        <v>256</v>
      </c>
      <c r="E52" s="62"/>
    </row>
    <row r="53" spans="2:5" x14ac:dyDescent="0.35">
      <c r="B53" s="62" t="s">
        <v>146</v>
      </c>
      <c r="C53" s="62"/>
      <c r="D53" s="62">
        <f t="shared" si="3"/>
        <v>512</v>
      </c>
      <c r="E53" s="62"/>
    </row>
    <row r="54" spans="2:5" x14ac:dyDescent="0.35">
      <c r="B54" s="62" t="s">
        <v>201</v>
      </c>
      <c r="C54" s="62"/>
      <c r="D54" s="62">
        <f t="shared" si="3"/>
        <v>1024</v>
      </c>
      <c r="E54" s="62"/>
    </row>
    <row r="55" spans="2:5" x14ac:dyDescent="0.35">
      <c r="B55" s="62" t="s">
        <v>202</v>
      </c>
      <c r="C55" s="62"/>
      <c r="D55" s="62">
        <f t="shared" si="3"/>
        <v>2048</v>
      </c>
      <c r="E55" s="62"/>
    </row>
    <row r="56" spans="2:5" x14ac:dyDescent="0.35">
      <c r="B56" s="62" t="s">
        <v>203</v>
      </c>
      <c r="C56" s="62"/>
      <c r="D56" s="62">
        <f t="shared" si="3"/>
        <v>4096</v>
      </c>
      <c r="E56" s="62"/>
    </row>
    <row r="57" spans="2:5" x14ac:dyDescent="0.35">
      <c r="B57" s="62" t="s">
        <v>204</v>
      </c>
      <c r="C57" s="62"/>
      <c r="D57" s="62">
        <f t="shared" si="3"/>
        <v>8192</v>
      </c>
      <c r="E57" s="62"/>
    </row>
    <row r="58" spans="2:5" x14ac:dyDescent="0.35">
      <c r="B58" s="62" t="s">
        <v>205</v>
      </c>
      <c r="C58" s="62"/>
      <c r="D58" s="62">
        <f t="shared" si="3"/>
        <v>16384</v>
      </c>
      <c r="E58" s="62"/>
    </row>
    <row r="59" spans="2:5" x14ac:dyDescent="0.35">
      <c r="B59" s="62" t="s">
        <v>206</v>
      </c>
      <c r="C59" s="62"/>
      <c r="D59" s="62">
        <f t="shared" si="3"/>
        <v>32768</v>
      </c>
      <c r="E59" s="62"/>
    </row>
    <row r="60" spans="2:5" x14ac:dyDescent="0.35">
      <c r="B60" s="62" t="s">
        <v>207</v>
      </c>
      <c r="C60" s="62"/>
      <c r="D60" s="62">
        <f t="shared" si="3"/>
        <v>65536</v>
      </c>
      <c r="E60" s="62"/>
    </row>
    <row r="61" spans="2:5" x14ac:dyDescent="0.35">
      <c r="B61" s="62" t="s">
        <v>208</v>
      </c>
      <c r="C61" s="62"/>
      <c r="D61" s="62">
        <f t="shared" si="3"/>
        <v>131072</v>
      </c>
      <c r="E61" s="62"/>
    </row>
    <row r="62" spans="2:5" x14ac:dyDescent="0.35">
      <c r="B62" s="62" t="s">
        <v>209</v>
      </c>
      <c r="C62" s="62"/>
      <c r="D62" s="62">
        <f t="shared" si="3"/>
        <v>262144</v>
      </c>
      <c r="E62" s="62"/>
    </row>
    <row r="63" spans="2:5" x14ac:dyDescent="0.35">
      <c r="B63" s="62" t="s">
        <v>210</v>
      </c>
      <c r="C63" s="62"/>
      <c r="D63" s="62">
        <f t="shared" si="3"/>
        <v>524288</v>
      </c>
      <c r="E63" s="62"/>
    </row>
    <row r="64" spans="2:5" x14ac:dyDescent="0.35">
      <c r="B64" s="62" t="s">
        <v>211</v>
      </c>
      <c r="C64" s="62"/>
      <c r="D64" s="62">
        <f t="shared" si="3"/>
        <v>1048576</v>
      </c>
      <c r="E64" s="62"/>
    </row>
    <row r="65" spans="2:5" x14ac:dyDescent="0.35">
      <c r="B65" s="62" t="s">
        <v>212</v>
      </c>
      <c r="C65" s="62"/>
      <c r="D65" s="62">
        <f t="shared" si="3"/>
        <v>2097152</v>
      </c>
      <c r="E65" s="62"/>
    </row>
    <row r="66" spans="2:5" x14ac:dyDescent="0.35">
      <c r="B66" s="62" t="s">
        <v>213</v>
      </c>
      <c r="C66" s="62"/>
      <c r="D66" s="62">
        <f t="shared" si="3"/>
        <v>4194304</v>
      </c>
      <c r="E66" s="62"/>
    </row>
    <row r="67" spans="2:5" x14ac:dyDescent="0.35">
      <c r="B67" s="62" t="s">
        <v>214</v>
      </c>
      <c r="C67" s="62"/>
      <c r="D67" s="62">
        <f t="shared" si="3"/>
        <v>8388608</v>
      </c>
      <c r="E67" s="62"/>
    </row>
    <row r="68" spans="2:5" x14ac:dyDescent="0.35">
      <c r="B68" s="62" t="s">
        <v>215</v>
      </c>
      <c r="C68" s="62"/>
      <c r="D68" s="62">
        <f t="shared" si="3"/>
        <v>16777216</v>
      </c>
      <c r="E68" s="62"/>
    </row>
    <row r="69" spans="2:5" x14ac:dyDescent="0.35">
      <c r="B69" s="62" t="s">
        <v>216</v>
      </c>
      <c r="C69" s="62"/>
      <c r="D69" s="62">
        <f t="shared" si="3"/>
        <v>33554432</v>
      </c>
      <c r="E69" s="62"/>
    </row>
    <row r="70" spans="2:5" x14ac:dyDescent="0.35">
      <c r="B70" s="62" t="s">
        <v>217</v>
      </c>
      <c r="C70" s="62"/>
      <c r="D70" s="62">
        <f t="shared" si="3"/>
        <v>67108864</v>
      </c>
      <c r="E70" s="62"/>
    </row>
    <row r="71" spans="2:5" x14ac:dyDescent="0.35">
      <c r="B71" s="62" t="s">
        <v>218</v>
      </c>
      <c r="C71" s="62"/>
      <c r="D71" s="62">
        <f t="shared" si="3"/>
        <v>134217728</v>
      </c>
      <c r="E71" s="62"/>
    </row>
    <row r="72" spans="2:5" x14ac:dyDescent="0.35">
      <c r="B72" s="62" t="s">
        <v>219</v>
      </c>
      <c r="C72" s="62"/>
      <c r="D72" s="62">
        <f t="shared" si="3"/>
        <v>268435456</v>
      </c>
      <c r="E72" s="62"/>
    </row>
    <row r="73" spans="2:5" x14ac:dyDescent="0.35">
      <c r="B73" s="62" t="s">
        <v>220</v>
      </c>
      <c r="C73" s="62"/>
      <c r="D73" s="62">
        <f t="shared" si="3"/>
        <v>536870912</v>
      </c>
      <c r="E73" s="62"/>
    </row>
    <row r="74" spans="2:5" x14ac:dyDescent="0.35">
      <c r="B74" s="62" t="s">
        <v>221</v>
      </c>
      <c r="C74" s="62"/>
      <c r="D74" s="62">
        <f t="shared" si="3"/>
        <v>1073741824</v>
      </c>
      <c r="E74" s="62"/>
    </row>
    <row r="75" spans="2:5" x14ac:dyDescent="0.35">
      <c r="B75" s="62" t="s">
        <v>222</v>
      </c>
      <c r="C75" s="62"/>
      <c r="D75" s="62">
        <f t="shared" si="3"/>
        <v>2147483648</v>
      </c>
      <c r="E75" s="62"/>
    </row>
    <row r="76" spans="2:5" x14ac:dyDescent="0.35">
      <c r="B76" s="62" t="s">
        <v>223</v>
      </c>
      <c r="C76" s="62"/>
      <c r="D76" s="62">
        <f t="shared" si="3"/>
        <v>4294967296</v>
      </c>
      <c r="E76" s="62"/>
    </row>
    <row r="77" spans="2:5" x14ac:dyDescent="0.35">
      <c r="B77" s="62" t="s">
        <v>224</v>
      </c>
      <c r="C77" s="62"/>
      <c r="D77" s="62">
        <f t="shared" si="3"/>
        <v>8589934592</v>
      </c>
      <c r="E77" s="62"/>
    </row>
    <row r="78" spans="2:5" x14ac:dyDescent="0.35">
      <c r="B78" s="62" t="s">
        <v>225</v>
      </c>
      <c r="C78" s="62"/>
      <c r="D78" s="62">
        <f t="shared" si="3"/>
        <v>17179869184</v>
      </c>
      <c r="E78" s="62"/>
    </row>
    <row r="79" spans="2:5" x14ac:dyDescent="0.35">
      <c r="B79" s="62" t="s">
        <v>226</v>
      </c>
      <c r="C79" s="62"/>
      <c r="D79" s="62">
        <f t="shared" si="3"/>
        <v>34359738368</v>
      </c>
      <c r="E79" s="62"/>
    </row>
    <row r="80" spans="2:5" x14ac:dyDescent="0.35">
      <c r="B80" s="62" t="s">
        <v>227</v>
      </c>
      <c r="C80" s="62"/>
      <c r="D80" s="62">
        <f t="shared" si="3"/>
        <v>68719476736</v>
      </c>
      <c r="E80" s="62"/>
    </row>
    <row r="81" spans="2:5" x14ac:dyDescent="0.35">
      <c r="B81" s="62" t="s">
        <v>228</v>
      </c>
      <c r="C81" s="62"/>
      <c r="D81" s="62">
        <f t="shared" si="3"/>
        <v>137438953472</v>
      </c>
      <c r="E81" s="62"/>
    </row>
    <row r="82" spans="2:5" x14ac:dyDescent="0.35">
      <c r="B82" s="62" t="s">
        <v>229</v>
      </c>
      <c r="C82" s="62"/>
      <c r="D82" s="62">
        <f t="shared" si="3"/>
        <v>274877906944</v>
      </c>
      <c r="E82" s="62"/>
    </row>
    <row r="83" spans="2:5" x14ac:dyDescent="0.35">
      <c r="B83" s="62" t="s">
        <v>230</v>
      </c>
      <c r="C83" s="62"/>
      <c r="D83" s="62">
        <f t="shared" si="3"/>
        <v>549755813888</v>
      </c>
      <c r="E83" s="62"/>
    </row>
    <row r="84" spans="2:5" x14ac:dyDescent="0.35">
      <c r="B84" s="62" t="s">
        <v>231</v>
      </c>
      <c r="C84" s="62"/>
      <c r="D84" s="62">
        <f t="shared" si="3"/>
        <v>1099511627776</v>
      </c>
      <c r="E84" s="62"/>
    </row>
    <row r="85" spans="2:5" x14ac:dyDescent="0.35">
      <c r="B85" s="62" t="s">
        <v>232</v>
      </c>
      <c r="C85" s="62"/>
      <c r="D85" s="62">
        <f t="shared" si="3"/>
        <v>2199023255552</v>
      </c>
      <c r="E85" s="62"/>
    </row>
    <row r="86" spans="2:5" x14ac:dyDescent="0.35">
      <c r="B86" s="62" t="s">
        <v>233</v>
      </c>
      <c r="C86" s="62"/>
      <c r="D86" s="62">
        <f t="shared" si="3"/>
        <v>4398046511104</v>
      </c>
      <c r="E86" s="62"/>
    </row>
    <row r="87" spans="2:5" x14ac:dyDescent="0.35">
      <c r="B87" s="62" t="s">
        <v>234</v>
      </c>
      <c r="C87" s="62"/>
      <c r="D87" s="62">
        <f t="shared" si="3"/>
        <v>8796093022208</v>
      </c>
      <c r="E87" s="62"/>
    </row>
    <row r="88" spans="2:5" x14ac:dyDescent="0.35">
      <c r="B88" s="62" t="s">
        <v>235</v>
      </c>
      <c r="C88" s="62"/>
      <c r="D88" s="62">
        <f t="shared" si="3"/>
        <v>17592186044416</v>
      </c>
      <c r="E88" s="62"/>
    </row>
    <row r="89" spans="2:5" x14ac:dyDescent="0.35">
      <c r="B89" s="62" t="s">
        <v>236</v>
      </c>
      <c r="C89" s="62"/>
      <c r="D89" s="62">
        <f t="shared" si="3"/>
        <v>35184372088832</v>
      </c>
      <c r="E89" s="62"/>
    </row>
    <row r="90" spans="2:5" x14ac:dyDescent="0.35">
      <c r="B90" s="62" t="s">
        <v>237</v>
      </c>
      <c r="C90" s="62"/>
      <c r="D90" s="62">
        <f t="shared" si="3"/>
        <v>70368744177664</v>
      </c>
      <c r="E90" s="62"/>
    </row>
    <row r="91" spans="2:5" x14ac:dyDescent="0.35">
      <c r="B91" s="62" t="s">
        <v>238</v>
      </c>
      <c r="C91" s="62"/>
      <c r="D91" s="62">
        <f t="shared" si="3"/>
        <v>140737488355328</v>
      </c>
      <c r="E91" s="62"/>
    </row>
    <row r="92" spans="2:5" x14ac:dyDescent="0.35">
      <c r="B92" s="62" t="s">
        <v>239</v>
      </c>
      <c r="C92" s="62"/>
      <c r="D92" s="62">
        <f t="shared" si="3"/>
        <v>281474976710656</v>
      </c>
      <c r="E92" s="62"/>
    </row>
    <row r="93" spans="2:5" x14ac:dyDescent="0.35">
      <c r="B93" s="62" t="s">
        <v>240</v>
      </c>
      <c r="C93" s="62"/>
      <c r="D93" s="62">
        <f t="shared" si="3"/>
        <v>562949953421312</v>
      </c>
      <c r="E93" s="6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opLeftCell="M1" workbookViewId="0">
      <selection activeCell="AD103" sqref="AD23:AD103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81" t="s">
        <v>17</v>
      </c>
      <c r="W2" s="82"/>
      <c r="X2" s="82"/>
      <c r="Y2" s="81" t="s">
        <v>18</v>
      </c>
      <c r="Z2" s="82"/>
      <c r="AA2" s="82"/>
      <c r="AB2" s="82"/>
      <c r="AC2" s="82"/>
      <c r="AD2" s="83" t="s">
        <v>19</v>
      </c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5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86" t="s">
        <v>96</v>
      </c>
      <c r="C87" s="86"/>
      <c r="D87" s="86"/>
      <c r="E87" s="86" t="s">
        <v>95</v>
      </c>
      <c r="F87" s="86"/>
      <c r="G87" s="86"/>
      <c r="H87" s="86" t="s">
        <v>94</v>
      </c>
      <c r="I87" s="86"/>
      <c r="J87" s="86"/>
      <c r="K87" s="86" t="s">
        <v>93</v>
      </c>
      <c r="L87" s="86"/>
      <c r="M87" s="86"/>
      <c r="N87" s="86" t="s">
        <v>92</v>
      </c>
      <c r="O87" s="86"/>
      <c r="P87" s="86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98"/>
  <sheetViews>
    <sheetView zoomScale="85" zoomScaleNormal="85" workbookViewId="0">
      <selection activeCell="E10" sqref="E10"/>
    </sheetView>
  </sheetViews>
  <sheetFormatPr defaultRowHeight="16.5" x14ac:dyDescent="0.35"/>
  <cols>
    <col min="1" max="2" width="9" style="56"/>
    <col min="3" max="3" width="14.5" style="56" bestFit="1" customWidth="1"/>
    <col min="4" max="4" width="14.125" style="56" bestFit="1" customWidth="1"/>
    <col min="5" max="5" width="18.125" style="56" bestFit="1" customWidth="1"/>
    <col min="6" max="6" width="18.25" style="56" bestFit="1" customWidth="1"/>
    <col min="7" max="7" width="19.125" style="56" bestFit="1" customWidth="1"/>
    <col min="8" max="8" width="14.125" style="56" bestFit="1" customWidth="1"/>
    <col min="9" max="9" width="9.625" style="56" customWidth="1"/>
    <col min="10" max="12" width="14.125" style="56" customWidth="1"/>
    <col min="13" max="15" width="9" style="56"/>
    <col min="16" max="16" width="9.5" style="56" customWidth="1"/>
    <col min="17" max="17" width="12.875" style="57" bestFit="1" customWidth="1"/>
    <col min="18" max="18" width="12.875" style="56" bestFit="1" customWidth="1"/>
    <col min="19" max="19" width="9.5" style="56" customWidth="1"/>
    <col min="20" max="20" width="20" style="56" bestFit="1" customWidth="1"/>
    <col min="21" max="21" width="13.625" style="56" bestFit="1" customWidth="1"/>
    <col min="22" max="27" width="9.5" style="56" customWidth="1"/>
    <col min="28" max="16384" width="9" style="56"/>
  </cols>
  <sheetData>
    <row r="1" spans="2:67" ht="17.25" x14ac:dyDescent="0.35">
      <c r="B1" s="71" t="s">
        <v>259</v>
      </c>
    </row>
    <row r="2" spans="2:67" ht="17.25" x14ac:dyDescent="0.35">
      <c r="B2" s="71" t="s">
        <v>260</v>
      </c>
    </row>
    <row r="4" spans="2:67" x14ac:dyDescent="0.35">
      <c r="B4" s="56" t="s">
        <v>246</v>
      </c>
      <c r="D4" s="58" t="s">
        <v>129</v>
      </c>
      <c r="E4" s="58">
        <f>等级时间!E27</f>
        <v>384</v>
      </c>
    </row>
    <row r="5" spans="2:67" x14ac:dyDescent="0.35">
      <c r="B5" s="56" t="s">
        <v>113</v>
      </c>
      <c r="F5" s="69">
        <f>SUM(F7:F12)</f>
        <v>1</v>
      </c>
      <c r="G5" s="56">
        <f>SUM(G7:G15)</f>
        <v>2.7500000000000004</v>
      </c>
    </row>
    <row r="6" spans="2:67" x14ac:dyDescent="0.35">
      <c r="B6" s="58" t="s">
        <v>114</v>
      </c>
      <c r="C6" s="58" t="s">
        <v>115</v>
      </c>
      <c r="D6" s="58" t="s">
        <v>116</v>
      </c>
      <c r="E6" s="58" t="s">
        <v>117</v>
      </c>
      <c r="F6" s="58" t="s">
        <v>118</v>
      </c>
      <c r="G6" s="58" t="s">
        <v>119</v>
      </c>
      <c r="H6" s="58" t="s">
        <v>120</v>
      </c>
      <c r="I6" s="61"/>
      <c r="J6" s="58" t="s">
        <v>115</v>
      </c>
      <c r="K6" s="58" t="s">
        <v>130</v>
      </c>
      <c r="L6" s="58" t="s">
        <v>131</v>
      </c>
      <c r="O6" s="58" t="s">
        <v>71</v>
      </c>
      <c r="P6" s="58" t="s">
        <v>121</v>
      </c>
      <c r="Q6" s="59" t="s">
        <v>128</v>
      </c>
      <c r="R6" s="58" t="s">
        <v>128</v>
      </c>
      <c r="S6" s="58" t="s">
        <v>138</v>
      </c>
      <c r="T6" s="58" t="s">
        <v>139</v>
      </c>
      <c r="U6" s="58" t="s">
        <v>140</v>
      </c>
      <c r="V6" s="58" t="s">
        <v>141</v>
      </c>
      <c r="W6" s="58" t="s">
        <v>142</v>
      </c>
      <c r="X6" s="58" t="s">
        <v>143</v>
      </c>
      <c r="Y6" s="58" t="s">
        <v>144</v>
      </c>
      <c r="Z6" s="58" t="s">
        <v>145</v>
      </c>
      <c r="AA6" s="58" t="s">
        <v>146</v>
      </c>
      <c r="AB6" s="58" t="s">
        <v>201</v>
      </c>
      <c r="AC6" s="58" t="s">
        <v>202</v>
      </c>
      <c r="AD6" s="58" t="s">
        <v>203</v>
      </c>
      <c r="AE6" s="58" t="s">
        <v>204</v>
      </c>
      <c r="AF6" s="58" t="s">
        <v>205</v>
      </c>
      <c r="AG6" s="58" t="s">
        <v>206</v>
      </c>
      <c r="AH6" s="58" t="s">
        <v>207</v>
      </c>
      <c r="AI6" s="58" t="s">
        <v>208</v>
      </c>
      <c r="AJ6" s="58" t="s">
        <v>209</v>
      </c>
      <c r="AK6" s="58" t="s">
        <v>210</v>
      </c>
      <c r="AL6" s="58" t="s">
        <v>211</v>
      </c>
      <c r="AM6" s="58" t="s">
        <v>212</v>
      </c>
      <c r="AN6" s="58" t="s">
        <v>213</v>
      </c>
      <c r="AO6" s="58" t="s">
        <v>214</v>
      </c>
      <c r="AP6" s="58" t="s">
        <v>215</v>
      </c>
      <c r="AQ6" s="58" t="s">
        <v>216</v>
      </c>
      <c r="AR6" s="58" t="s">
        <v>217</v>
      </c>
      <c r="AS6" s="58" t="s">
        <v>218</v>
      </c>
      <c r="AT6" s="58" t="s">
        <v>219</v>
      </c>
      <c r="AU6" s="58" t="s">
        <v>220</v>
      </c>
      <c r="AV6" s="58" t="s">
        <v>221</v>
      </c>
      <c r="AW6" s="58" t="s">
        <v>222</v>
      </c>
      <c r="AX6" s="58" t="s">
        <v>223</v>
      </c>
      <c r="AY6" s="58" t="s">
        <v>224</v>
      </c>
      <c r="AZ6" s="58" t="s">
        <v>225</v>
      </c>
      <c r="BA6" s="58" t="s">
        <v>226</v>
      </c>
      <c r="BB6" s="58" t="s">
        <v>227</v>
      </c>
      <c r="BC6" s="58" t="s">
        <v>228</v>
      </c>
      <c r="BD6" s="58" t="s">
        <v>229</v>
      </c>
      <c r="BE6" s="58" t="s">
        <v>230</v>
      </c>
      <c r="BF6" s="58" t="s">
        <v>231</v>
      </c>
      <c r="BG6" s="58" t="s">
        <v>232</v>
      </c>
      <c r="BH6" s="58" t="s">
        <v>233</v>
      </c>
      <c r="BI6" s="58" t="s">
        <v>234</v>
      </c>
      <c r="BJ6" s="58" t="s">
        <v>235</v>
      </c>
      <c r="BK6" s="58" t="s">
        <v>236</v>
      </c>
      <c r="BL6" s="58" t="s">
        <v>237</v>
      </c>
      <c r="BM6" s="58" t="s">
        <v>238</v>
      </c>
      <c r="BN6" s="58" t="s">
        <v>239</v>
      </c>
      <c r="BO6" s="58" t="s">
        <v>240</v>
      </c>
    </row>
    <row r="7" spans="2:67" x14ac:dyDescent="0.35">
      <c r="B7" s="58">
        <v>1</v>
      </c>
      <c r="C7" s="58" t="s">
        <v>1</v>
      </c>
      <c r="D7" s="58">
        <v>3000</v>
      </c>
      <c r="E7" s="58">
        <f>D7*VLOOKUP($C7,物品定价!$B:$D,3,0)</f>
        <v>3</v>
      </c>
      <c r="F7" s="60">
        <v>0.2</v>
      </c>
      <c r="G7" s="58">
        <f t="shared" ref="G7:G9" si="0">E7*F7</f>
        <v>0.60000000000000009</v>
      </c>
      <c r="H7" s="58">
        <f>1*F7</f>
        <v>0.2</v>
      </c>
      <c r="I7" s="61"/>
      <c r="J7" s="58" t="s">
        <v>1</v>
      </c>
      <c r="K7" s="58">
        <f>SUMPRODUCT(D7:D9,H7:H9)</f>
        <v>1800</v>
      </c>
      <c r="L7" s="58">
        <f>K7*$E$4</f>
        <v>691200</v>
      </c>
      <c r="O7" s="58">
        <v>1</v>
      </c>
      <c r="P7" s="58">
        <v>27</v>
      </c>
      <c r="Q7" s="59">
        <f>INDEX($O$27:$T$41,MATCH($O7,$O$27:$O$41,0),MATCH(Q$6,$O$27:$T$27,0))</f>
        <v>406.8</v>
      </c>
      <c r="R7" s="58">
        <f>ROUND($Q7/VLOOKUP(R$6,$P$45:$S$94,3,0),2)</f>
        <v>406.8</v>
      </c>
      <c r="S7" s="58">
        <f t="shared" ref="S7:AA7" si="1">ROUND($Q7/VLOOKUP(S$6,$P$45:$S$94,3,0),2)</f>
        <v>203.4</v>
      </c>
      <c r="T7" s="58">
        <f t="shared" si="1"/>
        <v>101.7</v>
      </c>
      <c r="U7" s="58">
        <f t="shared" si="1"/>
        <v>50.85</v>
      </c>
      <c r="V7" s="58">
        <f t="shared" si="1"/>
        <v>25.43</v>
      </c>
      <c r="W7" s="58">
        <f t="shared" si="1"/>
        <v>12.71</v>
      </c>
      <c r="X7" s="58">
        <f t="shared" si="1"/>
        <v>6.36</v>
      </c>
      <c r="Y7" s="58">
        <f t="shared" si="1"/>
        <v>3.18</v>
      </c>
      <c r="Z7" s="58">
        <f t="shared" si="1"/>
        <v>1.59</v>
      </c>
      <c r="AA7" s="58">
        <f t="shared" si="1"/>
        <v>0.79</v>
      </c>
      <c r="AB7" s="58">
        <f t="shared" ref="AB7:BO12" si="2">ROUND($Q7/VLOOKUP(AB$6,$P$45:$S$94,3,0),2)</f>
        <v>0.4</v>
      </c>
      <c r="AC7" s="58">
        <f t="shared" si="2"/>
        <v>0.2</v>
      </c>
      <c r="AD7" s="58">
        <f t="shared" si="2"/>
        <v>0.1</v>
      </c>
      <c r="AE7" s="58">
        <f t="shared" si="2"/>
        <v>0.05</v>
      </c>
      <c r="AF7" s="58">
        <f t="shared" si="2"/>
        <v>0.02</v>
      </c>
      <c r="AG7" s="58">
        <f t="shared" si="2"/>
        <v>0.01</v>
      </c>
      <c r="AH7" s="58">
        <f t="shared" si="2"/>
        <v>0.01</v>
      </c>
      <c r="AI7" s="58">
        <f t="shared" si="2"/>
        <v>0</v>
      </c>
      <c r="AJ7" s="58">
        <f t="shared" si="2"/>
        <v>0</v>
      </c>
      <c r="AK7" s="58">
        <f t="shared" si="2"/>
        <v>0</v>
      </c>
      <c r="AL7" s="58">
        <f t="shared" si="2"/>
        <v>0</v>
      </c>
      <c r="AM7" s="58">
        <f t="shared" si="2"/>
        <v>0</v>
      </c>
      <c r="AN7" s="58">
        <f t="shared" si="2"/>
        <v>0</v>
      </c>
      <c r="AO7" s="58">
        <f t="shared" si="2"/>
        <v>0</v>
      </c>
      <c r="AP7" s="58">
        <f t="shared" si="2"/>
        <v>0</v>
      </c>
      <c r="AQ7" s="58">
        <f t="shared" si="2"/>
        <v>0</v>
      </c>
      <c r="AR7" s="58">
        <f t="shared" si="2"/>
        <v>0</v>
      </c>
      <c r="AS7" s="58">
        <f t="shared" si="2"/>
        <v>0</v>
      </c>
      <c r="AT7" s="58">
        <f t="shared" si="2"/>
        <v>0</v>
      </c>
      <c r="AU7" s="58">
        <f t="shared" si="2"/>
        <v>0</v>
      </c>
      <c r="AV7" s="58">
        <f t="shared" si="2"/>
        <v>0</v>
      </c>
      <c r="AW7" s="58">
        <f t="shared" si="2"/>
        <v>0</v>
      </c>
      <c r="AX7" s="58">
        <f t="shared" si="2"/>
        <v>0</v>
      </c>
      <c r="AY7" s="58">
        <f t="shared" si="2"/>
        <v>0</v>
      </c>
      <c r="AZ7" s="58">
        <f t="shared" si="2"/>
        <v>0</v>
      </c>
      <c r="BA7" s="58">
        <f t="shared" si="2"/>
        <v>0</v>
      </c>
      <c r="BB7" s="58">
        <f t="shared" si="2"/>
        <v>0</v>
      </c>
      <c r="BC7" s="58">
        <f t="shared" si="2"/>
        <v>0</v>
      </c>
      <c r="BD7" s="58">
        <f t="shared" si="2"/>
        <v>0</v>
      </c>
      <c r="BE7" s="58">
        <f t="shared" si="2"/>
        <v>0</v>
      </c>
      <c r="BF7" s="58">
        <f t="shared" si="2"/>
        <v>0</v>
      </c>
      <c r="BG7" s="58">
        <f t="shared" si="2"/>
        <v>0</v>
      </c>
      <c r="BH7" s="58">
        <f t="shared" si="2"/>
        <v>0</v>
      </c>
      <c r="BI7" s="58">
        <f t="shared" si="2"/>
        <v>0</v>
      </c>
      <c r="BJ7" s="58">
        <f t="shared" si="2"/>
        <v>0</v>
      </c>
      <c r="BK7" s="58">
        <f t="shared" si="2"/>
        <v>0</v>
      </c>
      <c r="BL7" s="58">
        <f t="shared" si="2"/>
        <v>0</v>
      </c>
      <c r="BM7" s="58">
        <f t="shared" si="2"/>
        <v>0</v>
      </c>
      <c r="BN7" s="58">
        <f t="shared" si="2"/>
        <v>0</v>
      </c>
      <c r="BO7" s="58">
        <f t="shared" si="2"/>
        <v>0</v>
      </c>
    </row>
    <row r="8" spans="2:67" x14ac:dyDescent="0.35">
      <c r="B8" s="58">
        <v>2</v>
      </c>
      <c r="C8" s="58" t="s">
        <v>1</v>
      </c>
      <c r="D8" s="58">
        <f>D7*2</f>
        <v>6000</v>
      </c>
      <c r="E8" s="58">
        <f>D8*VLOOKUP($C8,物品定价!$B:$D,3,0)</f>
        <v>6</v>
      </c>
      <c r="F8" s="60">
        <v>0.1</v>
      </c>
      <c r="G8" s="58">
        <f t="shared" si="0"/>
        <v>0.60000000000000009</v>
      </c>
      <c r="H8" s="58">
        <f t="shared" ref="H8:H9" si="3">1*F8</f>
        <v>0.1</v>
      </c>
      <c r="I8" s="61"/>
      <c r="J8" s="58" t="s">
        <v>128</v>
      </c>
      <c r="K8" s="58">
        <f>H10*D10</f>
        <v>0.45</v>
      </c>
      <c r="L8" s="58">
        <f>K8*$E$4</f>
        <v>172.8</v>
      </c>
      <c r="M8" s="56">
        <f>SUMPRODUCT(K8:K10,物品定价!D44:D46)</f>
        <v>0.95</v>
      </c>
      <c r="O8" s="58">
        <v>2</v>
      </c>
      <c r="P8" s="58">
        <v>31</v>
      </c>
      <c r="Q8" s="59">
        <f t="shared" ref="Q8:Q20" si="4">INDEX($O$27:$T$41,MATCH($O8,$O$27:$O$41,0),MATCH(Q$6,$O$27:$T$27,0))</f>
        <v>224.55</v>
      </c>
      <c r="R8" s="58">
        <f t="shared" ref="R8:AA20" si="5">ROUND($Q8/VLOOKUP(R$6,$P$45:$S$94,3,0),2)</f>
        <v>224.55</v>
      </c>
      <c r="S8" s="58">
        <f t="shared" si="5"/>
        <v>112.28</v>
      </c>
      <c r="T8" s="58">
        <f t="shared" si="5"/>
        <v>56.14</v>
      </c>
      <c r="U8" s="58">
        <f t="shared" si="5"/>
        <v>28.07</v>
      </c>
      <c r="V8" s="58">
        <f t="shared" si="5"/>
        <v>14.03</v>
      </c>
      <c r="W8" s="58">
        <f t="shared" si="5"/>
        <v>7.02</v>
      </c>
      <c r="X8" s="58">
        <f t="shared" si="5"/>
        <v>3.51</v>
      </c>
      <c r="Y8" s="58">
        <f t="shared" si="5"/>
        <v>1.75</v>
      </c>
      <c r="Z8" s="58">
        <f t="shared" si="5"/>
        <v>0.88</v>
      </c>
      <c r="AA8" s="58">
        <f t="shared" si="5"/>
        <v>0.44</v>
      </c>
      <c r="AB8" s="58">
        <f t="shared" ref="AB8:AG20" si="6">ROUND($Q8/VLOOKUP(AB$6,$P$45:$S$94,3,0),2)</f>
        <v>0.22</v>
      </c>
      <c r="AC8" s="58">
        <f t="shared" si="6"/>
        <v>0.11</v>
      </c>
      <c r="AD8" s="58">
        <f t="shared" si="6"/>
        <v>0.05</v>
      </c>
      <c r="AE8" s="58">
        <f t="shared" si="6"/>
        <v>0.03</v>
      </c>
      <c r="AF8" s="58">
        <f t="shared" si="6"/>
        <v>0.01</v>
      </c>
      <c r="AG8" s="58">
        <f t="shared" si="6"/>
        <v>0.01</v>
      </c>
      <c r="AH8" s="58">
        <f t="shared" si="2"/>
        <v>0</v>
      </c>
      <c r="AI8" s="58">
        <f t="shared" si="2"/>
        <v>0</v>
      </c>
      <c r="AJ8" s="58">
        <f t="shared" si="2"/>
        <v>0</v>
      </c>
      <c r="AK8" s="58">
        <f t="shared" si="2"/>
        <v>0</v>
      </c>
      <c r="AL8" s="58">
        <f t="shared" si="2"/>
        <v>0</v>
      </c>
      <c r="AM8" s="58">
        <f t="shared" si="2"/>
        <v>0</v>
      </c>
      <c r="AN8" s="58">
        <f t="shared" si="2"/>
        <v>0</v>
      </c>
      <c r="AO8" s="58">
        <f t="shared" si="2"/>
        <v>0</v>
      </c>
      <c r="AP8" s="58">
        <f t="shared" si="2"/>
        <v>0</v>
      </c>
      <c r="AQ8" s="58">
        <f t="shared" si="2"/>
        <v>0</v>
      </c>
      <c r="AR8" s="58">
        <f t="shared" si="2"/>
        <v>0</v>
      </c>
      <c r="AS8" s="58">
        <f t="shared" si="2"/>
        <v>0</v>
      </c>
      <c r="AT8" s="58">
        <f t="shared" si="2"/>
        <v>0</v>
      </c>
      <c r="AU8" s="58">
        <f t="shared" si="2"/>
        <v>0</v>
      </c>
      <c r="AV8" s="58">
        <f t="shared" si="2"/>
        <v>0</v>
      </c>
      <c r="AW8" s="58">
        <f t="shared" si="2"/>
        <v>0</v>
      </c>
      <c r="AX8" s="58">
        <f t="shared" si="2"/>
        <v>0</v>
      </c>
      <c r="AY8" s="58">
        <f t="shared" si="2"/>
        <v>0</v>
      </c>
      <c r="AZ8" s="58">
        <f t="shared" si="2"/>
        <v>0</v>
      </c>
      <c r="BA8" s="58">
        <f t="shared" si="2"/>
        <v>0</v>
      </c>
      <c r="BB8" s="58">
        <f t="shared" si="2"/>
        <v>0</v>
      </c>
      <c r="BC8" s="58">
        <f t="shared" si="2"/>
        <v>0</v>
      </c>
      <c r="BD8" s="58">
        <f t="shared" si="2"/>
        <v>0</v>
      </c>
      <c r="BE8" s="58">
        <f t="shared" si="2"/>
        <v>0</v>
      </c>
      <c r="BF8" s="58">
        <f t="shared" si="2"/>
        <v>0</v>
      </c>
      <c r="BG8" s="58">
        <f t="shared" si="2"/>
        <v>0</v>
      </c>
      <c r="BH8" s="58">
        <f t="shared" si="2"/>
        <v>0</v>
      </c>
      <c r="BI8" s="58">
        <f t="shared" si="2"/>
        <v>0</v>
      </c>
      <c r="BJ8" s="58">
        <f t="shared" si="2"/>
        <v>0</v>
      </c>
      <c r="BK8" s="58">
        <f t="shared" si="2"/>
        <v>0</v>
      </c>
      <c r="BL8" s="58">
        <f t="shared" si="2"/>
        <v>0</v>
      </c>
      <c r="BM8" s="58">
        <f t="shared" si="2"/>
        <v>0</v>
      </c>
      <c r="BN8" s="58">
        <f t="shared" si="2"/>
        <v>0</v>
      </c>
      <c r="BO8" s="58">
        <f t="shared" si="2"/>
        <v>0</v>
      </c>
    </row>
    <row r="9" spans="2:67" x14ac:dyDescent="0.35">
      <c r="B9" s="58">
        <v>3</v>
      </c>
      <c r="C9" s="58" t="s">
        <v>1</v>
      </c>
      <c r="D9" s="58">
        <f t="shared" ref="D9" si="7">D8*2</f>
        <v>12000</v>
      </c>
      <c r="E9" s="58">
        <f>D9*VLOOKUP($C9,物品定价!$B:$D,3,0)</f>
        <v>12</v>
      </c>
      <c r="F9" s="60">
        <v>0.05</v>
      </c>
      <c r="G9" s="58">
        <f t="shared" si="0"/>
        <v>0.60000000000000009</v>
      </c>
      <c r="H9" s="58">
        <f t="shared" si="3"/>
        <v>0.05</v>
      </c>
      <c r="I9" s="61"/>
      <c r="J9" s="58" t="s">
        <v>161</v>
      </c>
      <c r="K9" s="58">
        <f>H11*D11</f>
        <v>0.15</v>
      </c>
      <c r="L9" s="58">
        <f>K9*$E$4</f>
        <v>57.599999999999994</v>
      </c>
      <c r="O9" s="58">
        <v>3</v>
      </c>
      <c r="P9" s="58">
        <v>34</v>
      </c>
      <c r="Q9" s="59">
        <f t="shared" si="4"/>
        <v>231.3</v>
      </c>
      <c r="R9" s="58">
        <f t="shared" si="5"/>
        <v>231.3</v>
      </c>
      <c r="S9" s="58">
        <f t="shared" si="5"/>
        <v>115.65</v>
      </c>
      <c r="T9" s="58">
        <f t="shared" si="5"/>
        <v>57.83</v>
      </c>
      <c r="U9" s="58">
        <f t="shared" si="5"/>
        <v>28.91</v>
      </c>
      <c r="V9" s="58">
        <f t="shared" si="5"/>
        <v>14.46</v>
      </c>
      <c r="W9" s="58">
        <f t="shared" si="5"/>
        <v>7.23</v>
      </c>
      <c r="X9" s="58">
        <f t="shared" si="5"/>
        <v>3.61</v>
      </c>
      <c r="Y9" s="58">
        <f t="shared" si="5"/>
        <v>1.81</v>
      </c>
      <c r="Z9" s="58">
        <f t="shared" si="5"/>
        <v>0.9</v>
      </c>
      <c r="AA9" s="58">
        <f t="shared" si="5"/>
        <v>0.45</v>
      </c>
      <c r="AB9" s="58">
        <f t="shared" si="6"/>
        <v>0.23</v>
      </c>
      <c r="AC9" s="58">
        <f t="shared" si="6"/>
        <v>0.11</v>
      </c>
      <c r="AD9" s="58">
        <f t="shared" si="2"/>
        <v>0.06</v>
      </c>
      <c r="AE9" s="58">
        <f t="shared" si="2"/>
        <v>0.03</v>
      </c>
      <c r="AF9" s="58">
        <f t="shared" si="2"/>
        <v>0.01</v>
      </c>
      <c r="AG9" s="58">
        <f t="shared" si="2"/>
        <v>0.01</v>
      </c>
      <c r="AH9" s="58">
        <f t="shared" si="2"/>
        <v>0</v>
      </c>
      <c r="AI9" s="58">
        <f t="shared" si="2"/>
        <v>0</v>
      </c>
      <c r="AJ9" s="58">
        <f t="shared" si="2"/>
        <v>0</v>
      </c>
      <c r="AK9" s="58">
        <f t="shared" si="2"/>
        <v>0</v>
      </c>
      <c r="AL9" s="58">
        <f t="shared" si="2"/>
        <v>0</v>
      </c>
      <c r="AM9" s="58">
        <f t="shared" si="2"/>
        <v>0</v>
      </c>
      <c r="AN9" s="58">
        <f t="shared" si="2"/>
        <v>0</v>
      </c>
      <c r="AO9" s="58">
        <f t="shared" si="2"/>
        <v>0</v>
      </c>
      <c r="AP9" s="58">
        <f t="shared" si="2"/>
        <v>0</v>
      </c>
      <c r="AQ9" s="58">
        <f t="shared" si="2"/>
        <v>0</v>
      </c>
      <c r="AR9" s="58">
        <f t="shared" si="2"/>
        <v>0</v>
      </c>
      <c r="AS9" s="58">
        <f t="shared" si="2"/>
        <v>0</v>
      </c>
      <c r="AT9" s="58">
        <f t="shared" si="2"/>
        <v>0</v>
      </c>
      <c r="AU9" s="58">
        <f t="shared" si="2"/>
        <v>0</v>
      </c>
      <c r="AV9" s="58">
        <f t="shared" si="2"/>
        <v>0</v>
      </c>
      <c r="AW9" s="58">
        <f t="shared" si="2"/>
        <v>0</v>
      </c>
      <c r="AX9" s="58">
        <f t="shared" si="2"/>
        <v>0</v>
      </c>
      <c r="AY9" s="58">
        <f t="shared" si="2"/>
        <v>0</v>
      </c>
      <c r="AZ9" s="58">
        <f t="shared" si="2"/>
        <v>0</v>
      </c>
      <c r="BA9" s="58">
        <f t="shared" si="2"/>
        <v>0</v>
      </c>
      <c r="BB9" s="58">
        <f t="shared" si="2"/>
        <v>0</v>
      </c>
      <c r="BC9" s="58">
        <f t="shared" si="2"/>
        <v>0</v>
      </c>
      <c r="BD9" s="58">
        <f t="shared" si="2"/>
        <v>0</v>
      </c>
      <c r="BE9" s="58">
        <f t="shared" si="2"/>
        <v>0</v>
      </c>
      <c r="BF9" s="58">
        <f t="shared" si="2"/>
        <v>0</v>
      </c>
      <c r="BG9" s="58">
        <f t="shared" si="2"/>
        <v>0</v>
      </c>
      <c r="BH9" s="58">
        <f t="shared" si="2"/>
        <v>0</v>
      </c>
      <c r="BI9" s="58">
        <f t="shared" si="2"/>
        <v>0</v>
      </c>
      <c r="BJ9" s="58">
        <f t="shared" si="2"/>
        <v>0</v>
      </c>
      <c r="BK9" s="58">
        <f t="shared" si="2"/>
        <v>0</v>
      </c>
      <c r="BL9" s="58">
        <f t="shared" si="2"/>
        <v>0</v>
      </c>
      <c r="BM9" s="58">
        <f t="shared" si="2"/>
        <v>0</v>
      </c>
      <c r="BN9" s="58">
        <f t="shared" si="2"/>
        <v>0</v>
      </c>
      <c r="BO9" s="58">
        <f t="shared" si="2"/>
        <v>0</v>
      </c>
    </row>
    <row r="10" spans="2:67" x14ac:dyDescent="0.35">
      <c r="B10" s="58">
        <v>4</v>
      </c>
      <c r="C10" s="58" t="s">
        <v>128</v>
      </c>
      <c r="D10" s="58">
        <v>1</v>
      </c>
      <c r="E10" s="58">
        <f>D10*VLOOKUP($C10,物品定价!$B:$D,3,0)</f>
        <v>1</v>
      </c>
      <c r="F10" s="60">
        <v>0.45</v>
      </c>
      <c r="G10" s="58">
        <f>E10*F10</f>
        <v>0.45</v>
      </c>
      <c r="H10" s="58">
        <f>1*F10</f>
        <v>0.45</v>
      </c>
      <c r="I10" s="61"/>
      <c r="J10" s="58" t="s">
        <v>245</v>
      </c>
      <c r="K10" s="58">
        <f>H12*D12</f>
        <v>0.05</v>
      </c>
      <c r="L10" s="58">
        <f>K10*$E$4</f>
        <v>19.200000000000003</v>
      </c>
      <c r="O10" s="58">
        <v>4</v>
      </c>
      <c r="P10" s="58">
        <v>36</v>
      </c>
      <c r="Q10" s="59">
        <f t="shared" si="4"/>
        <v>238.05</v>
      </c>
      <c r="R10" s="58">
        <f t="shared" si="5"/>
        <v>238.05</v>
      </c>
      <c r="S10" s="58">
        <f t="shared" si="5"/>
        <v>119.03</v>
      </c>
      <c r="T10" s="58">
        <f t="shared" si="5"/>
        <v>59.51</v>
      </c>
      <c r="U10" s="58">
        <f t="shared" si="5"/>
        <v>29.76</v>
      </c>
      <c r="V10" s="58">
        <f t="shared" si="5"/>
        <v>14.88</v>
      </c>
      <c r="W10" s="58">
        <f t="shared" si="5"/>
        <v>7.44</v>
      </c>
      <c r="X10" s="58">
        <f t="shared" si="5"/>
        <v>3.72</v>
      </c>
      <c r="Y10" s="58">
        <f t="shared" si="5"/>
        <v>1.86</v>
      </c>
      <c r="Z10" s="58">
        <f t="shared" si="5"/>
        <v>0.93</v>
      </c>
      <c r="AA10" s="58">
        <f t="shared" si="5"/>
        <v>0.46</v>
      </c>
      <c r="AB10" s="58">
        <f t="shared" si="6"/>
        <v>0.23</v>
      </c>
      <c r="AC10" s="58">
        <f t="shared" si="6"/>
        <v>0.12</v>
      </c>
      <c r="AD10" s="58">
        <f t="shared" si="2"/>
        <v>0.06</v>
      </c>
      <c r="AE10" s="58">
        <f t="shared" si="2"/>
        <v>0.03</v>
      </c>
      <c r="AF10" s="58">
        <f t="shared" si="2"/>
        <v>0.01</v>
      </c>
      <c r="AG10" s="58">
        <f t="shared" si="2"/>
        <v>0.01</v>
      </c>
      <c r="AH10" s="58">
        <f t="shared" si="2"/>
        <v>0</v>
      </c>
      <c r="AI10" s="58">
        <f t="shared" si="2"/>
        <v>0</v>
      </c>
      <c r="AJ10" s="58">
        <f t="shared" si="2"/>
        <v>0</v>
      </c>
      <c r="AK10" s="58">
        <f t="shared" si="2"/>
        <v>0</v>
      </c>
      <c r="AL10" s="58">
        <f t="shared" si="2"/>
        <v>0</v>
      </c>
      <c r="AM10" s="58">
        <f t="shared" si="2"/>
        <v>0</v>
      </c>
      <c r="AN10" s="58">
        <f t="shared" si="2"/>
        <v>0</v>
      </c>
      <c r="AO10" s="58">
        <f t="shared" si="2"/>
        <v>0</v>
      </c>
      <c r="AP10" s="58">
        <f t="shared" si="2"/>
        <v>0</v>
      </c>
      <c r="AQ10" s="58">
        <f t="shared" si="2"/>
        <v>0</v>
      </c>
      <c r="AR10" s="58">
        <f t="shared" si="2"/>
        <v>0</v>
      </c>
      <c r="AS10" s="58">
        <f t="shared" si="2"/>
        <v>0</v>
      </c>
      <c r="AT10" s="58">
        <f t="shared" si="2"/>
        <v>0</v>
      </c>
      <c r="AU10" s="58">
        <f t="shared" si="2"/>
        <v>0</v>
      </c>
      <c r="AV10" s="58">
        <f t="shared" si="2"/>
        <v>0</v>
      </c>
      <c r="AW10" s="58">
        <f t="shared" si="2"/>
        <v>0</v>
      </c>
      <c r="AX10" s="58">
        <f t="shared" si="2"/>
        <v>0</v>
      </c>
      <c r="AY10" s="58">
        <f t="shared" si="2"/>
        <v>0</v>
      </c>
      <c r="AZ10" s="58">
        <f t="shared" si="2"/>
        <v>0</v>
      </c>
      <c r="BA10" s="58">
        <f t="shared" si="2"/>
        <v>0</v>
      </c>
      <c r="BB10" s="58">
        <f t="shared" si="2"/>
        <v>0</v>
      </c>
      <c r="BC10" s="58">
        <f t="shared" si="2"/>
        <v>0</v>
      </c>
      <c r="BD10" s="58">
        <f t="shared" si="2"/>
        <v>0</v>
      </c>
      <c r="BE10" s="58">
        <f t="shared" si="2"/>
        <v>0</v>
      </c>
      <c r="BF10" s="58">
        <f t="shared" si="2"/>
        <v>0</v>
      </c>
      <c r="BG10" s="58">
        <f t="shared" si="2"/>
        <v>0</v>
      </c>
      <c r="BH10" s="58">
        <f t="shared" si="2"/>
        <v>0</v>
      </c>
      <c r="BI10" s="58">
        <f t="shared" si="2"/>
        <v>0</v>
      </c>
      <c r="BJ10" s="58">
        <f t="shared" si="2"/>
        <v>0</v>
      </c>
      <c r="BK10" s="58">
        <f t="shared" si="2"/>
        <v>0</v>
      </c>
      <c r="BL10" s="58">
        <f t="shared" si="2"/>
        <v>0</v>
      </c>
      <c r="BM10" s="58">
        <f t="shared" si="2"/>
        <v>0</v>
      </c>
      <c r="BN10" s="58">
        <f t="shared" si="2"/>
        <v>0</v>
      </c>
      <c r="BO10" s="58">
        <f t="shared" si="2"/>
        <v>0</v>
      </c>
    </row>
    <row r="11" spans="2:67" x14ac:dyDescent="0.35">
      <c r="B11" s="58">
        <v>5</v>
      </c>
      <c r="C11" s="58" t="s">
        <v>161</v>
      </c>
      <c r="D11" s="58">
        <v>1</v>
      </c>
      <c r="E11" s="58">
        <f>D11*VLOOKUP($C11,物品定价!$B:$D,3,0)</f>
        <v>2</v>
      </c>
      <c r="F11" s="60">
        <v>0.15</v>
      </c>
      <c r="G11" s="58">
        <f t="shared" ref="G11:G12" si="8">E11*F11</f>
        <v>0.3</v>
      </c>
      <c r="H11" s="58">
        <f>D11*F11</f>
        <v>0.15</v>
      </c>
      <c r="I11" s="61"/>
      <c r="J11" s="61"/>
      <c r="K11" s="61"/>
      <c r="L11" s="61"/>
      <c r="O11" s="58">
        <v>5</v>
      </c>
      <c r="P11" s="58">
        <v>39</v>
      </c>
      <c r="Q11" s="59">
        <f t="shared" si="4"/>
        <v>262.8</v>
      </c>
      <c r="R11" s="58">
        <f t="shared" si="5"/>
        <v>262.8</v>
      </c>
      <c r="S11" s="58">
        <f t="shared" si="5"/>
        <v>131.4</v>
      </c>
      <c r="T11" s="58">
        <f t="shared" si="5"/>
        <v>65.7</v>
      </c>
      <c r="U11" s="58">
        <f t="shared" si="5"/>
        <v>32.85</v>
      </c>
      <c r="V11" s="58">
        <f t="shared" si="5"/>
        <v>16.43</v>
      </c>
      <c r="W11" s="58">
        <f t="shared" si="5"/>
        <v>8.2100000000000009</v>
      </c>
      <c r="X11" s="58">
        <f t="shared" si="5"/>
        <v>4.1100000000000003</v>
      </c>
      <c r="Y11" s="58">
        <f t="shared" si="5"/>
        <v>2.0499999999999998</v>
      </c>
      <c r="Z11" s="58">
        <f t="shared" si="5"/>
        <v>1.03</v>
      </c>
      <c r="AA11" s="58">
        <f t="shared" si="5"/>
        <v>0.51</v>
      </c>
      <c r="AB11" s="58">
        <f t="shared" si="6"/>
        <v>0.26</v>
      </c>
      <c r="AC11" s="58">
        <f t="shared" si="6"/>
        <v>0.13</v>
      </c>
      <c r="AD11" s="58">
        <f t="shared" si="2"/>
        <v>0.06</v>
      </c>
      <c r="AE11" s="58">
        <f t="shared" si="2"/>
        <v>0.03</v>
      </c>
      <c r="AF11" s="58">
        <f t="shared" si="2"/>
        <v>0.02</v>
      </c>
      <c r="AG11" s="58">
        <f t="shared" si="2"/>
        <v>0.01</v>
      </c>
      <c r="AH11" s="58">
        <f t="shared" si="2"/>
        <v>0</v>
      </c>
      <c r="AI11" s="58">
        <f t="shared" si="2"/>
        <v>0</v>
      </c>
      <c r="AJ11" s="58">
        <f t="shared" si="2"/>
        <v>0</v>
      </c>
      <c r="AK11" s="58">
        <f t="shared" si="2"/>
        <v>0</v>
      </c>
      <c r="AL11" s="58">
        <f t="shared" si="2"/>
        <v>0</v>
      </c>
      <c r="AM11" s="58">
        <f t="shared" si="2"/>
        <v>0</v>
      </c>
      <c r="AN11" s="58">
        <f t="shared" si="2"/>
        <v>0</v>
      </c>
      <c r="AO11" s="58">
        <f t="shared" si="2"/>
        <v>0</v>
      </c>
      <c r="AP11" s="58">
        <f t="shared" si="2"/>
        <v>0</v>
      </c>
      <c r="AQ11" s="58">
        <f t="shared" si="2"/>
        <v>0</v>
      </c>
      <c r="AR11" s="58">
        <f t="shared" si="2"/>
        <v>0</v>
      </c>
      <c r="AS11" s="58">
        <f t="shared" si="2"/>
        <v>0</v>
      </c>
      <c r="AT11" s="58">
        <f t="shared" si="2"/>
        <v>0</v>
      </c>
      <c r="AU11" s="58">
        <f t="shared" si="2"/>
        <v>0</v>
      </c>
      <c r="AV11" s="58">
        <f t="shared" si="2"/>
        <v>0</v>
      </c>
      <c r="AW11" s="58">
        <f t="shared" si="2"/>
        <v>0</v>
      </c>
      <c r="AX11" s="58">
        <f t="shared" si="2"/>
        <v>0</v>
      </c>
      <c r="AY11" s="58">
        <f t="shared" si="2"/>
        <v>0</v>
      </c>
      <c r="AZ11" s="58">
        <f t="shared" si="2"/>
        <v>0</v>
      </c>
      <c r="BA11" s="58">
        <f t="shared" si="2"/>
        <v>0</v>
      </c>
      <c r="BB11" s="58">
        <f t="shared" si="2"/>
        <v>0</v>
      </c>
      <c r="BC11" s="58">
        <f t="shared" si="2"/>
        <v>0</v>
      </c>
      <c r="BD11" s="58">
        <f t="shared" si="2"/>
        <v>0</v>
      </c>
      <c r="BE11" s="58">
        <f t="shared" si="2"/>
        <v>0</v>
      </c>
      <c r="BF11" s="58">
        <f t="shared" si="2"/>
        <v>0</v>
      </c>
      <c r="BG11" s="58">
        <f t="shared" si="2"/>
        <v>0</v>
      </c>
      <c r="BH11" s="58">
        <f t="shared" si="2"/>
        <v>0</v>
      </c>
      <c r="BI11" s="58">
        <f t="shared" si="2"/>
        <v>0</v>
      </c>
      <c r="BJ11" s="58">
        <f t="shared" si="2"/>
        <v>0</v>
      </c>
      <c r="BK11" s="58">
        <f t="shared" si="2"/>
        <v>0</v>
      </c>
      <c r="BL11" s="58">
        <f t="shared" si="2"/>
        <v>0</v>
      </c>
      <c r="BM11" s="58">
        <f t="shared" si="2"/>
        <v>0</v>
      </c>
      <c r="BN11" s="58">
        <f t="shared" si="2"/>
        <v>0</v>
      </c>
      <c r="BO11" s="58">
        <f t="shared" si="2"/>
        <v>0</v>
      </c>
    </row>
    <row r="12" spans="2:67" x14ac:dyDescent="0.35">
      <c r="B12" s="58">
        <v>6</v>
      </c>
      <c r="C12" s="58" t="s">
        <v>245</v>
      </c>
      <c r="D12" s="58">
        <v>1</v>
      </c>
      <c r="E12" s="58">
        <f>D12*VLOOKUP($C12,物品定价!$B:$D,3,0)</f>
        <v>4</v>
      </c>
      <c r="F12" s="60">
        <v>0.05</v>
      </c>
      <c r="G12" s="58">
        <f t="shared" si="8"/>
        <v>0.2</v>
      </c>
      <c r="H12" s="58">
        <f t="shared" ref="H12" si="9">D12*F12</f>
        <v>0.05</v>
      </c>
      <c r="I12" s="61"/>
      <c r="J12" s="61"/>
      <c r="K12" s="61"/>
      <c r="L12" s="61"/>
      <c r="O12" s="58">
        <v>6</v>
      </c>
      <c r="P12" s="58">
        <v>41</v>
      </c>
      <c r="Q12" s="59">
        <f t="shared" si="4"/>
        <v>269.55</v>
      </c>
      <c r="R12" s="58">
        <f t="shared" si="5"/>
        <v>269.55</v>
      </c>
      <c r="S12" s="58">
        <f t="shared" si="5"/>
        <v>134.78</v>
      </c>
      <c r="T12" s="58">
        <f t="shared" si="5"/>
        <v>67.39</v>
      </c>
      <c r="U12" s="58">
        <f t="shared" si="5"/>
        <v>33.69</v>
      </c>
      <c r="V12" s="58">
        <f t="shared" si="5"/>
        <v>16.850000000000001</v>
      </c>
      <c r="W12" s="58">
        <f t="shared" si="5"/>
        <v>8.42</v>
      </c>
      <c r="X12" s="58">
        <f t="shared" si="5"/>
        <v>4.21</v>
      </c>
      <c r="Y12" s="58">
        <f t="shared" si="5"/>
        <v>2.11</v>
      </c>
      <c r="Z12" s="58">
        <f t="shared" si="5"/>
        <v>1.05</v>
      </c>
      <c r="AA12" s="58">
        <f t="shared" si="5"/>
        <v>0.53</v>
      </c>
      <c r="AB12" s="58">
        <f t="shared" si="6"/>
        <v>0.26</v>
      </c>
      <c r="AC12" s="58">
        <f t="shared" si="6"/>
        <v>0.13</v>
      </c>
      <c r="AD12" s="58">
        <f t="shared" si="2"/>
        <v>7.0000000000000007E-2</v>
      </c>
      <c r="AE12" s="58">
        <f t="shared" si="2"/>
        <v>0.03</v>
      </c>
      <c r="AF12" s="58">
        <f t="shared" si="2"/>
        <v>0.02</v>
      </c>
      <c r="AG12" s="58">
        <f t="shared" si="2"/>
        <v>0.01</v>
      </c>
      <c r="AH12" s="58">
        <f t="shared" si="2"/>
        <v>0</v>
      </c>
      <c r="AI12" s="58">
        <f t="shared" si="2"/>
        <v>0</v>
      </c>
      <c r="AJ12" s="58">
        <f t="shared" si="2"/>
        <v>0</v>
      </c>
      <c r="AK12" s="58">
        <f t="shared" si="2"/>
        <v>0</v>
      </c>
      <c r="AL12" s="58">
        <f t="shared" si="2"/>
        <v>0</v>
      </c>
      <c r="AM12" s="58">
        <f t="shared" si="2"/>
        <v>0</v>
      </c>
      <c r="AN12" s="58">
        <f t="shared" si="2"/>
        <v>0</v>
      </c>
      <c r="AO12" s="58">
        <f t="shared" si="2"/>
        <v>0</v>
      </c>
      <c r="AP12" s="58">
        <f t="shared" si="2"/>
        <v>0</v>
      </c>
      <c r="AQ12" s="58">
        <f t="shared" si="2"/>
        <v>0</v>
      </c>
      <c r="AR12" s="58">
        <f t="shared" si="2"/>
        <v>0</v>
      </c>
      <c r="AS12" s="58">
        <f t="shared" si="2"/>
        <v>0</v>
      </c>
      <c r="AT12" s="58">
        <f t="shared" si="2"/>
        <v>0</v>
      </c>
      <c r="AU12" s="58">
        <f t="shared" si="2"/>
        <v>0</v>
      </c>
      <c r="AV12" s="58">
        <f t="shared" si="2"/>
        <v>0</v>
      </c>
      <c r="AW12" s="58">
        <f t="shared" si="2"/>
        <v>0</v>
      </c>
      <c r="AX12" s="58">
        <f t="shared" si="2"/>
        <v>0</v>
      </c>
      <c r="AY12" s="58">
        <f t="shared" si="2"/>
        <v>0</v>
      </c>
      <c r="AZ12" s="58">
        <f t="shared" ref="AD12:BO17" si="10">ROUND($Q12/VLOOKUP(AZ$6,$P$45:$S$94,3,0),2)</f>
        <v>0</v>
      </c>
      <c r="BA12" s="58">
        <f t="shared" si="10"/>
        <v>0</v>
      </c>
      <c r="BB12" s="58">
        <f t="shared" si="10"/>
        <v>0</v>
      </c>
      <c r="BC12" s="58">
        <f t="shared" si="10"/>
        <v>0</v>
      </c>
      <c r="BD12" s="58">
        <f t="shared" si="10"/>
        <v>0</v>
      </c>
      <c r="BE12" s="58">
        <f t="shared" si="10"/>
        <v>0</v>
      </c>
      <c r="BF12" s="58">
        <f t="shared" si="10"/>
        <v>0</v>
      </c>
      <c r="BG12" s="58">
        <f t="shared" si="10"/>
        <v>0</v>
      </c>
      <c r="BH12" s="58">
        <f t="shared" si="10"/>
        <v>0</v>
      </c>
      <c r="BI12" s="58">
        <f t="shared" si="10"/>
        <v>0</v>
      </c>
      <c r="BJ12" s="58">
        <f t="shared" si="10"/>
        <v>0</v>
      </c>
      <c r="BK12" s="58">
        <f t="shared" si="10"/>
        <v>0</v>
      </c>
      <c r="BL12" s="58">
        <f t="shared" si="10"/>
        <v>0</v>
      </c>
      <c r="BM12" s="58">
        <f t="shared" si="10"/>
        <v>0</v>
      </c>
      <c r="BN12" s="58">
        <f t="shared" si="10"/>
        <v>0</v>
      </c>
      <c r="BO12" s="58">
        <f t="shared" si="10"/>
        <v>0</v>
      </c>
    </row>
    <row r="13" spans="2:67" x14ac:dyDescent="0.35">
      <c r="O13" s="58">
        <v>7</v>
      </c>
      <c r="P13" s="58">
        <v>43</v>
      </c>
      <c r="Q13" s="59">
        <f t="shared" si="4"/>
        <v>285.3</v>
      </c>
      <c r="R13" s="58">
        <f t="shared" si="5"/>
        <v>285.3</v>
      </c>
      <c r="S13" s="58">
        <f t="shared" si="5"/>
        <v>142.65</v>
      </c>
      <c r="T13" s="58">
        <f t="shared" si="5"/>
        <v>71.33</v>
      </c>
      <c r="U13" s="58">
        <f t="shared" si="5"/>
        <v>35.659999999999997</v>
      </c>
      <c r="V13" s="58">
        <f t="shared" si="5"/>
        <v>17.829999999999998</v>
      </c>
      <c r="W13" s="58">
        <f t="shared" si="5"/>
        <v>8.92</v>
      </c>
      <c r="X13" s="58">
        <f t="shared" si="5"/>
        <v>4.46</v>
      </c>
      <c r="Y13" s="58">
        <f t="shared" si="5"/>
        <v>2.23</v>
      </c>
      <c r="Z13" s="58">
        <f t="shared" si="5"/>
        <v>1.1100000000000001</v>
      </c>
      <c r="AA13" s="58">
        <f t="shared" si="5"/>
        <v>0.56000000000000005</v>
      </c>
      <c r="AB13" s="58">
        <f t="shared" si="6"/>
        <v>0.28000000000000003</v>
      </c>
      <c r="AC13" s="58">
        <f t="shared" si="6"/>
        <v>0.14000000000000001</v>
      </c>
      <c r="AD13" s="58">
        <f t="shared" si="10"/>
        <v>7.0000000000000007E-2</v>
      </c>
      <c r="AE13" s="58">
        <f t="shared" si="10"/>
        <v>0.03</v>
      </c>
      <c r="AF13" s="58">
        <f t="shared" si="10"/>
        <v>0.02</v>
      </c>
      <c r="AG13" s="58">
        <f t="shared" si="10"/>
        <v>0.01</v>
      </c>
      <c r="AH13" s="58">
        <f t="shared" si="10"/>
        <v>0</v>
      </c>
      <c r="AI13" s="58">
        <f t="shared" si="10"/>
        <v>0</v>
      </c>
      <c r="AJ13" s="58">
        <f t="shared" si="10"/>
        <v>0</v>
      </c>
      <c r="AK13" s="58">
        <f t="shared" si="10"/>
        <v>0</v>
      </c>
      <c r="AL13" s="58">
        <f t="shared" si="10"/>
        <v>0</v>
      </c>
      <c r="AM13" s="58">
        <f t="shared" si="10"/>
        <v>0</v>
      </c>
      <c r="AN13" s="58">
        <f t="shared" si="10"/>
        <v>0</v>
      </c>
      <c r="AO13" s="58">
        <f t="shared" si="10"/>
        <v>0</v>
      </c>
      <c r="AP13" s="58">
        <f t="shared" si="10"/>
        <v>0</v>
      </c>
      <c r="AQ13" s="58">
        <f t="shared" si="10"/>
        <v>0</v>
      </c>
      <c r="AR13" s="58">
        <f t="shared" si="10"/>
        <v>0</v>
      </c>
      <c r="AS13" s="58">
        <f t="shared" si="10"/>
        <v>0</v>
      </c>
      <c r="AT13" s="58">
        <f t="shared" si="10"/>
        <v>0</v>
      </c>
      <c r="AU13" s="58">
        <f t="shared" si="10"/>
        <v>0</v>
      </c>
      <c r="AV13" s="58">
        <f t="shared" si="10"/>
        <v>0</v>
      </c>
      <c r="AW13" s="58">
        <f t="shared" si="10"/>
        <v>0</v>
      </c>
      <c r="AX13" s="58">
        <f t="shared" si="10"/>
        <v>0</v>
      </c>
      <c r="AY13" s="58">
        <f t="shared" si="10"/>
        <v>0</v>
      </c>
      <c r="AZ13" s="58">
        <f t="shared" si="10"/>
        <v>0</v>
      </c>
      <c r="BA13" s="58">
        <f t="shared" si="10"/>
        <v>0</v>
      </c>
      <c r="BB13" s="58">
        <f t="shared" si="10"/>
        <v>0</v>
      </c>
      <c r="BC13" s="58">
        <f t="shared" si="10"/>
        <v>0</v>
      </c>
      <c r="BD13" s="58">
        <f t="shared" si="10"/>
        <v>0</v>
      </c>
      <c r="BE13" s="58">
        <f t="shared" si="10"/>
        <v>0</v>
      </c>
      <c r="BF13" s="58">
        <f t="shared" si="10"/>
        <v>0</v>
      </c>
      <c r="BG13" s="58">
        <f t="shared" si="10"/>
        <v>0</v>
      </c>
      <c r="BH13" s="58">
        <f t="shared" si="10"/>
        <v>0</v>
      </c>
      <c r="BI13" s="58">
        <f t="shared" si="10"/>
        <v>0</v>
      </c>
      <c r="BJ13" s="58">
        <f t="shared" si="10"/>
        <v>0</v>
      </c>
      <c r="BK13" s="58">
        <f t="shared" si="10"/>
        <v>0</v>
      </c>
      <c r="BL13" s="58">
        <f t="shared" si="10"/>
        <v>0</v>
      </c>
      <c r="BM13" s="58">
        <f t="shared" si="10"/>
        <v>0</v>
      </c>
      <c r="BN13" s="58">
        <f t="shared" si="10"/>
        <v>0</v>
      </c>
      <c r="BO13" s="58">
        <f t="shared" si="10"/>
        <v>0</v>
      </c>
    </row>
    <row r="14" spans="2:67" x14ac:dyDescent="0.35">
      <c r="O14" s="58">
        <v>10</v>
      </c>
      <c r="P14" s="58">
        <v>47</v>
      </c>
      <c r="Q14" s="59">
        <f t="shared" si="4"/>
        <v>885.15</v>
      </c>
      <c r="R14" s="58">
        <f t="shared" si="5"/>
        <v>885.15</v>
      </c>
      <c r="S14" s="58">
        <f t="shared" si="5"/>
        <v>442.58</v>
      </c>
      <c r="T14" s="58">
        <f t="shared" si="5"/>
        <v>221.29</v>
      </c>
      <c r="U14" s="58">
        <f t="shared" si="5"/>
        <v>110.64</v>
      </c>
      <c r="V14" s="58">
        <f t="shared" si="5"/>
        <v>55.32</v>
      </c>
      <c r="W14" s="58">
        <f t="shared" si="5"/>
        <v>27.66</v>
      </c>
      <c r="X14" s="58">
        <f t="shared" si="5"/>
        <v>13.83</v>
      </c>
      <c r="Y14" s="58">
        <f t="shared" si="5"/>
        <v>6.92</v>
      </c>
      <c r="Z14" s="58">
        <f t="shared" si="5"/>
        <v>3.46</v>
      </c>
      <c r="AA14" s="58">
        <f t="shared" si="5"/>
        <v>1.73</v>
      </c>
      <c r="AB14" s="58">
        <f t="shared" si="6"/>
        <v>0.86</v>
      </c>
      <c r="AC14" s="58">
        <f t="shared" si="6"/>
        <v>0.43</v>
      </c>
      <c r="AD14" s="58">
        <f t="shared" si="10"/>
        <v>0.22</v>
      </c>
      <c r="AE14" s="58">
        <f t="shared" si="10"/>
        <v>0.11</v>
      </c>
      <c r="AF14" s="58">
        <f t="shared" si="10"/>
        <v>0.05</v>
      </c>
      <c r="AG14" s="58">
        <f t="shared" si="10"/>
        <v>0.03</v>
      </c>
      <c r="AH14" s="58">
        <f t="shared" si="10"/>
        <v>0.01</v>
      </c>
      <c r="AI14" s="58">
        <f t="shared" si="10"/>
        <v>0.01</v>
      </c>
      <c r="AJ14" s="58">
        <f t="shared" si="10"/>
        <v>0</v>
      </c>
      <c r="AK14" s="58">
        <f t="shared" si="10"/>
        <v>0</v>
      </c>
      <c r="AL14" s="58">
        <f t="shared" si="10"/>
        <v>0</v>
      </c>
      <c r="AM14" s="58">
        <f t="shared" si="10"/>
        <v>0</v>
      </c>
      <c r="AN14" s="58">
        <f t="shared" si="10"/>
        <v>0</v>
      </c>
      <c r="AO14" s="58">
        <f t="shared" si="10"/>
        <v>0</v>
      </c>
      <c r="AP14" s="58">
        <f t="shared" si="10"/>
        <v>0</v>
      </c>
      <c r="AQ14" s="58">
        <f t="shared" si="10"/>
        <v>0</v>
      </c>
      <c r="AR14" s="58">
        <f t="shared" si="10"/>
        <v>0</v>
      </c>
      <c r="AS14" s="58">
        <f t="shared" si="10"/>
        <v>0</v>
      </c>
      <c r="AT14" s="58">
        <f t="shared" si="10"/>
        <v>0</v>
      </c>
      <c r="AU14" s="58">
        <f t="shared" si="10"/>
        <v>0</v>
      </c>
      <c r="AV14" s="58">
        <f t="shared" si="10"/>
        <v>0</v>
      </c>
      <c r="AW14" s="58">
        <f t="shared" si="10"/>
        <v>0</v>
      </c>
      <c r="AX14" s="58">
        <f t="shared" si="10"/>
        <v>0</v>
      </c>
      <c r="AY14" s="58">
        <f t="shared" si="10"/>
        <v>0</v>
      </c>
      <c r="AZ14" s="58">
        <f t="shared" si="10"/>
        <v>0</v>
      </c>
      <c r="BA14" s="58">
        <f t="shared" si="10"/>
        <v>0</v>
      </c>
      <c r="BB14" s="58">
        <f t="shared" si="10"/>
        <v>0</v>
      </c>
      <c r="BC14" s="58">
        <f t="shared" si="10"/>
        <v>0</v>
      </c>
      <c r="BD14" s="58">
        <f t="shared" si="10"/>
        <v>0</v>
      </c>
      <c r="BE14" s="58">
        <f t="shared" si="10"/>
        <v>0</v>
      </c>
      <c r="BF14" s="58">
        <f t="shared" si="10"/>
        <v>0</v>
      </c>
      <c r="BG14" s="58">
        <f t="shared" si="10"/>
        <v>0</v>
      </c>
      <c r="BH14" s="58">
        <f t="shared" si="10"/>
        <v>0</v>
      </c>
      <c r="BI14" s="58">
        <f t="shared" si="10"/>
        <v>0</v>
      </c>
      <c r="BJ14" s="58">
        <f t="shared" si="10"/>
        <v>0</v>
      </c>
      <c r="BK14" s="58">
        <f t="shared" si="10"/>
        <v>0</v>
      </c>
      <c r="BL14" s="58">
        <f t="shared" si="10"/>
        <v>0</v>
      </c>
      <c r="BM14" s="58">
        <f t="shared" si="10"/>
        <v>0</v>
      </c>
      <c r="BN14" s="58">
        <f t="shared" si="10"/>
        <v>0</v>
      </c>
      <c r="BO14" s="58">
        <f t="shared" si="10"/>
        <v>0</v>
      </c>
    </row>
    <row r="15" spans="2:67" x14ac:dyDescent="0.35">
      <c r="B15" s="56" t="s">
        <v>247</v>
      </c>
      <c r="F15" s="69">
        <f>SUM(F17:F22)</f>
        <v>0.99999999999999989</v>
      </c>
      <c r="O15" s="58">
        <v>15</v>
      </c>
      <c r="P15" s="58">
        <v>53</v>
      </c>
      <c r="Q15" s="59">
        <f t="shared" si="4"/>
        <v>1570.5</v>
      </c>
      <c r="R15" s="58">
        <f t="shared" si="5"/>
        <v>1570.5</v>
      </c>
      <c r="S15" s="58">
        <f t="shared" si="5"/>
        <v>785.25</v>
      </c>
      <c r="T15" s="58">
        <f t="shared" si="5"/>
        <v>392.63</v>
      </c>
      <c r="U15" s="58">
        <f t="shared" si="5"/>
        <v>196.31</v>
      </c>
      <c r="V15" s="58">
        <f t="shared" si="5"/>
        <v>98.16</v>
      </c>
      <c r="W15" s="58">
        <f t="shared" si="5"/>
        <v>49.08</v>
      </c>
      <c r="X15" s="58">
        <f t="shared" si="5"/>
        <v>24.54</v>
      </c>
      <c r="Y15" s="58">
        <f t="shared" si="5"/>
        <v>12.27</v>
      </c>
      <c r="Z15" s="58">
        <f t="shared" si="5"/>
        <v>6.13</v>
      </c>
      <c r="AA15" s="58">
        <f t="shared" si="5"/>
        <v>3.07</v>
      </c>
      <c r="AB15" s="58">
        <f t="shared" si="6"/>
        <v>1.53</v>
      </c>
      <c r="AC15" s="58">
        <f t="shared" si="6"/>
        <v>0.77</v>
      </c>
      <c r="AD15" s="58">
        <f t="shared" si="10"/>
        <v>0.38</v>
      </c>
      <c r="AE15" s="58">
        <f t="shared" si="10"/>
        <v>0.19</v>
      </c>
      <c r="AF15" s="58">
        <f t="shared" si="10"/>
        <v>0.1</v>
      </c>
      <c r="AG15" s="58">
        <f t="shared" si="10"/>
        <v>0.05</v>
      </c>
      <c r="AH15" s="58">
        <f t="shared" si="10"/>
        <v>0.02</v>
      </c>
      <c r="AI15" s="58">
        <f t="shared" si="10"/>
        <v>0.01</v>
      </c>
      <c r="AJ15" s="58">
        <f t="shared" si="10"/>
        <v>0.01</v>
      </c>
      <c r="AK15" s="58">
        <f t="shared" si="10"/>
        <v>0</v>
      </c>
      <c r="AL15" s="58">
        <f t="shared" si="10"/>
        <v>0</v>
      </c>
      <c r="AM15" s="58">
        <f t="shared" si="10"/>
        <v>0</v>
      </c>
      <c r="AN15" s="58">
        <f t="shared" si="10"/>
        <v>0</v>
      </c>
      <c r="AO15" s="58">
        <f t="shared" si="10"/>
        <v>0</v>
      </c>
      <c r="AP15" s="58">
        <f t="shared" si="10"/>
        <v>0</v>
      </c>
      <c r="AQ15" s="58">
        <f t="shared" si="10"/>
        <v>0</v>
      </c>
      <c r="AR15" s="58">
        <f t="shared" si="10"/>
        <v>0</v>
      </c>
      <c r="AS15" s="58">
        <f t="shared" si="10"/>
        <v>0</v>
      </c>
      <c r="AT15" s="58">
        <f t="shared" si="10"/>
        <v>0</v>
      </c>
      <c r="AU15" s="58">
        <f t="shared" si="10"/>
        <v>0</v>
      </c>
      <c r="AV15" s="58">
        <f t="shared" si="10"/>
        <v>0</v>
      </c>
      <c r="AW15" s="58">
        <f t="shared" si="10"/>
        <v>0</v>
      </c>
      <c r="AX15" s="58">
        <f t="shared" si="10"/>
        <v>0</v>
      </c>
      <c r="AY15" s="58">
        <f t="shared" si="10"/>
        <v>0</v>
      </c>
      <c r="AZ15" s="58">
        <f t="shared" si="10"/>
        <v>0</v>
      </c>
      <c r="BA15" s="58">
        <f t="shared" si="10"/>
        <v>0</v>
      </c>
      <c r="BB15" s="58">
        <f t="shared" si="10"/>
        <v>0</v>
      </c>
      <c r="BC15" s="58">
        <f t="shared" si="10"/>
        <v>0</v>
      </c>
      <c r="BD15" s="58">
        <f t="shared" si="10"/>
        <v>0</v>
      </c>
      <c r="BE15" s="58">
        <f t="shared" si="10"/>
        <v>0</v>
      </c>
      <c r="BF15" s="58">
        <f t="shared" si="10"/>
        <v>0</v>
      </c>
      <c r="BG15" s="58">
        <f t="shared" si="10"/>
        <v>0</v>
      </c>
      <c r="BH15" s="58">
        <f t="shared" si="10"/>
        <v>0</v>
      </c>
      <c r="BI15" s="58">
        <f t="shared" si="10"/>
        <v>0</v>
      </c>
      <c r="BJ15" s="58">
        <f t="shared" si="10"/>
        <v>0</v>
      </c>
      <c r="BK15" s="58">
        <f t="shared" si="10"/>
        <v>0</v>
      </c>
      <c r="BL15" s="58">
        <f t="shared" si="10"/>
        <v>0</v>
      </c>
      <c r="BM15" s="58">
        <f t="shared" si="10"/>
        <v>0</v>
      </c>
      <c r="BN15" s="58">
        <f t="shared" si="10"/>
        <v>0</v>
      </c>
      <c r="BO15" s="58">
        <f t="shared" si="10"/>
        <v>0</v>
      </c>
    </row>
    <row r="16" spans="2:67" x14ac:dyDescent="0.35">
      <c r="B16" s="58" t="s">
        <v>114</v>
      </c>
      <c r="C16" s="58" t="s">
        <v>115</v>
      </c>
      <c r="D16" s="58" t="s">
        <v>116</v>
      </c>
      <c r="E16" s="58" t="s">
        <v>117</v>
      </c>
      <c r="F16" s="58" t="s">
        <v>118</v>
      </c>
      <c r="G16" s="58" t="s">
        <v>119</v>
      </c>
      <c r="H16" s="58" t="s">
        <v>120</v>
      </c>
      <c r="I16" s="61"/>
      <c r="J16" s="58" t="s">
        <v>115</v>
      </c>
      <c r="K16" s="58" t="s">
        <v>130</v>
      </c>
      <c r="L16" s="58" t="s">
        <v>131</v>
      </c>
      <c r="O16" s="58">
        <v>30</v>
      </c>
      <c r="P16" s="58">
        <v>64</v>
      </c>
      <c r="Q16" s="59">
        <f t="shared" si="4"/>
        <v>5019.75</v>
      </c>
      <c r="R16" s="58">
        <f t="shared" si="5"/>
        <v>5019.75</v>
      </c>
      <c r="S16" s="58">
        <f t="shared" si="5"/>
        <v>2509.88</v>
      </c>
      <c r="T16" s="58">
        <f t="shared" si="5"/>
        <v>1254.94</v>
      </c>
      <c r="U16" s="58">
        <f t="shared" si="5"/>
        <v>627.47</v>
      </c>
      <c r="V16" s="58">
        <f t="shared" si="5"/>
        <v>313.73</v>
      </c>
      <c r="W16" s="58">
        <f t="shared" si="5"/>
        <v>156.87</v>
      </c>
      <c r="X16" s="58">
        <f t="shared" si="5"/>
        <v>78.430000000000007</v>
      </c>
      <c r="Y16" s="58">
        <f t="shared" si="5"/>
        <v>39.22</v>
      </c>
      <c r="Z16" s="58">
        <f t="shared" si="5"/>
        <v>19.61</v>
      </c>
      <c r="AA16" s="58">
        <f t="shared" si="5"/>
        <v>9.8000000000000007</v>
      </c>
      <c r="AB16" s="58">
        <f t="shared" si="6"/>
        <v>4.9000000000000004</v>
      </c>
      <c r="AC16" s="58">
        <f t="shared" si="6"/>
        <v>2.4500000000000002</v>
      </c>
      <c r="AD16" s="58">
        <f t="shared" si="10"/>
        <v>1.23</v>
      </c>
      <c r="AE16" s="58">
        <f t="shared" si="10"/>
        <v>0.61</v>
      </c>
      <c r="AF16" s="58">
        <f t="shared" si="10"/>
        <v>0.31</v>
      </c>
      <c r="AG16" s="58">
        <f t="shared" si="10"/>
        <v>0.15</v>
      </c>
      <c r="AH16" s="58">
        <f t="shared" si="10"/>
        <v>0.08</v>
      </c>
      <c r="AI16" s="58">
        <f t="shared" si="10"/>
        <v>0.04</v>
      </c>
      <c r="AJ16" s="58">
        <f t="shared" si="10"/>
        <v>0.02</v>
      </c>
      <c r="AK16" s="58">
        <f t="shared" si="10"/>
        <v>0.01</v>
      </c>
      <c r="AL16" s="58">
        <f t="shared" si="10"/>
        <v>0</v>
      </c>
      <c r="AM16" s="58">
        <f t="shared" si="10"/>
        <v>0</v>
      </c>
      <c r="AN16" s="58">
        <f t="shared" si="10"/>
        <v>0</v>
      </c>
      <c r="AO16" s="58">
        <f t="shared" si="10"/>
        <v>0</v>
      </c>
      <c r="AP16" s="58">
        <f t="shared" si="10"/>
        <v>0</v>
      </c>
      <c r="AQ16" s="58">
        <f t="shared" si="10"/>
        <v>0</v>
      </c>
      <c r="AR16" s="58">
        <f t="shared" si="10"/>
        <v>0</v>
      </c>
      <c r="AS16" s="58">
        <f t="shared" si="10"/>
        <v>0</v>
      </c>
      <c r="AT16" s="58">
        <f t="shared" si="10"/>
        <v>0</v>
      </c>
      <c r="AU16" s="58">
        <f t="shared" si="10"/>
        <v>0</v>
      </c>
      <c r="AV16" s="58">
        <f t="shared" si="10"/>
        <v>0</v>
      </c>
      <c r="AW16" s="58">
        <f t="shared" si="10"/>
        <v>0</v>
      </c>
      <c r="AX16" s="58">
        <f t="shared" si="10"/>
        <v>0</v>
      </c>
      <c r="AY16" s="58">
        <f t="shared" si="10"/>
        <v>0</v>
      </c>
      <c r="AZ16" s="58">
        <f t="shared" si="10"/>
        <v>0</v>
      </c>
      <c r="BA16" s="58">
        <f t="shared" si="10"/>
        <v>0</v>
      </c>
      <c r="BB16" s="58">
        <f t="shared" si="10"/>
        <v>0</v>
      </c>
      <c r="BC16" s="58">
        <f t="shared" si="10"/>
        <v>0</v>
      </c>
      <c r="BD16" s="58">
        <f t="shared" si="10"/>
        <v>0</v>
      </c>
      <c r="BE16" s="58">
        <f t="shared" si="10"/>
        <v>0</v>
      </c>
      <c r="BF16" s="58">
        <f t="shared" si="10"/>
        <v>0</v>
      </c>
      <c r="BG16" s="58">
        <f t="shared" si="10"/>
        <v>0</v>
      </c>
      <c r="BH16" s="58">
        <f t="shared" si="10"/>
        <v>0</v>
      </c>
      <c r="BI16" s="58">
        <f t="shared" si="10"/>
        <v>0</v>
      </c>
      <c r="BJ16" s="58">
        <f t="shared" si="10"/>
        <v>0</v>
      </c>
      <c r="BK16" s="58">
        <f t="shared" si="10"/>
        <v>0</v>
      </c>
      <c r="BL16" s="58">
        <f t="shared" si="10"/>
        <v>0</v>
      </c>
      <c r="BM16" s="58">
        <f t="shared" si="10"/>
        <v>0</v>
      </c>
      <c r="BN16" s="58">
        <f t="shared" si="10"/>
        <v>0</v>
      </c>
      <c r="BO16" s="58">
        <f t="shared" si="10"/>
        <v>0</v>
      </c>
    </row>
    <row r="17" spans="2:67" x14ac:dyDescent="0.35">
      <c r="B17" s="58">
        <v>1</v>
      </c>
      <c r="C17" s="58" t="s">
        <v>1</v>
      </c>
      <c r="D17" s="58">
        <v>6000</v>
      </c>
      <c r="E17" s="58">
        <f>D17*VLOOKUP($C17,物品定价!$B:$D,3,0)</f>
        <v>6</v>
      </c>
      <c r="F17" s="60">
        <v>0.2</v>
      </c>
      <c r="G17" s="58">
        <f t="shared" ref="G17:G19" si="11">E17*F17</f>
        <v>1.2000000000000002</v>
      </c>
      <c r="H17" s="58">
        <f>1*F17</f>
        <v>0.2</v>
      </c>
      <c r="I17" s="61"/>
      <c r="J17" s="58" t="s">
        <v>1</v>
      </c>
      <c r="K17" s="58">
        <f>SUMPRODUCT(D17:D19,H17:H19)</f>
        <v>3600</v>
      </c>
      <c r="L17" s="58">
        <f>K17*$E$4</f>
        <v>1382400</v>
      </c>
      <c r="O17" s="58">
        <v>60</v>
      </c>
      <c r="P17" s="58">
        <v>76</v>
      </c>
      <c r="Q17" s="59">
        <f t="shared" si="4"/>
        <v>10422</v>
      </c>
      <c r="R17" s="58">
        <f t="shared" si="5"/>
        <v>10422</v>
      </c>
      <c r="S17" s="58">
        <f t="shared" si="5"/>
        <v>5211</v>
      </c>
      <c r="T17" s="58">
        <f t="shared" si="5"/>
        <v>2605.5</v>
      </c>
      <c r="U17" s="58">
        <f t="shared" si="5"/>
        <v>1302.75</v>
      </c>
      <c r="V17" s="58">
        <f t="shared" si="5"/>
        <v>651.38</v>
      </c>
      <c r="W17" s="58">
        <f t="shared" si="5"/>
        <v>325.69</v>
      </c>
      <c r="X17" s="58">
        <f t="shared" si="5"/>
        <v>162.84</v>
      </c>
      <c r="Y17" s="58">
        <f t="shared" si="5"/>
        <v>81.42</v>
      </c>
      <c r="Z17" s="58">
        <f t="shared" si="5"/>
        <v>40.71</v>
      </c>
      <c r="AA17" s="58">
        <f t="shared" si="5"/>
        <v>20.36</v>
      </c>
      <c r="AB17" s="58">
        <f t="shared" si="6"/>
        <v>10.18</v>
      </c>
      <c r="AC17" s="58">
        <f t="shared" si="6"/>
        <v>5.09</v>
      </c>
      <c r="AD17" s="58">
        <f t="shared" si="10"/>
        <v>2.54</v>
      </c>
      <c r="AE17" s="58">
        <f t="shared" si="10"/>
        <v>1.27</v>
      </c>
      <c r="AF17" s="58">
        <f t="shared" si="10"/>
        <v>0.64</v>
      </c>
      <c r="AG17" s="58">
        <f t="shared" si="10"/>
        <v>0.32</v>
      </c>
      <c r="AH17" s="58">
        <f t="shared" si="10"/>
        <v>0.16</v>
      </c>
      <c r="AI17" s="58">
        <f t="shared" si="10"/>
        <v>0.08</v>
      </c>
      <c r="AJ17" s="58">
        <f t="shared" si="10"/>
        <v>0.04</v>
      </c>
      <c r="AK17" s="58">
        <f t="shared" si="10"/>
        <v>0.02</v>
      </c>
      <c r="AL17" s="58">
        <f t="shared" si="10"/>
        <v>0.01</v>
      </c>
      <c r="AM17" s="58">
        <f t="shared" si="10"/>
        <v>0</v>
      </c>
      <c r="AN17" s="58">
        <f t="shared" si="10"/>
        <v>0</v>
      </c>
      <c r="AO17" s="58">
        <f t="shared" si="10"/>
        <v>0</v>
      </c>
      <c r="AP17" s="58">
        <f t="shared" si="10"/>
        <v>0</v>
      </c>
      <c r="AQ17" s="58">
        <f t="shared" si="10"/>
        <v>0</v>
      </c>
      <c r="AR17" s="58">
        <f t="shared" si="10"/>
        <v>0</v>
      </c>
      <c r="AS17" s="58">
        <f t="shared" si="10"/>
        <v>0</v>
      </c>
      <c r="AT17" s="58">
        <f t="shared" si="10"/>
        <v>0</v>
      </c>
      <c r="AU17" s="58">
        <f t="shared" si="10"/>
        <v>0</v>
      </c>
      <c r="AV17" s="58">
        <f t="shared" si="10"/>
        <v>0</v>
      </c>
      <c r="AW17" s="58">
        <f t="shared" si="10"/>
        <v>0</v>
      </c>
      <c r="AX17" s="58">
        <f t="shared" si="10"/>
        <v>0</v>
      </c>
      <c r="AY17" s="58">
        <f t="shared" si="10"/>
        <v>0</v>
      </c>
      <c r="AZ17" s="58">
        <f t="shared" si="10"/>
        <v>0</v>
      </c>
      <c r="BA17" s="58">
        <f t="shared" si="10"/>
        <v>0</v>
      </c>
      <c r="BB17" s="58">
        <f t="shared" si="10"/>
        <v>0</v>
      </c>
      <c r="BC17" s="58">
        <f t="shared" si="10"/>
        <v>0</v>
      </c>
      <c r="BD17" s="58">
        <f t="shared" si="10"/>
        <v>0</v>
      </c>
      <c r="BE17" s="58">
        <f t="shared" si="10"/>
        <v>0</v>
      </c>
      <c r="BF17" s="58">
        <f t="shared" si="10"/>
        <v>0</v>
      </c>
      <c r="BG17" s="58">
        <f t="shared" si="10"/>
        <v>0</v>
      </c>
      <c r="BH17" s="58">
        <f t="shared" si="10"/>
        <v>0</v>
      </c>
      <c r="BI17" s="58">
        <f t="shared" si="10"/>
        <v>0</v>
      </c>
      <c r="BJ17" s="58">
        <f t="shared" si="10"/>
        <v>0</v>
      </c>
      <c r="BK17" s="58">
        <f t="shared" si="10"/>
        <v>0</v>
      </c>
      <c r="BL17" s="58">
        <f t="shared" si="10"/>
        <v>0</v>
      </c>
      <c r="BM17" s="58">
        <f t="shared" si="10"/>
        <v>0</v>
      </c>
      <c r="BN17" s="58">
        <f t="shared" si="10"/>
        <v>0</v>
      </c>
      <c r="BO17" s="58">
        <f t="shared" si="10"/>
        <v>0</v>
      </c>
    </row>
    <row r="18" spans="2:67" x14ac:dyDescent="0.35">
      <c r="B18" s="58">
        <v>2</v>
      </c>
      <c r="C18" s="58" t="s">
        <v>1</v>
      </c>
      <c r="D18" s="58">
        <f>D17*2</f>
        <v>12000</v>
      </c>
      <c r="E18" s="58">
        <f>D18*VLOOKUP($C18,物品定价!$B:$D,3,0)</f>
        <v>12</v>
      </c>
      <c r="F18" s="60">
        <v>0.1</v>
      </c>
      <c r="G18" s="58">
        <f t="shared" si="11"/>
        <v>1.2000000000000002</v>
      </c>
      <c r="H18" s="58">
        <f t="shared" ref="H18:H19" si="12">1*F18</f>
        <v>0.1</v>
      </c>
      <c r="I18" s="61"/>
      <c r="J18" s="58" t="s">
        <v>128</v>
      </c>
      <c r="K18" s="58">
        <f>H20*D20</f>
        <v>0.35</v>
      </c>
      <c r="L18" s="58">
        <f>K18*$E$4</f>
        <v>134.39999999999998</v>
      </c>
      <c r="O18" s="58">
        <v>90</v>
      </c>
      <c r="P18" s="58">
        <v>84</v>
      </c>
      <c r="Q18" s="59">
        <f t="shared" si="4"/>
        <v>10723.5</v>
      </c>
      <c r="R18" s="58">
        <f t="shared" si="5"/>
        <v>10723.5</v>
      </c>
      <c r="S18" s="58">
        <f t="shared" si="5"/>
        <v>5361.75</v>
      </c>
      <c r="T18" s="58">
        <f t="shared" si="5"/>
        <v>2680.88</v>
      </c>
      <c r="U18" s="58">
        <f t="shared" si="5"/>
        <v>1340.44</v>
      </c>
      <c r="V18" s="58">
        <f t="shared" si="5"/>
        <v>670.22</v>
      </c>
      <c r="W18" s="58">
        <f t="shared" si="5"/>
        <v>335.11</v>
      </c>
      <c r="X18" s="58">
        <f t="shared" si="5"/>
        <v>167.55</v>
      </c>
      <c r="Y18" s="58">
        <f t="shared" si="5"/>
        <v>83.78</v>
      </c>
      <c r="Z18" s="58">
        <f t="shared" si="5"/>
        <v>41.89</v>
      </c>
      <c r="AA18" s="58">
        <f t="shared" si="5"/>
        <v>20.94</v>
      </c>
      <c r="AB18" s="58">
        <f t="shared" si="6"/>
        <v>10.47</v>
      </c>
      <c r="AC18" s="58">
        <f t="shared" si="6"/>
        <v>5.24</v>
      </c>
      <c r="AD18" s="58">
        <f t="shared" ref="AD18:BO20" si="13">ROUND($Q18/VLOOKUP(AD$6,$P$45:$S$94,3,0),2)</f>
        <v>2.62</v>
      </c>
      <c r="AE18" s="58">
        <f t="shared" si="13"/>
        <v>1.31</v>
      </c>
      <c r="AF18" s="58">
        <f t="shared" si="13"/>
        <v>0.65</v>
      </c>
      <c r="AG18" s="58">
        <f t="shared" si="13"/>
        <v>0.33</v>
      </c>
      <c r="AH18" s="58">
        <f t="shared" si="13"/>
        <v>0.16</v>
      </c>
      <c r="AI18" s="58">
        <f t="shared" si="13"/>
        <v>0.08</v>
      </c>
      <c r="AJ18" s="58">
        <f t="shared" si="13"/>
        <v>0.04</v>
      </c>
      <c r="AK18" s="58">
        <f t="shared" si="13"/>
        <v>0.02</v>
      </c>
      <c r="AL18" s="58">
        <f t="shared" si="13"/>
        <v>0.01</v>
      </c>
      <c r="AM18" s="58">
        <f t="shared" si="13"/>
        <v>0.01</v>
      </c>
      <c r="AN18" s="58">
        <f t="shared" si="13"/>
        <v>0</v>
      </c>
      <c r="AO18" s="58">
        <f t="shared" si="13"/>
        <v>0</v>
      </c>
      <c r="AP18" s="58">
        <f t="shared" si="13"/>
        <v>0</v>
      </c>
      <c r="AQ18" s="58">
        <f t="shared" si="13"/>
        <v>0</v>
      </c>
      <c r="AR18" s="58">
        <f t="shared" si="13"/>
        <v>0</v>
      </c>
      <c r="AS18" s="58">
        <f t="shared" si="13"/>
        <v>0</v>
      </c>
      <c r="AT18" s="58">
        <f t="shared" si="13"/>
        <v>0</v>
      </c>
      <c r="AU18" s="58">
        <f t="shared" si="13"/>
        <v>0</v>
      </c>
      <c r="AV18" s="58">
        <f t="shared" si="13"/>
        <v>0</v>
      </c>
      <c r="AW18" s="58">
        <f t="shared" si="13"/>
        <v>0</v>
      </c>
      <c r="AX18" s="58">
        <f t="shared" si="13"/>
        <v>0</v>
      </c>
      <c r="AY18" s="58">
        <f t="shared" si="13"/>
        <v>0</v>
      </c>
      <c r="AZ18" s="58">
        <f t="shared" si="13"/>
        <v>0</v>
      </c>
      <c r="BA18" s="58">
        <f t="shared" si="13"/>
        <v>0</v>
      </c>
      <c r="BB18" s="58">
        <f t="shared" si="13"/>
        <v>0</v>
      </c>
      <c r="BC18" s="58">
        <f t="shared" si="13"/>
        <v>0</v>
      </c>
      <c r="BD18" s="58">
        <f t="shared" si="13"/>
        <v>0</v>
      </c>
      <c r="BE18" s="58">
        <f t="shared" si="13"/>
        <v>0</v>
      </c>
      <c r="BF18" s="58">
        <f t="shared" si="13"/>
        <v>0</v>
      </c>
      <c r="BG18" s="58">
        <f t="shared" si="13"/>
        <v>0</v>
      </c>
      <c r="BH18" s="58">
        <f t="shared" si="13"/>
        <v>0</v>
      </c>
      <c r="BI18" s="58">
        <f t="shared" si="13"/>
        <v>0</v>
      </c>
      <c r="BJ18" s="58">
        <f t="shared" si="13"/>
        <v>0</v>
      </c>
      <c r="BK18" s="58">
        <f t="shared" si="13"/>
        <v>0</v>
      </c>
      <c r="BL18" s="58">
        <f t="shared" si="13"/>
        <v>0</v>
      </c>
      <c r="BM18" s="58">
        <f t="shared" si="13"/>
        <v>0</v>
      </c>
      <c r="BN18" s="58">
        <f t="shared" si="13"/>
        <v>0</v>
      </c>
      <c r="BO18" s="58">
        <f t="shared" si="13"/>
        <v>0</v>
      </c>
    </row>
    <row r="19" spans="2:67" x14ac:dyDescent="0.35">
      <c r="B19" s="58">
        <v>3</v>
      </c>
      <c r="C19" s="58" t="s">
        <v>1</v>
      </c>
      <c r="D19" s="58">
        <f t="shared" ref="D19" si="14">D18*2</f>
        <v>24000</v>
      </c>
      <c r="E19" s="58">
        <f>D19*VLOOKUP($C19,物品定价!$B:$D,3,0)</f>
        <v>24</v>
      </c>
      <c r="F19" s="60">
        <v>0.05</v>
      </c>
      <c r="G19" s="58">
        <f t="shared" si="11"/>
        <v>1.2000000000000002</v>
      </c>
      <c r="H19" s="58">
        <f t="shared" si="12"/>
        <v>0.05</v>
      </c>
      <c r="I19" s="61"/>
      <c r="J19" s="58" t="s">
        <v>161</v>
      </c>
      <c r="K19" s="58">
        <f>H21*D21</f>
        <v>0.2</v>
      </c>
      <c r="L19" s="58">
        <f>K19*$E$4</f>
        <v>76.800000000000011</v>
      </c>
      <c r="O19" s="58">
        <v>120</v>
      </c>
      <c r="P19" s="58">
        <v>90</v>
      </c>
      <c r="Q19" s="59">
        <f t="shared" si="4"/>
        <v>11043</v>
      </c>
      <c r="R19" s="58">
        <f t="shared" si="5"/>
        <v>11043</v>
      </c>
      <c r="S19" s="58">
        <f t="shared" si="5"/>
        <v>5521.5</v>
      </c>
      <c r="T19" s="58">
        <f t="shared" si="5"/>
        <v>2760.75</v>
      </c>
      <c r="U19" s="58">
        <f t="shared" si="5"/>
        <v>1380.38</v>
      </c>
      <c r="V19" s="58">
        <f t="shared" si="5"/>
        <v>690.19</v>
      </c>
      <c r="W19" s="58">
        <f t="shared" si="5"/>
        <v>345.09</v>
      </c>
      <c r="X19" s="58">
        <f t="shared" si="5"/>
        <v>172.55</v>
      </c>
      <c r="Y19" s="58">
        <f t="shared" si="5"/>
        <v>86.27</v>
      </c>
      <c r="Z19" s="58">
        <f t="shared" si="5"/>
        <v>43.14</v>
      </c>
      <c r="AA19" s="58">
        <f t="shared" si="5"/>
        <v>21.57</v>
      </c>
      <c r="AB19" s="58">
        <f t="shared" si="6"/>
        <v>10.78</v>
      </c>
      <c r="AC19" s="58">
        <f t="shared" si="6"/>
        <v>5.39</v>
      </c>
      <c r="AD19" s="58">
        <f t="shared" si="13"/>
        <v>2.7</v>
      </c>
      <c r="AE19" s="58">
        <f t="shared" si="13"/>
        <v>1.35</v>
      </c>
      <c r="AF19" s="58">
        <f t="shared" si="13"/>
        <v>0.67</v>
      </c>
      <c r="AG19" s="58">
        <f t="shared" si="13"/>
        <v>0.34</v>
      </c>
      <c r="AH19" s="58">
        <f t="shared" si="13"/>
        <v>0.17</v>
      </c>
      <c r="AI19" s="58">
        <f t="shared" si="13"/>
        <v>0.08</v>
      </c>
      <c r="AJ19" s="58">
        <f t="shared" si="13"/>
        <v>0.04</v>
      </c>
      <c r="AK19" s="58">
        <f t="shared" si="13"/>
        <v>0.02</v>
      </c>
      <c r="AL19" s="58">
        <f t="shared" si="13"/>
        <v>0.01</v>
      </c>
      <c r="AM19" s="58">
        <f t="shared" si="13"/>
        <v>0.01</v>
      </c>
      <c r="AN19" s="58">
        <f t="shared" si="13"/>
        <v>0</v>
      </c>
      <c r="AO19" s="58">
        <f t="shared" si="13"/>
        <v>0</v>
      </c>
      <c r="AP19" s="58">
        <f t="shared" si="13"/>
        <v>0</v>
      </c>
      <c r="AQ19" s="58">
        <f t="shared" si="13"/>
        <v>0</v>
      </c>
      <c r="AR19" s="58">
        <f t="shared" si="13"/>
        <v>0</v>
      </c>
      <c r="AS19" s="58">
        <f t="shared" si="13"/>
        <v>0</v>
      </c>
      <c r="AT19" s="58">
        <f t="shared" si="13"/>
        <v>0</v>
      </c>
      <c r="AU19" s="58">
        <f t="shared" si="13"/>
        <v>0</v>
      </c>
      <c r="AV19" s="58">
        <f t="shared" si="13"/>
        <v>0</v>
      </c>
      <c r="AW19" s="58">
        <f t="shared" si="13"/>
        <v>0</v>
      </c>
      <c r="AX19" s="58">
        <f t="shared" si="13"/>
        <v>0</v>
      </c>
      <c r="AY19" s="58">
        <f t="shared" si="13"/>
        <v>0</v>
      </c>
      <c r="AZ19" s="58">
        <f t="shared" si="13"/>
        <v>0</v>
      </c>
      <c r="BA19" s="58">
        <f t="shared" si="13"/>
        <v>0</v>
      </c>
      <c r="BB19" s="58">
        <f t="shared" si="13"/>
        <v>0</v>
      </c>
      <c r="BC19" s="58">
        <f t="shared" si="13"/>
        <v>0</v>
      </c>
      <c r="BD19" s="58">
        <f t="shared" si="13"/>
        <v>0</v>
      </c>
      <c r="BE19" s="58">
        <f t="shared" si="13"/>
        <v>0</v>
      </c>
      <c r="BF19" s="58">
        <f t="shared" si="13"/>
        <v>0</v>
      </c>
      <c r="BG19" s="58">
        <f t="shared" si="13"/>
        <v>0</v>
      </c>
      <c r="BH19" s="58">
        <f t="shared" si="13"/>
        <v>0</v>
      </c>
      <c r="BI19" s="58">
        <f t="shared" si="13"/>
        <v>0</v>
      </c>
      <c r="BJ19" s="58">
        <f t="shared" si="13"/>
        <v>0</v>
      </c>
      <c r="BK19" s="58">
        <f t="shared" si="13"/>
        <v>0</v>
      </c>
      <c r="BL19" s="58">
        <f t="shared" si="13"/>
        <v>0</v>
      </c>
      <c r="BM19" s="58">
        <f t="shared" si="13"/>
        <v>0</v>
      </c>
      <c r="BN19" s="58">
        <f t="shared" si="13"/>
        <v>0</v>
      </c>
      <c r="BO19" s="58">
        <f t="shared" si="13"/>
        <v>0</v>
      </c>
    </row>
    <row r="20" spans="2:67" x14ac:dyDescent="0.35">
      <c r="B20" s="58">
        <v>4</v>
      </c>
      <c r="C20" s="58" t="s">
        <v>128</v>
      </c>
      <c r="D20" s="58">
        <v>1</v>
      </c>
      <c r="E20" s="58">
        <f>D20*VLOOKUP($C20,物品定价!$B:$D,3,0)</f>
        <v>1</v>
      </c>
      <c r="F20" s="60">
        <v>0.35</v>
      </c>
      <c r="G20" s="58">
        <f>E20*F20</f>
        <v>0.35</v>
      </c>
      <c r="H20" s="58">
        <f>1*F20</f>
        <v>0.35</v>
      </c>
      <c r="I20" s="61"/>
      <c r="J20" s="58" t="s">
        <v>139</v>
      </c>
      <c r="K20" s="58">
        <f>H22*D22</f>
        <v>0.1</v>
      </c>
      <c r="L20" s="58">
        <f>K20*$E$4</f>
        <v>38.400000000000006</v>
      </c>
      <c r="O20" s="58">
        <v>180</v>
      </c>
      <c r="P20" s="58">
        <v>99</v>
      </c>
      <c r="Q20" s="59">
        <f t="shared" si="4"/>
        <v>22734</v>
      </c>
      <c r="R20" s="58">
        <f t="shared" si="5"/>
        <v>22734</v>
      </c>
      <c r="S20" s="58">
        <f t="shared" si="5"/>
        <v>11367</v>
      </c>
      <c r="T20" s="58">
        <f t="shared" si="5"/>
        <v>5683.5</v>
      </c>
      <c r="U20" s="58">
        <f t="shared" si="5"/>
        <v>2841.75</v>
      </c>
      <c r="V20" s="58">
        <f t="shared" si="5"/>
        <v>1420.88</v>
      </c>
      <c r="W20" s="58">
        <f t="shared" si="5"/>
        <v>710.44</v>
      </c>
      <c r="X20" s="58">
        <f t="shared" si="5"/>
        <v>355.22</v>
      </c>
      <c r="Y20" s="58">
        <f t="shared" si="5"/>
        <v>177.61</v>
      </c>
      <c r="Z20" s="58">
        <f t="shared" si="5"/>
        <v>88.8</v>
      </c>
      <c r="AA20" s="58">
        <f t="shared" si="5"/>
        <v>44.4</v>
      </c>
      <c r="AB20" s="58">
        <f t="shared" si="6"/>
        <v>22.2</v>
      </c>
      <c r="AC20" s="58">
        <f t="shared" si="6"/>
        <v>11.1</v>
      </c>
      <c r="AD20" s="58">
        <f t="shared" si="13"/>
        <v>5.55</v>
      </c>
      <c r="AE20" s="58">
        <f t="shared" si="13"/>
        <v>2.78</v>
      </c>
      <c r="AF20" s="58">
        <f t="shared" si="13"/>
        <v>1.39</v>
      </c>
      <c r="AG20" s="58">
        <f t="shared" si="13"/>
        <v>0.69</v>
      </c>
      <c r="AH20" s="58">
        <f t="shared" si="13"/>
        <v>0.35</v>
      </c>
      <c r="AI20" s="58">
        <f t="shared" si="13"/>
        <v>0.17</v>
      </c>
      <c r="AJ20" s="58">
        <f t="shared" si="13"/>
        <v>0.09</v>
      </c>
      <c r="AK20" s="58">
        <f t="shared" si="13"/>
        <v>0.04</v>
      </c>
      <c r="AL20" s="58">
        <f t="shared" si="13"/>
        <v>0.02</v>
      </c>
      <c r="AM20" s="58">
        <f t="shared" si="13"/>
        <v>0.01</v>
      </c>
      <c r="AN20" s="58">
        <f t="shared" si="13"/>
        <v>0.01</v>
      </c>
      <c r="AO20" s="58">
        <f t="shared" si="13"/>
        <v>0</v>
      </c>
      <c r="AP20" s="58">
        <f t="shared" si="13"/>
        <v>0</v>
      </c>
      <c r="AQ20" s="58">
        <f t="shared" si="13"/>
        <v>0</v>
      </c>
      <c r="AR20" s="58">
        <f t="shared" si="13"/>
        <v>0</v>
      </c>
      <c r="AS20" s="58">
        <f t="shared" si="13"/>
        <v>0</v>
      </c>
      <c r="AT20" s="58">
        <f t="shared" si="13"/>
        <v>0</v>
      </c>
      <c r="AU20" s="58">
        <f t="shared" si="13"/>
        <v>0</v>
      </c>
      <c r="AV20" s="58">
        <f t="shared" si="13"/>
        <v>0</v>
      </c>
      <c r="AW20" s="58">
        <f t="shared" si="13"/>
        <v>0</v>
      </c>
      <c r="AX20" s="58">
        <f t="shared" si="13"/>
        <v>0</v>
      </c>
      <c r="AY20" s="58">
        <f t="shared" si="13"/>
        <v>0</v>
      </c>
      <c r="AZ20" s="58">
        <f t="shared" si="13"/>
        <v>0</v>
      </c>
      <c r="BA20" s="58">
        <f t="shared" si="13"/>
        <v>0</v>
      </c>
      <c r="BB20" s="58">
        <f t="shared" si="13"/>
        <v>0</v>
      </c>
      <c r="BC20" s="58">
        <f t="shared" si="13"/>
        <v>0</v>
      </c>
      <c r="BD20" s="58">
        <f t="shared" si="13"/>
        <v>0</v>
      </c>
      <c r="BE20" s="58">
        <f t="shared" si="13"/>
        <v>0</v>
      </c>
      <c r="BF20" s="58">
        <f t="shared" si="13"/>
        <v>0</v>
      </c>
      <c r="BG20" s="58">
        <f t="shared" si="13"/>
        <v>0</v>
      </c>
      <c r="BH20" s="58">
        <f t="shared" si="13"/>
        <v>0</v>
      </c>
      <c r="BI20" s="58">
        <f t="shared" si="13"/>
        <v>0</v>
      </c>
      <c r="BJ20" s="58">
        <f t="shared" si="13"/>
        <v>0</v>
      </c>
      <c r="BK20" s="58">
        <f t="shared" si="13"/>
        <v>0</v>
      </c>
      <c r="BL20" s="58">
        <f t="shared" si="13"/>
        <v>0</v>
      </c>
      <c r="BM20" s="58">
        <f t="shared" si="13"/>
        <v>0</v>
      </c>
      <c r="BN20" s="58">
        <f t="shared" si="13"/>
        <v>0</v>
      </c>
      <c r="BO20" s="58">
        <f t="shared" si="13"/>
        <v>0</v>
      </c>
    </row>
    <row r="21" spans="2:67" x14ac:dyDescent="0.35">
      <c r="B21" s="58">
        <v>5</v>
      </c>
      <c r="C21" s="58" t="s">
        <v>244</v>
      </c>
      <c r="D21" s="58">
        <v>1</v>
      </c>
      <c r="E21" s="58">
        <f>D21*VLOOKUP($C21,物品定价!$B:$D,3,0)</f>
        <v>2</v>
      </c>
      <c r="F21" s="60">
        <v>0.2</v>
      </c>
      <c r="G21" s="58">
        <f t="shared" ref="G21:G22" si="15">E21*F21</f>
        <v>0.4</v>
      </c>
      <c r="H21" s="58">
        <f>D21*F21</f>
        <v>0.2</v>
      </c>
      <c r="I21" s="61"/>
      <c r="J21" s="61"/>
      <c r="K21" s="61"/>
      <c r="L21" s="61"/>
      <c r="Q21" s="56"/>
      <c r="Z21" s="61"/>
      <c r="AA21" s="61"/>
    </row>
    <row r="22" spans="2:67" x14ac:dyDescent="0.35">
      <c r="B22" s="58">
        <v>6</v>
      </c>
      <c r="C22" s="58" t="s">
        <v>245</v>
      </c>
      <c r="D22" s="58">
        <v>1</v>
      </c>
      <c r="E22" s="58">
        <f>D22*VLOOKUP($C22,物品定价!$B:$D,3,0)</f>
        <v>4</v>
      </c>
      <c r="F22" s="60">
        <v>0.1</v>
      </c>
      <c r="G22" s="58">
        <f t="shared" si="15"/>
        <v>0.4</v>
      </c>
      <c r="H22" s="58">
        <f t="shared" ref="H22" si="16">D22*F22</f>
        <v>0.1</v>
      </c>
      <c r="I22" s="61"/>
      <c r="J22" s="61"/>
      <c r="K22" s="61"/>
      <c r="L22" s="61"/>
      <c r="Q22" s="56"/>
    </row>
    <row r="23" spans="2:67" x14ac:dyDescent="0.35">
      <c r="Q23" s="56"/>
    </row>
    <row r="24" spans="2:67" x14ac:dyDescent="0.35">
      <c r="Q24" s="56"/>
    </row>
    <row r="25" spans="2:67" x14ac:dyDescent="0.35">
      <c r="B25" s="56" t="s">
        <v>248</v>
      </c>
      <c r="F25" s="69">
        <f>SUM(F27:F33)</f>
        <v>1</v>
      </c>
      <c r="Q25" s="56"/>
    </row>
    <row r="26" spans="2:67" x14ac:dyDescent="0.35">
      <c r="B26" s="58" t="s">
        <v>114</v>
      </c>
      <c r="C26" s="58" t="s">
        <v>115</v>
      </c>
      <c r="D26" s="58" t="s">
        <v>116</v>
      </c>
      <c r="E26" s="58" t="s">
        <v>117</v>
      </c>
      <c r="F26" s="58" t="s">
        <v>118</v>
      </c>
      <c r="G26" s="58" t="s">
        <v>119</v>
      </c>
      <c r="H26" s="58" t="s">
        <v>120</v>
      </c>
      <c r="J26" s="58" t="s">
        <v>115</v>
      </c>
      <c r="K26" s="58" t="s">
        <v>130</v>
      </c>
      <c r="L26" s="58" t="s">
        <v>131</v>
      </c>
      <c r="Q26" s="56"/>
    </row>
    <row r="27" spans="2:67" x14ac:dyDescent="0.35">
      <c r="B27" s="58">
        <v>1</v>
      </c>
      <c r="C27" s="58" t="s">
        <v>1</v>
      </c>
      <c r="D27" s="58">
        <v>5000</v>
      </c>
      <c r="E27" s="58">
        <f>D27*VLOOKUP($C27,物品定价!$B:$D,3,0)</f>
        <v>5</v>
      </c>
      <c r="F27" s="60">
        <v>0.2</v>
      </c>
      <c r="G27" s="58">
        <f t="shared" ref="G27:G29" si="17">E27*F27</f>
        <v>1</v>
      </c>
      <c r="H27" s="58">
        <f>1*F27</f>
        <v>0.2</v>
      </c>
      <c r="J27" s="58" t="s">
        <v>1</v>
      </c>
      <c r="K27" s="58">
        <f>SUMPRODUCT(D27:D29,H27:H29)</f>
        <v>3000</v>
      </c>
      <c r="L27" s="58">
        <f>K27*$E$4</f>
        <v>1152000</v>
      </c>
      <c r="O27" s="58" t="s">
        <v>71</v>
      </c>
      <c r="P27" s="58" t="s">
        <v>121</v>
      </c>
      <c r="Q27" s="58" t="s">
        <v>137</v>
      </c>
      <c r="R27" s="58" t="s">
        <v>1</v>
      </c>
      <c r="S27" s="58" t="s">
        <v>128</v>
      </c>
      <c r="T27" s="58" t="s">
        <v>161</v>
      </c>
      <c r="U27" s="58" t="s">
        <v>245</v>
      </c>
    </row>
    <row r="28" spans="2:67" x14ac:dyDescent="0.35">
      <c r="B28" s="58">
        <v>2</v>
      </c>
      <c r="C28" s="58" t="s">
        <v>1</v>
      </c>
      <c r="D28" s="58">
        <f>D27*2</f>
        <v>10000</v>
      </c>
      <c r="E28" s="58">
        <f>D28*VLOOKUP($C28,物品定价!$B:$D,3,0)</f>
        <v>10</v>
      </c>
      <c r="F28" s="60">
        <v>0.1</v>
      </c>
      <c r="G28" s="58">
        <f t="shared" si="17"/>
        <v>1</v>
      </c>
      <c r="H28" s="58">
        <f t="shared" ref="H28:H29" si="18">1*F28</f>
        <v>0.1</v>
      </c>
      <c r="J28" s="58" t="s">
        <v>128</v>
      </c>
      <c r="K28" s="58">
        <f>H30*D30</f>
        <v>0.3</v>
      </c>
      <c r="L28" s="58">
        <f>K28*$E$4</f>
        <v>115.19999999999999</v>
      </c>
      <c r="O28" s="58">
        <v>1</v>
      </c>
      <c r="P28" s="58">
        <v>27</v>
      </c>
      <c r="Q28" s="58">
        <f>等级时间!$E27*($O28-IF($O27="天数",0,$O27))+SUMPRODUCT((等级时间!$U$4:$U$203&lt;=$P28)*(等级时间!$U$4:$U$203&gt;IF(P27="vip0",1,$P27))*(等级时间!$W$4:$W$203))</f>
        <v>904</v>
      </c>
      <c r="R28" s="58">
        <f>VLOOKUP(R$27,$J$6:$K$10,2,0)*$Q28</f>
        <v>1627200</v>
      </c>
      <c r="S28" s="58">
        <f>VLOOKUP(S$27,$J$6:$K$10,2,0)*$Q28</f>
        <v>406.8</v>
      </c>
      <c r="T28" s="58">
        <f>VLOOKUP(T$27,$J$6:$K$10,2,0)*$Q28</f>
        <v>135.6</v>
      </c>
      <c r="U28" s="58">
        <f>VLOOKUP(U$27,$J$6:$K$10,2,0)*$Q28</f>
        <v>45.2</v>
      </c>
    </row>
    <row r="29" spans="2:67" x14ac:dyDescent="0.35">
      <c r="B29" s="58">
        <v>3</v>
      </c>
      <c r="C29" s="58" t="s">
        <v>1</v>
      </c>
      <c r="D29" s="58">
        <f t="shared" ref="D29" si="19">D28*2</f>
        <v>20000</v>
      </c>
      <c r="E29" s="58">
        <f>D29*VLOOKUP($C29,物品定价!$B:$D,3,0)</f>
        <v>20</v>
      </c>
      <c r="F29" s="60">
        <v>0.05</v>
      </c>
      <c r="G29" s="58">
        <f t="shared" si="17"/>
        <v>1</v>
      </c>
      <c r="H29" s="58">
        <f t="shared" si="18"/>
        <v>0.05</v>
      </c>
      <c r="J29" s="58" t="s">
        <v>161</v>
      </c>
      <c r="K29" s="58">
        <f>H31*D31</f>
        <v>0.2</v>
      </c>
      <c r="L29" s="58">
        <f>K29*$E$4</f>
        <v>76.800000000000011</v>
      </c>
      <c r="O29" s="58">
        <v>2</v>
      </c>
      <c r="P29" s="58">
        <v>31</v>
      </c>
      <c r="Q29" s="58">
        <f>等级时间!$E28*($O29-IF($O28="天数",0,$O28))+SUMPRODUCT((等级时间!$U$4:$U$203&lt;=$P29)*(等级时间!$U$4:$U$203&gt;IF(P28="vip0",1,$P28))*(等级时间!$W$4:$W$203))</f>
        <v>499</v>
      </c>
      <c r="R29" s="58">
        <f t="shared" ref="R29:U41" si="20">VLOOKUP(R$27,$J$6:$K$10,2,0)*$Q29</f>
        <v>898200</v>
      </c>
      <c r="S29" s="58">
        <f t="shared" si="20"/>
        <v>224.55</v>
      </c>
      <c r="T29" s="58">
        <f t="shared" si="20"/>
        <v>74.849999999999994</v>
      </c>
      <c r="U29" s="58">
        <f t="shared" si="20"/>
        <v>24.950000000000003</v>
      </c>
    </row>
    <row r="30" spans="2:67" x14ac:dyDescent="0.35">
      <c r="B30" s="58">
        <v>4</v>
      </c>
      <c r="C30" s="58" t="s">
        <v>128</v>
      </c>
      <c r="D30" s="58">
        <v>1</v>
      </c>
      <c r="E30" s="58">
        <f>D30*VLOOKUP($C30,物品定价!$B:$D,3,0)</f>
        <v>1</v>
      </c>
      <c r="F30" s="60">
        <v>0.3</v>
      </c>
      <c r="G30" s="58">
        <f>E30*F30</f>
        <v>0.3</v>
      </c>
      <c r="H30" s="58">
        <f>1*F30</f>
        <v>0.3</v>
      </c>
      <c r="J30" s="58" t="s">
        <v>139</v>
      </c>
      <c r="K30" s="58">
        <f>H32*D32</f>
        <v>0.1</v>
      </c>
      <c r="L30" s="58">
        <f>K30*$E$4</f>
        <v>38.400000000000006</v>
      </c>
      <c r="O30" s="58">
        <v>3</v>
      </c>
      <c r="P30" s="58">
        <v>34</v>
      </c>
      <c r="Q30" s="58">
        <f>等级时间!$E29*($O30-IF($O29="天数",0,$O29))+SUMPRODUCT((等级时间!$U$4:$U$203&lt;=$P30)*(等级时间!$U$4:$U$203&gt;IF(P29="vip0",1,$P29))*(等级时间!$W$4:$W$203))</f>
        <v>514</v>
      </c>
      <c r="R30" s="58">
        <f t="shared" si="20"/>
        <v>925200</v>
      </c>
      <c r="S30" s="58">
        <f t="shared" si="20"/>
        <v>231.3</v>
      </c>
      <c r="T30" s="58">
        <f t="shared" si="20"/>
        <v>77.099999999999994</v>
      </c>
      <c r="U30" s="58">
        <f t="shared" si="20"/>
        <v>25.700000000000003</v>
      </c>
    </row>
    <row r="31" spans="2:67" x14ac:dyDescent="0.35">
      <c r="B31" s="58">
        <v>5</v>
      </c>
      <c r="C31" s="58" t="s">
        <v>161</v>
      </c>
      <c r="D31" s="58">
        <v>1</v>
      </c>
      <c r="E31" s="58">
        <f>D31*VLOOKUP($C31,物品定价!$B:$D,3,0)</f>
        <v>2</v>
      </c>
      <c r="F31" s="60">
        <v>0.2</v>
      </c>
      <c r="G31" s="58">
        <f t="shared" ref="G31:G32" si="21">E31*F31</f>
        <v>0.4</v>
      </c>
      <c r="H31" s="58">
        <f>D31*F31</f>
        <v>0.2</v>
      </c>
      <c r="J31" s="58" t="s">
        <v>140</v>
      </c>
      <c r="K31" s="58">
        <f>H33*D33</f>
        <v>0.05</v>
      </c>
      <c r="L31" s="58">
        <f>K31*$E$4</f>
        <v>19.200000000000003</v>
      </c>
      <c r="O31" s="58">
        <v>4</v>
      </c>
      <c r="P31" s="58">
        <v>36</v>
      </c>
      <c r="Q31" s="58">
        <f>等级时间!$E30*($O31-IF($O30="天数",0,$O30))+SUMPRODUCT((等级时间!$U$4:$U$203&lt;=$P31)*(等级时间!$U$4:$U$203&gt;IF(P30="vip0",1,$P30))*(等级时间!$W$4:$W$203))</f>
        <v>529</v>
      </c>
      <c r="R31" s="58">
        <f t="shared" si="20"/>
        <v>952200</v>
      </c>
      <c r="S31" s="58">
        <f t="shared" si="20"/>
        <v>238.05</v>
      </c>
      <c r="T31" s="58">
        <f t="shared" si="20"/>
        <v>79.349999999999994</v>
      </c>
      <c r="U31" s="58">
        <f t="shared" si="20"/>
        <v>26.450000000000003</v>
      </c>
    </row>
    <row r="32" spans="2:67" x14ac:dyDescent="0.35">
      <c r="B32" s="58">
        <v>6</v>
      </c>
      <c r="C32" s="58" t="s">
        <v>245</v>
      </c>
      <c r="D32" s="58">
        <v>1</v>
      </c>
      <c r="E32" s="58">
        <f>D32*VLOOKUP($C32,物品定价!$B:$D,3,0)</f>
        <v>4</v>
      </c>
      <c r="F32" s="60">
        <v>0.1</v>
      </c>
      <c r="G32" s="58">
        <f t="shared" si="21"/>
        <v>0.4</v>
      </c>
      <c r="H32" s="58">
        <f t="shared" ref="H32" si="22">D32*F32</f>
        <v>0.1</v>
      </c>
      <c r="O32" s="58">
        <v>5</v>
      </c>
      <c r="P32" s="58">
        <v>39</v>
      </c>
      <c r="Q32" s="58">
        <f>等级时间!$E31*($O32-IF($O31="天数",0,$O31))+SUMPRODUCT((等级时间!$U$4:$U$203&lt;=$P32)*(等级时间!$U$4:$U$203&gt;IF(P31="vip0",1,$P31))*(等级时间!$W$4:$W$203))</f>
        <v>584</v>
      </c>
      <c r="R32" s="58">
        <f t="shared" si="20"/>
        <v>1051200</v>
      </c>
      <c r="S32" s="58">
        <f t="shared" si="20"/>
        <v>262.8</v>
      </c>
      <c r="T32" s="58">
        <f t="shared" si="20"/>
        <v>87.6</v>
      </c>
      <c r="U32" s="58">
        <f t="shared" si="20"/>
        <v>29.200000000000003</v>
      </c>
    </row>
    <row r="33" spans="2:23" x14ac:dyDescent="0.35">
      <c r="B33" s="58">
        <v>7</v>
      </c>
      <c r="C33" s="58" t="s">
        <v>140</v>
      </c>
      <c r="D33" s="58">
        <v>1</v>
      </c>
      <c r="E33" s="58">
        <f>D33*VLOOKUP($C33,物品定价!$B:$D,3,0)</f>
        <v>8</v>
      </c>
      <c r="F33" s="60">
        <v>0.05</v>
      </c>
      <c r="G33" s="58">
        <f t="shared" ref="G33" si="23">E33*F33</f>
        <v>0.4</v>
      </c>
      <c r="H33" s="58">
        <f t="shared" ref="H33" si="24">D33*F33</f>
        <v>0.05</v>
      </c>
      <c r="O33" s="58">
        <v>6</v>
      </c>
      <c r="P33" s="58">
        <v>41</v>
      </c>
      <c r="Q33" s="58">
        <f>等级时间!$E32*($O33-IF($O32="天数",0,$O32))+SUMPRODUCT((等级时间!$U$4:$U$203&lt;=$P33)*(等级时间!$U$4:$U$203&gt;IF(P32="vip0",1,$P32))*(等级时间!$W$4:$W$203))</f>
        <v>599</v>
      </c>
      <c r="R33" s="58">
        <f t="shared" si="20"/>
        <v>1078200</v>
      </c>
      <c r="S33" s="58">
        <f t="shared" si="20"/>
        <v>269.55</v>
      </c>
      <c r="T33" s="58">
        <f t="shared" si="20"/>
        <v>89.85</v>
      </c>
      <c r="U33" s="58">
        <f t="shared" si="20"/>
        <v>29.950000000000003</v>
      </c>
    </row>
    <row r="34" spans="2:23" x14ac:dyDescent="0.35">
      <c r="O34" s="58">
        <v>7</v>
      </c>
      <c r="P34" s="58">
        <v>43</v>
      </c>
      <c r="Q34" s="58">
        <f>等级时间!$E33*($O34-IF($O33="天数",0,$O33))+SUMPRODUCT((等级时间!$U$4:$U$203&lt;=$P34)*(等级时间!$U$4:$U$203&gt;IF(P33="vip0",1,$P33))*(等级时间!$W$4:$W$203))</f>
        <v>634</v>
      </c>
      <c r="R34" s="58">
        <f t="shared" si="20"/>
        <v>1141200</v>
      </c>
      <c r="S34" s="58">
        <f t="shared" si="20"/>
        <v>285.3</v>
      </c>
      <c r="T34" s="58">
        <f t="shared" si="20"/>
        <v>95.1</v>
      </c>
      <c r="U34" s="58">
        <f t="shared" si="20"/>
        <v>31.700000000000003</v>
      </c>
    </row>
    <row r="35" spans="2:23" x14ac:dyDescent="0.35">
      <c r="O35" s="58">
        <v>10</v>
      </c>
      <c r="P35" s="58">
        <v>47</v>
      </c>
      <c r="Q35" s="58">
        <f>等级时间!$E34*($O35-IF($O34="天数",0,$O34))+SUMPRODUCT((等级时间!$U$4:$U$203&lt;=$P35)*(等级时间!$U$4:$U$203&gt;IF(P34="vip0",1,$P34))*(等级时间!$W$4:$W$203))</f>
        <v>1967</v>
      </c>
      <c r="R35" s="58">
        <f t="shared" si="20"/>
        <v>3540600</v>
      </c>
      <c r="S35" s="58">
        <f t="shared" si="20"/>
        <v>885.15</v>
      </c>
      <c r="T35" s="58">
        <f t="shared" si="20"/>
        <v>295.05</v>
      </c>
      <c r="U35" s="58">
        <f t="shared" si="20"/>
        <v>98.350000000000009</v>
      </c>
    </row>
    <row r="36" spans="2:23" x14ac:dyDescent="0.35">
      <c r="B36" s="56" t="s">
        <v>249</v>
      </c>
      <c r="F36" s="69">
        <f>SUM(F38:F44)</f>
        <v>1</v>
      </c>
      <c r="O36" s="58">
        <v>15</v>
      </c>
      <c r="P36" s="58">
        <v>53</v>
      </c>
      <c r="Q36" s="58">
        <f>等级时间!$E35*($O36-IF($O35="天数",0,$O35))+SUMPRODUCT((等级时间!$U$4:$U$203&lt;=$P36)*(等级时间!$U$4:$U$203&gt;IF(P35="vip0",1,$P35))*(等级时间!$W$4:$W$203))</f>
        <v>3490</v>
      </c>
      <c r="R36" s="58">
        <f t="shared" si="20"/>
        <v>6282000</v>
      </c>
      <c r="S36" s="58">
        <f t="shared" si="20"/>
        <v>1570.5</v>
      </c>
      <c r="T36" s="58">
        <f t="shared" si="20"/>
        <v>523.5</v>
      </c>
      <c r="U36" s="58">
        <f t="shared" si="20"/>
        <v>174.5</v>
      </c>
    </row>
    <row r="37" spans="2:23" x14ac:dyDescent="0.35">
      <c r="B37" s="58" t="s">
        <v>114</v>
      </c>
      <c r="C37" s="58" t="s">
        <v>115</v>
      </c>
      <c r="D37" s="58" t="s">
        <v>116</v>
      </c>
      <c r="E37" s="58" t="s">
        <v>117</v>
      </c>
      <c r="F37" s="58" t="s">
        <v>118</v>
      </c>
      <c r="G37" s="58" t="s">
        <v>119</v>
      </c>
      <c r="H37" s="58" t="s">
        <v>120</v>
      </c>
      <c r="J37" s="58" t="s">
        <v>115</v>
      </c>
      <c r="K37" s="58" t="s">
        <v>130</v>
      </c>
      <c r="L37" s="58" t="s">
        <v>131</v>
      </c>
      <c r="O37" s="58">
        <v>30</v>
      </c>
      <c r="P37" s="58">
        <v>64</v>
      </c>
      <c r="Q37" s="58">
        <f>等级时间!$E36*($O37-IF($O36="天数",0,$O36))+SUMPRODUCT((等级时间!$U$4:$U$203&lt;=$P37)*(等级时间!$U$4:$U$203&gt;IF(P36="vip0",1,$P36))*(等级时间!$W$4:$W$203))</f>
        <v>11155</v>
      </c>
      <c r="R37" s="58">
        <f t="shared" si="20"/>
        <v>20079000</v>
      </c>
      <c r="S37" s="58">
        <f t="shared" si="20"/>
        <v>5019.75</v>
      </c>
      <c r="T37" s="58">
        <f t="shared" si="20"/>
        <v>1673.25</v>
      </c>
      <c r="U37" s="58">
        <f t="shared" si="20"/>
        <v>557.75</v>
      </c>
    </row>
    <row r="38" spans="2:23" x14ac:dyDescent="0.35">
      <c r="B38" s="58">
        <v>1</v>
      </c>
      <c r="C38" s="58" t="s">
        <v>1</v>
      </c>
      <c r="D38" s="58">
        <v>5000</v>
      </c>
      <c r="E38" s="58">
        <f>D38*VLOOKUP($C38,物品定价!$B:$D,3,0)</f>
        <v>5</v>
      </c>
      <c r="F38" s="60">
        <v>0.2</v>
      </c>
      <c r="G38" s="58">
        <f t="shared" ref="G38:G40" si="25">E38*F38</f>
        <v>1</v>
      </c>
      <c r="H38" s="58">
        <f>1*F38</f>
        <v>0.2</v>
      </c>
      <c r="J38" s="58" t="s">
        <v>1</v>
      </c>
      <c r="K38" s="58">
        <f>SUMPRODUCT(D38:D40,H38:H40)</f>
        <v>3000</v>
      </c>
      <c r="L38" s="58">
        <f>K38*$E$4</f>
        <v>1152000</v>
      </c>
      <c r="O38" s="58">
        <v>60</v>
      </c>
      <c r="P38" s="58">
        <v>76</v>
      </c>
      <c r="Q38" s="58">
        <f>等级时间!$E37*($O38-IF($O37="天数",0,$O37))+SUMPRODUCT((等级时间!$U$4:$U$203&lt;=$P38)*(等级时间!$U$4:$U$203&gt;IF(P37="vip0",1,$P37))*(等级时间!$W$4:$W$203))</f>
        <v>23160</v>
      </c>
      <c r="R38" s="58">
        <f t="shared" si="20"/>
        <v>41688000</v>
      </c>
      <c r="S38" s="58">
        <f t="shared" si="20"/>
        <v>10422</v>
      </c>
      <c r="T38" s="58">
        <f t="shared" si="20"/>
        <v>3474</v>
      </c>
      <c r="U38" s="58">
        <f t="shared" si="20"/>
        <v>1158</v>
      </c>
      <c r="V38" s="61"/>
      <c r="W38" s="61"/>
    </row>
    <row r="39" spans="2:23" x14ac:dyDescent="0.35">
      <c r="B39" s="58">
        <v>2</v>
      </c>
      <c r="C39" s="58" t="s">
        <v>1</v>
      </c>
      <c r="D39" s="58">
        <f>D38*2</f>
        <v>10000</v>
      </c>
      <c r="E39" s="58">
        <f>D39*VLOOKUP($C39,物品定价!$B:$D,3,0)</f>
        <v>10</v>
      </c>
      <c r="F39" s="60">
        <v>0.1</v>
      </c>
      <c r="G39" s="58">
        <f t="shared" si="25"/>
        <v>1</v>
      </c>
      <c r="H39" s="58">
        <f t="shared" ref="H39:H40" si="26">1*F39</f>
        <v>0.1</v>
      </c>
      <c r="J39" s="58" t="s">
        <v>128</v>
      </c>
      <c r="K39" s="58">
        <f>H41*D41</f>
        <v>0.15</v>
      </c>
      <c r="L39" s="58">
        <f>K39*$E$4</f>
        <v>57.599999999999994</v>
      </c>
      <c r="O39" s="58">
        <v>90</v>
      </c>
      <c r="P39" s="58">
        <v>84</v>
      </c>
      <c r="Q39" s="58">
        <f>等级时间!$E38*($O39-IF($O38="天数",0,$O38))+SUMPRODUCT((等级时间!$U$4:$U$203&lt;=$P39)*(等级时间!$U$4:$U$203&gt;IF(P38="vip0",1,$P38))*(等级时间!$W$4:$W$203))</f>
        <v>23830</v>
      </c>
      <c r="R39" s="58">
        <f t="shared" si="20"/>
        <v>42894000</v>
      </c>
      <c r="S39" s="58">
        <f t="shared" si="20"/>
        <v>10723.5</v>
      </c>
      <c r="T39" s="58">
        <f t="shared" si="20"/>
        <v>3574.5</v>
      </c>
      <c r="U39" s="58">
        <f t="shared" si="20"/>
        <v>1191.5</v>
      </c>
    </row>
    <row r="40" spans="2:23" x14ac:dyDescent="0.35">
      <c r="B40" s="58">
        <v>3</v>
      </c>
      <c r="C40" s="58" t="s">
        <v>1</v>
      </c>
      <c r="D40" s="58">
        <f t="shared" ref="D40" si="27">D39*2</f>
        <v>20000</v>
      </c>
      <c r="E40" s="58">
        <f>D40*VLOOKUP($C40,物品定价!$B:$D,3,0)</f>
        <v>20</v>
      </c>
      <c r="F40" s="60">
        <v>0.05</v>
      </c>
      <c r="G40" s="58">
        <f t="shared" si="25"/>
        <v>1</v>
      </c>
      <c r="H40" s="58">
        <f t="shared" si="26"/>
        <v>0.05</v>
      </c>
      <c r="J40" s="58" t="s">
        <v>161</v>
      </c>
      <c r="K40" s="58">
        <f>H42*D42</f>
        <v>0.25</v>
      </c>
      <c r="L40" s="58">
        <f>K40*$E$4</f>
        <v>96</v>
      </c>
      <c r="O40" s="58">
        <v>120</v>
      </c>
      <c r="P40" s="58">
        <v>90</v>
      </c>
      <c r="Q40" s="58">
        <f>等级时间!$E39*($O40-IF($O39="天数",0,$O39))+SUMPRODUCT((等级时间!$U$4:$U$203&lt;=$P40)*(等级时间!$U$4:$U$203&gt;IF(P39="vip0",1,$P39))*(等级时间!$W$4:$W$203))</f>
        <v>24540</v>
      </c>
      <c r="R40" s="58">
        <f t="shared" si="20"/>
        <v>44172000</v>
      </c>
      <c r="S40" s="58">
        <f t="shared" si="20"/>
        <v>11043</v>
      </c>
      <c r="T40" s="58">
        <f t="shared" si="20"/>
        <v>3681</v>
      </c>
      <c r="U40" s="58">
        <f t="shared" si="20"/>
        <v>1227</v>
      </c>
    </row>
    <row r="41" spans="2:23" x14ac:dyDescent="0.35">
      <c r="B41" s="58">
        <v>4</v>
      </c>
      <c r="C41" s="58" t="s">
        <v>128</v>
      </c>
      <c r="D41" s="58">
        <v>1</v>
      </c>
      <c r="E41" s="58">
        <f>D41*VLOOKUP($C41,物品定价!$B:$D,3,0)</f>
        <v>1</v>
      </c>
      <c r="F41" s="60">
        <v>0.15</v>
      </c>
      <c r="G41" s="58">
        <f>E41*F41</f>
        <v>0.15</v>
      </c>
      <c r="H41" s="58">
        <f>1*F41</f>
        <v>0.15</v>
      </c>
      <c r="J41" s="58" t="s">
        <v>139</v>
      </c>
      <c r="K41" s="58">
        <f>H43*D43</f>
        <v>0.15</v>
      </c>
      <c r="L41" s="58">
        <f>K41*$E$4</f>
        <v>57.599999999999994</v>
      </c>
      <c r="O41" s="58">
        <v>180</v>
      </c>
      <c r="P41" s="58">
        <v>99</v>
      </c>
      <c r="Q41" s="58">
        <f>等级时间!$E40*($O41-IF($O40="天数",0,$O40))+SUMPRODUCT((等级时间!$U$4:$U$203&lt;=$P41)*(等级时间!$U$4:$U$203&gt;IF(P40="vip0",1,$P40))*(等级时间!$W$4:$W$203))</f>
        <v>50520</v>
      </c>
      <c r="R41" s="58">
        <f t="shared" si="20"/>
        <v>90936000</v>
      </c>
      <c r="S41" s="58">
        <f t="shared" si="20"/>
        <v>22734</v>
      </c>
      <c r="T41" s="58">
        <f t="shared" si="20"/>
        <v>7578</v>
      </c>
      <c r="U41" s="58">
        <f t="shared" si="20"/>
        <v>2526</v>
      </c>
    </row>
    <row r="42" spans="2:23" x14ac:dyDescent="0.35">
      <c r="B42" s="58">
        <v>5</v>
      </c>
      <c r="C42" s="58" t="s">
        <v>161</v>
      </c>
      <c r="D42" s="58">
        <v>1</v>
      </c>
      <c r="E42" s="58">
        <f>D42*VLOOKUP($C42,物品定价!$B:$D,3,0)</f>
        <v>2</v>
      </c>
      <c r="F42" s="60">
        <v>0.25</v>
      </c>
      <c r="G42" s="58">
        <f t="shared" ref="G42:G44" si="28">E42*F42</f>
        <v>0.5</v>
      </c>
      <c r="H42" s="58">
        <f>D42*F42</f>
        <v>0.25</v>
      </c>
      <c r="J42" s="58" t="s">
        <v>140</v>
      </c>
      <c r="K42" s="58">
        <f>H44*D44</f>
        <v>0.1</v>
      </c>
      <c r="L42" s="58">
        <f>K42*$E$4</f>
        <v>38.400000000000006</v>
      </c>
      <c r="M42" s="61"/>
      <c r="N42" s="61"/>
    </row>
    <row r="43" spans="2:23" x14ac:dyDescent="0.35">
      <c r="B43" s="58">
        <v>6</v>
      </c>
      <c r="C43" s="58" t="s">
        <v>245</v>
      </c>
      <c r="D43" s="58">
        <v>1</v>
      </c>
      <c r="E43" s="58">
        <f>D43*VLOOKUP($C43,物品定价!$B:$D,3,0)</f>
        <v>4</v>
      </c>
      <c r="F43" s="60">
        <v>0.15</v>
      </c>
      <c r="G43" s="58">
        <f t="shared" si="28"/>
        <v>0.6</v>
      </c>
      <c r="H43" s="58">
        <f t="shared" ref="H43:H44" si="29">D43*F43</f>
        <v>0.15</v>
      </c>
    </row>
    <row r="44" spans="2:23" x14ac:dyDescent="0.35">
      <c r="B44" s="58">
        <v>7</v>
      </c>
      <c r="C44" s="58" t="s">
        <v>140</v>
      </c>
      <c r="D44" s="58">
        <v>1</v>
      </c>
      <c r="E44" s="58">
        <f>D44*VLOOKUP($C44,物品定价!$B:$D,3,0)</f>
        <v>8</v>
      </c>
      <c r="F44" s="60">
        <v>0.1</v>
      </c>
      <c r="G44" s="58">
        <f t="shared" si="28"/>
        <v>0.8</v>
      </c>
      <c r="H44" s="58">
        <f t="shared" si="29"/>
        <v>0.1</v>
      </c>
      <c r="O44" s="58" t="s">
        <v>9</v>
      </c>
      <c r="P44" s="58" t="s">
        <v>147</v>
      </c>
      <c r="Q44" s="58" t="s">
        <v>241</v>
      </c>
      <c r="R44" s="58" t="s">
        <v>159</v>
      </c>
      <c r="S44" s="58" t="s">
        <v>89</v>
      </c>
      <c r="T44" s="59" t="s">
        <v>242</v>
      </c>
      <c r="U44" s="59" t="s">
        <v>243</v>
      </c>
    </row>
    <row r="45" spans="2:23" x14ac:dyDescent="0.35">
      <c r="O45" s="58">
        <v>1</v>
      </c>
      <c r="P45" s="58" t="s">
        <v>160</v>
      </c>
      <c r="Q45" s="58">
        <v>1000</v>
      </c>
      <c r="R45" s="58">
        <f>3^(O45-1)</f>
        <v>1</v>
      </c>
      <c r="S45" s="58"/>
      <c r="T45" s="70">
        <v>0.01</v>
      </c>
      <c r="U45" s="59">
        <v>1</v>
      </c>
    </row>
    <row r="46" spans="2:23" x14ac:dyDescent="0.35">
      <c r="O46" s="58">
        <v>2</v>
      </c>
      <c r="P46" s="58" t="s">
        <v>138</v>
      </c>
      <c r="Q46" s="58">
        <f>2*Q45</f>
        <v>2000</v>
      </c>
      <c r="R46" s="58">
        <f t="shared" ref="R46:R54" si="30">2^(O46-1)</f>
        <v>2</v>
      </c>
      <c r="S46" s="58"/>
      <c r="T46" s="70">
        <f>T45*2</f>
        <v>0.02</v>
      </c>
      <c r="U46" s="59">
        <f>U45*2</f>
        <v>2</v>
      </c>
    </row>
    <row r="47" spans="2:23" x14ac:dyDescent="0.35">
      <c r="B47" s="56" t="s">
        <v>250</v>
      </c>
      <c r="F47" s="69">
        <f>SUM(F49:F55)</f>
        <v>1</v>
      </c>
      <c r="O47" s="58">
        <v>3</v>
      </c>
      <c r="P47" s="58" t="s">
        <v>139</v>
      </c>
      <c r="Q47" s="58">
        <f t="shared" ref="Q47:Q94" si="31">2*Q46</f>
        <v>4000</v>
      </c>
      <c r="R47" s="58">
        <f t="shared" si="30"/>
        <v>4</v>
      </c>
      <c r="S47" s="58"/>
      <c r="T47" s="70">
        <f t="shared" ref="T47:T94" si="32">T46*2</f>
        <v>0.04</v>
      </c>
      <c r="U47" s="59">
        <f t="shared" ref="U47:U94" si="33">U46*2</f>
        <v>4</v>
      </c>
    </row>
    <row r="48" spans="2:23" x14ac:dyDescent="0.35">
      <c r="B48" s="58" t="s">
        <v>114</v>
      </c>
      <c r="C48" s="58" t="s">
        <v>115</v>
      </c>
      <c r="D48" s="58" t="s">
        <v>116</v>
      </c>
      <c r="E48" s="58" t="s">
        <v>117</v>
      </c>
      <c r="F48" s="58" t="s">
        <v>118</v>
      </c>
      <c r="G48" s="58" t="s">
        <v>119</v>
      </c>
      <c r="H48" s="58" t="s">
        <v>120</v>
      </c>
      <c r="J48" s="58" t="s">
        <v>115</v>
      </c>
      <c r="K48" s="58" t="s">
        <v>130</v>
      </c>
      <c r="L48" s="58" t="s">
        <v>131</v>
      </c>
      <c r="O48" s="58">
        <v>4</v>
      </c>
      <c r="P48" s="58" t="s">
        <v>140</v>
      </c>
      <c r="Q48" s="58">
        <f t="shared" si="31"/>
        <v>8000</v>
      </c>
      <c r="R48" s="58">
        <f t="shared" si="30"/>
        <v>8</v>
      </c>
      <c r="S48" s="58"/>
      <c r="T48" s="70">
        <f t="shared" si="32"/>
        <v>0.08</v>
      </c>
      <c r="U48" s="59">
        <f t="shared" si="33"/>
        <v>8</v>
      </c>
    </row>
    <row r="49" spans="2:27" x14ac:dyDescent="0.35">
      <c r="B49" s="58">
        <v>1</v>
      </c>
      <c r="C49" s="58" t="s">
        <v>1</v>
      </c>
      <c r="D49" s="58">
        <v>6000</v>
      </c>
      <c r="E49" s="58">
        <f>D49*VLOOKUP($C49,物品定价!$B:$D,3,0)</f>
        <v>6</v>
      </c>
      <c r="F49" s="60">
        <v>0.2</v>
      </c>
      <c r="G49" s="58">
        <f t="shared" ref="G49:G54" si="34">E49*F49</f>
        <v>1.2000000000000002</v>
      </c>
      <c r="H49" s="58">
        <f>1*F49</f>
        <v>0.2</v>
      </c>
      <c r="J49" s="58" t="s">
        <v>1</v>
      </c>
      <c r="K49" s="58">
        <f>SUMPRODUCT(D49:D51,H49:H51)</f>
        <v>3600</v>
      </c>
      <c r="L49" s="58">
        <f>K49*$E$4</f>
        <v>1382400</v>
      </c>
      <c r="O49" s="58">
        <v>5</v>
      </c>
      <c r="P49" s="58" t="s">
        <v>141</v>
      </c>
      <c r="Q49" s="58">
        <f t="shared" si="31"/>
        <v>16000</v>
      </c>
      <c r="R49" s="58">
        <f t="shared" si="30"/>
        <v>16</v>
      </c>
      <c r="S49" s="58"/>
      <c r="T49" s="70">
        <f t="shared" si="32"/>
        <v>0.16</v>
      </c>
      <c r="U49" s="59">
        <f t="shared" si="33"/>
        <v>16</v>
      </c>
    </row>
    <row r="50" spans="2:27" x14ac:dyDescent="0.35">
      <c r="B50" s="58">
        <v>2</v>
      </c>
      <c r="C50" s="58" t="s">
        <v>1</v>
      </c>
      <c r="D50" s="58">
        <f>D49*2</f>
        <v>12000</v>
      </c>
      <c r="E50" s="58">
        <f>D50*VLOOKUP($C50,物品定价!$B:$D,3,0)</f>
        <v>12</v>
      </c>
      <c r="F50" s="60">
        <v>0.1</v>
      </c>
      <c r="G50" s="58">
        <f t="shared" si="34"/>
        <v>1.2000000000000002</v>
      </c>
      <c r="H50" s="58">
        <f t="shared" ref="H50:H51" si="35">1*F50</f>
        <v>0.1</v>
      </c>
      <c r="J50" s="58" t="s">
        <v>161</v>
      </c>
      <c r="K50" s="58">
        <f>H52*D52</f>
        <v>0.3</v>
      </c>
      <c r="L50" s="58">
        <f>K50*$E$4</f>
        <v>115.19999999999999</v>
      </c>
      <c r="O50" s="58">
        <v>6</v>
      </c>
      <c r="P50" s="58" t="s">
        <v>142</v>
      </c>
      <c r="Q50" s="58">
        <f t="shared" si="31"/>
        <v>32000</v>
      </c>
      <c r="R50" s="58">
        <f t="shared" si="30"/>
        <v>32</v>
      </c>
      <c r="S50" s="58"/>
      <c r="T50" s="70">
        <f t="shared" si="32"/>
        <v>0.32</v>
      </c>
      <c r="U50" s="59">
        <f t="shared" si="33"/>
        <v>32</v>
      </c>
    </row>
    <row r="51" spans="2:27" x14ac:dyDescent="0.35">
      <c r="B51" s="58">
        <v>3</v>
      </c>
      <c r="C51" s="58" t="s">
        <v>1</v>
      </c>
      <c r="D51" s="58">
        <f t="shared" ref="D51" si="36">D50*2</f>
        <v>24000</v>
      </c>
      <c r="E51" s="58">
        <f>D51*VLOOKUP($C51,物品定价!$B:$D,3,0)</f>
        <v>24</v>
      </c>
      <c r="F51" s="60">
        <v>0.05</v>
      </c>
      <c r="G51" s="58">
        <f t="shared" si="34"/>
        <v>1.2000000000000002</v>
      </c>
      <c r="H51" s="58">
        <f t="shared" si="35"/>
        <v>0.05</v>
      </c>
      <c r="J51" s="58" t="s">
        <v>139</v>
      </c>
      <c r="K51" s="58">
        <f>H53*D53</f>
        <v>0.2</v>
      </c>
      <c r="L51" s="58">
        <f>K51*$E$4</f>
        <v>76.800000000000011</v>
      </c>
      <c r="O51" s="58">
        <v>7</v>
      </c>
      <c r="P51" s="58" t="s">
        <v>143</v>
      </c>
      <c r="Q51" s="58">
        <f t="shared" si="31"/>
        <v>64000</v>
      </c>
      <c r="R51" s="58">
        <f t="shared" si="30"/>
        <v>64</v>
      </c>
      <c r="S51" s="58"/>
      <c r="T51" s="70">
        <f t="shared" si="32"/>
        <v>0.64</v>
      </c>
      <c r="U51" s="59">
        <f t="shared" si="33"/>
        <v>64</v>
      </c>
    </row>
    <row r="52" spans="2:27" x14ac:dyDescent="0.35">
      <c r="B52" s="58">
        <v>4</v>
      </c>
      <c r="C52" s="58" t="s">
        <v>161</v>
      </c>
      <c r="D52" s="58">
        <v>1</v>
      </c>
      <c r="E52" s="58">
        <f>D52*VLOOKUP($C52,物品定价!$B:$D,3,0)</f>
        <v>2</v>
      </c>
      <c r="F52" s="60">
        <v>0.3</v>
      </c>
      <c r="G52" s="58">
        <f t="shared" si="34"/>
        <v>0.6</v>
      </c>
      <c r="H52" s="58">
        <f>D52*F52</f>
        <v>0.3</v>
      </c>
      <c r="J52" s="58" t="s">
        <v>140</v>
      </c>
      <c r="K52" s="58">
        <f>H54*D54</f>
        <v>0.15</v>
      </c>
      <c r="L52" s="58">
        <f>K52*$E$4</f>
        <v>57.599999999999994</v>
      </c>
      <c r="O52" s="58">
        <v>8</v>
      </c>
      <c r="P52" s="58" t="s">
        <v>144</v>
      </c>
      <c r="Q52" s="58">
        <f t="shared" si="31"/>
        <v>128000</v>
      </c>
      <c r="R52" s="58">
        <f t="shared" si="30"/>
        <v>128</v>
      </c>
      <c r="S52" s="58"/>
      <c r="T52" s="70">
        <f t="shared" si="32"/>
        <v>1.28</v>
      </c>
      <c r="U52" s="59">
        <f t="shared" si="33"/>
        <v>128</v>
      </c>
    </row>
    <row r="53" spans="2:27" x14ac:dyDescent="0.35">
      <c r="B53" s="58">
        <v>5</v>
      </c>
      <c r="C53" s="58" t="s">
        <v>245</v>
      </c>
      <c r="D53" s="58">
        <v>1</v>
      </c>
      <c r="E53" s="58">
        <f>D53*VLOOKUP($C53,物品定价!$B:$D,3,0)</f>
        <v>4</v>
      </c>
      <c r="F53" s="60">
        <v>0.2</v>
      </c>
      <c r="G53" s="58">
        <f t="shared" si="34"/>
        <v>0.8</v>
      </c>
      <c r="H53" s="58">
        <f t="shared" ref="H53:H54" si="37">D53*F53</f>
        <v>0.2</v>
      </c>
      <c r="O53" s="58">
        <v>9</v>
      </c>
      <c r="P53" s="58" t="s">
        <v>145</v>
      </c>
      <c r="Q53" s="58">
        <f t="shared" si="31"/>
        <v>256000</v>
      </c>
      <c r="R53" s="58">
        <f t="shared" si="30"/>
        <v>256</v>
      </c>
      <c r="S53" s="58"/>
      <c r="T53" s="70">
        <f t="shared" si="32"/>
        <v>2.56</v>
      </c>
      <c r="U53" s="59">
        <f t="shared" si="33"/>
        <v>256</v>
      </c>
    </row>
    <row r="54" spans="2:27" x14ac:dyDescent="0.35">
      <c r="B54" s="58">
        <v>6</v>
      </c>
      <c r="C54" s="58" t="s">
        <v>140</v>
      </c>
      <c r="D54" s="58">
        <v>1</v>
      </c>
      <c r="E54" s="58">
        <f>D54*VLOOKUP($C54,物品定价!$B:$D,3,0)</f>
        <v>8</v>
      </c>
      <c r="F54" s="60">
        <v>0.15</v>
      </c>
      <c r="G54" s="58">
        <f t="shared" si="34"/>
        <v>1.2</v>
      </c>
      <c r="H54" s="58">
        <f t="shared" si="37"/>
        <v>0.15</v>
      </c>
      <c r="O54" s="58">
        <v>10</v>
      </c>
      <c r="P54" s="58" t="s">
        <v>146</v>
      </c>
      <c r="Q54" s="58">
        <f t="shared" si="31"/>
        <v>512000</v>
      </c>
      <c r="R54" s="58">
        <f t="shared" si="30"/>
        <v>512</v>
      </c>
      <c r="S54" s="58"/>
      <c r="T54" s="70">
        <f t="shared" si="32"/>
        <v>5.12</v>
      </c>
      <c r="U54" s="59">
        <f t="shared" si="33"/>
        <v>512</v>
      </c>
    </row>
    <row r="55" spans="2:27" x14ac:dyDescent="0.35">
      <c r="O55" s="58">
        <v>11</v>
      </c>
      <c r="P55" s="58" t="s">
        <v>201</v>
      </c>
      <c r="Q55" s="58">
        <f t="shared" si="31"/>
        <v>1024000</v>
      </c>
      <c r="R55" s="58">
        <f t="shared" ref="R55:R89" si="38">2^(O55-1)</f>
        <v>1024</v>
      </c>
      <c r="S55" s="58"/>
      <c r="T55" s="70">
        <f t="shared" si="32"/>
        <v>10.24</v>
      </c>
      <c r="U55" s="59">
        <f t="shared" si="33"/>
        <v>1024</v>
      </c>
    </row>
    <row r="56" spans="2:27" x14ac:dyDescent="0.35">
      <c r="O56" s="58">
        <v>12</v>
      </c>
      <c r="P56" s="58" t="s">
        <v>202</v>
      </c>
      <c r="Q56" s="58">
        <f t="shared" si="31"/>
        <v>2048000</v>
      </c>
      <c r="R56" s="58">
        <f t="shared" si="38"/>
        <v>2048</v>
      </c>
      <c r="S56" s="58"/>
      <c r="T56" s="70">
        <f t="shared" si="32"/>
        <v>20.48</v>
      </c>
      <c r="U56" s="59">
        <f t="shared" si="33"/>
        <v>2048</v>
      </c>
      <c r="W56" s="61"/>
    </row>
    <row r="57" spans="2:27" x14ac:dyDescent="0.35">
      <c r="B57" s="56" t="s">
        <v>251</v>
      </c>
      <c r="F57" s="69">
        <f>SUM(F59:F65)</f>
        <v>1</v>
      </c>
      <c r="O57" s="58">
        <v>13</v>
      </c>
      <c r="P57" s="58" t="s">
        <v>203</v>
      </c>
      <c r="Q57" s="58">
        <f t="shared" si="31"/>
        <v>4096000</v>
      </c>
      <c r="R57" s="58">
        <f t="shared" si="38"/>
        <v>4096</v>
      </c>
      <c r="S57" s="58"/>
      <c r="T57" s="70">
        <f t="shared" si="32"/>
        <v>40.96</v>
      </c>
      <c r="U57" s="59">
        <f t="shared" si="33"/>
        <v>4096</v>
      </c>
      <c r="Y57" s="61"/>
      <c r="Z57" s="61"/>
      <c r="AA57" s="61"/>
    </row>
    <row r="58" spans="2:27" x14ac:dyDescent="0.35">
      <c r="B58" s="58" t="s">
        <v>114</v>
      </c>
      <c r="C58" s="58" t="s">
        <v>115</v>
      </c>
      <c r="D58" s="58" t="s">
        <v>116</v>
      </c>
      <c r="E58" s="58" t="s">
        <v>117</v>
      </c>
      <c r="F58" s="58" t="s">
        <v>118</v>
      </c>
      <c r="G58" s="58" t="s">
        <v>119</v>
      </c>
      <c r="H58" s="58" t="s">
        <v>120</v>
      </c>
      <c r="J58" s="58" t="s">
        <v>115</v>
      </c>
      <c r="K58" s="58" t="s">
        <v>130</v>
      </c>
      <c r="L58" s="58" t="s">
        <v>131</v>
      </c>
      <c r="O58" s="58">
        <v>14</v>
      </c>
      <c r="P58" s="58" t="s">
        <v>204</v>
      </c>
      <c r="Q58" s="58">
        <f t="shared" si="31"/>
        <v>8192000</v>
      </c>
      <c r="R58" s="58">
        <f t="shared" si="38"/>
        <v>8192</v>
      </c>
      <c r="S58" s="58"/>
      <c r="T58" s="70">
        <f t="shared" si="32"/>
        <v>81.92</v>
      </c>
      <c r="U58" s="59">
        <f t="shared" si="33"/>
        <v>8192</v>
      </c>
      <c r="Y58" s="61"/>
      <c r="Z58" s="61"/>
      <c r="AA58" s="61"/>
    </row>
    <row r="59" spans="2:27" x14ac:dyDescent="0.35">
      <c r="B59" s="58">
        <v>1</v>
      </c>
      <c r="C59" s="58" t="s">
        <v>1</v>
      </c>
      <c r="D59" s="58">
        <v>5000</v>
      </c>
      <c r="E59" s="58">
        <f>D59*VLOOKUP($C59,物品定价!$B:$D,3,0)</f>
        <v>5</v>
      </c>
      <c r="F59" s="60">
        <v>0.2</v>
      </c>
      <c r="G59" s="58">
        <f t="shared" ref="G59:G65" si="39">E59*F59</f>
        <v>1</v>
      </c>
      <c r="H59" s="58">
        <f>1*F59</f>
        <v>0.2</v>
      </c>
      <c r="J59" s="58" t="s">
        <v>1</v>
      </c>
      <c r="K59" s="58">
        <f>SUMPRODUCT(D59:D61,H59:H61)</f>
        <v>3000</v>
      </c>
      <c r="L59" s="58">
        <f>K59*$E$4</f>
        <v>1152000</v>
      </c>
      <c r="O59" s="58">
        <v>15</v>
      </c>
      <c r="P59" s="58" t="s">
        <v>205</v>
      </c>
      <c r="Q59" s="58">
        <f t="shared" si="31"/>
        <v>16384000</v>
      </c>
      <c r="R59" s="58">
        <f t="shared" si="38"/>
        <v>16384</v>
      </c>
      <c r="S59" s="58"/>
      <c r="T59" s="70">
        <f t="shared" si="32"/>
        <v>163.84</v>
      </c>
      <c r="U59" s="59">
        <f t="shared" si="33"/>
        <v>16384</v>
      </c>
      <c r="Y59" s="61"/>
      <c r="Z59" s="61"/>
      <c r="AA59" s="61"/>
    </row>
    <row r="60" spans="2:27" x14ac:dyDescent="0.35">
      <c r="B60" s="58">
        <v>2</v>
      </c>
      <c r="C60" s="58" t="s">
        <v>1</v>
      </c>
      <c r="D60" s="58">
        <f>D59*2</f>
        <v>10000</v>
      </c>
      <c r="E60" s="58">
        <f>D60*VLOOKUP($C60,物品定价!$B:$D,3,0)</f>
        <v>10</v>
      </c>
      <c r="F60" s="60">
        <v>0.1</v>
      </c>
      <c r="G60" s="58">
        <f t="shared" si="39"/>
        <v>1</v>
      </c>
      <c r="H60" s="58">
        <f t="shared" ref="H60:H61" si="40">1*F60</f>
        <v>0.1</v>
      </c>
      <c r="J60" s="58" t="s">
        <v>161</v>
      </c>
      <c r="K60" s="58">
        <f>H62*D62</f>
        <v>0.25</v>
      </c>
      <c r="L60" s="58">
        <f>K60*$E$4</f>
        <v>96</v>
      </c>
      <c r="O60" s="58">
        <v>16</v>
      </c>
      <c r="P60" s="58" t="s">
        <v>206</v>
      </c>
      <c r="Q60" s="58">
        <f t="shared" si="31"/>
        <v>32768000</v>
      </c>
      <c r="R60" s="58">
        <f t="shared" si="38"/>
        <v>32768</v>
      </c>
      <c r="S60" s="58"/>
      <c r="T60" s="70">
        <f t="shared" si="32"/>
        <v>327.68</v>
      </c>
      <c r="U60" s="59">
        <f t="shared" si="33"/>
        <v>32768</v>
      </c>
      <c r="Y60" s="61"/>
      <c r="Z60" s="61"/>
      <c r="AA60" s="61"/>
    </row>
    <row r="61" spans="2:27" x14ac:dyDescent="0.35">
      <c r="B61" s="58">
        <v>3</v>
      </c>
      <c r="C61" s="58" t="s">
        <v>1</v>
      </c>
      <c r="D61" s="58">
        <f t="shared" ref="D61" si="41">D60*2</f>
        <v>20000</v>
      </c>
      <c r="E61" s="58">
        <f>D61*VLOOKUP($C61,物品定价!$B:$D,3,0)</f>
        <v>20</v>
      </c>
      <c r="F61" s="60">
        <v>0.05</v>
      </c>
      <c r="G61" s="58">
        <f t="shared" si="39"/>
        <v>1</v>
      </c>
      <c r="H61" s="58">
        <f t="shared" si="40"/>
        <v>0.05</v>
      </c>
      <c r="J61" s="58" t="s">
        <v>139</v>
      </c>
      <c r="K61" s="58">
        <f>H63*D63</f>
        <v>0.2</v>
      </c>
      <c r="L61" s="58">
        <f>K61*$E$4</f>
        <v>76.800000000000011</v>
      </c>
      <c r="O61" s="58">
        <v>17</v>
      </c>
      <c r="P61" s="58" t="s">
        <v>207</v>
      </c>
      <c r="Q61" s="58">
        <f t="shared" si="31"/>
        <v>65536000</v>
      </c>
      <c r="R61" s="58">
        <f t="shared" si="38"/>
        <v>65536</v>
      </c>
      <c r="S61" s="58"/>
      <c r="T61" s="70">
        <f t="shared" si="32"/>
        <v>655.36</v>
      </c>
      <c r="U61" s="59">
        <f t="shared" si="33"/>
        <v>65536</v>
      </c>
      <c r="Y61" s="61"/>
      <c r="Z61" s="61"/>
      <c r="AA61" s="61"/>
    </row>
    <row r="62" spans="2:27" x14ac:dyDescent="0.35">
      <c r="B62" s="58">
        <v>4</v>
      </c>
      <c r="C62" s="58" t="s">
        <v>161</v>
      </c>
      <c r="D62" s="58">
        <v>1</v>
      </c>
      <c r="E62" s="58">
        <f>D62*VLOOKUP($C62,物品定价!$B:$D,3,0)</f>
        <v>2</v>
      </c>
      <c r="F62" s="60">
        <v>0.25</v>
      </c>
      <c r="G62" s="58">
        <f t="shared" si="39"/>
        <v>0.5</v>
      </c>
      <c r="H62" s="58">
        <f>D62*F62</f>
        <v>0.25</v>
      </c>
      <c r="J62" s="58" t="s">
        <v>140</v>
      </c>
      <c r="K62" s="58">
        <f>H64*D64</f>
        <v>0.15</v>
      </c>
      <c r="L62" s="58">
        <f>K62*$E$4</f>
        <v>57.599999999999994</v>
      </c>
      <c r="O62" s="58">
        <v>18</v>
      </c>
      <c r="P62" s="58" t="s">
        <v>208</v>
      </c>
      <c r="Q62" s="58">
        <f t="shared" si="31"/>
        <v>131072000</v>
      </c>
      <c r="R62" s="58">
        <f t="shared" si="38"/>
        <v>131072</v>
      </c>
      <c r="S62" s="58"/>
      <c r="T62" s="70">
        <f t="shared" si="32"/>
        <v>1310.72</v>
      </c>
      <c r="U62" s="59">
        <f t="shared" si="33"/>
        <v>131072</v>
      </c>
      <c r="Y62" s="61"/>
      <c r="Z62" s="61"/>
      <c r="AA62" s="61"/>
    </row>
    <row r="63" spans="2:27" x14ac:dyDescent="0.35">
      <c r="B63" s="58">
        <v>5</v>
      </c>
      <c r="C63" s="58" t="s">
        <v>245</v>
      </c>
      <c r="D63" s="58">
        <v>1</v>
      </c>
      <c r="E63" s="58">
        <f>D63*VLOOKUP($C63,物品定价!$B:$D,3,0)</f>
        <v>4</v>
      </c>
      <c r="F63" s="60">
        <v>0.2</v>
      </c>
      <c r="G63" s="58">
        <f t="shared" si="39"/>
        <v>0.8</v>
      </c>
      <c r="H63" s="58">
        <f t="shared" ref="H63:H65" si="42">D63*F63</f>
        <v>0.2</v>
      </c>
      <c r="J63" s="58" t="s">
        <v>141</v>
      </c>
      <c r="K63" s="58">
        <f>H65*D65</f>
        <v>0.05</v>
      </c>
      <c r="L63" s="58">
        <f>K63*$E$4</f>
        <v>19.200000000000003</v>
      </c>
      <c r="O63" s="58">
        <v>19</v>
      </c>
      <c r="P63" s="58" t="s">
        <v>209</v>
      </c>
      <c r="Q63" s="58">
        <f t="shared" si="31"/>
        <v>262144000</v>
      </c>
      <c r="R63" s="58">
        <f t="shared" si="38"/>
        <v>262144</v>
      </c>
      <c r="S63" s="58"/>
      <c r="T63" s="70">
        <f t="shared" si="32"/>
        <v>2621.44</v>
      </c>
      <c r="U63" s="59">
        <f t="shared" si="33"/>
        <v>262144</v>
      </c>
      <c r="Y63" s="61"/>
      <c r="Z63" s="61"/>
      <c r="AA63" s="61"/>
    </row>
    <row r="64" spans="2:27" x14ac:dyDescent="0.35">
      <c r="B64" s="58">
        <v>6</v>
      </c>
      <c r="C64" s="58" t="s">
        <v>140</v>
      </c>
      <c r="D64" s="58">
        <v>1</v>
      </c>
      <c r="E64" s="58">
        <f>D64*VLOOKUP($C64,物品定价!$B:$D,3,0)</f>
        <v>8</v>
      </c>
      <c r="F64" s="60">
        <v>0.15</v>
      </c>
      <c r="G64" s="58">
        <f t="shared" si="39"/>
        <v>1.2</v>
      </c>
      <c r="H64" s="58">
        <f t="shared" si="42"/>
        <v>0.15</v>
      </c>
      <c r="O64" s="58">
        <v>20</v>
      </c>
      <c r="P64" s="58" t="s">
        <v>210</v>
      </c>
      <c r="Q64" s="58">
        <f t="shared" si="31"/>
        <v>524288000</v>
      </c>
      <c r="R64" s="58">
        <f t="shared" si="38"/>
        <v>524288</v>
      </c>
      <c r="S64" s="58"/>
      <c r="T64" s="70">
        <f t="shared" si="32"/>
        <v>5242.88</v>
      </c>
      <c r="U64" s="59">
        <f t="shared" si="33"/>
        <v>524288</v>
      </c>
      <c r="Y64" s="61"/>
      <c r="Z64" s="61"/>
      <c r="AA64" s="61"/>
    </row>
    <row r="65" spans="2:27" x14ac:dyDescent="0.35">
      <c r="B65" s="58">
        <v>7</v>
      </c>
      <c r="C65" s="58" t="s">
        <v>252</v>
      </c>
      <c r="D65" s="58">
        <v>1</v>
      </c>
      <c r="E65" s="58">
        <f>D65*VLOOKUP($C65,物品定价!$B:$D,3,0)</f>
        <v>16</v>
      </c>
      <c r="F65" s="60">
        <v>0.05</v>
      </c>
      <c r="G65" s="58">
        <f t="shared" si="39"/>
        <v>0.8</v>
      </c>
      <c r="H65" s="58">
        <f t="shared" si="42"/>
        <v>0.05</v>
      </c>
      <c r="O65" s="58">
        <v>21</v>
      </c>
      <c r="P65" s="58" t="s">
        <v>211</v>
      </c>
      <c r="Q65" s="58">
        <f t="shared" si="31"/>
        <v>1048576000</v>
      </c>
      <c r="R65" s="58">
        <f t="shared" si="38"/>
        <v>1048576</v>
      </c>
      <c r="S65" s="58"/>
      <c r="T65" s="70">
        <f t="shared" si="32"/>
        <v>10485.76</v>
      </c>
      <c r="U65" s="59">
        <f t="shared" si="33"/>
        <v>1048576</v>
      </c>
      <c r="Y65" s="61"/>
      <c r="Z65" s="61"/>
      <c r="AA65" s="61"/>
    </row>
    <row r="66" spans="2:27" x14ac:dyDescent="0.35">
      <c r="O66" s="58">
        <v>22</v>
      </c>
      <c r="P66" s="58" t="s">
        <v>212</v>
      </c>
      <c r="Q66" s="58">
        <f t="shared" si="31"/>
        <v>2097152000</v>
      </c>
      <c r="R66" s="58">
        <f t="shared" si="38"/>
        <v>2097152</v>
      </c>
      <c r="S66" s="58"/>
      <c r="T66" s="70">
        <f t="shared" si="32"/>
        <v>20971.52</v>
      </c>
      <c r="U66" s="59">
        <f t="shared" si="33"/>
        <v>2097152</v>
      </c>
      <c r="Y66" s="61"/>
      <c r="Z66" s="61"/>
      <c r="AA66" s="61"/>
    </row>
    <row r="67" spans="2:27" x14ac:dyDescent="0.35">
      <c r="O67" s="58">
        <v>23</v>
      </c>
      <c r="P67" s="58" t="s">
        <v>213</v>
      </c>
      <c r="Q67" s="58">
        <f t="shared" si="31"/>
        <v>4194304000</v>
      </c>
      <c r="R67" s="58">
        <f t="shared" si="38"/>
        <v>4194304</v>
      </c>
      <c r="S67" s="58"/>
      <c r="T67" s="70">
        <f t="shared" si="32"/>
        <v>41943.040000000001</v>
      </c>
      <c r="U67" s="59">
        <f t="shared" si="33"/>
        <v>4194304</v>
      </c>
      <c r="Y67" s="61"/>
      <c r="Z67" s="61"/>
      <c r="AA67" s="61"/>
    </row>
    <row r="68" spans="2:27" x14ac:dyDescent="0.35">
      <c r="B68" s="56" t="s">
        <v>253</v>
      </c>
      <c r="F68" s="69">
        <f>SUM(F70:F76)</f>
        <v>1</v>
      </c>
      <c r="O68" s="58">
        <v>24</v>
      </c>
      <c r="P68" s="58" t="s">
        <v>214</v>
      </c>
      <c r="Q68" s="58">
        <f t="shared" si="31"/>
        <v>8388608000</v>
      </c>
      <c r="R68" s="58">
        <f t="shared" si="38"/>
        <v>8388608</v>
      </c>
      <c r="S68" s="58"/>
      <c r="T68" s="70">
        <f t="shared" si="32"/>
        <v>83886.080000000002</v>
      </c>
      <c r="U68" s="59">
        <f t="shared" si="33"/>
        <v>8388608</v>
      </c>
      <c r="Y68" s="61"/>
      <c r="Z68" s="61"/>
      <c r="AA68" s="61"/>
    </row>
    <row r="69" spans="2:27" x14ac:dyDescent="0.35">
      <c r="B69" s="58" t="s">
        <v>114</v>
      </c>
      <c r="C69" s="58" t="s">
        <v>115</v>
      </c>
      <c r="D69" s="58" t="s">
        <v>116</v>
      </c>
      <c r="E69" s="58" t="s">
        <v>117</v>
      </c>
      <c r="F69" s="58" t="s">
        <v>118</v>
      </c>
      <c r="G69" s="58" t="s">
        <v>119</v>
      </c>
      <c r="H69" s="58" t="s">
        <v>120</v>
      </c>
      <c r="J69" s="58" t="s">
        <v>115</v>
      </c>
      <c r="K69" s="58" t="s">
        <v>130</v>
      </c>
      <c r="L69" s="58" t="s">
        <v>131</v>
      </c>
      <c r="O69" s="58">
        <v>25</v>
      </c>
      <c r="P69" s="58" t="s">
        <v>215</v>
      </c>
      <c r="Q69" s="58">
        <f t="shared" si="31"/>
        <v>16777216000</v>
      </c>
      <c r="R69" s="58">
        <f t="shared" si="38"/>
        <v>16777216</v>
      </c>
      <c r="S69" s="58"/>
      <c r="T69" s="70">
        <f t="shared" si="32"/>
        <v>167772.16</v>
      </c>
      <c r="U69" s="59">
        <f t="shared" si="33"/>
        <v>16777216</v>
      </c>
      <c r="Y69" s="61"/>
      <c r="Z69" s="61"/>
      <c r="AA69" s="61"/>
    </row>
    <row r="70" spans="2:27" x14ac:dyDescent="0.35">
      <c r="B70" s="58">
        <v>1</v>
      </c>
      <c r="C70" s="58" t="s">
        <v>1</v>
      </c>
      <c r="D70" s="58">
        <v>5000</v>
      </c>
      <c r="E70" s="58">
        <f>D70*VLOOKUP($C70,物品定价!$B:$D,3,0)</f>
        <v>5</v>
      </c>
      <c r="F70" s="60">
        <v>0.2</v>
      </c>
      <c r="G70" s="58">
        <f t="shared" ref="G70:G76" si="43">E70*F70</f>
        <v>1</v>
      </c>
      <c r="H70" s="58">
        <f>1*F70</f>
        <v>0.2</v>
      </c>
      <c r="J70" s="58" t="s">
        <v>1</v>
      </c>
      <c r="K70" s="58">
        <f>SUMPRODUCT(D70:D72,H70:H72)</f>
        <v>3000</v>
      </c>
      <c r="L70" s="58">
        <f>K70*$E$4</f>
        <v>1152000</v>
      </c>
      <c r="O70" s="58">
        <v>26</v>
      </c>
      <c r="P70" s="58" t="s">
        <v>216</v>
      </c>
      <c r="Q70" s="58">
        <f t="shared" si="31"/>
        <v>33554432000</v>
      </c>
      <c r="R70" s="58">
        <f t="shared" si="38"/>
        <v>33554432</v>
      </c>
      <c r="S70" s="58"/>
      <c r="T70" s="70">
        <f t="shared" si="32"/>
        <v>335544.32000000001</v>
      </c>
      <c r="U70" s="59">
        <f t="shared" si="33"/>
        <v>33554432</v>
      </c>
      <c r="Y70" s="61"/>
      <c r="Z70" s="61"/>
      <c r="AA70" s="61"/>
    </row>
    <row r="71" spans="2:27" x14ac:dyDescent="0.35">
      <c r="B71" s="58">
        <v>2</v>
      </c>
      <c r="C71" s="58" t="s">
        <v>1</v>
      </c>
      <c r="D71" s="58">
        <f>D70*2</f>
        <v>10000</v>
      </c>
      <c r="E71" s="58">
        <f>D71*VLOOKUP($C71,物品定价!$B:$D,3,0)</f>
        <v>10</v>
      </c>
      <c r="F71" s="60">
        <v>0.1</v>
      </c>
      <c r="G71" s="58">
        <f t="shared" si="43"/>
        <v>1</v>
      </c>
      <c r="H71" s="58">
        <f t="shared" ref="H71:H72" si="44">1*F71</f>
        <v>0.1</v>
      </c>
      <c r="J71" s="58" t="s">
        <v>161</v>
      </c>
      <c r="K71" s="58">
        <f>H73*D73</f>
        <v>0.25</v>
      </c>
      <c r="L71" s="58">
        <f>K71*$E$4</f>
        <v>96</v>
      </c>
      <c r="O71" s="58">
        <v>27</v>
      </c>
      <c r="P71" s="58" t="s">
        <v>217</v>
      </c>
      <c r="Q71" s="58">
        <f t="shared" si="31"/>
        <v>67108864000</v>
      </c>
      <c r="R71" s="58">
        <f t="shared" si="38"/>
        <v>67108864</v>
      </c>
      <c r="S71" s="58"/>
      <c r="T71" s="70">
        <f t="shared" si="32"/>
        <v>671088.64000000001</v>
      </c>
      <c r="U71" s="59">
        <f t="shared" si="33"/>
        <v>67108864</v>
      </c>
      <c r="Y71" s="61"/>
      <c r="Z71" s="61"/>
      <c r="AA71" s="61"/>
    </row>
    <row r="72" spans="2:27" x14ac:dyDescent="0.35">
      <c r="B72" s="58">
        <v>3</v>
      </c>
      <c r="C72" s="58" t="s">
        <v>1</v>
      </c>
      <c r="D72" s="58">
        <f t="shared" ref="D72" si="45">D71*2</f>
        <v>20000</v>
      </c>
      <c r="E72" s="58">
        <f>D72*VLOOKUP($C72,物品定价!$B:$D,3,0)</f>
        <v>20</v>
      </c>
      <c r="F72" s="60">
        <v>0.05</v>
      </c>
      <c r="G72" s="58">
        <f t="shared" si="43"/>
        <v>1</v>
      </c>
      <c r="H72" s="58">
        <f t="shared" si="44"/>
        <v>0.05</v>
      </c>
      <c r="J72" s="58" t="s">
        <v>139</v>
      </c>
      <c r="K72" s="58">
        <f>H74*D74</f>
        <v>0.2</v>
      </c>
      <c r="L72" s="58">
        <f>K72*$E$4</f>
        <v>76.800000000000011</v>
      </c>
      <c r="O72" s="58">
        <v>28</v>
      </c>
      <c r="P72" s="58" t="s">
        <v>218</v>
      </c>
      <c r="Q72" s="58">
        <f t="shared" si="31"/>
        <v>134217728000</v>
      </c>
      <c r="R72" s="58">
        <f t="shared" si="38"/>
        <v>134217728</v>
      </c>
      <c r="S72" s="58"/>
      <c r="T72" s="70">
        <f t="shared" si="32"/>
        <v>1342177.28</v>
      </c>
      <c r="U72" s="59">
        <f t="shared" si="33"/>
        <v>134217728</v>
      </c>
    </row>
    <row r="73" spans="2:27" x14ac:dyDescent="0.35">
      <c r="B73" s="58">
        <v>4</v>
      </c>
      <c r="C73" s="58" t="s">
        <v>245</v>
      </c>
      <c r="D73" s="58">
        <v>1</v>
      </c>
      <c r="E73" s="58">
        <f>D73*VLOOKUP($C73,物品定价!$B:$D,3,0)</f>
        <v>4</v>
      </c>
      <c r="F73" s="60">
        <v>0.25</v>
      </c>
      <c r="G73" s="58">
        <f t="shared" si="43"/>
        <v>1</v>
      </c>
      <c r="H73" s="58">
        <f>D73*F73</f>
        <v>0.25</v>
      </c>
      <c r="J73" s="58" t="s">
        <v>140</v>
      </c>
      <c r="K73" s="58">
        <f>H75*D75</f>
        <v>0.15</v>
      </c>
      <c r="L73" s="58">
        <f>K73*$E$4</f>
        <v>57.599999999999994</v>
      </c>
      <c r="O73" s="58">
        <v>29</v>
      </c>
      <c r="P73" s="58" t="s">
        <v>219</v>
      </c>
      <c r="Q73" s="58">
        <f t="shared" si="31"/>
        <v>268435456000</v>
      </c>
      <c r="R73" s="58">
        <f t="shared" si="38"/>
        <v>268435456</v>
      </c>
      <c r="S73" s="58"/>
      <c r="T73" s="70">
        <f t="shared" si="32"/>
        <v>2684354.5600000001</v>
      </c>
      <c r="U73" s="59">
        <f t="shared" si="33"/>
        <v>268435456</v>
      </c>
    </row>
    <row r="74" spans="2:27" x14ac:dyDescent="0.35">
      <c r="B74" s="58">
        <v>5</v>
      </c>
      <c r="C74" s="58" t="s">
        <v>140</v>
      </c>
      <c r="D74" s="58">
        <v>1</v>
      </c>
      <c r="E74" s="58">
        <f>D74*VLOOKUP($C74,物品定价!$B:$D,3,0)</f>
        <v>8</v>
      </c>
      <c r="F74" s="60">
        <v>0.2</v>
      </c>
      <c r="G74" s="58">
        <f t="shared" si="43"/>
        <v>1.6</v>
      </c>
      <c r="H74" s="58">
        <f t="shared" ref="H74:H76" si="46">D74*F74</f>
        <v>0.2</v>
      </c>
      <c r="J74" s="58" t="s">
        <v>141</v>
      </c>
      <c r="K74" s="58">
        <f>H76*D76</f>
        <v>0.05</v>
      </c>
      <c r="L74" s="58">
        <f>K74*$E$4</f>
        <v>19.200000000000003</v>
      </c>
      <c r="O74" s="58">
        <v>30</v>
      </c>
      <c r="P74" s="58" t="s">
        <v>220</v>
      </c>
      <c r="Q74" s="58">
        <f t="shared" si="31"/>
        <v>536870912000</v>
      </c>
      <c r="R74" s="58">
        <f t="shared" si="38"/>
        <v>536870912</v>
      </c>
      <c r="S74" s="58"/>
      <c r="T74" s="70">
        <f t="shared" si="32"/>
        <v>5368709.1200000001</v>
      </c>
      <c r="U74" s="59">
        <f t="shared" si="33"/>
        <v>536870912</v>
      </c>
    </row>
    <row r="75" spans="2:27" x14ac:dyDescent="0.35">
      <c r="B75" s="58">
        <v>6</v>
      </c>
      <c r="C75" s="58" t="s">
        <v>252</v>
      </c>
      <c r="D75" s="58">
        <v>1</v>
      </c>
      <c r="E75" s="58">
        <f>D75*VLOOKUP($C75,物品定价!$B:$D,3,0)</f>
        <v>16</v>
      </c>
      <c r="F75" s="60">
        <v>0.15</v>
      </c>
      <c r="G75" s="58">
        <f t="shared" si="43"/>
        <v>2.4</v>
      </c>
      <c r="H75" s="58">
        <f t="shared" si="46"/>
        <v>0.15</v>
      </c>
      <c r="O75" s="58">
        <v>31</v>
      </c>
      <c r="P75" s="58" t="s">
        <v>221</v>
      </c>
      <c r="Q75" s="58">
        <f t="shared" si="31"/>
        <v>1073741824000</v>
      </c>
      <c r="R75" s="58">
        <f t="shared" si="38"/>
        <v>1073741824</v>
      </c>
      <c r="S75" s="58"/>
      <c r="T75" s="70">
        <f t="shared" si="32"/>
        <v>10737418.24</v>
      </c>
      <c r="U75" s="59">
        <f t="shared" si="33"/>
        <v>1073741824</v>
      </c>
    </row>
    <row r="76" spans="2:27" x14ac:dyDescent="0.35">
      <c r="B76" s="58">
        <v>7</v>
      </c>
      <c r="C76" s="58" t="s">
        <v>256</v>
      </c>
      <c r="D76" s="58">
        <v>1</v>
      </c>
      <c r="E76" s="58">
        <f>D76*VLOOKUP($C76,物品定价!$B:$D,3,0)</f>
        <v>32</v>
      </c>
      <c r="F76" s="60">
        <v>0.05</v>
      </c>
      <c r="G76" s="58">
        <f t="shared" si="43"/>
        <v>1.6</v>
      </c>
      <c r="H76" s="58">
        <f t="shared" si="46"/>
        <v>0.05</v>
      </c>
      <c r="O76" s="58">
        <v>32</v>
      </c>
      <c r="P76" s="58" t="s">
        <v>222</v>
      </c>
      <c r="Q76" s="58">
        <f t="shared" si="31"/>
        <v>2147483648000</v>
      </c>
      <c r="R76" s="58">
        <f t="shared" si="38"/>
        <v>2147483648</v>
      </c>
      <c r="S76" s="58"/>
      <c r="T76" s="70">
        <f t="shared" si="32"/>
        <v>21474836.48</v>
      </c>
      <c r="U76" s="59">
        <f t="shared" si="33"/>
        <v>2147483648</v>
      </c>
    </row>
    <row r="77" spans="2:27" x14ac:dyDescent="0.35">
      <c r="O77" s="58">
        <v>33</v>
      </c>
      <c r="P77" s="58" t="s">
        <v>223</v>
      </c>
      <c r="Q77" s="58">
        <f t="shared" si="31"/>
        <v>4294967296000</v>
      </c>
      <c r="R77" s="58">
        <f t="shared" si="38"/>
        <v>4294967296</v>
      </c>
      <c r="S77" s="58"/>
      <c r="T77" s="70">
        <f t="shared" si="32"/>
        <v>42949672.960000001</v>
      </c>
      <c r="U77" s="59">
        <f t="shared" si="33"/>
        <v>4294967296</v>
      </c>
    </row>
    <row r="78" spans="2:27" x14ac:dyDescent="0.35">
      <c r="O78" s="58">
        <v>34</v>
      </c>
      <c r="P78" s="58" t="s">
        <v>224</v>
      </c>
      <c r="Q78" s="58">
        <f t="shared" si="31"/>
        <v>8589934592000</v>
      </c>
      <c r="R78" s="58">
        <f t="shared" si="38"/>
        <v>8589934592</v>
      </c>
      <c r="S78" s="58"/>
      <c r="T78" s="70">
        <f t="shared" si="32"/>
        <v>85899345.920000002</v>
      </c>
      <c r="U78" s="59">
        <f t="shared" si="33"/>
        <v>8589934592</v>
      </c>
    </row>
    <row r="79" spans="2:27" x14ac:dyDescent="0.35">
      <c r="B79" s="56" t="s">
        <v>254</v>
      </c>
      <c r="F79" s="69">
        <f>SUM(F81:F87)</f>
        <v>1</v>
      </c>
      <c r="O79" s="58">
        <v>35</v>
      </c>
      <c r="P79" s="58" t="s">
        <v>225</v>
      </c>
      <c r="Q79" s="58">
        <f t="shared" si="31"/>
        <v>17179869184000</v>
      </c>
      <c r="R79" s="58">
        <f t="shared" si="38"/>
        <v>17179869184</v>
      </c>
      <c r="S79" s="58"/>
      <c r="T79" s="70">
        <f t="shared" si="32"/>
        <v>171798691.84</v>
      </c>
      <c r="U79" s="59">
        <f t="shared" si="33"/>
        <v>17179869184</v>
      </c>
    </row>
    <row r="80" spans="2:27" x14ac:dyDescent="0.35">
      <c r="B80" s="58" t="s">
        <v>114</v>
      </c>
      <c r="C80" s="58" t="s">
        <v>115</v>
      </c>
      <c r="D80" s="58" t="s">
        <v>116</v>
      </c>
      <c r="E80" s="58" t="s">
        <v>117</v>
      </c>
      <c r="F80" s="58" t="s">
        <v>118</v>
      </c>
      <c r="G80" s="58" t="s">
        <v>119</v>
      </c>
      <c r="H80" s="58" t="s">
        <v>120</v>
      </c>
      <c r="J80" s="58" t="s">
        <v>115</v>
      </c>
      <c r="K80" s="58" t="s">
        <v>130</v>
      </c>
      <c r="L80" s="58" t="s">
        <v>131</v>
      </c>
      <c r="O80" s="58">
        <v>36</v>
      </c>
      <c r="P80" s="58" t="s">
        <v>226</v>
      </c>
      <c r="Q80" s="58">
        <f t="shared" si="31"/>
        <v>34359738368000</v>
      </c>
      <c r="R80" s="58">
        <f t="shared" si="38"/>
        <v>34359738368</v>
      </c>
      <c r="S80" s="58"/>
      <c r="T80" s="70">
        <f t="shared" si="32"/>
        <v>343597383.68000001</v>
      </c>
      <c r="U80" s="59">
        <f t="shared" si="33"/>
        <v>34359738368</v>
      </c>
    </row>
    <row r="81" spans="2:21" x14ac:dyDescent="0.35">
      <c r="B81" s="58">
        <v>1</v>
      </c>
      <c r="C81" s="58" t="s">
        <v>1</v>
      </c>
      <c r="D81" s="58">
        <v>5000</v>
      </c>
      <c r="E81" s="58">
        <f>D81*VLOOKUP($C81,物品定价!$B:$D,3,0)</f>
        <v>5</v>
      </c>
      <c r="F81" s="60">
        <v>0.2</v>
      </c>
      <c r="G81" s="58">
        <f t="shared" ref="G81:G87" si="47">E81*F81</f>
        <v>1</v>
      </c>
      <c r="H81" s="58">
        <f>1*F81</f>
        <v>0.2</v>
      </c>
      <c r="J81" s="58" t="s">
        <v>1</v>
      </c>
      <c r="K81" s="58">
        <f>SUMPRODUCT(D81:D83,H81:H83)</f>
        <v>3000</v>
      </c>
      <c r="L81" s="58">
        <f>K81*$E$4</f>
        <v>1152000</v>
      </c>
      <c r="O81" s="58">
        <v>37</v>
      </c>
      <c r="P81" s="58" t="s">
        <v>227</v>
      </c>
      <c r="Q81" s="58">
        <f t="shared" si="31"/>
        <v>68719476736000</v>
      </c>
      <c r="R81" s="58">
        <f t="shared" si="38"/>
        <v>68719476736</v>
      </c>
      <c r="S81" s="58"/>
      <c r="T81" s="70">
        <f t="shared" si="32"/>
        <v>687194767.36000001</v>
      </c>
      <c r="U81" s="59">
        <f t="shared" si="33"/>
        <v>68719476736</v>
      </c>
    </row>
    <row r="82" spans="2:21" x14ac:dyDescent="0.35">
      <c r="B82" s="58">
        <v>2</v>
      </c>
      <c r="C82" s="58" t="s">
        <v>1</v>
      </c>
      <c r="D82" s="58">
        <f>D81*2</f>
        <v>10000</v>
      </c>
      <c r="E82" s="58">
        <f>D82*VLOOKUP($C82,物品定价!$B:$D,3,0)</f>
        <v>10</v>
      </c>
      <c r="F82" s="60">
        <v>0.1</v>
      </c>
      <c r="G82" s="58">
        <f t="shared" si="47"/>
        <v>1</v>
      </c>
      <c r="H82" s="58">
        <f t="shared" ref="H82:H83" si="48">1*F82</f>
        <v>0.1</v>
      </c>
      <c r="J82" s="58" t="s">
        <v>161</v>
      </c>
      <c r="K82" s="58">
        <f>H84*D84</f>
        <v>0.25</v>
      </c>
      <c r="L82" s="58">
        <f>K82*$E$4</f>
        <v>96</v>
      </c>
      <c r="O82" s="58">
        <v>38</v>
      </c>
      <c r="P82" s="58" t="s">
        <v>228</v>
      </c>
      <c r="Q82" s="58">
        <f t="shared" si="31"/>
        <v>137438953472000</v>
      </c>
      <c r="R82" s="58">
        <f t="shared" si="38"/>
        <v>137438953472</v>
      </c>
      <c r="S82" s="58"/>
      <c r="T82" s="70">
        <f t="shared" si="32"/>
        <v>1374389534.72</v>
      </c>
      <c r="U82" s="59">
        <f t="shared" si="33"/>
        <v>137438953472</v>
      </c>
    </row>
    <row r="83" spans="2:21" x14ac:dyDescent="0.35">
      <c r="B83" s="58">
        <v>3</v>
      </c>
      <c r="C83" s="58" t="s">
        <v>1</v>
      </c>
      <c r="D83" s="58">
        <f t="shared" ref="D83" si="49">D82*2</f>
        <v>20000</v>
      </c>
      <c r="E83" s="58">
        <f>D83*VLOOKUP($C83,物品定价!$B:$D,3,0)</f>
        <v>20</v>
      </c>
      <c r="F83" s="60">
        <v>0.05</v>
      </c>
      <c r="G83" s="58">
        <f t="shared" si="47"/>
        <v>1</v>
      </c>
      <c r="H83" s="58">
        <f t="shared" si="48"/>
        <v>0.05</v>
      </c>
      <c r="J83" s="58" t="s">
        <v>139</v>
      </c>
      <c r="K83" s="58">
        <f>H85*D85</f>
        <v>0.2</v>
      </c>
      <c r="L83" s="58">
        <f>K83*$E$4</f>
        <v>76.800000000000011</v>
      </c>
      <c r="O83" s="58">
        <v>39</v>
      </c>
      <c r="P83" s="58" t="s">
        <v>229</v>
      </c>
      <c r="Q83" s="58">
        <f t="shared" si="31"/>
        <v>274877906944000</v>
      </c>
      <c r="R83" s="58">
        <f t="shared" si="38"/>
        <v>274877906944</v>
      </c>
      <c r="S83" s="58"/>
      <c r="T83" s="70">
        <f t="shared" si="32"/>
        <v>2748779069.4400001</v>
      </c>
      <c r="U83" s="59">
        <f t="shared" si="33"/>
        <v>274877906944</v>
      </c>
    </row>
    <row r="84" spans="2:21" x14ac:dyDescent="0.35">
      <c r="B84" s="58">
        <v>4</v>
      </c>
      <c r="C84" s="58" t="s">
        <v>140</v>
      </c>
      <c r="D84" s="58">
        <v>1</v>
      </c>
      <c r="E84" s="58">
        <f>D84*VLOOKUP($C84,物品定价!$B:$D,3,0)</f>
        <v>8</v>
      </c>
      <c r="F84" s="60">
        <v>0.25</v>
      </c>
      <c r="G84" s="58">
        <f t="shared" si="47"/>
        <v>2</v>
      </c>
      <c r="H84" s="58">
        <f>D84*F84</f>
        <v>0.25</v>
      </c>
      <c r="J84" s="58" t="s">
        <v>140</v>
      </c>
      <c r="K84" s="58">
        <f>H86*D86</f>
        <v>0.15</v>
      </c>
      <c r="L84" s="58">
        <f>K84*$E$4</f>
        <v>57.599999999999994</v>
      </c>
      <c r="O84" s="58">
        <v>40</v>
      </c>
      <c r="P84" s="58" t="s">
        <v>230</v>
      </c>
      <c r="Q84" s="58">
        <f t="shared" si="31"/>
        <v>549755813888000</v>
      </c>
      <c r="R84" s="58">
        <f t="shared" si="38"/>
        <v>549755813888</v>
      </c>
      <c r="S84" s="58"/>
      <c r="T84" s="70">
        <f t="shared" si="32"/>
        <v>5497558138.8800001</v>
      </c>
      <c r="U84" s="59">
        <f t="shared" si="33"/>
        <v>549755813888</v>
      </c>
    </row>
    <row r="85" spans="2:21" x14ac:dyDescent="0.35">
      <c r="B85" s="58">
        <v>5</v>
      </c>
      <c r="C85" s="58" t="s">
        <v>252</v>
      </c>
      <c r="D85" s="58">
        <v>1</v>
      </c>
      <c r="E85" s="58">
        <f>D85*VLOOKUP($C85,物品定价!$B:$D,3,0)</f>
        <v>16</v>
      </c>
      <c r="F85" s="60">
        <v>0.2</v>
      </c>
      <c r="G85" s="58">
        <f t="shared" si="47"/>
        <v>3.2</v>
      </c>
      <c r="H85" s="58">
        <f t="shared" ref="H85:H87" si="50">D85*F85</f>
        <v>0.2</v>
      </c>
      <c r="J85" s="58" t="s">
        <v>141</v>
      </c>
      <c r="K85" s="58">
        <f>H87*D87</f>
        <v>0.05</v>
      </c>
      <c r="L85" s="58">
        <f>K85*$E$4</f>
        <v>19.200000000000003</v>
      </c>
      <c r="O85" s="58">
        <v>41</v>
      </c>
      <c r="P85" s="58" t="s">
        <v>231</v>
      </c>
      <c r="Q85" s="58">
        <f t="shared" si="31"/>
        <v>1099511627776000</v>
      </c>
      <c r="R85" s="58">
        <f t="shared" si="38"/>
        <v>1099511627776</v>
      </c>
      <c r="S85" s="58"/>
      <c r="T85" s="70">
        <f t="shared" si="32"/>
        <v>10995116277.76</v>
      </c>
      <c r="U85" s="59">
        <f t="shared" si="33"/>
        <v>1099511627776</v>
      </c>
    </row>
    <row r="86" spans="2:21" x14ac:dyDescent="0.35">
      <c r="B86" s="58">
        <v>6</v>
      </c>
      <c r="C86" s="58" t="s">
        <v>256</v>
      </c>
      <c r="D86" s="58">
        <v>1</v>
      </c>
      <c r="E86" s="58">
        <f>D86*VLOOKUP($C86,物品定价!$B:$D,3,0)</f>
        <v>32</v>
      </c>
      <c r="F86" s="60">
        <v>0.15</v>
      </c>
      <c r="G86" s="58">
        <f t="shared" si="47"/>
        <v>4.8</v>
      </c>
      <c r="H86" s="58">
        <f t="shared" si="50"/>
        <v>0.15</v>
      </c>
      <c r="O86" s="58">
        <v>42</v>
      </c>
      <c r="P86" s="58" t="s">
        <v>232</v>
      </c>
      <c r="Q86" s="58">
        <f t="shared" si="31"/>
        <v>2199023255552000</v>
      </c>
      <c r="R86" s="58">
        <f t="shared" si="38"/>
        <v>2199023255552</v>
      </c>
      <c r="S86" s="58"/>
      <c r="T86" s="70">
        <f t="shared" si="32"/>
        <v>21990232555.52</v>
      </c>
      <c r="U86" s="59">
        <f t="shared" si="33"/>
        <v>2199023255552</v>
      </c>
    </row>
    <row r="87" spans="2:21" x14ac:dyDescent="0.35">
      <c r="B87" s="58">
        <v>7</v>
      </c>
      <c r="C87" s="58" t="s">
        <v>257</v>
      </c>
      <c r="D87" s="58">
        <v>1</v>
      </c>
      <c r="E87" s="58">
        <f>D87*VLOOKUP($C87,物品定价!$B:$D,3,0)</f>
        <v>64</v>
      </c>
      <c r="F87" s="60">
        <v>0.05</v>
      </c>
      <c r="G87" s="58">
        <f t="shared" si="47"/>
        <v>3.2</v>
      </c>
      <c r="H87" s="58">
        <f t="shared" si="50"/>
        <v>0.05</v>
      </c>
      <c r="O87" s="58">
        <v>43</v>
      </c>
      <c r="P87" s="58" t="s">
        <v>233</v>
      </c>
      <c r="Q87" s="58">
        <f t="shared" si="31"/>
        <v>4398046511104000</v>
      </c>
      <c r="R87" s="58">
        <f t="shared" si="38"/>
        <v>4398046511104</v>
      </c>
      <c r="S87" s="58"/>
      <c r="T87" s="70">
        <f t="shared" si="32"/>
        <v>43980465111.040001</v>
      </c>
      <c r="U87" s="59">
        <f t="shared" si="33"/>
        <v>4398046511104</v>
      </c>
    </row>
    <row r="88" spans="2:21" x14ac:dyDescent="0.35">
      <c r="O88" s="58">
        <v>44</v>
      </c>
      <c r="P88" s="58" t="s">
        <v>234</v>
      </c>
      <c r="Q88" s="58">
        <f t="shared" si="31"/>
        <v>8796093022208000</v>
      </c>
      <c r="R88" s="58">
        <f t="shared" si="38"/>
        <v>8796093022208</v>
      </c>
      <c r="S88" s="58"/>
      <c r="T88" s="70">
        <f t="shared" si="32"/>
        <v>87960930222.080002</v>
      </c>
      <c r="U88" s="59">
        <f t="shared" si="33"/>
        <v>8796093022208</v>
      </c>
    </row>
    <row r="89" spans="2:21" x14ac:dyDescent="0.35">
      <c r="O89" s="58">
        <v>45</v>
      </c>
      <c r="P89" s="58" t="s">
        <v>235</v>
      </c>
      <c r="Q89" s="58">
        <f t="shared" si="31"/>
        <v>1.7592186044416E+16</v>
      </c>
      <c r="R89" s="58">
        <f t="shared" si="38"/>
        <v>17592186044416</v>
      </c>
      <c r="S89" s="58"/>
      <c r="T89" s="70">
        <f t="shared" si="32"/>
        <v>175921860444.16</v>
      </c>
      <c r="U89" s="59">
        <f t="shared" si="33"/>
        <v>17592186044416</v>
      </c>
    </row>
    <row r="90" spans="2:21" x14ac:dyDescent="0.35">
      <c r="B90" s="56" t="s">
        <v>255</v>
      </c>
      <c r="F90" s="69">
        <f>SUM(F92:F98)</f>
        <v>1</v>
      </c>
      <c r="O90" s="58">
        <v>46</v>
      </c>
      <c r="P90" s="58" t="s">
        <v>236</v>
      </c>
      <c r="Q90" s="58">
        <f t="shared" si="31"/>
        <v>3.5184372088832E+16</v>
      </c>
      <c r="R90" s="58">
        <f t="shared" ref="R90:R94" si="51">2^(O90-1)</f>
        <v>35184372088832</v>
      </c>
      <c r="S90" s="58"/>
      <c r="T90" s="70">
        <f t="shared" si="32"/>
        <v>351843720888.32001</v>
      </c>
      <c r="U90" s="59">
        <f t="shared" si="33"/>
        <v>35184372088832</v>
      </c>
    </row>
    <row r="91" spans="2:21" x14ac:dyDescent="0.35">
      <c r="B91" s="58" t="s">
        <v>114</v>
      </c>
      <c r="C91" s="58" t="s">
        <v>115</v>
      </c>
      <c r="D91" s="58" t="s">
        <v>116</v>
      </c>
      <c r="E91" s="58" t="s">
        <v>117</v>
      </c>
      <c r="F91" s="58" t="s">
        <v>118</v>
      </c>
      <c r="G91" s="58" t="s">
        <v>119</v>
      </c>
      <c r="H91" s="58" t="s">
        <v>120</v>
      </c>
      <c r="J91" s="58" t="s">
        <v>115</v>
      </c>
      <c r="K91" s="58" t="s">
        <v>130</v>
      </c>
      <c r="L91" s="58" t="s">
        <v>131</v>
      </c>
      <c r="O91" s="58">
        <v>47</v>
      </c>
      <c r="P91" s="58" t="s">
        <v>237</v>
      </c>
      <c r="Q91" s="58">
        <f t="shared" si="31"/>
        <v>7.0368744177664E+16</v>
      </c>
      <c r="R91" s="58">
        <f t="shared" si="51"/>
        <v>70368744177664</v>
      </c>
      <c r="S91" s="58"/>
      <c r="T91" s="70">
        <f t="shared" si="32"/>
        <v>703687441776.64001</v>
      </c>
      <c r="U91" s="59">
        <f t="shared" si="33"/>
        <v>70368744177664</v>
      </c>
    </row>
    <row r="92" spans="2:21" x14ac:dyDescent="0.35">
      <c r="B92" s="58">
        <v>1</v>
      </c>
      <c r="C92" s="58" t="s">
        <v>1</v>
      </c>
      <c r="D92" s="58">
        <v>5000</v>
      </c>
      <c r="E92" s="58">
        <f>D92*VLOOKUP($C92,物品定价!$B:$D,3,0)</f>
        <v>5</v>
      </c>
      <c r="F92" s="60">
        <v>0.2</v>
      </c>
      <c r="G92" s="58">
        <f t="shared" ref="G92:G98" si="52">E92*F92</f>
        <v>1</v>
      </c>
      <c r="H92" s="58">
        <f>1*F92</f>
        <v>0.2</v>
      </c>
      <c r="J92" s="58" t="s">
        <v>1</v>
      </c>
      <c r="K92" s="58">
        <f>SUMPRODUCT(D92:D94,H92:H94)</f>
        <v>3000</v>
      </c>
      <c r="L92" s="58">
        <f>K92*$E$4</f>
        <v>1152000</v>
      </c>
      <c r="O92" s="58">
        <v>48</v>
      </c>
      <c r="P92" s="58" t="s">
        <v>238</v>
      </c>
      <c r="Q92" s="58">
        <f t="shared" si="31"/>
        <v>1.40737488355328E+17</v>
      </c>
      <c r="R92" s="58">
        <f t="shared" si="51"/>
        <v>140737488355328</v>
      </c>
      <c r="S92" s="58"/>
      <c r="T92" s="70">
        <f t="shared" si="32"/>
        <v>1407374883553.28</v>
      </c>
      <c r="U92" s="59">
        <f t="shared" si="33"/>
        <v>140737488355328</v>
      </c>
    </row>
    <row r="93" spans="2:21" x14ac:dyDescent="0.35">
      <c r="B93" s="58">
        <v>2</v>
      </c>
      <c r="C93" s="58" t="s">
        <v>1</v>
      </c>
      <c r="D93" s="58">
        <f>D92*2</f>
        <v>10000</v>
      </c>
      <c r="E93" s="58">
        <f>D93*VLOOKUP($C93,物品定价!$B:$D,3,0)</f>
        <v>10</v>
      </c>
      <c r="F93" s="60">
        <v>0.1</v>
      </c>
      <c r="G93" s="58">
        <f t="shared" si="52"/>
        <v>1</v>
      </c>
      <c r="H93" s="58">
        <f t="shared" ref="H93:H94" si="53">1*F93</f>
        <v>0.1</v>
      </c>
      <c r="J93" s="58" t="s">
        <v>161</v>
      </c>
      <c r="K93" s="58">
        <f>H95*D95</f>
        <v>0.25</v>
      </c>
      <c r="L93" s="58">
        <f>K93*$E$4</f>
        <v>96</v>
      </c>
      <c r="O93" s="58">
        <v>49</v>
      </c>
      <c r="P93" s="58" t="s">
        <v>239</v>
      </c>
      <c r="Q93" s="58">
        <f t="shared" si="31"/>
        <v>2.81474976710656E+17</v>
      </c>
      <c r="R93" s="58">
        <f t="shared" si="51"/>
        <v>281474976710656</v>
      </c>
      <c r="S93" s="58"/>
      <c r="T93" s="70">
        <f t="shared" si="32"/>
        <v>2814749767106.5601</v>
      </c>
      <c r="U93" s="59">
        <f t="shared" si="33"/>
        <v>281474976710656</v>
      </c>
    </row>
    <row r="94" spans="2:21" x14ac:dyDescent="0.35">
      <c r="B94" s="58">
        <v>3</v>
      </c>
      <c r="C94" s="58" t="s">
        <v>1</v>
      </c>
      <c r="D94" s="58">
        <f t="shared" ref="D94" si="54">D93*2</f>
        <v>20000</v>
      </c>
      <c r="E94" s="58">
        <f>D94*VLOOKUP($C94,物品定价!$B:$D,3,0)</f>
        <v>20</v>
      </c>
      <c r="F94" s="60">
        <v>0.05</v>
      </c>
      <c r="G94" s="58">
        <f t="shared" si="52"/>
        <v>1</v>
      </c>
      <c r="H94" s="58">
        <f t="shared" si="53"/>
        <v>0.05</v>
      </c>
      <c r="J94" s="58" t="s">
        <v>139</v>
      </c>
      <c r="K94" s="58">
        <f>H96*D96</f>
        <v>0.2</v>
      </c>
      <c r="L94" s="58">
        <f>K94*$E$4</f>
        <v>76.800000000000011</v>
      </c>
      <c r="O94" s="58">
        <v>50</v>
      </c>
      <c r="P94" s="58" t="s">
        <v>240</v>
      </c>
      <c r="Q94" s="58">
        <f t="shared" si="31"/>
        <v>5.62949953421312E+17</v>
      </c>
      <c r="R94" s="58">
        <f t="shared" si="51"/>
        <v>562949953421312</v>
      </c>
      <c r="S94" s="58"/>
      <c r="T94" s="70">
        <f t="shared" si="32"/>
        <v>5629499534213.1201</v>
      </c>
      <c r="U94" s="59">
        <f t="shared" si="33"/>
        <v>562949953421312</v>
      </c>
    </row>
    <row r="95" spans="2:21" x14ac:dyDescent="0.35">
      <c r="B95" s="58">
        <v>4</v>
      </c>
      <c r="C95" s="58" t="s">
        <v>252</v>
      </c>
      <c r="D95" s="58">
        <v>1</v>
      </c>
      <c r="E95" s="58">
        <f>D95*VLOOKUP($C95,物品定价!$B:$D,3,0)</f>
        <v>16</v>
      </c>
      <c r="F95" s="60">
        <v>0.25</v>
      </c>
      <c r="G95" s="58">
        <f t="shared" si="52"/>
        <v>4</v>
      </c>
      <c r="H95" s="58">
        <f>D95*F95</f>
        <v>0.25</v>
      </c>
      <c r="J95" s="58" t="s">
        <v>140</v>
      </c>
      <c r="K95" s="58">
        <f>H97*D97</f>
        <v>0.15</v>
      </c>
      <c r="L95" s="58">
        <f>K95*$E$4</f>
        <v>57.599999999999994</v>
      </c>
    </row>
    <row r="96" spans="2:21" x14ac:dyDescent="0.35">
      <c r="B96" s="58">
        <v>5</v>
      </c>
      <c r="C96" s="58" t="s">
        <v>256</v>
      </c>
      <c r="D96" s="58">
        <v>1</v>
      </c>
      <c r="E96" s="58">
        <f>D96*VLOOKUP($C96,物品定价!$B:$D,3,0)</f>
        <v>32</v>
      </c>
      <c r="F96" s="60">
        <v>0.2</v>
      </c>
      <c r="G96" s="58">
        <f t="shared" si="52"/>
        <v>6.4</v>
      </c>
      <c r="H96" s="58">
        <f t="shared" ref="H96:H98" si="55">D96*F96</f>
        <v>0.2</v>
      </c>
      <c r="J96" s="58" t="s">
        <v>141</v>
      </c>
      <c r="K96" s="58">
        <f>H98*D98</f>
        <v>0.05</v>
      </c>
      <c r="L96" s="58">
        <f>K96*$E$4</f>
        <v>19.200000000000003</v>
      </c>
    </row>
    <row r="97" spans="2:8" x14ac:dyDescent="0.35">
      <c r="B97" s="58">
        <v>6</v>
      </c>
      <c r="C97" s="58" t="s">
        <v>257</v>
      </c>
      <c r="D97" s="58">
        <v>1</v>
      </c>
      <c r="E97" s="58">
        <f>D97*VLOOKUP($C97,物品定价!$B:$D,3,0)</f>
        <v>64</v>
      </c>
      <c r="F97" s="60">
        <v>0.15</v>
      </c>
      <c r="G97" s="58">
        <f t="shared" si="52"/>
        <v>9.6</v>
      </c>
      <c r="H97" s="58">
        <f t="shared" si="55"/>
        <v>0.15</v>
      </c>
    </row>
    <row r="98" spans="2:8" x14ac:dyDescent="0.35">
      <c r="B98" s="58">
        <v>7</v>
      </c>
      <c r="C98" s="58" t="s">
        <v>258</v>
      </c>
      <c r="D98" s="58">
        <v>1</v>
      </c>
      <c r="E98" s="58">
        <f>D98*VLOOKUP($C98,物品定价!$B:$D,3,0)</f>
        <v>128</v>
      </c>
      <c r="F98" s="60">
        <v>0.05</v>
      </c>
      <c r="G98" s="58">
        <f t="shared" si="52"/>
        <v>6.4</v>
      </c>
      <c r="H98" s="58">
        <f t="shared" si="55"/>
        <v>0.05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32" sqref="H32"/>
    </sheetView>
  </sheetViews>
  <sheetFormatPr defaultRowHeight="16.5" x14ac:dyDescent="0.15"/>
  <cols>
    <col min="1" max="16384" width="9" style="74"/>
  </cols>
  <sheetData>
    <row r="1" spans="1:1" ht="17.25" x14ac:dyDescent="0.15">
      <c r="A1" s="73" t="s">
        <v>265</v>
      </c>
    </row>
    <row r="2" spans="1:1" ht="17.25" x14ac:dyDescent="0.15">
      <c r="A2" s="73" t="s">
        <v>266</v>
      </c>
    </row>
    <row r="3" spans="1:1" ht="17.25" x14ac:dyDescent="0.15">
      <c r="A3" s="73" t="s">
        <v>267</v>
      </c>
    </row>
    <row r="4" spans="1:1" ht="17.25" x14ac:dyDescent="0.15">
      <c r="A4" s="73" t="s">
        <v>268</v>
      </c>
    </row>
    <row r="5" spans="1:1" ht="17.25" x14ac:dyDescent="0.15">
      <c r="A5" s="73" t="s">
        <v>269</v>
      </c>
    </row>
    <row r="6" spans="1:1" ht="17.25" x14ac:dyDescent="0.15">
      <c r="A6" s="73" t="s">
        <v>270</v>
      </c>
    </row>
    <row r="7" spans="1:1" ht="17.25" x14ac:dyDescent="0.15">
      <c r="A7" s="73"/>
    </row>
    <row r="8" spans="1:1" ht="17.25" x14ac:dyDescent="0.15">
      <c r="A8" s="73" t="s">
        <v>264</v>
      </c>
    </row>
    <row r="9" spans="1:1" ht="17.25" x14ac:dyDescent="0.15">
      <c r="A9" s="73" t="s">
        <v>261</v>
      </c>
    </row>
    <row r="12" spans="1:1" x14ac:dyDescent="0.15">
      <c r="A12" s="75" t="s">
        <v>271</v>
      </c>
    </row>
    <row r="13" spans="1:1" ht="17.25" x14ac:dyDescent="0.15">
      <c r="A13" s="76" t="s">
        <v>282</v>
      </c>
    </row>
    <row r="14" spans="1:1" ht="17.25" x14ac:dyDescent="0.15">
      <c r="A14" s="76" t="s">
        <v>283</v>
      </c>
    </row>
    <row r="15" spans="1:1" ht="17.25" x14ac:dyDescent="0.15">
      <c r="A15" s="76" t="s">
        <v>284</v>
      </c>
    </row>
    <row r="16" spans="1:1" ht="17.25" x14ac:dyDescent="0.15">
      <c r="A16" s="77" t="s">
        <v>262</v>
      </c>
    </row>
    <row r="17" spans="1:1" x14ac:dyDescent="0.15">
      <c r="A17" s="75" t="s">
        <v>272</v>
      </c>
    </row>
    <row r="18" spans="1:1" ht="17.25" x14ac:dyDescent="0.15">
      <c r="A18" s="73" t="s">
        <v>263</v>
      </c>
    </row>
    <row r="19" spans="1:1" x14ac:dyDescent="0.15">
      <c r="A19" s="75" t="s">
        <v>273</v>
      </c>
    </row>
    <row r="20" spans="1:1" ht="17.25" x14ac:dyDescent="0.15">
      <c r="A20" s="73" t="s">
        <v>274</v>
      </c>
    </row>
    <row r="21" spans="1:1" ht="17.25" x14ac:dyDescent="0.15">
      <c r="A21" s="73" t="s">
        <v>275</v>
      </c>
    </row>
    <row r="22" spans="1:1" ht="17.25" x14ac:dyDescent="0.15">
      <c r="A22" s="73" t="s">
        <v>276</v>
      </c>
    </row>
    <row r="23" spans="1:1" x14ac:dyDescent="0.15">
      <c r="A23" s="78"/>
    </row>
    <row r="24" spans="1:1" x14ac:dyDescent="0.15">
      <c r="A24" s="75" t="s">
        <v>277</v>
      </c>
    </row>
    <row r="25" spans="1:1" ht="17.25" x14ac:dyDescent="0.15">
      <c r="A25" s="73" t="s">
        <v>278</v>
      </c>
    </row>
    <row r="26" spans="1:1" ht="17.25" x14ac:dyDescent="0.15">
      <c r="A26" s="73" t="s">
        <v>279</v>
      </c>
    </row>
    <row r="27" spans="1:1" ht="17.25" x14ac:dyDescent="0.15">
      <c r="A27" s="73" t="s">
        <v>280</v>
      </c>
    </row>
    <row r="28" spans="1:1" ht="17.25" x14ac:dyDescent="0.15">
      <c r="A28" s="73" t="s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4"/>
  <sheetViews>
    <sheetView workbookViewId="0">
      <pane ySplit="24" topLeftCell="A64" activePane="bottomLeft" state="frozen"/>
      <selection pane="bottomLeft" activeCell="C1" sqref="C1:D2"/>
    </sheetView>
  </sheetViews>
  <sheetFormatPr defaultRowHeight="16.5" x14ac:dyDescent="0.15"/>
  <cols>
    <col min="1" max="2" width="9" style="72"/>
    <col min="3" max="3" width="11.375" style="72" bestFit="1" customWidth="1"/>
    <col min="4" max="4" width="12.75" style="72" bestFit="1" customWidth="1"/>
    <col min="5" max="11" width="9" style="72"/>
    <col min="12" max="12" width="11.375" style="72" bestFit="1" customWidth="1"/>
    <col min="13" max="13" width="15" style="72" bestFit="1" customWidth="1"/>
    <col min="14" max="14" width="11.375" style="72" bestFit="1" customWidth="1"/>
    <col min="15" max="16" width="9" style="72"/>
    <col min="17" max="17" width="11.375" style="72" bestFit="1" customWidth="1"/>
    <col min="18" max="18" width="15" style="72" bestFit="1" customWidth="1"/>
    <col min="19" max="19" width="11.375" style="72" bestFit="1" customWidth="1"/>
    <col min="20" max="16384" width="9" style="72"/>
  </cols>
  <sheetData>
    <row r="1" spans="2:19" x14ac:dyDescent="0.15">
      <c r="B1" s="72" t="s">
        <v>295</v>
      </c>
      <c r="C1" s="72">
        <v>100</v>
      </c>
      <c r="D1" s="72">
        <v>5</v>
      </c>
    </row>
    <row r="2" spans="2:19" x14ac:dyDescent="0.15">
      <c r="B2" s="72" t="s">
        <v>296</v>
      </c>
      <c r="C2" s="72">
        <v>0</v>
      </c>
      <c r="D2" s="72">
        <v>100</v>
      </c>
    </row>
    <row r="4" spans="2:19" x14ac:dyDescent="0.15">
      <c r="B4" s="79" t="s">
        <v>290</v>
      </c>
      <c r="C4" s="79" t="s">
        <v>291</v>
      </c>
      <c r="D4" s="79" t="s">
        <v>289</v>
      </c>
      <c r="G4" s="79" t="s">
        <v>298</v>
      </c>
      <c r="J4" s="79" t="s">
        <v>9</v>
      </c>
      <c r="K4" s="79" t="s">
        <v>34</v>
      </c>
      <c r="L4" s="79" t="s">
        <v>309</v>
      </c>
      <c r="M4" s="79" t="s">
        <v>304</v>
      </c>
      <c r="N4" s="79" t="s">
        <v>303</v>
      </c>
      <c r="P4" s="79" t="s">
        <v>310</v>
      </c>
      <c r="Q4" s="79" t="s">
        <v>311</v>
      </c>
      <c r="R4" s="79" t="s">
        <v>304</v>
      </c>
      <c r="S4" s="79" t="s">
        <v>303</v>
      </c>
    </row>
    <row r="5" spans="2:19" x14ac:dyDescent="0.15">
      <c r="B5" s="79">
        <v>1</v>
      </c>
      <c r="C5" s="79">
        <f>$C$1*B5+$C$2</f>
        <v>100</v>
      </c>
      <c r="D5" s="79">
        <f>ROUND(B5^$D$1+$D$2,2-LEN(B5^$D$1+$D$2))</f>
        <v>100</v>
      </c>
      <c r="G5" s="79">
        <v>6</v>
      </c>
      <c r="J5" s="79">
        <v>20</v>
      </c>
      <c r="K5" s="79">
        <f>INDEX(等级时间!$U$3:$AU$203,MATCH($J5,等级时间!$U$3:$U$203,0),MATCH(K$4,等级时间!$U$3:$AU$3,0))</f>
        <v>0.02</v>
      </c>
      <c r="L5" s="79">
        <f>K5</f>
        <v>0.02</v>
      </c>
      <c r="M5" s="79">
        <f>VLOOKUP($J5,$B:$D,2,0)*L5*IF($J5&gt;=$G$6,2,1)</f>
        <v>40</v>
      </c>
      <c r="N5" s="79">
        <f>SUM($M$5:$M5)</f>
        <v>40</v>
      </c>
      <c r="P5" s="79">
        <f>INDEX(等级时间!$U$3:$AU$203,MATCH($J5,等级时间!$U$3:$U$203,0),MATCH(P$4,等级时间!$U$3:$AU$3,0))</f>
        <v>0.01</v>
      </c>
      <c r="Q5" s="79">
        <f>P5</f>
        <v>0.01</v>
      </c>
      <c r="R5" s="79">
        <f>VLOOKUP($J5,$B:$D,2,0)*Q5*IF($J5&gt;=$G$6,2,1)</f>
        <v>20</v>
      </c>
      <c r="S5" s="79">
        <f>SUM($R$5:$R5)</f>
        <v>20</v>
      </c>
    </row>
    <row r="6" spans="2:19" x14ac:dyDescent="0.15">
      <c r="B6" s="79">
        <v>2</v>
      </c>
      <c r="C6" s="79">
        <f t="shared" ref="C6:C69" si="0">$C$1*B6+$C$2</f>
        <v>200</v>
      </c>
      <c r="D6" s="79">
        <f t="shared" ref="D6:D69" si="1">ROUND(B6^$D$1+$D$2,2-LEN(B6^$D$1+$D$2))</f>
        <v>130</v>
      </c>
      <c r="G6" s="79">
        <v>40</v>
      </c>
      <c r="J6" s="79">
        <v>21</v>
      </c>
      <c r="K6" s="79">
        <f>INDEX(等级时间!$U$3:$AU$203,MATCH($J6,等级时间!$U$3:$U$203,0),MATCH(K$4,等级时间!$U$3:$AU$3,0))</f>
        <v>0.14000000000000001</v>
      </c>
      <c r="L6" s="79">
        <f>K6-K5</f>
        <v>0.12000000000000001</v>
      </c>
      <c r="M6" s="79">
        <f t="shared" ref="M6:M69" si="2">VLOOKUP($J6,$B:$D,2,0)*L6*IF($J6&gt;=$G$6,2,1)</f>
        <v>252.00000000000003</v>
      </c>
      <c r="N6" s="79">
        <f>SUM($M$5:$M6)</f>
        <v>292</v>
      </c>
      <c r="P6" s="79">
        <f>INDEX(等级时间!$U$3:$AU$203,MATCH($J6,等级时间!$U$3:$U$203,0),MATCH(P$4,等级时间!$U$3:$AU$3,0))</f>
        <v>0.06</v>
      </c>
      <c r="Q6" s="79">
        <f>P6-P5</f>
        <v>4.9999999999999996E-2</v>
      </c>
      <c r="R6" s="79">
        <f>VLOOKUP($J6,$B:$D,2,0)*Q6*IF($J6&gt;=$G$6,2,1)</f>
        <v>104.99999999999999</v>
      </c>
      <c r="S6" s="79">
        <f>SUM($R$5:$R6)</f>
        <v>124.99999999999999</v>
      </c>
    </row>
    <row r="7" spans="2:19" x14ac:dyDescent="0.15">
      <c r="B7" s="79">
        <v>3</v>
      </c>
      <c r="C7" s="79">
        <f t="shared" si="0"/>
        <v>300</v>
      </c>
      <c r="D7" s="79">
        <f t="shared" si="1"/>
        <v>340</v>
      </c>
      <c r="J7" s="79">
        <v>22</v>
      </c>
      <c r="K7" s="79">
        <f>INDEX(等级时间!$U$3:$AU$203,MATCH($J7,等级时间!$U$3:$U$203,0),MATCH(K$4,等级时间!$U$3:$AU$3,0))</f>
        <v>0.27</v>
      </c>
      <c r="L7" s="79">
        <f t="shared" ref="L7:L70" si="3">K7-K6</f>
        <v>0.13</v>
      </c>
      <c r="M7" s="79">
        <f t="shared" si="2"/>
        <v>286</v>
      </c>
      <c r="N7" s="79">
        <f>SUM($M$5:$M7)</f>
        <v>578</v>
      </c>
      <c r="P7" s="79">
        <f>INDEX(等级时间!$U$3:$AU$203,MATCH($J7,等级时间!$U$3:$U$203,0),MATCH(P$4,等级时间!$U$3:$AU$3,0))</f>
        <v>0.11</v>
      </c>
      <c r="Q7" s="79">
        <f t="shared" ref="Q7:Q70" si="4">P7-P6</f>
        <v>0.05</v>
      </c>
      <c r="R7" s="79">
        <f t="shared" ref="R6:R69" si="5">VLOOKUP($J7,$B:$D,2,0)*Q7*IF($J7&gt;=$G$6,2,1)</f>
        <v>110</v>
      </c>
      <c r="S7" s="79">
        <f>SUM($R$5:$R7)</f>
        <v>235</v>
      </c>
    </row>
    <row r="8" spans="2:19" x14ac:dyDescent="0.15">
      <c r="B8" s="79">
        <v>4</v>
      </c>
      <c r="C8" s="79">
        <f t="shared" si="0"/>
        <v>400</v>
      </c>
      <c r="D8" s="79">
        <f t="shared" si="1"/>
        <v>1100</v>
      </c>
      <c r="J8" s="79">
        <v>23</v>
      </c>
      <c r="K8" s="79">
        <f>INDEX(等级时间!$U$3:$AU$203,MATCH($J8,等级时间!$U$3:$U$203,0),MATCH(K$4,等级时间!$U$3:$AU$3,0))</f>
        <v>0.42</v>
      </c>
      <c r="L8" s="79">
        <f t="shared" si="3"/>
        <v>0.14999999999999997</v>
      </c>
      <c r="M8" s="79">
        <f t="shared" si="2"/>
        <v>344.99999999999994</v>
      </c>
      <c r="N8" s="79">
        <f>SUM($M$5:$M8)</f>
        <v>923</v>
      </c>
      <c r="P8" s="79">
        <f>INDEX(等级时间!$U$3:$AU$203,MATCH($J8,等级时间!$U$3:$U$203,0),MATCH(P$4,等级时间!$U$3:$AU$3,0))</f>
        <v>0.18</v>
      </c>
      <c r="Q8" s="79">
        <f t="shared" si="4"/>
        <v>6.9999999999999993E-2</v>
      </c>
      <c r="R8" s="79">
        <f t="shared" si="5"/>
        <v>160.99999999999997</v>
      </c>
      <c r="S8" s="79">
        <f>SUM($R$5:$R8)</f>
        <v>396</v>
      </c>
    </row>
    <row r="9" spans="2:19" x14ac:dyDescent="0.15">
      <c r="B9" s="79">
        <v>5</v>
      </c>
      <c r="C9" s="79">
        <f t="shared" si="0"/>
        <v>500</v>
      </c>
      <c r="D9" s="79">
        <f t="shared" si="1"/>
        <v>3200</v>
      </c>
      <c r="J9" s="79">
        <v>24</v>
      </c>
      <c r="K9" s="79">
        <f>INDEX(等级时间!$U$3:$AU$203,MATCH($J9,等级时间!$U$3:$U$203,0),MATCH(K$4,等级时间!$U$3:$AU$3,0))</f>
        <v>0.59</v>
      </c>
      <c r="L9" s="79">
        <f t="shared" si="3"/>
        <v>0.16999999999999998</v>
      </c>
      <c r="M9" s="79">
        <f t="shared" si="2"/>
        <v>407.99999999999994</v>
      </c>
      <c r="N9" s="79">
        <f>SUM($M$5:$M9)</f>
        <v>1331</v>
      </c>
      <c r="P9" s="79">
        <f>INDEX(等级时间!$U$3:$AU$203,MATCH($J9,等级时间!$U$3:$U$203,0),MATCH(P$4,等级时间!$U$3:$AU$3,0))</f>
        <v>0.25</v>
      </c>
      <c r="Q9" s="79">
        <f t="shared" si="4"/>
        <v>7.0000000000000007E-2</v>
      </c>
      <c r="R9" s="79">
        <f t="shared" si="5"/>
        <v>168.00000000000003</v>
      </c>
      <c r="S9" s="79">
        <f>SUM($R$5:$R9)</f>
        <v>564</v>
      </c>
    </row>
    <row r="10" spans="2:19" x14ac:dyDescent="0.15">
      <c r="B10" s="79">
        <v>6</v>
      </c>
      <c r="C10" s="79">
        <f t="shared" si="0"/>
        <v>600</v>
      </c>
      <c r="D10" s="79">
        <f t="shared" si="1"/>
        <v>7900</v>
      </c>
      <c r="J10" s="79">
        <v>25</v>
      </c>
      <c r="K10" s="79">
        <f>INDEX(等级时间!$U$3:$AU$203,MATCH($J10,等级时间!$U$3:$U$203,0),MATCH(K$4,等级时间!$U$3:$AU$3,0))</f>
        <v>0.77</v>
      </c>
      <c r="L10" s="79">
        <f t="shared" si="3"/>
        <v>0.18000000000000005</v>
      </c>
      <c r="M10" s="79">
        <f t="shared" si="2"/>
        <v>450.00000000000011</v>
      </c>
      <c r="N10" s="79">
        <f>SUM($M$5:$M10)</f>
        <v>1781</v>
      </c>
      <c r="P10" s="79">
        <f>INDEX(等级时间!$U$3:$AU$203,MATCH($J10,等级时间!$U$3:$U$203,0),MATCH(P$4,等级时间!$U$3:$AU$3,0))</f>
        <v>0.32</v>
      </c>
      <c r="Q10" s="79">
        <f t="shared" si="4"/>
        <v>7.0000000000000007E-2</v>
      </c>
      <c r="R10" s="79">
        <f t="shared" si="5"/>
        <v>175.00000000000003</v>
      </c>
      <c r="S10" s="79">
        <f>SUM($R$5:$R10)</f>
        <v>739</v>
      </c>
    </row>
    <row r="11" spans="2:19" x14ac:dyDescent="0.15">
      <c r="B11" s="79">
        <v>7</v>
      </c>
      <c r="C11" s="79">
        <f t="shared" si="0"/>
        <v>700</v>
      </c>
      <c r="D11" s="79">
        <f t="shared" si="1"/>
        <v>17000</v>
      </c>
      <c r="J11" s="79">
        <v>26</v>
      </c>
      <c r="K11" s="79">
        <f>INDEX(等级时间!$U$3:$AU$203,MATCH($J11,等级时间!$U$3:$U$203,0),MATCH(K$4,等级时间!$U$3:$AU$3,0))</f>
        <v>0.98</v>
      </c>
      <c r="L11" s="79">
        <f t="shared" si="3"/>
        <v>0.20999999999999996</v>
      </c>
      <c r="M11" s="79">
        <f t="shared" si="2"/>
        <v>545.99999999999989</v>
      </c>
      <c r="N11" s="79">
        <f>SUM($M$5:$M11)</f>
        <v>2327</v>
      </c>
      <c r="P11" s="79">
        <f>INDEX(等级时间!$U$3:$AU$203,MATCH($J11,等级时间!$U$3:$U$203,0),MATCH(P$4,等级时间!$U$3:$AU$3,0))</f>
        <v>0.41</v>
      </c>
      <c r="Q11" s="79">
        <f t="shared" si="4"/>
        <v>8.9999999999999969E-2</v>
      </c>
      <c r="R11" s="79">
        <f t="shared" si="5"/>
        <v>233.99999999999991</v>
      </c>
      <c r="S11" s="79">
        <f>SUM($R$5:$R11)</f>
        <v>972.99999999999989</v>
      </c>
    </row>
    <row r="12" spans="2:19" x14ac:dyDescent="0.15">
      <c r="B12" s="79">
        <v>8</v>
      </c>
      <c r="C12" s="79">
        <f t="shared" si="0"/>
        <v>800</v>
      </c>
      <c r="D12" s="79">
        <f t="shared" si="1"/>
        <v>33000</v>
      </c>
      <c r="J12" s="79">
        <v>27</v>
      </c>
      <c r="K12" s="79">
        <f>INDEX(等级时间!$U$3:$AU$203,MATCH($J12,等级时间!$U$3:$U$203,0),MATCH(K$4,等级时间!$U$3:$AU$3,0))</f>
        <v>1.2</v>
      </c>
      <c r="L12" s="79">
        <f t="shared" si="3"/>
        <v>0.21999999999999997</v>
      </c>
      <c r="M12" s="79">
        <f t="shared" si="2"/>
        <v>593.99999999999989</v>
      </c>
      <c r="N12" s="79">
        <f>SUM($M$5:$M12)</f>
        <v>2921</v>
      </c>
      <c r="P12" s="79">
        <f>INDEX(等级时间!$U$3:$AU$203,MATCH($J12,等级时间!$U$3:$U$203,0),MATCH(P$4,等级时间!$U$3:$AU$3,0))</f>
        <v>0.5</v>
      </c>
      <c r="Q12" s="79">
        <f t="shared" si="4"/>
        <v>9.0000000000000024E-2</v>
      </c>
      <c r="R12" s="79">
        <f t="shared" si="5"/>
        <v>243.00000000000006</v>
      </c>
      <c r="S12" s="79">
        <f>SUM($R$5:$R12)</f>
        <v>1216</v>
      </c>
    </row>
    <row r="13" spans="2:19" x14ac:dyDescent="0.15">
      <c r="B13" s="79">
        <v>9</v>
      </c>
      <c r="C13" s="79">
        <f t="shared" si="0"/>
        <v>900</v>
      </c>
      <c r="D13" s="79">
        <f t="shared" si="1"/>
        <v>59000</v>
      </c>
      <c r="J13" s="79">
        <v>28</v>
      </c>
      <c r="K13" s="79">
        <f>INDEX(等级时间!$U$3:$AU$203,MATCH($J13,等级时间!$U$3:$U$203,0),MATCH(K$4,等级时间!$U$3:$AU$3,0))</f>
        <v>1.44</v>
      </c>
      <c r="L13" s="79">
        <f t="shared" si="3"/>
        <v>0.24</v>
      </c>
      <c r="M13" s="79">
        <f t="shared" si="2"/>
        <v>672</v>
      </c>
      <c r="N13" s="79">
        <f>SUM($M$5:$M13)</f>
        <v>3593</v>
      </c>
      <c r="P13" s="79">
        <f>INDEX(等级时间!$U$3:$AU$203,MATCH($J13,等级时间!$U$3:$U$203,0),MATCH(P$4,等级时间!$U$3:$AU$3,0))</f>
        <v>0.6</v>
      </c>
      <c r="Q13" s="79">
        <f t="shared" si="4"/>
        <v>9.9999999999999978E-2</v>
      </c>
      <c r="R13" s="79">
        <f t="shared" si="5"/>
        <v>279.99999999999994</v>
      </c>
      <c r="S13" s="79">
        <f>SUM($R$5:$R13)</f>
        <v>1496</v>
      </c>
    </row>
    <row r="14" spans="2:19" x14ac:dyDescent="0.15">
      <c r="B14" s="79">
        <v>10</v>
      </c>
      <c r="C14" s="79">
        <f t="shared" si="0"/>
        <v>1000</v>
      </c>
      <c r="D14" s="79">
        <f t="shared" si="1"/>
        <v>100000</v>
      </c>
      <c r="J14" s="79">
        <v>29</v>
      </c>
      <c r="K14" s="79">
        <f>INDEX(等级时间!$U$3:$AU$203,MATCH($J14,等级时间!$U$3:$U$203,0),MATCH(K$4,等级时间!$U$3:$AU$3,0))</f>
        <v>1.7</v>
      </c>
      <c r="L14" s="79">
        <f t="shared" si="3"/>
        <v>0.26</v>
      </c>
      <c r="M14" s="79">
        <f t="shared" si="2"/>
        <v>754</v>
      </c>
      <c r="N14" s="79">
        <f>SUM($M$5:$M14)</f>
        <v>4347</v>
      </c>
      <c r="P14" s="79">
        <f>INDEX(等级时间!$U$3:$AU$203,MATCH($J14,等级时间!$U$3:$U$203,0),MATCH(P$4,等级时间!$U$3:$AU$3,0))</f>
        <v>0.71</v>
      </c>
      <c r="Q14" s="79">
        <f t="shared" si="4"/>
        <v>0.10999999999999999</v>
      </c>
      <c r="R14" s="79">
        <f t="shared" si="5"/>
        <v>318.99999999999994</v>
      </c>
      <c r="S14" s="79">
        <f>SUM($R$5:$R14)</f>
        <v>1815</v>
      </c>
    </row>
    <row r="15" spans="2:19" x14ac:dyDescent="0.15">
      <c r="B15" s="79">
        <v>11</v>
      </c>
      <c r="C15" s="79">
        <f t="shared" si="0"/>
        <v>1100</v>
      </c>
      <c r="D15" s="79">
        <f t="shared" si="1"/>
        <v>160000</v>
      </c>
      <c r="J15" s="79">
        <v>30</v>
      </c>
      <c r="K15" s="79">
        <f>INDEX(等级时间!$U$3:$AU$203,MATCH($J15,等级时间!$U$3:$U$203,0),MATCH(K$4,等级时间!$U$3:$AU$3,0))</f>
        <v>1.98</v>
      </c>
      <c r="L15" s="79">
        <f t="shared" si="3"/>
        <v>0.28000000000000003</v>
      </c>
      <c r="M15" s="79">
        <f t="shared" si="2"/>
        <v>840.00000000000011</v>
      </c>
      <c r="N15" s="79">
        <f>SUM($M$5:$M15)</f>
        <v>5187</v>
      </c>
      <c r="P15" s="79">
        <f>INDEX(等级时间!$U$3:$AU$203,MATCH($J15,等级时间!$U$3:$U$203,0),MATCH(P$4,等级时间!$U$3:$AU$3,0))</f>
        <v>0.83</v>
      </c>
      <c r="Q15" s="79">
        <f t="shared" si="4"/>
        <v>0.12</v>
      </c>
      <c r="R15" s="79">
        <f t="shared" si="5"/>
        <v>360</v>
      </c>
      <c r="S15" s="79">
        <f>SUM($R$5:$R15)</f>
        <v>2175</v>
      </c>
    </row>
    <row r="16" spans="2:19" x14ac:dyDescent="0.15">
      <c r="B16" s="79">
        <v>12</v>
      </c>
      <c r="C16" s="79">
        <f t="shared" si="0"/>
        <v>1200</v>
      </c>
      <c r="D16" s="79">
        <f t="shared" si="1"/>
        <v>250000</v>
      </c>
      <c r="J16" s="79">
        <v>31</v>
      </c>
      <c r="K16" s="79">
        <f>INDEX(等级时间!$U$3:$AU$203,MATCH($J16,等级时间!$U$3:$U$203,0),MATCH(K$4,等级时间!$U$3:$AU$3,0))</f>
        <v>2.2799999999999998</v>
      </c>
      <c r="L16" s="79">
        <f t="shared" si="3"/>
        <v>0.29999999999999982</v>
      </c>
      <c r="M16" s="79">
        <f t="shared" si="2"/>
        <v>929.99999999999943</v>
      </c>
      <c r="N16" s="79">
        <f>SUM($M$5:$M16)</f>
        <v>6116.9999999999991</v>
      </c>
      <c r="P16" s="79">
        <f>INDEX(等级时间!$U$3:$AU$203,MATCH($J16,等级时间!$U$3:$U$203,0),MATCH(P$4,等级时间!$U$3:$AU$3,0))</f>
        <v>0.96</v>
      </c>
      <c r="Q16" s="79">
        <f t="shared" si="4"/>
        <v>0.13</v>
      </c>
      <c r="R16" s="79">
        <f t="shared" si="5"/>
        <v>403</v>
      </c>
      <c r="S16" s="79">
        <f>SUM($R$5:$R16)</f>
        <v>2578</v>
      </c>
    </row>
    <row r="17" spans="2:19" x14ac:dyDescent="0.15">
      <c r="B17" s="79">
        <v>13</v>
      </c>
      <c r="C17" s="79">
        <f t="shared" si="0"/>
        <v>1300</v>
      </c>
      <c r="D17" s="79">
        <f t="shared" si="1"/>
        <v>370000</v>
      </c>
      <c r="J17" s="79">
        <v>32</v>
      </c>
      <c r="K17" s="79">
        <f>INDEX(等级时间!$U$3:$AU$203,MATCH($J17,等级时间!$U$3:$U$203,0),MATCH(K$4,等级时间!$U$3:$AU$3,0))</f>
        <v>2.59</v>
      </c>
      <c r="L17" s="79">
        <f t="shared" si="3"/>
        <v>0.31000000000000005</v>
      </c>
      <c r="M17" s="79">
        <f t="shared" si="2"/>
        <v>992.00000000000023</v>
      </c>
      <c r="N17" s="79">
        <f>SUM($M$5:$M17)</f>
        <v>7108.9999999999991</v>
      </c>
      <c r="P17" s="79">
        <f>INDEX(等级时间!$U$3:$AU$203,MATCH($J17,等级时间!$U$3:$U$203,0),MATCH(P$4,等级时间!$U$3:$AU$3,0))</f>
        <v>1.0900000000000001</v>
      </c>
      <c r="Q17" s="79">
        <f t="shared" si="4"/>
        <v>0.13000000000000012</v>
      </c>
      <c r="R17" s="79">
        <f t="shared" si="5"/>
        <v>416.00000000000034</v>
      </c>
      <c r="S17" s="79">
        <f>SUM($R$5:$R17)</f>
        <v>2994.0000000000005</v>
      </c>
    </row>
    <row r="18" spans="2:19" x14ac:dyDescent="0.15">
      <c r="B18" s="79">
        <v>14</v>
      </c>
      <c r="C18" s="79">
        <f t="shared" si="0"/>
        <v>1400</v>
      </c>
      <c r="D18" s="79">
        <f t="shared" si="1"/>
        <v>540000</v>
      </c>
      <c r="J18" s="79">
        <v>33</v>
      </c>
      <c r="K18" s="79">
        <f>INDEX(等级时间!$U$3:$AU$203,MATCH($J18,等级时间!$U$3:$U$203,0),MATCH(K$4,等级时间!$U$3:$AU$3,0))</f>
        <v>2.92</v>
      </c>
      <c r="L18" s="79">
        <f t="shared" si="3"/>
        <v>0.33000000000000007</v>
      </c>
      <c r="M18" s="79">
        <f t="shared" si="2"/>
        <v>1089.0000000000002</v>
      </c>
      <c r="N18" s="79">
        <f>SUM($M$5:$M18)</f>
        <v>8198</v>
      </c>
      <c r="P18" s="79">
        <f>INDEX(等级时间!$U$3:$AU$203,MATCH($J18,等级时间!$U$3:$U$203,0),MATCH(P$4,等级时间!$U$3:$AU$3,0))</f>
        <v>1.23</v>
      </c>
      <c r="Q18" s="79">
        <f t="shared" si="4"/>
        <v>0.1399999999999999</v>
      </c>
      <c r="R18" s="79">
        <f t="shared" si="5"/>
        <v>461.99999999999966</v>
      </c>
      <c r="S18" s="79">
        <f>SUM($R$5:$R18)</f>
        <v>3456</v>
      </c>
    </row>
    <row r="19" spans="2:19" x14ac:dyDescent="0.15">
      <c r="B19" s="79">
        <v>15</v>
      </c>
      <c r="C19" s="79">
        <f t="shared" si="0"/>
        <v>1500</v>
      </c>
      <c r="D19" s="79">
        <f t="shared" si="1"/>
        <v>760000</v>
      </c>
      <c r="J19" s="79">
        <v>34</v>
      </c>
      <c r="K19" s="79">
        <f>INDEX(等级时间!$U$3:$AU$203,MATCH($J19,等级时间!$U$3:$U$203,0),MATCH(K$4,等级时间!$U$3:$AU$3,0))</f>
        <v>3.27</v>
      </c>
      <c r="L19" s="79">
        <f t="shared" si="3"/>
        <v>0.35000000000000009</v>
      </c>
      <c r="M19" s="79">
        <f t="shared" si="2"/>
        <v>1190.0000000000002</v>
      </c>
      <c r="N19" s="79">
        <f>SUM($M$5:$M19)</f>
        <v>9388</v>
      </c>
      <c r="P19" s="79">
        <f>INDEX(等级时间!$U$3:$AU$203,MATCH($J19,等级时间!$U$3:$U$203,0),MATCH(P$4,等级时间!$U$3:$AU$3,0))</f>
        <v>1.37</v>
      </c>
      <c r="Q19" s="79">
        <f t="shared" si="4"/>
        <v>0.14000000000000012</v>
      </c>
      <c r="R19" s="79">
        <f t="shared" si="5"/>
        <v>476.0000000000004</v>
      </c>
      <c r="S19" s="79">
        <f>SUM($R$5:$R19)</f>
        <v>3932.0000000000005</v>
      </c>
    </row>
    <row r="20" spans="2:19" x14ac:dyDescent="0.15">
      <c r="B20" s="79">
        <v>16</v>
      </c>
      <c r="C20" s="79">
        <f t="shared" si="0"/>
        <v>1600</v>
      </c>
      <c r="D20" s="79">
        <f t="shared" si="1"/>
        <v>1000000</v>
      </c>
      <c r="J20" s="79">
        <v>35</v>
      </c>
      <c r="K20" s="79">
        <f>INDEX(等级时间!$U$3:$AU$203,MATCH($J20,等级时间!$U$3:$U$203,0),MATCH(K$4,等级时间!$U$3:$AU$3,0))</f>
        <v>3.63</v>
      </c>
      <c r="L20" s="79">
        <f t="shared" si="3"/>
        <v>0.35999999999999988</v>
      </c>
      <c r="M20" s="79">
        <f t="shared" si="2"/>
        <v>1259.9999999999995</v>
      </c>
      <c r="N20" s="79">
        <f>SUM($M$5:$M20)</f>
        <v>10648</v>
      </c>
      <c r="P20" s="79">
        <f>INDEX(等级时间!$U$3:$AU$203,MATCH($J20,等级时间!$U$3:$U$203,0),MATCH(P$4,等级时间!$U$3:$AU$3,0))</f>
        <v>1.53</v>
      </c>
      <c r="Q20" s="79">
        <f t="shared" si="4"/>
        <v>0.15999999999999992</v>
      </c>
      <c r="R20" s="79">
        <f t="shared" si="5"/>
        <v>559.99999999999977</v>
      </c>
      <c r="S20" s="79">
        <f>SUM($R$5:$R20)</f>
        <v>4492</v>
      </c>
    </row>
    <row r="21" spans="2:19" x14ac:dyDescent="0.15">
      <c r="B21" s="79">
        <v>17</v>
      </c>
      <c r="C21" s="79">
        <f t="shared" si="0"/>
        <v>1700</v>
      </c>
      <c r="D21" s="79">
        <f t="shared" si="1"/>
        <v>1400000</v>
      </c>
      <c r="J21" s="79">
        <v>36</v>
      </c>
      <c r="K21" s="79">
        <f>INDEX(等级时间!$U$3:$AU$203,MATCH($J21,等级时间!$U$3:$U$203,0),MATCH(K$4,等级时间!$U$3:$AU$3,0))</f>
        <v>4.0199999999999996</v>
      </c>
      <c r="L21" s="79">
        <f t="shared" si="3"/>
        <v>0.38999999999999968</v>
      </c>
      <c r="M21" s="79">
        <f t="shared" si="2"/>
        <v>1403.9999999999989</v>
      </c>
      <c r="N21" s="79">
        <f>SUM($M$5:$M21)</f>
        <v>12051.999999999998</v>
      </c>
      <c r="P21" s="79">
        <f>INDEX(等级时间!$U$3:$AU$203,MATCH($J21,等级时间!$U$3:$U$203,0),MATCH(P$4,等级时间!$U$3:$AU$3,0))</f>
        <v>1.69</v>
      </c>
      <c r="Q21" s="79">
        <f t="shared" si="4"/>
        <v>0.15999999999999992</v>
      </c>
      <c r="R21" s="79">
        <f t="shared" si="5"/>
        <v>575.99999999999966</v>
      </c>
      <c r="S21" s="79">
        <f>SUM($R$5:$R21)</f>
        <v>5068</v>
      </c>
    </row>
    <row r="22" spans="2:19" x14ac:dyDescent="0.15">
      <c r="B22" s="79">
        <v>18</v>
      </c>
      <c r="C22" s="79">
        <f t="shared" si="0"/>
        <v>1800</v>
      </c>
      <c r="D22" s="79">
        <f t="shared" si="1"/>
        <v>1900000</v>
      </c>
      <c r="J22" s="79">
        <v>37</v>
      </c>
      <c r="K22" s="79">
        <f>INDEX(等级时间!$U$3:$AU$203,MATCH($J22,等级时间!$U$3:$U$203,0),MATCH(K$4,等级时间!$U$3:$AU$3,0))</f>
        <v>4.43</v>
      </c>
      <c r="L22" s="79">
        <f t="shared" si="3"/>
        <v>0.41000000000000014</v>
      </c>
      <c r="M22" s="79">
        <f t="shared" si="2"/>
        <v>1517.0000000000005</v>
      </c>
      <c r="N22" s="79">
        <f>SUM($M$5:$M22)</f>
        <v>13568.999999999998</v>
      </c>
      <c r="P22" s="79">
        <f>INDEX(等级时间!$U$3:$AU$203,MATCH($J22,等级时间!$U$3:$U$203,0),MATCH(P$4,等级时间!$U$3:$AU$3,0))</f>
        <v>1.86</v>
      </c>
      <c r="Q22" s="79">
        <f t="shared" si="4"/>
        <v>0.17000000000000015</v>
      </c>
      <c r="R22" s="79">
        <f t="shared" si="5"/>
        <v>629.00000000000057</v>
      </c>
      <c r="S22" s="79">
        <f>SUM($R$5:$R22)</f>
        <v>5697.0000000000009</v>
      </c>
    </row>
    <row r="23" spans="2:19" x14ac:dyDescent="0.15">
      <c r="B23" s="79">
        <v>19</v>
      </c>
      <c r="C23" s="79">
        <f t="shared" si="0"/>
        <v>1900</v>
      </c>
      <c r="D23" s="79">
        <f t="shared" si="1"/>
        <v>2500000</v>
      </c>
      <c r="J23" s="79">
        <v>38</v>
      </c>
      <c r="K23" s="79">
        <f>INDEX(等级时间!$U$3:$AU$203,MATCH($J23,等级时间!$U$3:$U$203,0),MATCH(K$4,等级时间!$U$3:$AU$3,0))</f>
        <v>4.8600000000000003</v>
      </c>
      <c r="L23" s="79">
        <f t="shared" si="3"/>
        <v>0.4300000000000006</v>
      </c>
      <c r="M23" s="79">
        <f t="shared" si="2"/>
        <v>1634.0000000000023</v>
      </c>
      <c r="N23" s="79">
        <f>SUM($M$5:$M23)</f>
        <v>15203</v>
      </c>
      <c r="P23" s="79">
        <f>INDEX(等级时间!$U$3:$AU$203,MATCH($J23,等级时间!$U$3:$U$203,0),MATCH(P$4,等级时间!$U$3:$AU$3,0))</f>
        <v>2.04</v>
      </c>
      <c r="Q23" s="79">
        <f t="shared" si="4"/>
        <v>0.17999999999999994</v>
      </c>
      <c r="R23" s="79">
        <f t="shared" si="5"/>
        <v>683.99999999999977</v>
      </c>
      <c r="S23" s="79">
        <f>SUM($R$5:$R23)</f>
        <v>6381.0000000000009</v>
      </c>
    </row>
    <row r="24" spans="2:19" x14ac:dyDescent="0.15">
      <c r="B24" s="79">
        <v>20</v>
      </c>
      <c r="C24" s="79">
        <f t="shared" si="0"/>
        <v>2000</v>
      </c>
      <c r="D24" s="79">
        <f t="shared" si="1"/>
        <v>3200000</v>
      </c>
      <c r="J24" s="79">
        <v>39</v>
      </c>
      <c r="K24" s="79">
        <f>INDEX(等级时间!$U$3:$AU$203,MATCH($J24,等级时间!$U$3:$U$203,0),MATCH(K$4,等级时间!$U$3:$AU$3,0))</f>
        <v>5.32</v>
      </c>
      <c r="L24" s="79">
        <f t="shared" si="3"/>
        <v>0.45999999999999996</v>
      </c>
      <c r="M24" s="79">
        <f t="shared" si="2"/>
        <v>1793.9999999999998</v>
      </c>
      <c r="N24" s="79">
        <f>SUM($M$5:$M24)</f>
        <v>16997</v>
      </c>
      <c r="P24" s="79">
        <f>INDEX(等级时间!$U$3:$AU$203,MATCH($J24,等级时间!$U$3:$U$203,0),MATCH(P$4,等级时间!$U$3:$AU$3,0))</f>
        <v>2.23</v>
      </c>
      <c r="Q24" s="79">
        <f t="shared" si="4"/>
        <v>0.18999999999999995</v>
      </c>
      <c r="R24" s="79">
        <f t="shared" si="5"/>
        <v>740.99999999999977</v>
      </c>
      <c r="S24" s="79">
        <f>SUM($R$5:$R24)</f>
        <v>7122.0000000000009</v>
      </c>
    </row>
    <row r="25" spans="2:19" x14ac:dyDescent="0.15">
      <c r="B25" s="79">
        <v>21</v>
      </c>
      <c r="C25" s="79">
        <f t="shared" si="0"/>
        <v>2100</v>
      </c>
      <c r="D25" s="79">
        <f t="shared" si="1"/>
        <v>4100000</v>
      </c>
      <c r="J25" s="79">
        <v>40</v>
      </c>
      <c r="K25" s="79">
        <f>INDEX(等级时间!$U$3:$AU$203,MATCH($J25,等级时间!$U$3:$U$203,0),MATCH(K$4,等级时间!$U$3:$AU$3,0))</f>
        <v>5.8</v>
      </c>
      <c r="L25" s="79">
        <f t="shared" si="3"/>
        <v>0.47999999999999954</v>
      </c>
      <c r="M25" s="79">
        <f t="shared" si="2"/>
        <v>3839.9999999999964</v>
      </c>
      <c r="N25" s="79">
        <f>SUM($M$5:$M25)</f>
        <v>20836.999999999996</v>
      </c>
      <c r="P25" s="79">
        <f>INDEX(等级时间!$U$3:$AU$203,MATCH($J25,等级时间!$U$3:$U$203,0),MATCH(P$4,等级时间!$U$3:$AU$3,0))</f>
        <v>2.44</v>
      </c>
      <c r="Q25" s="79">
        <f t="shared" si="4"/>
        <v>0.20999999999999996</v>
      </c>
      <c r="R25" s="79">
        <f t="shared" si="5"/>
        <v>1679.9999999999998</v>
      </c>
      <c r="S25" s="79">
        <f>SUM($R$5:$R25)</f>
        <v>8802</v>
      </c>
    </row>
    <row r="26" spans="2:19" x14ac:dyDescent="0.15">
      <c r="B26" s="79">
        <v>22</v>
      </c>
      <c r="C26" s="79">
        <f t="shared" si="0"/>
        <v>2200</v>
      </c>
      <c r="D26" s="79">
        <f t="shared" si="1"/>
        <v>5200000</v>
      </c>
      <c r="J26" s="79">
        <v>41</v>
      </c>
      <c r="K26" s="79">
        <f>INDEX(等级时间!$U$3:$AU$203,MATCH($J26,等级时间!$U$3:$U$203,0),MATCH(K$4,等级时间!$U$3:$AU$3,0))</f>
        <v>6.32</v>
      </c>
      <c r="L26" s="79">
        <f t="shared" si="3"/>
        <v>0.52000000000000046</v>
      </c>
      <c r="M26" s="79">
        <f t="shared" si="2"/>
        <v>4264.0000000000036</v>
      </c>
      <c r="N26" s="79">
        <f>SUM($M$5:$M26)</f>
        <v>25101</v>
      </c>
      <c r="P26" s="79">
        <f>INDEX(等级时间!$U$3:$AU$203,MATCH($J26,等级时间!$U$3:$U$203,0),MATCH(P$4,等级时间!$U$3:$AU$3,0))</f>
        <v>2.65</v>
      </c>
      <c r="Q26" s="79">
        <f t="shared" si="4"/>
        <v>0.20999999999999996</v>
      </c>
      <c r="R26" s="79">
        <f t="shared" si="5"/>
        <v>1721.9999999999998</v>
      </c>
      <c r="S26" s="79">
        <f>SUM($R$5:$R26)</f>
        <v>10524</v>
      </c>
    </row>
    <row r="27" spans="2:19" x14ac:dyDescent="0.15">
      <c r="B27" s="79">
        <v>23</v>
      </c>
      <c r="C27" s="79">
        <f t="shared" si="0"/>
        <v>2300</v>
      </c>
      <c r="D27" s="79">
        <f t="shared" si="1"/>
        <v>6400000</v>
      </c>
      <c r="J27" s="79">
        <v>42</v>
      </c>
      <c r="K27" s="79">
        <f>INDEX(等级时间!$U$3:$AU$203,MATCH($J27,等级时间!$U$3:$U$203,0),MATCH(K$4,等级时间!$U$3:$AU$3,0))</f>
        <v>6.86</v>
      </c>
      <c r="L27" s="79">
        <f t="shared" si="3"/>
        <v>0.54</v>
      </c>
      <c r="M27" s="79">
        <f t="shared" si="2"/>
        <v>4536</v>
      </c>
      <c r="N27" s="79">
        <f>SUM($M$5:$M27)</f>
        <v>29637</v>
      </c>
      <c r="P27" s="79">
        <f>INDEX(等级时间!$U$3:$AU$203,MATCH($J27,等级时间!$U$3:$U$203,0),MATCH(P$4,等级时间!$U$3:$AU$3,0))</f>
        <v>2.88</v>
      </c>
      <c r="Q27" s="79">
        <f t="shared" si="4"/>
        <v>0.22999999999999998</v>
      </c>
      <c r="R27" s="79">
        <f t="shared" si="5"/>
        <v>1931.9999999999998</v>
      </c>
      <c r="S27" s="79">
        <f>SUM($R$5:$R27)</f>
        <v>12456</v>
      </c>
    </row>
    <row r="28" spans="2:19" x14ac:dyDescent="0.15">
      <c r="B28" s="79">
        <v>24</v>
      </c>
      <c r="C28" s="79">
        <f t="shared" si="0"/>
        <v>2400</v>
      </c>
      <c r="D28" s="79">
        <f t="shared" si="1"/>
        <v>8000000</v>
      </c>
      <c r="J28" s="79">
        <v>43</v>
      </c>
      <c r="K28" s="79">
        <f>INDEX(等级时间!$U$3:$AU$203,MATCH($J28,等级时间!$U$3:$U$203,0),MATCH(K$4,等级时间!$U$3:$AU$3,0))</f>
        <v>7.43</v>
      </c>
      <c r="L28" s="79">
        <f t="shared" si="3"/>
        <v>0.5699999999999994</v>
      </c>
      <c r="M28" s="79">
        <f t="shared" si="2"/>
        <v>4901.9999999999945</v>
      </c>
      <c r="N28" s="79">
        <f>SUM($M$5:$M28)</f>
        <v>34538.999999999993</v>
      </c>
      <c r="P28" s="79">
        <f>INDEX(等级时间!$U$3:$AU$203,MATCH($J28,等级时间!$U$3:$U$203,0),MATCH(P$4,等级时间!$U$3:$AU$3,0))</f>
        <v>3.12</v>
      </c>
      <c r="Q28" s="79">
        <f t="shared" si="4"/>
        <v>0.24000000000000021</v>
      </c>
      <c r="R28" s="79">
        <f t="shared" si="5"/>
        <v>2064.0000000000018</v>
      </c>
      <c r="S28" s="79">
        <f>SUM($R$5:$R28)</f>
        <v>14520.000000000002</v>
      </c>
    </row>
    <row r="29" spans="2:19" x14ac:dyDescent="0.15">
      <c r="B29" s="79">
        <v>25</v>
      </c>
      <c r="C29" s="79">
        <f t="shared" si="0"/>
        <v>2500</v>
      </c>
      <c r="D29" s="79">
        <f t="shared" si="1"/>
        <v>9800000</v>
      </c>
      <c r="J29" s="79">
        <v>44</v>
      </c>
      <c r="K29" s="79">
        <f>INDEX(等级时间!$U$3:$AU$203,MATCH($J29,等级时间!$U$3:$U$203,0),MATCH(K$4,等级时间!$U$3:$AU$3,0))</f>
        <v>8.0399999999999991</v>
      </c>
      <c r="L29" s="79">
        <f t="shared" si="3"/>
        <v>0.60999999999999943</v>
      </c>
      <c r="M29" s="79">
        <f t="shared" si="2"/>
        <v>5367.9999999999945</v>
      </c>
      <c r="N29" s="79">
        <f>SUM($M$5:$M29)</f>
        <v>39906.999999999985</v>
      </c>
      <c r="P29" s="79">
        <f>INDEX(等级时间!$U$3:$AU$203,MATCH($J29,等级时间!$U$3:$U$203,0),MATCH(P$4,等级时间!$U$3:$AU$3,0))</f>
        <v>3.38</v>
      </c>
      <c r="Q29" s="79">
        <f t="shared" si="4"/>
        <v>0.25999999999999979</v>
      </c>
      <c r="R29" s="79">
        <f t="shared" si="5"/>
        <v>2287.9999999999982</v>
      </c>
      <c r="S29" s="79">
        <f>SUM($R$5:$R29)</f>
        <v>16808</v>
      </c>
    </row>
    <row r="30" spans="2:19" x14ac:dyDescent="0.15">
      <c r="B30" s="79">
        <v>26</v>
      </c>
      <c r="C30" s="79">
        <f t="shared" si="0"/>
        <v>2600</v>
      </c>
      <c r="D30" s="79">
        <f t="shared" si="1"/>
        <v>12000000</v>
      </c>
      <c r="J30" s="79">
        <v>45</v>
      </c>
      <c r="K30" s="79">
        <f>INDEX(等级时间!$U$3:$AU$203,MATCH($J30,等级时间!$U$3:$U$203,0),MATCH(K$4,等级时间!$U$3:$AU$3,0))</f>
        <v>8.69</v>
      </c>
      <c r="L30" s="79">
        <f t="shared" si="3"/>
        <v>0.65000000000000036</v>
      </c>
      <c r="M30" s="79">
        <f t="shared" si="2"/>
        <v>5850.0000000000036</v>
      </c>
      <c r="N30" s="79">
        <f>SUM($M$5:$M30)</f>
        <v>45756.999999999985</v>
      </c>
      <c r="P30" s="79">
        <f>INDEX(等级时间!$U$3:$AU$203,MATCH($J30,等级时间!$U$3:$U$203,0),MATCH(P$4,等级时间!$U$3:$AU$3,0))</f>
        <v>3.65</v>
      </c>
      <c r="Q30" s="79">
        <f t="shared" si="4"/>
        <v>0.27</v>
      </c>
      <c r="R30" s="79">
        <f t="shared" si="5"/>
        <v>2430</v>
      </c>
      <c r="S30" s="79">
        <f>SUM($R$5:$R30)</f>
        <v>19238</v>
      </c>
    </row>
    <row r="31" spans="2:19" x14ac:dyDescent="0.15">
      <c r="B31" s="79">
        <v>27</v>
      </c>
      <c r="C31" s="79">
        <f t="shared" si="0"/>
        <v>2700</v>
      </c>
      <c r="D31" s="79">
        <f t="shared" si="1"/>
        <v>14000000</v>
      </c>
      <c r="J31" s="79">
        <v>46</v>
      </c>
      <c r="K31" s="79">
        <f>INDEX(等级时间!$U$3:$AU$203,MATCH($J31,等级时间!$U$3:$U$203,0),MATCH(K$4,等级时间!$U$3:$AU$3,0))</f>
        <v>9.3800000000000008</v>
      </c>
      <c r="L31" s="79">
        <f t="shared" si="3"/>
        <v>0.69000000000000128</v>
      </c>
      <c r="M31" s="79">
        <f t="shared" si="2"/>
        <v>6348.0000000000118</v>
      </c>
      <c r="N31" s="79">
        <f>SUM($M$5:$M31)</f>
        <v>52105</v>
      </c>
      <c r="P31" s="79">
        <f>INDEX(等级时间!$U$3:$AU$203,MATCH($J31,等级时间!$U$3:$U$203,0),MATCH(P$4,等级时间!$U$3:$AU$3,0))</f>
        <v>3.94</v>
      </c>
      <c r="Q31" s="79">
        <f t="shared" si="4"/>
        <v>0.29000000000000004</v>
      </c>
      <c r="R31" s="79">
        <f t="shared" si="5"/>
        <v>2668.0000000000005</v>
      </c>
      <c r="S31" s="79">
        <f>SUM($R$5:$R31)</f>
        <v>21906</v>
      </c>
    </row>
    <row r="32" spans="2:19" x14ac:dyDescent="0.15">
      <c r="B32" s="79">
        <v>28</v>
      </c>
      <c r="C32" s="79">
        <f t="shared" si="0"/>
        <v>2800</v>
      </c>
      <c r="D32" s="79">
        <f t="shared" si="1"/>
        <v>17000000</v>
      </c>
      <c r="J32" s="79">
        <v>47</v>
      </c>
      <c r="K32" s="79">
        <f>INDEX(等级时间!$U$3:$AU$203,MATCH($J32,等级时间!$U$3:$U$203,0),MATCH(K$4,等级时间!$U$3:$AU$3,0))</f>
        <v>10.1</v>
      </c>
      <c r="L32" s="79">
        <f t="shared" si="3"/>
        <v>0.71999999999999886</v>
      </c>
      <c r="M32" s="79">
        <f t="shared" si="2"/>
        <v>6767.9999999999891</v>
      </c>
      <c r="N32" s="79">
        <f>SUM($M$5:$M32)</f>
        <v>58872.999999999985</v>
      </c>
      <c r="P32" s="79">
        <f>INDEX(等级时间!$U$3:$AU$203,MATCH($J32,等级时间!$U$3:$U$203,0),MATCH(P$4,等级时间!$U$3:$AU$3,0))</f>
        <v>4.24</v>
      </c>
      <c r="Q32" s="79">
        <f t="shared" si="4"/>
        <v>0.30000000000000027</v>
      </c>
      <c r="R32" s="79">
        <f t="shared" si="5"/>
        <v>2820.0000000000027</v>
      </c>
      <c r="S32" s="79">
        <f>SUM($R$5:$R32)</f>
        <v>24726.000000000004</v>
      </c>
    </row>
    <row r="33" spans="2:19" x14ac:dyDescent="0.15">
      <c r="B33" s="79">
        <v>29</v>
      </c>
      <c r="C33" s="79">
        <f t="shared" si="0"/>
        <v>2900</v>
      </c>
      <c r="D33" s="79">
        <f t="shared" si="1"/>
        <v>21000000</v>
      </c>
      <c r="J33" s="79">
        <v>48</v>
      </c>
      <c r="K33" s="79">
        <f>INDEX(等级时间!$U$3:$AU$203,MATCH($J33,等级时间!$U$3:$U$203,0),MATCH(K$4,等级时间!$U$3:$AU$3,0))</f>
        <v>10.86</v>
      </c>
      <c r="L33" s="79">
        <f t="shared" si="3"/>
        <v>0.75999999999999979</v>
      </c>
      <c r="M33" s="79">
        <f t="shared" si="2"/>
        <v>7295.9999999999982</v>
      </c>
      <c r="N33" s="79">
        <f>SUM($M$5:$M33)</f>
        <v>66168.999999999985</v>
      </c>
      <c r="P33" s="79">
        <f>INDEX(等级时间!$U$3:$AU$203,MATCH($J33,等级时间!$U$3:$U$203,0),MATCH(P$4,等级时间!$U$3:$AU$3,0))</f>
        <v>4.5599999999999996</v>
      </c>
      <c r="Q33" s="79">
        <f t="shared" si="4"/>
        <v>0.3199999999999994</v>
      </c>
      <c r="R33" s="79">
        <f t="shared" si="5"/>
        <v>3071.9999999999941</v>
      </c>
      <c r="S33" s="79">
        <f>SUM($R$5:$R33)</f>
        <v>27797.999999999996</v>
      </c>
    </row>
    <row r="34" spans="2:19" x14ac:dyDescent="0.15">
      <c r="B34" s="79">
        <v>30</v>
      </c>
      <c r="C34" s="79">
        <f t="shared" si="0"/>
        <v>3000</v>
      </c>
      <c r="D34" s="79">
        <f t="shared" si="1"/>
        <v>24000000</v>
      </c>
      <c r="J34" s="79">
        <v>49</v>
      </c>
      <c r="K34" s="79">
        <f>INDEX(等级时间!$U$3:$AU$203,MATCH($J34,等级时间!$U$3:$U$203,0),MATCH(K$4,等级时间!$U$3:$AU$3,0))</f>
        <v>11.68</v>
      </c>
      <c r="L34" s="79">
        <f t="shared" si="3"/>
        <v>0.82000000000000028</v>
      </c>
      <c r="M34" s="79">
        <f t="shared" si="2"/>
        <v>8036.0000000000027</v>
      </c>
      <c r="N34" s="79">
        <f>SUM($M$5:$M34)</f>
        <v>74204.999999999985</v>
      </c>
      <c r="P34" s="79">
        <f>INDEX(等级时间!$U$3:$AU$203,MATCH($J34,等级时间!$U$3:$U$203,0),MATCH(P$4,等级时间!$U$3:$AU$3,0))</f>
        <v>4.91</v>
      </c>
      <c r="Q34" s="79">
        <f t="shared" si="4"/>
        <v>0.35000000000000053</v>
      </c>
      <c r="R34" s="79">
        <f t="shared" si="5"/>
        <v>3430.000000000005</v>
      </c>
      <c r="S34" s="79">
        <f>SUM($R$5:$R34)</f>
        <v>31228</v>
      </c>
    </row>
    <row r="35" spans="2:19" x14ac:dyDescent="0.15">
      <c r="B35" s="79">
        <v>31</v>
      </c>
      <c r="C35" s="79">
        <f t="shared" si="0"/>
        <v>3100</v>
      </c>
      <c r="D35" s="79">
        <f t="shared" si="1"/>
        <v>29000000</v>
      </c>
      <c r="J35" s="79">
        <v>50</v>
      </c>
      <c r="K35" s="79">
        <f>INDEX(等级时间!$U$3:$AU$203,MATCH($J35,等级时间!$U$3:$U$203,0),MATCH(K$4,等级时间!$U$3:$AU$3,0))</f>
        <v>12.54</v>
      </c>
      <c r="L35" s="79">
        <f t="shared" si="3"/>
        <v>0.85999999999999943</v>
      </c>
      <c r="M35" s="79">
        <f t="shared" si="2"/>
        <v>8599.9999999999945</v>
      </c>
      <c r="N35" s="79">
        <f>SUM($M$5:$M35)</f>
        <v>82804.999999999985</v>
      </c>
      <c r="P35" s="79">
        <f>INDEX(等级时间!$U$3:$AU$203,MATCH($J35,等级时间!$U$3:$U$203,0),MATCH(P$4,等级时间!$U$3:$AU$3,0))</f>
        <v>5.27</v>
      </c>
      <c r="Q35" s="79">
        <f t="shared" si="4"/>
        <v>0.35999999999999943</v>
      </c>
      <c r="R35" s="79">
        <f t="shared" si="5"/>
        <v>3599.9999999999945</v>
      </c>
      <c r="S35" s="79">
        <f>SUM($R$5:$R35)</f>
        <v>34827.999999999993</v>
      </c>
    </row>
    <row r="36" spans="2:19" x14ac:dyDescent="0.15">
      <c r="B36" s="79">
        <v>32</v>
      </c>
      <c r="C36" s="79">
        <f t="shared" si="0"/>
        <v>3200</v>
      </c>
      <c r="D36" s="79">
        <f t="shared" si="1"/>
        <v>34000000</v>
      </c>
      <c r="J36" s="79">
        <v>51</v>
      </c>
      <c r="K36" s="79">
        <f>INDEX(等级时间!$U$3:$AU$203,MATCH($J36,等级时间!$U$3:$U$203,0),MATCH(K$4,等级时间!$U$3:$AU$3,0))</f>
        <v>13.45</v>
      </c>
      <c r="L36" s="79">
        <f t="shared" si="3"/>
        <v>0.91000000000000014</v>
      </c>
      <c r="M36" s="79">
        <f t="shared" si="2"/>
        <v>9282.0000000000018</v>
      </c>
      <c r="N36" s="79">
        <f>SUM($M$5:$M36)</f>
        <v>92086.999999999985</v>
      </c>
      <c r="P36" s="79">
        <f>INDEX(等级时间!$U$3:$AU$203,MATCH($J36,等级时间!$U$3:$U$203,0),MATCH(P$4,等级时间!$U$3:$AU$3,0))</f>
        <v>5.65</v>
      </c>
      <c r="Q36" s="79">
        <f t="shared" si="4"/>
        <v>0.38000000000000078</v>
      </c>
      <c r="R36" s="79">
        <f t="shared" si="5"/>
        <v>3876.0000000000082</v>
      </c>
      <c r="S36" s="79">
        <f>SUM($R$5:$R36)</f>
        <v>38704</v>
      </c>
    </row>
    <row r="37" spans="2:19" x14ac:dyDescent="0.15">
      <c r="B37" s="79">
        <v>33</v>
      </c>
      <c r="C37" s="79">
        <f t="shared" si="0"/>
        <v>3300</v>
      </c>
      <c r="D37" s="79">
        <f t="shared" si="1"/>
        <v>39000000</v>
      </c>
      <c r="J37" s="79">
        <v>52</v>
      </c>
      <c r="K37" s="79">
        <f>INDEX(等级时间!$U$3:$AU$203,MATCH($J37,等级时间!$U$3:$U$203,0),MATCH(K$4,等级时间!$U$3:$AU$3,0))</f>
        <v>14.41</v>
      </c>
      <c r="L37" s="79">
        <f t="shared" si="3"/>
        <v>0.96000000000000085</v>
      </c>
      <c r="M37" s="79">
        <f t="shared" si="2"/>
        <v>9984.0000000000091</v>
      </c>
      <c r="N37" s="79">
        <f>SUM($M$5:$M37)</f>
        <v>102071</v>
      </c>
      <c r="P37" s="79">
        <f>INDEX(等级时间!$U$3:$AU$203,MATCH($J37,等级时间!$U$3:$U$203,0),MATCH(P$4,等级时间!$U$3:$AU$3,0))</f>
        <v>6.05</v>
      </c>
      <c r="Q37" s="79">
        <f t="shared" si="4"/>
        <v>0.39999999999999947</v>
      </c>
      <c r="R37" s="79">
        <f t="shared" si="5"/>
        <v>4159.9999999999945</v>
      </c>
      <c r="S37" s="79">
        <f>SUM($R$5:$R37)</f>
        <v>42863.999999999993</v>
      </c>
    </row>
    <row r="38" spans="2:19" x14ac:dyDescent="0.15">
      <c r="B38" s="79">
        <v>34</v>
      </c>
      <c r="C38" s="79">
        <f t="shared" si="0"/>
        <v>3400</v>
      </c>
      <c r="D38" s="79">
        <f t="shared" si="1"/>
        <v>45000000</v>
      </c>
      <c r="J38" s="79">
        <v>53</v>
      </c>
      <c r="K38" s="79">
        <f>INDEX(等级时间!$U$3:$AU$203,MATCH($J38,等级时间!$U$3:$U$203,0),MATCH(K$4,等级时间!$U$3:$AU$3,0))</f>
        <v>15.42</v>
      </c>
      <c r="L38" s="79">
        <f t="shared" si="3"/>
        <v>1.0099999999999998</v>
      </c>
      <c r="M38" s="79">
        <f t="shared" si="2"/>
        <v>10705.999999999998</v>
      </c>
      <c r="N38" s="79">
        <f>SUM($M$5:$M38)</f>
        <v>112777</v>
      </c>
      <c r="P38" s="79">
        <f>INDEX(等级时间!$U$3:$AU$203,MATCH($J38,等级时间!$U$3:$U$203,0),MATCH(P$4,等级时间!$U$3:$AU$3,0))</f>
        <v>6.48</v>
      </c>
      <c r="Q38" s="79">
        <f t="shared" si="4"/>
        <v>0.4300000000000006</v>
      </c>
      <c r="R38" s="79">
        <f t="shared" si="5"/>
        <v>4558.0000000000064</v>
      </c>
      <c r="S38" s="79">
        <f>SUM($R$5:$R38)</f>
        <v>47422</v>
      </c>
    </row>
    <row r="39" spans="2:19" x14ac:dyDescent="0.15">
      <c r="B39" s="79">
        <v>35</v>
      </c>
      <c r="C39" s="79">
        <f t="shared" si="0"/>
        <v>3500</v>
      </c>
      <c r="D39" s="79">
        <f t="shared" si="1"/>
        <v>53000000</v>
      </c>
      <c r="J39" s="79">
        <v>54</v>
      </c>
      <c r="K39" s="79">
        <f>INDEX(等级时间!$U$3:$AU$203,MATCH($J39,等级时间!$U$3:$U$203,0),MATCH(K$4,等级时间!$U$3:$AU$3,0))</f>
        <v>16.489999999999998</v>
      </c>
      <c r="L39" s="79">
        <f t="shared" si="3"/>
        <v>1.0699999999999985</v>
      </c>
      <c r="M39" s="79">
        <f t="shared" si="2"/>
        <v>11555.999999999984</v>
      </c>
      <c r="N39" s="79">
        <f>SUM($M$5:$M39)</f>
        <v>124332.99999999999</v>
      </c>
      <c r="P39" s="79">
        <f>INDEX(等级时间!$U$3:$AU$203,MATCH($J39,等级时间!$U$3:$U$203,0),MATCH(P$4,等级时间!$U$3:$AU$3,0))</f>
        <v>6.93</v>
      </c>
      <c r="Q39" s="79">
        <f t="shared" si="4"/>
        <v>0.44999999999999929</v>
      </c>
      <c r="R39" s="79">
        <f t="shared" si="5"/>
        <v>4859.9999999999927</v>
      </c>
      <c r="S39" s="79">
        <f>SUM($R$5:$R39)</f>
        <v>52281.999999999993</v>
      </c>
    </row>
    <row r="40" spans="2:19" x14ac:dyDescent="0.15">
      <c r="B40" s="79">
        <v>36</v>
      </c>
      <c r="C40" s="79">
        <f t="shared" si="0"/>
        <v>3600</v>
      </c>
      <c r="D40" s="79">
        <f t="shared" si="1"/>
        <v>60000000</v>
      </c>
      <c r="J40" s="79">
        <v>55</v>
      </c>
      <c r="K40" s="79">
        <f>INDEX(等级时间!$U$3:$AU$203,MATCH($J40,等级时间!$U$3:$U$203,0),MATCH(K$4,等级时间!$U$3:$AU$3,0))</f>
        <v>17.63</v>
      </c>
      <c r="L40" s="79">
        <f t="shared" si="3"/>
        <v>1.1400000000000006</v>
      </c>
      <c r="M40" s="79">
        <f t="shared" si="2"/>
        <v>12540.000000000005</v>
      </c>
      <c r="N40" s="79">
        <f>SUM($M$5:$M40)</f>
        <v>136873</v>
      </c>
      <c r="P40" s="79">
        <f>INDEX(等级时间!$U$3:$AU$203,MATCH($J40,等级时间!$U$3:$U$203,0),MATCH(P$4,等级时间!$U$3:$AU$3,0))</f>
        <v>7.41</v>
      </c>
      <c r="Q40" s="79">
        <f t="shared" si="4"/>
        <v>0.48000000000000043</v>
      </c>
      <c r="R40" s="79">
        <f t="shared" si="5"/>
        <v>5280.0000000000045</v>
      </c>
      <c r="S40" s="79">
        <f>SUM($R$5:$R40)</f>
        <v>57562</v>
      </c>
    </row>
    <row r="41" spans="2:19" x14ac:dyDescent="0.15">
      <c r="B41" s="79">
        <v>37</v>
      </c>
      <c r="C41" s="79">
        <f t="shared" si="0"/>
        <v>3700</v>
      </c>
      <c r="D41" s="79">
        <f t="shared" si="1"/>
        <v>69000000</v>
      </c>
      <c r="J41" s="79">
        <v>56</v>
      </c>
      <c r="K41" s="79">
        <f>INDEX(等级时间!$U$3:$AU$203,MATCH($J41,等级时间!$U$3:$U$203,0),MATCH(K$4,等级时间!$U$3:$AU$3,0))</f>
        <v>18.82</v>
      </c>
      <c r="L41" s="79">
        <f t="shared" si="3"/>
        <v>1.1900000000000013</v>
      </c>
      <c r="M41" s="79">
        <f t="shared" si="2"/>
        <v>13328.000000000015</v>
      </c>
      <c r="N41" s="79">
        <f>SUM($M$5:$M41)</f>
        <v>150201</v>
      </c>
      <c r="P41" s="79">
        <f>INDEX(等级时间!$U$3:$AU$203,MATCH($J41,等级时间!$U$3:$U$203,0),MATCH(P$4,等级时间!$U$3:$AU$3,0))</f>
        <v>7.91</v>
      </c>
      <c r="Q41" s="79">
        <f t="shared" si="4"/>
        <v>0.5</v>
      </c>
      <c r="R41" s="79">
        <f t="shared" si="5"/>
        <v>5600</v>
      </c>
      <c r="S41" s="79">
        <f>SUM($R$5:$R41)</f>
        <v>63162</v>
      </c>
    </row>
    <row r="42" spans="2:19" x14ac:dyDescent="0.15">
      <c r="B42" s="79">
        <v>38</v>
      </c>
      <c r="C42" s="79">
        <f t="shared" si="0"/>
        <v>3800</v>
      </c>
      <c r="D42" s="79">
        <f t="shared" si="1"/>
        <v>79000000</v>
      </c>
      <c r="J42" s="79">
        <v>57</v>
      </c>
      <c r="K42" s="79">
        <f>INDEX(等级时间!$U$3:$AU$203,MATCH($J42,等级时间!$U$3:$U$203,0),MATCH(K$4,等级时间!$U$3:$AU$3,0))</f>
        <v>20.079999999999998</v>
      </c>
      <c r="L42" s="79">
        <f t="shared" si="3"/>
        <v>1.259999999999998</v>
      </c>
      <c r="M42" s="79">
        <f t="shared" si="2"/>
        <v>14363.999999999978</v>
      </c>
      <c r="N42" s="79">
        <f>SUM($M$5:$M42)</f>
        <v>164564.99999999997</v>
      </c>
      <c r="P42" s="79">
        <f>INDEX(等级时间!$U$3:$AU$203,MATCH($J42,等级时间!$U$3:$U$203,0),MATCH(P$4,等级时间!$U$3:$AU$3,0))</f>
        <v>8.44</v>
      </c>
      <c r="Q42" s="79">
        <f t="shared" si="4"/>
        <v>0.52999999999999936</v>
      </c>
      <c r="R42" s="79">
        <f t="shared" si="5"/>
        <v>6041.9999999999927</v>
      </c>
      <c r="S42" s="79">
        <f>SUM($R$5:$R42)</f>
        <v>69204</v>
      </c>
    </row>
    <row r="43" spans="2:19" x14ac:dyDescent="0.15">
      <c r="B43" s="79">
        <v>39</v>
      </c>
      <c r="C43" s="79">
        <f t="shared" si="0"/>
        <v>3900</v>
      </c>
      <c r="D43" s="79">
        <f t="shared" si="1"/>
        <v>90000000</v>
      </c>
      <c r="J43" s="79">
        <v>58</v>
      </c>
      <c r="K43" s="79">
        <f>INDEX(等级时间!$U$3:$AU$203,MATCH($J43,等级时间!$U$3:$U$203,0),MATCH(K$4,等级时间!$U$3:$AU$3,0))</f>
        <v>21.41</v>
      </c>
      <c r="L43" s="79">
        <f t="shared" si="3"/>
        <v>1.3300000000000018</v>
      </c>
      <c r="M43" s="79">
        <f t="shared" si="2"/>
        <v>15428.000000000022</v>
      </c>
      <c r="N43" s="79">
        <f>SUM($M$5:$M43)</f>
        <v>179993</v>
      </c>
      <c r="P43" s="79">
        <f>INDEX(等级时间!$U$3:$AU$203,MATCH($J43,等级时间!$U$3:$U$203,0),MATCH(P$4,等级时间!$U$3:$AU$3,0))</f>
        <v>9</v>
      </c>
      <c r="Q43" s="79">
        <f t="shared" si="4"/>
        <v>0.5600000000000005</v>
      </c>
      <c r="R43" s="79">
        <f t="shared" si="5"/>
        <v>6496.0000000000055</v>
      </c>
      <c r="S43" s="79">
        <f>SUM($R$5:$R43)</f>
        <v>75700</v>
      </c>
    </row>
    <row r="44" spans="2:19" x14ac:dyDescent="0.15">
      <c r="B44" s="79">
        <v>40</v>
      </c>
      <c r="C44" s="79">
        <f t="shared" si="0"/>
        <v>4000</v>
      </c>
      <c r="D44" s="79">
        <f t="shared" si="1"/>
        <v>100000000</v>
      </c>
      <c r="J44" s="79">
        <v>59</v>
      </c>
      <c r="K44" s="79">
        <f>INDEX(等级时间!$U$3:$AU$203,MATCH($J44,等级时间!$U$3:$U$203,0),MATCH(K$4,等级时间!$U$3:$AU$3,0))</f>
        <v>22.81</v>
      </c>
      <c r="L44" s="79">
        <f t="shared" si="3"/>
        <v>1.3999999999999986</v>
      </c>
      <c r="M44" s="79">
        <f t="shared" si="2"/>
        <v>16519.999999999982</v>
      </c>
      <c r="N44" s="79">
        <f>SUM($M$5:$M44)</f>
        <v>196512.99999999997</v>
      </c>
      <c r="P44" s="79">
        <f>INDEX(等级时间!$U$3:$AU$203,MATCH($J44,等级时间!$U$3:$U$203,0),MATCH(P$4,等级时间!$U$3:$AU$3,0))</f>
        <v>9.58</v>
      </c>
      <c r="Q44" s="79">
        <f t="shared" si="4"/>
        <v>0.58000000000000007</v>
      </c>
      <c r="R44" s="79">
        <f t="shared" si="5"/>
        <v>6844.0000000000009</v>
      </c>
      <c r="S44" s="79">
        <f>SUM($R$5:$R44)</f>
        <v>82544</v>
      </c>
    </row>
    <row r="45" spans="2:19" x14ac:dyDescent="0.15">
      <c r="B45" s="79">
        <v>41</v>
      </c>
      <c r="C45" s="79">
        <f t="shared" si="0"/>
        <v>4100</v>
      </c>
      <c r="D45" s="79">
        <f t="shared" si="1"/>
        <v>120000000</v>
      </c>
      <c r="J45" s="79">
        <v>60</v>
      </c>
      <c r="K45" s="79">
        <f>INDEX(等级时间!$U$3:$AU$203,MATCH($J45,等级时间!$U$3:$U$203,0),MATCH(K$4,等级时间!$U$3:$AU$3,0))</f>
        <v>24.29</v>
      </c>
      <c r="L45" s="79">
        <f t="shared" si="3"/>
        <v>1.4800000000000004</v>
      </c>
      <c r="M45" s="79">
        <f t="shared" si="2"/>
        <v>17760.000000000004</v>
      </c>
      <c r="N45" s="79">
        <f>SUM($M$5:$M45)</f>
        <v>214272.99999999997</v>
      </c>
      <c r="P45" s="79">
        <f>INDEX(等级时间!$U$3:$AU$203,MATCH($J45,等级时间!$U$3:$U$203,0),MATCH(P$4,等级时间!$U$3:$AU$3,0))</f>
        <v>10.199999999999999</v>
      </c>
      <c r="Q45" s="79">
        <f t="shared" si="4"/>
        <v>0.61999999999999922</v>
      </c>
      <c r="R45" s="79">
        <f t="shared" si="5"/>
        <v>7439.9999999999909</v>
      </c>
      <c r="S45" s="79">
        <f>SUM($R$5:$R45)</f>
        <v>89983.999999999985</v>
      </c>
    </row>
    <row r="46" spans="2:19" x14ac:dyDescent="0.15">
      <c r="B46" s="79">
        <v>42</v>
      </c>
      <c r="C46" s="79">
        <f t="shared" si="0"/>
        <v>4200</v>
      </c>
      <c r="D46" s="79">
        <f t="shared" si="1"/>
        <v>130000000</v>
      </c>
      <c r="J46" s="79">
        <v>61</v>
      </c>
      <c r="K46" s="79">
        <f>INDEX(等级时间!$U$3:$AU$203,MATCH($J46,等级时间!$U$3:$U$203,0),MATCH(K$4,等级时间!$U$3:$AU$3,0))</f>
        <v>25.84</v>
      </c>
      <c r="L46" s="79">
        <f t="shared" si="3"/>
        <v>1.5500000000000007</v>
      </c>
      <c r="M46" s="79">
        <f t="shared" si="2"/>
        <v>18910.000000000007</v>
      </c>
      <c r="N46" s="79">
        <f>SUM($M$5:$M46)</f>
        <v>233182.99999999997</v>
      </c>
      <c r="P46" s="79">
        <f>INDEX(等级时间!$U$3:$AU$203,MATCH($J46,等级时间!$U$3:$U$203,0),MATCH(P$4,等级时间!$U$3:$AU$3,0))</f>
        <v>10.86</v>
      </c>
      <c r="Q46" s="79">
        <f t="shared" si="4"/>
        <v>0.66000000000000014</v>
      </c>
      <c r="R46" s="79">
        <f t="shared" si="5"/>
        <v>8052.0000000000018</v>
      </c>
      <c r="S46" s="79">
        <f>SUM($R$5:$R46)</f>
        <v>98035.999999999985</v>
      </c>
    </row>
    <row r="47" spans="2:19" x14ac:dyDescent="0.15">
      <c r="B47" s="79">
        <v>43</v>
      </c>
      <c r="C47" s="79">
        <f t="shared" si="0"/>
        <v>4300</v>
      </c>
      <c r="D47" s="79">
        <f t="shared" si="1"/>
        <v>150000000</v>
      </c>
      <c r="J47" s="79">
        <v>62</v>
      </c>
      <c r="K47" s="79">
        <f>INDEX(等级时间!$U$3:$AU$203,MATCH($J47,等级时间!$U$3:$U$203,0),MATCH(K$4,等级时间!$U$3:$AU$3,0))</f>
        <v>27.47</v>
      </c>
      <c r="L47" s="79">
        <f t="shared" si="3"/>
        <v>1.629999999999999</v>
      </c>
      <c r="M47" s="79">
        <f t="shared" si="2"/>
        <v>20211.999999999989</v>
      </c>
      <c r="N47" s="79">
        <f>SUM($M$5:$M47)</f>
        <v>253394.99999999997</v>
      </c>
      <c r="P47" s="79">
        <f>INDEX(等级时间!$U$3:$AU$203,MATCH($J47,等级时间!$U$3:$U$203,0),MATCH(P$4,等级时间!$U$3:$AU$3,0))</f>
        <v>11.54</v>
      </c>
      <c r="Q47" s="79">
        <f t="shared" si="4"/>
        <v>0.67999999999999972</v>
      </c>
      <c r="R47" s="79">
        <f t="shared" si="5"/>
        <v>8431.9999999999964</v>
      </c>
      <c r="S47" s="79">
        <f>SUM($R$5:$R47)</f>
        <v>106467.99999999999</v>
      </c>
    </row>
    <row r="48" spans="2:19" x14ac:dyDescent="0.15">
      <c r="B48" s="79">
        <v>44</v>
      </c>
      <c r="C48" s="79">
        <f t="shared" si="0"/>
        <v>4400</v>
      </c>
      <c r="D48" s="79">
        <f t="shared" si="1"/>
        <v>160000000</v>
      </c>
      <c r="J48" s="79">
        <v>63</v>
      </c>
      <c r="K48" s="79">
        <f>INDEX(等级时间!$U$3:$AU$203,MATCH($J48,等级时间!$U$3:$U$203,0),MATCH(K$4,等级时间!$U$3:$AU$3,0))</f>
        <v>29.19</v>
      </c>
      <c r="L48" s="79">
        <f t="shared" si="3"/>
        <v>1.7200000000000024</v>
      </c>
      <c r="M48" s="79">
        <f t="shared" si="2"/>
        <v>21672.000000000029</v>
      </c>
      <c r="N48" s="79">
        <f>SUM($M$5:$M48)</f>
        <v>275067</v>
      </c>
      <c r="P48" s="79">
        <f>INDEX(等级时间!$U$3:$AU$203,MATCH($J48,等级时间!$U$3:$U$203,0),MATCH(P$4,等级时间!$U$3:$AU$3,0))</f>
        <v>12.26</v>
      </c>
      <c r="Q48" s="79">
        <f t="shared" si="4"/>
        <v>0.72000000000000064</v>
      </c>
      <c r="R48" s="79">
        <f t="shared" si="5"/>
        <v>9072.0000000000073</v>
      </c>
      <c r="S48" s="79">
        <f>SUM($R$5:$R48)</f>
        <v>115540</v>
      </c>
    </row>
    <row r="49" spans="2:19" x14ac:dyDescent="0.15">
      <c r="B49" s="79">
        <v>45</v>
      </c>
      <c r="C49" s="79">
        <f t="shared" si="0"/>
        <v>4500</v>
      </c>
      <c r="D49" s="79">
        <f t="shared" si="1"/>
        <v>180000000</v>
      </c>
      <c r="J49" s="79">
        <v>64</v>
      </c>
      <c r="K49" s="79">
        <f>INDEX(等级时间!$U$3:$AU$203,MATCH($J49,等级时间!$U$3:$U$203,0),MATCH(K$4,等级时间!$U$3:$AU$3,0))</f>
        <v>31</v>
      </c>
      <c r="L49" s="79">
        <f t="shared" si="3"/>
        <v>1.8099999999999987</v>
      </c>
      <c r="M49" s="79">
        <f t="shared" si="2"/>
        <v>23167.999999999985</v>
      </c>
      <c r="N49" s="79">
        <f>SUM($M$5:$M49)</f>
        <v>298235</v>
      </c>
      <c r="P49" s="79">
        <f>INDEX(等级时间!$U$3:$AU$203,MATCH($J49,等级时间!$U$3:$U$203,0),MATCH(P$4,等级时间!$U$3:$AU$3,0))</f>
        <v>13.02</v>
      </c>
      <c r="Q49" s="79">
        <f t="shared" si="4"/>
        <v>0.75999999999999979</v>
      </c>
      <c r="R49" s="79">
        <f t="shared" si="5"/>
        <v>9727.9999999999964</v>
      </c>
      <c r="S49" s="79">
        <f>SUM($R$5:$R49)</f>
        <v>125268</v>
      </c>
    </row>
    <row r="50" spans="2:19" x14ac:dyDescent="0.15">
      <c r="B50" s="79">
        <v>46</v>
      </c>
      <c r="C50" s="79">
        <f t="shared" si="0"/>
        <v>4600</v>
      </c>
      <c r="D50" s="79">
        <f t="shared" si="1"/>
        <v>210000000</v>
      </c>
      <c r="J50" s="79">
        <v>65</v>
      </c>
      <c r="K50" s="79">
        <f>INDEX(等级时间!$U$3:$AU$203,MATCH($J50,等级时间!$U$3:$U$203,0),MATCH(K$4,等级时间!$U$3:$AU$3,0))</f>
        <v>32.9</v>
      </c>
      <c r="L50" s="79">
        <f t="shared" si="3"/>
        <v>1.8999999999999986</v>
      </c>
      <c r="M50" s="79">
        <f t="shared" si="2"/>
        <v>24699.999999999982</v>
      </c>
      <c r="N50" s="79">
        <f>SUM($M$5:$M50)</f>
        <v>322935</v>
      </c>
      <c r="P50" s="79">
        <f>INDEX(等级时间!$U$3:$AU$203,MATCH($J50,等级时间!$U$3:$U$203,0),MATCH(P$4,等级时间!$U$3:$AU$3,0))</f>
        <v>13.82</v>
      </c>
      <c r="Q50" s="79">
        <f t="shared" si="4"/>
        <v>0.80000000000000071</v>
      </c>
      <c r="R50" s="79">
        <f t="shared" si="5"/>
        <v>10400.000000000009</v>
      </c>
      <c r="S50" s="79">
        <f>SUM($R$5:$R50)</f>
        <v>135668</v>
      </c>
    </row>
    <row r="51" spans="2:19" x14ac:dyDescent="0.15">
      <c r="B51" s="79">
        <v>47</v>
      </c>
      <c r="C51" s="79">
        <f t="shared" si="0"/>
        <v>4700</v>
      </c>
      <c r="D51" s="79">
        <f t="shared" si="1"/>
        <v>230000000</v>
      </c>
      <c r="J51" s="79">
        <v>66</v>
      </c>
      <c r="K51" s="79">
        <f>INDEX(等级时间!$U$3:$AU$203,MATCH($J51,等级时间!$U$3:$U$203,0),MATCH(K$4,等级时间!$U$3:$AU$3,0))</f>
        <v>34.89</v>
      </c>
      <c r="L51" s="79">
        <f t="shared" si="3"/>
        <v>1.990000000000002</v>
      </c>
      <c r="M51" s="79">
        <f t="shared" si="2"/>
        <v>26268.000000000025</v>
      </c>
      <c r="N51" s="79">
        <f>SUM($M$5:$M51)</f>
        <v>349203</v>
      </c>
      <c r="P51" s="79">
        <f>INDEX(等级时间!$U$3:$AU$203,MATCH($J51,等级时间!$U$3:$U$203,0),MATCH(P$4,等级时间!$U$3:$AU$3,0))</f>
        <v>14.66</v>
      </c>
      <c r="Q51" s="79">
        <f t="shared" si="4"/>
        <v>0.83999999999999986</v>
      </c>
      <c r="R51" s="79">
        <f t="shared" si="5"/>
        <v>11087.999999999998</v>
      </c>
      <c r="S51" s="79">
        <f>SUM($R$5:$R51)</f>
        <v>146756</v>
      </c>
    </row>
    <row r="52" spans="2:19" x14ac:dyDescent="0.15">
      <c r="B52" s="79">
        <v>48</v>
      </c>
      <c r="C52" s="79">
        <f t="shared" si="0"/>
        <v>4800</v>
      </c>
      <c r="D52" s="79">
        <f t="shared" si="1"/>
        <v>250000000</v>
      </c>
      <c r="J52" s="79">
        <v>67</v>
      </c>
      <c r="K52" s="79">
        <f>INDEX(等级时间!$U$3:$AU$203,MATCH($J52,等级时间!$U$3:$U$203,0),MATCH(K$4,等级时间!$U$3:$AU$3,0))</f>
        <v>36.979999999999997</v>
      </c>
      <c r="L52" s="79">
        <f t="shared" si="3"/>
        <v>2.0899999999999963</v>
      </c>
      <c r="M52" s="79">
        <f t="shared" si="2"/>
        <v>28005.999999999949</v>
      </c>
      <c r="N52" s="79">
        <f>SUM($M$5:$M52)</f>
        <v>377208.99999999994</v>
      </c>
      <c r="P52" s="79">
        <f>INDEX(等级时间!$U$3:$AU$203,MATCH($J52,等级时间!$U$3:$U$203,0),MATCH(P$4,等级时间!$U$3:$AU$3,0))</f>
        <v>15.54</v>
      </c>
      <c r="Q52" s="79">
        <f t="shared" si="4"/>
        <v>0.87999999999999901</v>
      </c>
      <c r="R52" s="79">
        <f t="shared" si="5"/>
        <v>11791.999999999987</v>
      </c>
      <c r="S52" s="79">
        <f>SUM($R$5:$R52)</f>
        <v>158548</v>
      </c>
    </row>
    <row r="53" spans="2:19" x14ac:dyDescent="0.15">
      <c r="B53" s="79">
        <v>49</v>
      </c>
      <c r="C53" s="79">
        <f t="shared" si="0"/>
        <v>4900</v>
      </c>
      <c r="D53" s="79">
        <f t="shared" si="1"/>
        <v>280000000</v>
      </c>
      <c r="J53" s="79">
        <v>68</v>
      </c>
      <c r="K53" s="79">
        <f>INDEX(等级时间!$U$3:$AU$203,MATCH($J53,等级时间!$U$3:$U$203,0),MATCH(K$4,等级时间!$U$3:$AU$3,0))</f>
        <v>39.17</v>
      </c>
      <c r="L53" s="79">
        <f t="shared" si="3"/>
        <v>2.1900000000000048</v>
      </c>
      <c r="M53" s="79">
        <f t="shared" si="2"/>
        <v>29784.000000000065</v>
      </c>
      <c r="N53" s="79">
        <f>SUM($M$5:$M53)</f>
        <v>406993</v>
      </c>
      <c r="P53" s="79">
        <f>INDEX(等级时间!$U$3:$AU$203,MATCH($J53,等级时间!$U$3:$U$203,0),MATCH(P$4,等级时间!$U$3:$AU$3,0))</f>
        <v>16.46</v>
      </c>
      <c r="Q53" s="79">
        <f t="shared" si="4"/>
        <v>0.92000000000000171</v>
      </c>
      <c r="R53" s="79">
        <f t="shared" si="5"/>
        <v>12512.000000000024</v>
      </c>
      <c r="S53" s="79">
        <f>SUM($R$5:$R53)</f>
        <v>171060.00000000003</v>
      </c>
    </row>
    <row r="54" spans="2:19" x14ac:dyDescent="0.15">
      <c r="B54" s="79">
        <v>50</v>
      </c>
      <c r="C54" s="79">
        <f t="shared" si="0"/>
        <v>5000</v>
      </c>
      <c r="D54" s="79">
        <f t="shared" si="1"/>
        <v>310000000</v>
      </c>
      <c r="J54" s="79">
        <v>69</v>
      </c>
      <c r="K54" s="79">
        <f>INDEX(等级时间!$U$3:$AU$203,MATCH($J54,等级时间!$U$3:$U$203,0),MATCH(K$4,等级时间!$U$3:$AU$3,0))</f>
        <v>41.47</v>
      </c>
      <c r="L54" s="79">
        <f t="shared" si="3"/>
        <v>2.2999999999999972</v>
      </c>
      <c r="M54" s="79">
        <f t="shared" si="2"/>
        <v>31739.99999999996</v>
      </c>
      <c r="N54" s="79">
        <f>SUM($M$5:$M54)</f>
        <v>438732.99999999994</v>
      </c>
      <c r="P54" s="79">
        <f>INDEX(等级时间!$U$3:$AU$203,MATCH($J54,等级时间!$U$3:$U$203,0),MATCH(P$4,等级时间!$U$3:$AU$3,0))</f>
        <v>17.420000000000002</v>
      </c>
      <c r="Q54" s="79">
        <f t="shared" si="4"/>
        <v>0.96000000000000085</v>
      </c>
      <c r="R54" s="79">
        <f t="shared" si="5"/>
        <v>13248.000000000011</v>
      </c>
      <c r="S54" s="79">
        <f>SUM($R$5:$R54)</f>
        <v>184308.00000000003</v>
      </c>
    </row>
    <row r="55" spans="2:19" x14ac:dyDescent="0.15">
      <c r="B55" s="79">
        <v>51</v>
      </c>
      <c r="C55" s="79">
        <f t="shared" si="0"/>
        <v>5100</v>
      </c>
      <c r="D55" s="79">
        <f t="shared" si="1"/>
        <v>350000000</v>
      </c>
      <c r="J55" s="79">
        <v>70</v>
      </c>
      <c r="K55" s="79">
        <f>INDEX(等级时间!$U$3:$AU$203,MATCH($J55,等级时间!$U$3:$U$203,0),MATCH(K$4,等级时间!$U$3:$AU$3,0))</f>
        <v>43.88</v>
      </c>
      <c r="L55" s="79">
        <f t="shared" si="3"/>
        <v>2.4100000000000037</v>
      </c>
      <c r="M55" s="79">
        <f t="shared" si="2"/>
        <v>33740.000000000051</v>
      </c>
      <c r="N55" s="79">
        <f>SUM($M$5:$M55)</f>
        <v>472473</v>
      </c>
      <c r="P55" s="79">
        <f>INDEX(等级时间!$U$3:$AU$203,MATCH($J55,等级时间!$U$3:$U$203,0),MATCH(P$4,等级时间!$U$3:$AU$3,0))</f>
        <v>18.440000000000001</v>
      </c>
      <c r="Q55" s="79">
        <f t="shared" si="4"/>
        <v>1.0199999999999996</v>
      </c>
      <c r="R55" s="79">
        <f t="shared" si="5"/>
        <v>14279.999999999995</v>
      </c>
      <c r="S55" s="79">
        <f>SUM($R$5:$R55)</f>
        <v>198588.00000000003</v>
      </c>
    </row>
    <row r="56" spans="2:19" x14ac:dyDescent="0.15">
      <c r="B56" s="79">
        <v>52</v>
      </c>
      <c r="C56" s="79">
        <f t="shared" si="0"/>
        <v>5200</v>
      </c>
      <c r="D56" s="79">
        <f t="shared" si="1"/>
        <v>380000000</v>
      </c>
      <c r="J56" s="79">
        <v>71</v>
      </c>
      <c r="K56" s="79">
        <f>INDEX(等级时间!$U$3:$AU$203,MATCH($J56,等级时间!$U$3:$U$203,0),MATCH(K$4,等级时间!$U$3:$AU$3,0))</f>
        <v>46.4</v>
      </c>
      <c r="L56" s="79">
        <f t="shared" si="3"/>
        <v>2.519999999999996</v>
      </c>
      <c r="M56" s="79">
        <f t="shared" si="2"/>
        <v>35783.999999999942</v>
      </c>
      <c r="N56" s="79">
        <f>SUM($M$5:$M56)</f>
        <v>508256.99999999994</v>
      </c>
      <c r="P56" s="79">
        <f>INDEX(等级时间!$U$3:$AU$203,MATCH($J56,等级时间!$U$3:$U$203,0),MATCH(P$4,等级时间!$U$3:$AU$3,0))</f>
        <v>19.5</v>
      </c>
      <c r="Q56" s="79">
        <f t="shared" si="4"/>
        <v>1.0599999999999987</v>
      </c>
      <c r="R56" s="79">
        <f t="shared" si="5"/>
        <v>15051.999999999982</v>
      </c>
      <c r="S56" s="79">
        <f>SUM($R$5:$R56)</f>
        <v>213640</v>
      </c>
    </row>
    <row r="57" spans="2:19" x14ac:dyDescent="0.15">
      <c r="B57" s="79">
        <v>53</v>
      </c>
      <c r="C57" s="79">
        <f t="shared" si="0"/>
        <v>5300</v>
      </c>
      <c r="D57" s="79">
        <f t="shared" si="1"/>
        <v>420000000</v>
      </c>
      <c r="J57" s="79">
        <v>72</v>
      </c>
      <c r="K57" s="79">
        <f>INDEX(等级时间!$U$3:$AU$203,MATCH($J57,等级时间!$U$3:$U$203,0),MATCH(K$4,等级时间!$U$3:$AU$3,0))</f>
        <v>49.05</v>
      </c>
      <c r="L57" s="79">
        <f t="shared" si="3"/>
        <v>2.6499999999999986</v>
      </c>
      <c r="M57" s="79">
        <f t="shared" si="2"/>
        <v>38159.999999999978</v>
      </c>
      <c r="N57" s="79">
        <f>SUM($M$5:$M57)</f>
        <v>546416.99999999988</v>
      </c>
      <c r="P57" s="79">
        <f>INDEX(等级时间!$U$3:$AU$203,MATCH($J57,等级时间!$U$3:$U$203,0),MATCH(P$4,等级时间!$U$3:$AU$3,0))</f>
        <v>20.61</v>
      </c>
      <c r="Q57" s="79">
        <f t="shared" si="4"/>
        <v>1.1099999999999994</v>
      </c>
      <c r="R57" s="79">
        <f t="shared" si="5"/>
        <v>15983.999999999993</v>
      </c>
      <c r="S57" s="79">
        <f>SUM($R$5:$R57)</f>
        <v>229624</v>
      </c>
    </row>
    <row r="58" spans="2:19" x14ac:dyDescent="0.15">
      <c r="B58" s="79">
        <v>54</v>
      </c>
      <c r="C58" s="79">
        <f t="shared" si="0"/>
        <v>5400</v>
      </c>
      <c r="D58" s="79">
        <f t="shared" si="1"/>
        <v>460000000</v>
      </c>
      <c r="J58" s="79">
        <v>73</v>
      </c>
      <c r="K58" s="79">
        <f>INDEX(等级时间!$U$3:$AU$203,MATCH($J58,等级时间!$U$3:$U$203,0),MATCH(K$4,等级时间!$U$3:$AU$3,0))</f>
        <v>51.81</v>
      </c>
      <c r="L58" s="79">
        <f t="shared" si="3"/>
        <v>2.7600000000000051</v>
      </c>
      <c r="M58" s="79">
        <f t="shared" si="2"/>
        <v>40296.000000000073</v>
      </c>
      <c r="N58" s="79">
        <f>SUM($M$5:$M58)</f>
        <v>586713</v>
      </c>
      <c r="P58" s="79">
        <f>INDEX(等级时间!$U$3:$AU$203,MATCH($J58,等级时间!$U$3:$U$203,0),MATCH(P$4,等级时间!$U$3:$AU$3,0))</f>
        <v>21.77</v>
      </c>
      <c r="Q58" s="79">
        <f t="shared" si="4"/>
        <v>1.1600000000000001</v>
      </c>
      <c r="R58" s="79">
        <f t="shared" si="5"/>
        <v>16936.000000000004</v>
      </c>
      <c r="S58" s="79">
        <f>SUM($R$5:$R58)</f>
        <v>246560</v>
      </c>
    </row>
    <row r="59" spans="2:19" x14ac:dyDescent="0.15">
      <c r="B59" s="79">
        <v>55</v>
      </c>
      <c r="C59" s="79">
        <f t="shared" si="0"/>
        <v>5500</v>
      </c>
      <c r="D59" s="79">
        <f t="shared" si="1"/>
        <v>500000000</v>
      </c>
      <c r="J59" s="79">
        <v>74</v>
      </c>
      <c r="K59" s="79">
        <f>INDEX(等级时间!$U$3:$AU$203,MATCH($J59,等级时间!$U$3:$U$203,0),MATCH(K$4,等级时间!$U$3:$AU$3,0))</f>
        <v>54.7</v>
      </c>
      <c r="L59" s="79">
        <f t="shared" si="3"/>
        <v>2.8900000000000006</v>
      </c>
      <c r="M59" s="79">
        <f t="shared" si="2"/>
        <v>42772.000000000007</v>
      </c>
      <c r="N59" s="79">
        <f>SUM($M$5:$M59)</f>
        <v>629485</v>
      </c>
      <c r="P59" s="79">
        <f>INDEX(等级时间!$U$3:$AU$203,MATCH($J59,等级时间!$U$3:$U$203,0),MATCH(P$4,等级时间!$U$3:$AU$3,0))</f>
        <v>22.98</v>
      </c>
      <c r="Q59" s="79">
        <f t="shared" si="4"/>
        <v>1.2100000000000009</v>
      </c>
      <c r="R59" s="79">
        <f t="shared" si="5"/>
        <v>17908.000000000011</v>
      </c>
      <c r="S59" s="79">
        <f>SUM($R$5:$R59)</f>
        <v>264468</v>
      </c>
    </row>
    <row r="60" spans="2:19" x14ac:dyDescent="0.15">
      <c r="B60" s="79">
        <v>56</v>
      </c>
      <c r="C60" s="79">
        <f t="shared" si="0"/>
        <v>5600</v>
      </c>
      <c r="D60" s="79">
        <f t="shared" si="1"/>
        <v>550000000</v>
      </c>
      <c r="J60" s="79">
        <v>75</v>
      </c>
      <c r="K60" s="79">
        <f>INDEX(等级时间!$U$3:$AU$203,MATCH($J60,等级时间!$U$3:$U$203,0),MATCH(K$4,等级时间!$U$3:$AU$3,0))</f>
        <v>57.73</v>
      </c>
      <c r="L60" s="79">
        <f t="shared" si="3"/>
        <v>3.029999999999994</v>
      </c>
      <c r="M60" s="79">
        <f t="shared" si="2"/>
        <v>45449.999999999913</v>
      </c>
      <c r="N60" s="79">
        <f>SUM($M$5:$M60)</f>
        <v>674934.99999999988</v>
      </c>
      <c r="P60" s="79">
        <f>INDEX(等级时间!$U$3:$AU$203,MATCH($J60,等级时间!$U$3:$U$203,0),MATCH(P$4,等级时间!$U$3:$AU$3,0))</f>
        <v>24.25</v>
      </c>
      <c r="Q60" s="79">
        <f t="shared" si="4"/>
        <v>1.2699999999999996</v>
      </c>
      <c r="R60" s="79">
        <f t="shared" si="5"/>
        <v>19049.999999999993</v>
      </c>
      <c r="S60" s="79">
        <f>SUM($R$5:$R60)</f>
        <v>283518</v>
      </c>
    </row>
    <row r="61" spans="2:19" x14ac:dyDescent="0.15">
      <c r="B61" s="79">
        <v>57</v>
      </c>
      <c r="C61" s="79">
        <f t="shared" si="0"/>
        <v>5700</v>
      </c>
      <c r="D61" s="79">
        <f t="shared" si="1"/>
        <v>600000000</v>
      </c>
      <c r="J61" s="79">
        <v>76</v>
      </c>
      <c r="K61" s="79">
        <f>INDEX(等级时间!$U$3:$AU$203,MATCH($J61,等级时间!$U$3:$U$203,0),MATCH(K$4,等级时间!$U$3:$AU$3,0))</f>
        <v>60.89</v>
      </c>
      <c r="L61" s="79">
        <f t="shared" si="3"/>
        <v>3.1600000000000037</v>
      </c>
      <c r="M61" s="79">
        <f t="shared" si="2"/>
        <v>48032.000000000058</v>
      </c>
      <c r="N61" s="79">
        <f>SUM($M$5:$M61)</f>
        <v>722967</v>
      </c>
      <c r="P61" s="79">
        <f>INDEX(等级时间!$U$3:$AU$203,MATCH($J61,等级时间!$U$3:$U$203,0),MATCH(P$4,等级时间!$U$3:$AU$3,0))</f>
        <v>25.58</v>
      </c>
      <c r="Q61" s="79">
        <f t="shared" si="4"/>
        <v>1.3299999999999983</v>
      </c>
      <c r="R61" s="79">
        <f t="shared" si="5"/>
        <v>20215.999999999975</v>
      </c>
      <c r="S61" s="79">
        <f>SUM($R$5:$R61)</f>
        <v>303734</v>
      </c>
    </row>
    <row r="62" spans="2:19" x14ac:dyDescent="0.15">
      <c r="B62" s="79">
        <v>58</v>
      </c>
      <c r="C62" s="79">
        <f t="shared" si="0"/>
        <v>5800</v>
      </c>
      <c r="D62" s="79">
        <f t="shared" si="1"/>
        <v>660000000</v>
      </c>
      <c r="J62" s="79">
        <v>77</v>
      </c>
      <c r="K62" s="79">
        <f>INDEX(等级时间!$U$3:$AU$203,MATCH($J62,等级时间!$U$3:$U$203,0),MATCH(K$4,等级时间!$U$3:$AU$3,0))</f>
        <v>64.180000000000007</v>
      </c>
      <c r="L62" s="79">
        <f t="shared" si="3"/>
        <v>3.2900000000000063</v>
      </c>
      <c r="M62" s="79">
        <f t="shared" si="2"/>
        <v>50666.000000000095</v>
      </c>
      <c r="N62" s="79">
        <f>SUM($M$5:$M62)</f>
        <v>773633.00000000012</v>
      </c>
      <c r="P62" s="79">
        <f>INDEX(等级时间!$U$3:$AU$203,MATCH($J62,等级时间!$U$3:$U$203,0),MATCH(P$4,等级时间!$U$3:$AU$3,0))</f>
        <v>26.96</v>
      </c>
      <c r="Q62" s="79">
        <f t="shared" si="4"/>
        <v>1.3800000000000026</v>
      </c>
      <c r="R62" s="79">
        <f t="shared" si="5"/>
        <v>21252.00000000004</v>
      </c>
      <c r="S62" s="79">
        <f>SUM($R$5:$R62)</f>
        <v>324986.00000000006</v>
      </c>
    </row>
    <row r="63" spans="2:19" x14ac:dyDescent="0.15">
      <c r="B63" s="79">
        <v>59</v>
      </c>
      <c r="C63" s="79">
        <f t="shared" si="0"/>
        <v>5900</v>
      </c>
      <c r="D63" s="79">
        <f t="shared" si="1"/>
        <v>710000000</v>
      </c>
      <c r="J63" s="79">
        <v>78</v>
      </c>
      <c r="K63" s="79">
        <f>INDEX(等级时间!$U$3:$AU$203,MATCH($J63,等级时间!$U$3:$U$203,0),MATCH(K$4,等级时间!$U$3:$AU$3,0))</f>
        <v>67.63</v>
      </c>
      <c r="L63" s="79">
        <f t="shared" si="3"/>
        <v>3.4499999999999886</v>
      </c>
      <c r="M63" s="79">
        <f t="shared" si="2"/>
        <v>53819.999999999825</v>
      </c>
      <c r="N63" s="79">
        <f>SUM($M$5:$M63)</f>
        <v>827453</v>
      </c>
      <c r="P63" s="79">
        <f>INDEX(等级时间!$U$3:$AU$203,MATCH($J63,等级时间!$U$3:$U$203,0),MATCH(P$4,等级时间!$U$3:$AU$3,0))</f>
        <v>28.41</v>
      </c>
      <c r="Q63" s="79">
        <f t="shared" si="4"/>
        <v>1.4499999999999993</v>
      </c>
      <c r="R63" s="79">
        <f t="shared" si="5"/>
        <v>22619.999999999989</v>
      </c>
      <c r="S63" s="79">
        <f>SUM($R$5:$R63)</f>
        <v>347606.00000000006</v>
      </c>
    </row>
    <row r="64" spans="2:19" x14ac:dyDescent="0.15">
      <c r="B64" s="79">
        <v>60</v>
      </c>
      <c r="C64" s="79">
        <f t="shared" si="0"/>
        <v>6000</v>
      </c>
      <c r="D64" s="79">
        <f t="shared" si="1"/>
        <v>780000000</v>
      </c>
      <c r="J64" s="79">
        <v>79</v>
      </c>
      <c r="K64" s="79">
        <f>INDEX(等级时间!$U$3:$AU$203,MATCH($J64,等级时间!$U$3:$U$203,0),MATCH(K$4,等级时间!$U$3:$AU$3,0))</f>
        <v>71.22</v>
      </c>
      <c r="L64" s="79">
        <f t="shared" si="3"/>
        <v>3.5900000000000034</v>
      </c>
      <c r="M64" s="79">
        <f t="shared" si="2"/>
        <v>56722.000000000051</v>
      </c>
      <c r="N64" s="79">
        <f>SUM($M$5:$M64)</f>
        <v>884175</v>
      </c>
      <c r="P64" s="79">
        <f>INDEX(等级时间!$U$3:$AU$203,MATCH($J64,等级时间!$U$3:$U$203,0),MATCH(P$4,等级时间!$U$3:$AU$3,0))</f>
        <v>29.92</v>
      </c>
      <c r="Q64" s="79">
        <f t="shared" si="4"/>
        <v>1.5100000000000016</v>
      </c>
      <c r="R64" s="79">
        <f t="shared" si="5"/>
        <v>23858.000000000025</v>
      </c>
      <c r="S64" s="79">
        <f>SUM($R$5:$R64)</f>
        <v>371464.00000000006</v>
      </c>
    </row>
    <row r="65" spans="2:19" x14ac:dyDescent="0.15">
      <c r="B65" s="79">
        <v>61</v>
      </c>
      <c r="C65" s="79">
        <f t="shared" si="0"/>
        <v>6100</v>
      </c>
      <c r="D65" s="79">
        <f t="shared" si="1"/>
        <v>840000000</v>
      </c>
      <c r="J65" s="79">
        <v>80</v>
      </c>
      <c r="K65" s="79">
        <f>INDEX(等级时间!$U$3:$AU$203,MATCH($J65,等级时间!$U$3:$U$203,0),MATCH(K$4,等级时间!$U$3:$AU$3,0))</f>
        <v>74.959999999999994</v>
      </c>
      <c r="L65" s="79">
        <f t="shared" si="3"/>
        <v>3.7399999999999949</v>
      </c>
      <c r="M65" s="79">
        <f t="shared" si="2"/>
        <v>59839.99999999992</v>
      </c>
      <c r="N65" s="79">
        <f>SUM($M$5:$M65)</f>
        <v>944014.99999999988</v>
      </c>
      <c r="P65" s="79">
        <f>INDEX(等级时间!$U$3:$AU$203,MATCH($J65,等级时间!$U$3:$U$203,0),MATCH(P$4,等级时间!$U$3:$AU$3,0))</f>
        <v>31.49</v>
      </c>
      <c r="Q65" s="79">
        <f t="shared" si="4"/>
        <v>1.5699999999999967</v>
      </c>
      <c r="R65" s="79">
        <f t="shared" si="5"/>
        <v>25119.999999999949</v>
      </c>
      <c r="S65" s="79">
        <f>SUM($R$5:$R65)</f>
        <v>396584</v>
      </c>
    </row>
    <row r="66" spans="2:19" x14ac:dyDescent="0.15">
      <c r="B66" s="79">
        <v>62</v>
      </c>
      <c r="C66" s="79">
        <f t="shared" si="0"/>
        <v>6200</v>
      </c>
      <c r="D66" s="79">
        <f t="shared" si="1"/>
        <v>920000000</v>
      </c>
      <c r="J66" s="79">
        <v>81</v>
      </c>
      <c r="K66" s="79">
        <f>INDEX(等级时间!$U$3:$AU$203,MATCH($J66,等级时间!$U$3:$U$203,0),MATCH(K$4,等级时间!$U$3:$AU$3,0))</f>
        <v>78.86</v>
      </c>
      <c r="L66" s="79">
        <f t="shared" si="3"/>
        <v>3.9000000000000057</v>
      </c>
      <c r="M66" s="79">
        <f t="shared" si="2"/>
        <v>63180.000000000095</v>
      </c>
      <c r="N66" s="79">
        <f>SUM($M$5:$M66)</f>
        <v>1007195</v>
      </c>
      <c r="P66" s="79">
        <f>INDEX(等级时间!$U$3:$AU$203,MATCH($J66,等级时间!$U$3:$U$203,0),MATCH(P$4,等级时间!$U$3:$AU$3,0))</f>
        <v>33.130000000000003</v>
      </c>
      <c r="Q66" s="79">
        <f t="shared" si="4"/>
        <v>1.6400000000000041</v>
      </c>
      <c r="R66" s="79">
        <f t="shared" si="5"/>
        <v>26568.000000000065</v>
      </c>
      <c r="S66" s="79">
        <f>SUM($R$5:$R66)</f>
        <v>423152.00000000006</v>
      </c>
    </row>
    <row r="67" spans="2:19" x14ac:dyDescent="0.15">
      <c r="B67" s="79">
        <v>63</v>
      </c>
      <c r="C67" s="79">
        <f t="shared" si="0"/>
        <v>6300</v>
      </c>
      <c r="D67" s="79">
        <f t="shared" si="1"/>
        <v>990000000</v>
      </c>
      <c r="J67" s="79">
        <v>82</v>
      </c>
      <c r="K67" s="79">
        <f>INDEX(等级时间!$U$3:$AU$203,MATCH($J67,等级时间!$U$3:$U$203,0),MATCH(K$4,等级时间!$U$3:$AU$3,0))</f>
        <v>82.93</v>
      </c>
      <c r="L67" s="79">
        <f t="shared" si="3"/>
        <v>4.0700000000000074</v>
      </c>
      <c r="M67" s="79">
        <f t="shared" si="2"/>
        <v>66748.000000000116</v>
      </c>
      <c r="N67" s="79">
        <f>SUM($M$5:$M67)</f>
        <v>1073943</v>
      </c>
      <c r="P67" s="79">
        <f>INDEX(等级时间!$U$3:$AU$203,MATCH($J67,等级时间!$U$3:$U$203,0),MATCH(P$4,等级时间!$U$3:$AU$3,0))</f>
        <v>34.840000000000003</v>
      </c>
      <c r="Q67" s="79">
        <f t="shared" si="4"/>
        <v>1.7100000000000009</v>
      </c>
      <c r="R67" s="79">
        <f t="shared" si="5"/>
        <v>28044.000000000015</v>
      </c>
      <c r="S67" s="79">
        <f>SUM($R$5:$R67)</f>
        <v>451196.00000000006</v>
      </c>
    </row>
    <row r="68" spans="2:19" x14ac:dyDescent="0.15">
      <c r="B68" s="79">
        <v>64</v>
      </c>
      <c r="C68" s="79">
        <f t="shared" si="0"/>
        <v>6400</v>
      </c>
      <c r="D68" s="79">
        <f t="shared" si="1"/>
        <v>1100000000</v>
      </c>
      <c r="J68" s="79">
        <v>83</v>
      </c>
      <c r="K68" s="79">
        <f>INDEX(等级时间!$U$3:$AU$203,MATCH($J68,等级时间!$U$3:$U$203,0),MATCH(K$4,等级时间!$U$3:$AU$3,0))</f>
        <v>87.17</v>
      </c>
      <c r="L68" s="79">
        <f t="shared" si="3"/>
        <v>4.2399999999999949</v>
      </c>
      <c r="M68" s="79">
        <f t="shared" si="2"/>
        <v>70383.999999999913</v>
      </c>
      <c r="N68" s="79">
        <f>SUM($M$5:$M68)</f>
        <v>1144327</v>
      </c>
      <c r="P68" s="79">
        <f>INDEX(等级时间!$U$3:$AU$203,MATCH($J68,等级时间!$U$3:$U$203,0),MATCH(P$4,等级时间!$U$3:$AU$3,0))</f>
        <v>36.619999999999997</v>
      </c>
      <c r="Q68" s="79">
        <f t="shared" si="4"/>
        <v>1.779999999999994</v>
      </c>
      <c r="R68" s="79">
        <f t="shared" si="5"/>
        <v>29547.999999999902</v>
      </c>
      <c r="S68" s="79">
        <f>SUM($R$5:$R68)</f>
        <v>480743.99999999994</v>
      </c>
    </row>
    <row r="69" spans="2:19" x14ac:dyDescent="0.15">
      <c r="B69" s="79">
        <v>65</v>
      </c>
      <c r="C69" s="79">
        <f t="shared" si="0"/>
        <v>6500</v>
      </c>
      <c r="D69" s="79">
        <f t="shared" si="1"/>
        <v>1200000000</v>
      </c>
      <c r="J69" s="79">
        <v>84</v>
      </c>
      <c r="K69" s="79">
        <f>INDEX(等级时间!$U$3:$AU$203,MATCH($J69,等级时间!$U$3:$U$203,0),MATCH(K$4,等级时间!$U$3:$AU$3,0))</f>
        <v>91.58</v>
      </c>
      <c r="L69" s="79">
        <f t="shared" si="3"/>
        <v>4.4099999999999966</v>
      </c>
      <c r="M69" s="79">
        <f t="shared" si="2"/>
        <v>74087.999999999942</v>
      </c>
      <c r="N69" s="79">
        <f>SUM($M$5:$M69)</f>
        <v>1218415</v>
      </c>
      <c r="P69" s="79">
        <f>INDEX(等级时间!$U$3:$AU$203,MATCH($J69,等级时间!$U$3:$U$203,0),MATCH(P$4,等级时间!$U$3:$AU$3,0))</f>
        <v>38.479999999999997</v>
      </c>
      <c r="Q69" s="79">
        <f t="shared" si="4"/>
        <v>1.8599999999999994</v>
      </c>
      <c r="R69" s="79">
        <f t="shared" si="5"/>
        <v>31247.999999999989</v>
      </c>
      <c r="S69" s="79">
        <f>SUM($R$5:$R69)</f>
        <v>511991.99999999994</v>
      </c>
    </row>
    <row r="70" spans="2:19" x14ac:dyDescent="0.15">
      <c r="B70" s="79">
        <v>66</v>
      </c>
      <c r="C70" s="79">
        <f t="shared" ref="C70:C104" si="6">$C$1*B70+$C$2</f>
        <v>6600</v>
      </c>
      <c r="D70" s="79">
        <f t="shared" ref="D70:D104" si="7">ROUND(B70^$D$1+$D$2,2-LEN(B70^$D$1+$D$2))</f>
        <v>1300000000</v>
      </c>
      <c r="J70" s="79">
        <v>85</v>
      </c>
      <c r="K70" s="79">
        <f>INDEX(等级时间!$U$3:$AU$203,MATCH($J70,等级时间!$U$3:$U$203,0),MATCH(K$4,等级时间!$U$3:$AU$3,0))</f>
        <v>96.17</v>
      </c>
      <c r="L70" s="79">
        <f t="shared" si="3"/>
        <v>4.5900000000000034</v>
      </c>
      <c r="M70" s="79">
        <f t="shared" ref="M70:M85" si="8">VLOOKUP($J70,$B:$D,2,0)*L70*IF($J70&gt;=$G$6,2,1)</f>
        <v>78030.000000000058</v>
      </c>
      <c r="N70" s="79">
        <f>SUM($M$5:$M70)</f>
        <v>1296445</v>
      </c>
      <c r="P70" s="79">
        <f>INDEX(等级时间!$U$3:$AU$203,MATCH($J70,等级时间!$U$3:$U$203,0),MATCH(P$4,等级时间!$U$3:$AU$3,0))</f>
        <v>40.4</v>
      </c>
      <c r="Q70" s="79">
        <f t="shared" si="4"/>
        <v>1.9200000000000017</v>
      </c>
      <c r="R70" s="79">
        <f t="shared" ref="R70:R85" si="9">VLOOKUP($J70,$B:$D,2,0)*Q70*IF($J70&gt;=$G$6,2,1)</f>
        <v>32640.000000000029</v>
      </c>
      <c r="S70" s="79">
        <f>SUM($R$5:$R70)</f>
        <v>544632</v>
      </c>
    </row>
    <row r="71" spans="2:19" x14ac:dyDescent="0.15">
      <c r="B71" s="79">
        <v>67</v>
      </c>
      <c r="C71" s="79">
        <f t="shared" si="6"/>
        <v>6700</v>
      </c>
      <c r="D71" s="79">
        <f t="shared" si="7"/>
        <v>1400000000</v>
      </c>
      <c r="J71" s="79">
        <v>86</v>
      </c>
      <c r="K71" s="79">
        <f>INDEX(等级时间!$U$3:$AU$203,MATCH($J71,等级时间!$U$3:$U$203,0),MATCH(K$4,等级时间!$U$3:$AU$3,0))</f>
        <v>100.95</v>
      </c>
      <c r="L71" s="79">
        <f t="shared" ref="L71:L85" si="10">K71-K70</f>
        <v>4.7800000000000011</v>
      </c>
      <c r="M71" s="79">
        <f t="shared" si="8"/>
        <v>82216.000000000015</v>
      </c>
      <c r="N71" s="79">
        <f>SUM($M$5:$M71)</f>
        <v>1378661</v>
      </c>
      <c r="P71" s="79">
        <f>INDEX(等级时间!$U$3:$AU$203,MATCH($J71,等级时间!$U$3:$U$203,0),MATCH(P$4,等级时间!$U$3:$AU$3,0))</f>
        <v>42.41</v>
      </c>
      <c r="Q71" s="79">
        <f t="shared" ref="Q71:Q85" si="11">P71-P70</f>
        <v>2.009999999999998</v>
      </c>
      <c r="R71" s="79">
        <f t="shared" si="9"/>
        <v>34571.999999999964</v>
      </c>
      <c r="S71" s="79">
        <f>SUM($R$5:$R71)</f>
        <v>579204</v>
      </c>
    </row>
    <row r="72" spans="2:19" x14ac:dyDescent="0.15">
      <c r="B72" s="79">
        <v>68</v>
      </c>
      <c r="C72" s="79">
        <f t="shared" si="6"/>
        <v>6800</v>
      </c>
      <c r="D72" s="79">
        <f t="shared" si="7"/>
        <v>1500000000</v>
      </c>
      <c r="J72" s="79">
        <v>87</v>
      </c>
      <c r="K72" s="79">
        <f>INDEX(等级时间!$U$3:$AU$203,MATCH($J72,等级时间!$U$3:$U$203,0),MATCH(K$4,等级时间!$U$3:$AU$3,0))</f>
        <v>105.91</v>
      </c>
      <c r="L72" s="79">
        <f t="shared" si="10"/>
        <v>4.9599999999999937</v>
      </c>
      <c r="M72" s="79">
        <f t="shared" si="8"/>
        <v>86303.999999999898</v>
      </c>
      <c r="N72" s="79">
        <f>SUM($M$5:$M72)</f>
        <v>1464965</v>
      </c>
      <c r="P72" s="79">
        <f>INDEX(等级时间!$U$3:$AU$203,MATCH($J72,等级时间!$U$3:$U$203,0),MATCH(P$4,等级时间!$U$3:$AU$3,0))</f>
        <v>44.5</v>
      </c>
      <c r="Q72" s="79">
        <f t="shared" si="11"/>
        <v>2.0900000000000034</v>
      </c>
      <c r="R72" s="79">
        <f t="shared" si="9"/>
        <v>36366.000000000058</v>
      </c>
      <c r="S72" s="79">
        <f>SUM($R$5:$R72)</f>
        <v>615570</v>
      </c>
    </row>
    <row r="73" spans="2:19" x14ac:dyDescent="0.15">
      <c r="B73" s="79">
        <v>69</v>
      </c>
      <c r="C73" s="79">
        <f t="shared" si="6"/>
        <v>6900</v>
      </c>
      <c r="D73" s="79">
        <f t="shared" si="7"/>
        <v>1600000000</v>
      </c>
      <c r="J73" s="79">
        <v>88</v>
      </c>
      <c r="K73" s="79">
        <f>INDEX(等级时间!$U$3:$AU$203,MATCH($J73,等级时间!$U$3:$U$203,0),MATCH(K$4,等级时间!$U$3:$AU$3,0))</f>
        <v>111.08</v>
      </c>
      <c r="L73" s="79">
        <f t="shared" si="10"/>
        <v>5.1700000000000017</v>
      </c>
      <c r="M73" s="79">
        <f t="shared" si="8"/>
        <v>90992.000000000029</v>
      </c>
      <c r="N73" s="79">
        <f>SUM($M$5:$M73)</f>
        <v>1555957</v>
      </c>
      <c r="P73" s="79">
        <f>INDEX(等级时间!$U$3:$AU$203,MATCH($J73,等级时间!$U$3:$U$203,0),MATCH(P$4,等级时间!$U$3:$AU$3,0))</f>
        <v>46.67</v>
      </c>
      <c r="Q73" s="79">
        <f t="shared" si="11"/>
        <v>2.1700000000000017</v>
      </c>
      <c r="R73" s="79">
        <f t="shared" si="9"/>
        <v>38192.000000000029</v>
      </c>
      <c r="S73" s="79">
        <f>SUM($R$5:$R73)</f>
        <v>653762</v>
      </c>
    </row>
    <row r="74" spans="2:19" x14ac:dyDescent="0.15">
      <c r="B74" s="79">
        <v>70</v>
      </c>
      <c r="C74" s="79">
        <f t="shared" si="6"/>
        <v>7000</v>
      </c>
      <c r="D74" s="79">
        <f t="shared" si="7"/>
        <v>1700000000</v>
      </c>
      <c r="J74" s="79">
        <v>89</v>
      </c>
      <c r="K74" s="79">
        <f>INDEX(等级时间!$U$3:$AU$203,MATCH($J74,等级时间!$U$3:$U$203,0),MATCH(K$4,等级时间!$U$3:$AU$3,0))</f>
        <v>116.44</v>
      </c>
      <c r="L74" s="79">
        <f t="shared" si="10"/>
        <v>5.3599999999999994</v>
      </c>
      <c r="M74" s="79">
        <f t="shared" si="8"/>
        <v>95407.999999999985</v>
      </c>
      <c r="N74" s="79">
        <f>SUM($M$5:$M74)</f>
        <v>1651365</v>
      </c>
      <c r="P74" s="79">
        <f>INDEX(等级时间!$U$3:$AU$203,MATCH($J74,等级时间!$U$3:$U$203,0),MATCH(P$4,等级时间!$U$3:$AU$3,0))</f>
        <v>48.92</v>
      </c>
      <c r="Q74" s="79">
        <f t="shared" si="11"/>
        <v>2.25</v>
      </c>
      <c r="R74" s="79">
        <f t="shared" si="9"/>
        <v>40050</v>
      </c>
      <c r="S74" s="79">
        <f>SUM($R$5:$R74)</f>
        <v>693812</v>
      </c>
    </row>
    <row r="75" spans="2:19" x14ac:dyDescent="0.15">
      <c r="B75" s="79">
        <v>71</v>
      </c>
      <c r="C75" s="79">
        <f t="shared" si="6"/>
        <v>7100</v>
      </c>
      <c r="D75" s="79">
        <f t="shared" si="7"/>
        <v>1800000000</v>
      </c>
      <c r="J75" s="79">
        <v>90</v>
      </c>
      <c r="K75" s="79">
        <f>INDEX(等级时间!$U$3:$AU$203,MATCH($J75,等级时间!$U$3:$U$203,0),MATCH(K$4,等级时间!$U$3:$AU$3,0))</f>
        <v>122.01</v>
      </c>
      <c r="L75" s="79">
        <f t="shared" si="10"/>
        <v>5.5700000000000074</v>
      </c>
      <c r="M75" s="79">
        <f t="shared" si="8"/>
        <v>100260.00000000013</v>
      </c>
      <c r="N75" s="79">
        <f>SUM($M$5:$M75)</f>
        <v>1751625.0000000002</v>
      </c>
      <c r="P75" s="79">
        <f>INDEX(等级时间!$U$3:$AU$203,MATCH($J75,等级时间!$U$3:$U$203,0),MATCH(P$4,等级时间!$U$3:$AU$3,0))</f>
        <v>51.26</v>
      </c>
      <c r="Q75" s="79">
        <f t="shared" si="11"/>
        <v>2.3399999999999963</v>
      </c>
      <c r="R75" s="79">
        <f t="shared" si="9"/>
        <v>42119.999999999935</v>
      </c>
      <c r="S75" s="79">
        <f>SUM($R$5:$R75)</f>
        <v>735931.99999999988</v>
      </c>
    </row>
    <row r="76" spans="2:19" x14ac:dyDescent="0.15">
      <c r="B76" s="79">
        <v>72</v>
      </c>
      <c r="C76" s="79">
        <f t="shared" si="6"/>
        <v>7200</v>
      </c>
      <c r="D76" s="79">
        <f t="shared" si="7"/>
        <v>1900000000</v>
      </c>
      <c r="J76" s="79">
        <v>91</v>
      </c>
      <c r="K76" s="79">
        <f>INDEX(等级时间!$U$3:$AU$203,MATCH($J76,等级时间!$U$3:$U$203,0),MATCH(K$4,等级时间!$U$3:$AU$3,0))</f>
        <v>127.79</v>
      </c>
      <c r="L76" s="79">
        <f t="shared" si="10"/>
        <v>5.7800000000000011</v>
      </c>
      <c r="M76" s="79">
        <f t="shared" si="8"/>
        <v>105196.00000000001</v>
      </c>
      <c r="N76" s="79">
        <f>SUM($M$5:$M76)</f>
        <v>1856821.0000000002</v>
      </c>
      <c r="P76" s="79">
        <f>INDEX(等级时间!$U$3:$AU$203,MATCH($J76,等级时间!$U$3:$U$203,0),MATCH(P$4,等级时间!$U$3:$AU$3,0))</f>
        <v>53.69</v>
      </c>
      <c r="Q76" s="79">
        <f t="shared" si="11"/>
        <v>2.4299999999999997</v>
      </c>
      <c r="R76" s="79">
        <f t="shared" si="9"/>
        <v>44225.999999999993</v>
      </c>
      <c r="S76" s="79">
        <f>SUM($R$5:$R76)</f>
        <v>780157.99999999988</v>
      </c>
    </row>
    <row r="77" spans="2:19" x14ac:dyDescent="0.15">
      <c r="B77" s="79">
        <v>73</v>
      </c>
      <c r="C77" s="79">
        <f t="shared" si="6"/>
        <v>7300</v>
      </c>
      <c r="D77" s="79">
        <f t="shared" si="7"/>
        <v>2100000000</v>
      </c>
      <c r="J77" s="79">
        <v>92</v>
      </c>
      <c r="K77" s="79">
        <f>INDEX(等级时间!$U$3:$AU$203,MATCH($J77,等级时间!$U$3:$U$203,0),MATCH(K$4,等级时间!$U$3:$AU$3,0))</f>
        <v>133.80000000000001</v>
      </c>
      <c r="L77" s="79">
        <f t="shared" si="10"/>
        <v>6.0100000000000051</v>
      </c>
      <c r="M77" s="79">
        <f t="shared" si="8"/>
        <v>110584.00000000009</v>
      </c>
      <c r="N77" s="79">
        <f>SUM($M$5:$M77)</f>
        <v>1967405.0000000002</v>
      </c>
      <c r="P77" s="79">
        <f>INDEX(等级时间!$U$3:$AU$203,MATCH($J77,等级时间!$U$3:$U$203,0),MATCH(P$4,等级时间!$U$3:$AU$3,0))</f>
        <v>56.21</v>
      </c>
      <c r="Q77" s="79">
        <f t="shared" si="11"/>
        <v>2.5200000000000031</v>
      </c>
      <c r="R77" s="79">
        <f t="shared" si="9"/>
        <v>46368.000000000058</v>
      </c>
      <c r="S77" s="79">
        <f>SUM($R$5:$R77)</f>
        <v>826526</v>
      </c>
    </row>
    <row r="78" spans="2:19" x14ac:dyDescent="0.15">
      <c r="B78" s="79">
        <v>74</v>
      </c>
      <c r="C78" s="79">
        <f t="shared" si="6"/>
        <v>7400</v>
      </c>
      <c r="D78" s="79">
        <f t="shared" si="7"/>
        <v>2200000000</v>
      </c>
      <c r="J78" s="79">
        <v>93</v>
      </c>
      <c r="K78" s="79">
        <f>INDEX(等级时间!$U$3:$AU$203,MATCH($J78,等级时间!$U$3:$U$203,0),MATCH(K$4,等级时间!$U$3:$AU$3,0))</f>
        <v>140.03</v>
      </c>
      <c r="L78" s="79">
        <f t="shared" si="10"/>
        <v>6.2299999999999898</v>
      </c>
      <c r="M78" s="79">
        <f t="shared" si="8"/>
        <v>115877.99999999981</v>
      </c>
      <c r="N78" s="79">
        <f>SUM($M$5:$M78)</f>
        <v>2083283</v>
      </c>
      <c r="P78" s="79">
        <f>INDEX(等级时间!$U$3:$AU$203,MATCH($J78,等级时间!$U$3:$U$203,0),MATCH(P$4,等级时间!$U$3:$AU$3,0))</f>
        <v>58.83</v>
      </c>
      <c r="Q78" s="79">
        <f t="shared" si="11"/>
        <v>2.6199999999999974</v>
      </c>
      <c r="R78" s="79">
        <f t="shared" si="9"/>
        <v>48731.999999999949</v>
      </c>
      <c r="S78" s="79">
        <f>SUM($R$5:$R78)</f>
        <v>875258</v>
      </c>
    </row>
    <row r="79" spans="2:19" x14ac:dyDescent="0.15">
      <c r="B79" s="79">
        <v>75</v>
      </c>
      <c r="C79" s="79">
        <f t="shared" si="6"/>
        <v>7500</v>
      </c>
      <c r="D79" s="79">
        <f t="shared" si="7"/>
        <v>2400000000</v>
      </c>
      <c r="J79" s="79">
        <v>94</v>
      </c>
      <c r="K79" s="79">
        <f>INDEX(等级时间!$U$3:$AU$203,MATCH($J79,等级时间!$U$3:$U$203,0),MATCH(K$4,等级时间!$U$3:$AU$3,0))</f>
        <v>146.47999999999999</v>
      </c>
      <c r="L79" s="79">
        <f t="shared" si="10"/>
        <v>6.4499999999999886</v>
      </c>
      <c r="M79" s="79">
        <f t="shared" si="8"/>
        <v>121259.99999999978</v>
      </c>
      <c r="N79" s="79">
        <f>SUM($M$5:$M79)</f>
        <v>2204543</v>
      </c>
      <c r="P79" s="79">
        <f>INDEX(等级时间!$U$3:$AU$203,MATCH($J79,等级时间!$U$3:$U$203,0),MATCH(P$4,等级时间!$U$3:$AU$3,0))</f>
        <v>61.54</v>
      </c>
      <c r="Q79" s="79">
        <f t="shared" si="11"/>
        <v>2.7100000000000009</v>
      </c>
      <c r="R79" s="79">
        <f t="shared" si="9"/>
        <v>50948.000000000015</v>
      </c>
      <c r="S79" s="79">
        <f>SUM($R$5:$R79)</f>
        <v>926206</v>
      </c>
    </row>
    <row r="80" spans="2:19" x14ac:dyDescent="0.15">
      <c r="B80" s="79">
        <v>76</v>
      </c>
      <c r="C80" s="79">
        <f t="shared" si="6"/>
        <v>7600</v>
      </c>
      <c r="D80" s="79">
        <f t="shared" si="7"/>
        <v>2500000000</v>
      </c>
      <c r="J80" s="79">
        <v>95</v>
      </c>
      <c r="K80" s="79">
        <f>INDEX(等级时间!$U$3:$AU$203,MATCH($J80,等级时间!$U$3:$U$203,0),MATCH(K$4,等级时间!$U$3:$AU$3,0))</f>
        <v>153.18</v>
      </c>
      <c r="L80" s="79">
        <f t="shared" si="10"/>
        <v>6.7000000000000171</v>
      </c>
      <c r="M80" s="79">
        <f t="shared" si="8"/>
        <v>127300.00000000032</v>
      </c>
      <c r="N80" s="79">
        <f>SUM($M$5:$M80)</f>
        <v>2331843.0000000005</v>
      </c>
      <c r="P80" s="79">
        <f>INDEX(等级时间!$U$3:$AU$203,MATCH($J80,等级时间!$U$3:$U$203,0),MATCH(P$4,等级时间!$U$3:$AU$3,0))</f>
        <v>64.36</v>
      </c>
      <c r="Q80" s="79">
        <f t="shared" si="11"/>
        <v>2.8200000000000003</v>
      </c>
      <c r="R80" s="79">
        <f t="shared" si="9"/>
        <v>53580.000000000007</v>
      </c>
      <c r="S80" s="79">
        <f>SUM($R$5:$R80)</f>
        <v>979786</v>
      </c>
    </row>
    <row r="81" spans="2:19" x14ac:dyDescent="0.15">
      <c r="B81" s="79">
        <v>77</v>
      </c>
      <c r="C81" s="79">
        <f t="shared" si="6"/>
        <v>7700</v>
      </c>
      <c r="D81" s="79">
        <f t="shared" si="7"/>
        <v>2700000000</v>
      </c>
      <c r="J81" s="79">
        <v>96</v>
      </c>
      <c r="K81" s="79">
        <f>INDEX(等级时间!$U$3:$AU$203,MATCH($J81,等级时间!$U$3:$U$203,0),MATCH(K$4,等级时间!$U$3:$AU$3,0))</f>
        <v>160.12</v>
      </c>
      <c r="L81" s="79">
        <f t="shared" si="10"/>
        <v>6.9399999999999977</v>
      </c>
      <c r="M81" s="79">
        <f t="shared" si="8"/>
        <v>133247.99999999994</v>
      </c>
      <c r="N81" s="79">
        <f>SUM($M$5:$M81)</f>
        <v>2465091.0000000005</v>
      </c>
      <c r="P81" s="79">
        <f>INDEX(等级时间!$U$3:$AU$203,MATCH($J81,等级时间!$U$3:$U$203,0),MATCH(P$4,等级时间!$U$3:$AU$3,0))</f>
        <v>67.27</v>
      </c>
      <c r="Q81" s="79">
        <f t="shared" si="11"/>
        <v>2.9099999999999966</v>
      </c>
      <c r="R81" s="79">
        <f t="shared" si="9"/>
        <v>55871.999999999935</v>
      </c>
      <c r="S81" s="79">
        <f>SUM($R$5:$R81)</f>
        <v>1035657.9999999999</v>
      </c>
    </row>
    <row r="82" spans="2:19" x14ac:dyDescent="0.15">
      <c r="B82" s="79">
        <v>78</v>
      </c>
      <c r="C82" s="79">
        <f t="shared" si="6"/>
        <v>7800</v>
      </c>
      <c r="D82" s="79">
        <f t="shared" si="7"/>
        <v>2900000000</v>
      </c>
      <c r="J82" s="79">
        <v>97</v>
      </c>
      <c r="K82" s="79">
        <f>INDEX(等级时间!$U$3:$AU$203,MATCH($J82,等级时间!$U$3:$U$203,0),MATCH(K$4,等级时间!$U$3:$AU$3,0))</f>
        <v>167.31</v>
      </c>
      <c r="L82" s="79">
        <f t="shared" si="10"/>
        <v>7.1899999999999977</v>
      </c>
      <c r="M82" s="79">
        <f t="shared" si="8"/>
        <v>139485.99999999994</v>
      </c>
      <c r="N82" s="79">
        <f>SUM($M$5:$M82)</f>
        <v>2604577.0000000005</v>
      </c>
      <c r="P82" s="79">
        <f>INDEX(等级时间!$U$3:$AU$203,MATCH($J82,等级时间!$U$3:$U$203,0),MATCH(P$4,等级时间!$U$3:$AU$3,0))</f>
        <v>70.290000000000006</v>
      </c>
      <c r="Q82" s="79">
        <f t="shared" si="11"/>
        <v>3.0200000000000102</v>
      </c>
      <c r="R82" s="79">
        <f t="shared" si="9"/>
        <v>58588.000000000196</v>
      </c>
      <c r="S82" s="79">
        <f>SUM($R$5:$R82)</f>
        <v>1094246</v>
      </c>
    </row>
    <row r="83" spans="2:19" x14ac:dyDescent="0.15">
      <c r="B83" s="79">
        <v>79</v>
      </c>
      <c r="C83" s="79">
        <f t="shared" si="6"/>
        <v>7900</v>
      </c>
      <c r="D83" s="79">
        <f t="shared" si="7"/>
        <v>3100000000</v>
      </c>
      <c r="J83" s="79">
        <v>98</v>
      </c>
      <c r="K83" s="79">
        <f>INDEX(等级时间!$U$3:$AU$203,MATCH($J83,等级时间!$U$3:$U$203,0),MATCH(K$4,等级时间!$U$3:$AU$3,0))</f>
        <v>174.76</v>
      </c>
      <c r="L83" s="79">
        <f t="shared" si="10"/>
        <v>7.4499999999999886</v>
      </c>
      <c r="M83" s="79">
        <f t="shared" si="8"/>
        <v>146019.99999999977</v>
      </c>
      <c r="N83" s="79">
        <f>SUM($M$5:$M83)</f>
        <v>2750597</v>
      </c>
      <c r="P83" s="79">
        <f>INDEX(等级时间!$U$3:$AU$203,MATCH($J83,等级时间!$U$3:$U$203,0),MATCH(P$4,等级时间!$U$3:$AU$3,0))</f>
        <v>73.42</v>
      </c>
      <c r="Q83" s="79">
        <f t="shared" si="11"/>
        <v>3.1299999999999955</v>
      </c>
      <c r="R83" s="79">
        <f t="shared" si="9"/>
        <v>61347.999999999913</v>
      </c>
      <c r="S83" s="79">
        <f>SUM($R$5:$R83)</f>
        <v>1155594</v>
      </c>
    </row>
    <row r="84" spans="2:19" x14ac:dyDescent="0.15">
      <c r="B84" s="79">
        <v>80</v>
      </c>
      <c r="C84" s="79">
        <f t="shared" si="6"/>
        <v>8000</v>
      </c>
      <c r="D84" s="79">
        <f t="shared" si="7"/>
        <v>3300000000</v>
      </c>
      <c r="J84" s="79">
        <v>99</v>
      </c>
      <c r="K84" s="79">
        <f>INDEX(等级时间!$U$3:$AU$203,MATCH($J84,等级时间!$U$3:$U$203,0),MATCH(K$4,等级时间!$U$3:$AU$3,0))</f>
        <v>182.47</v>
      </c>
      <c r="L84" s="79">
        <f t="shared" si="10"/>
        <v>7.710000000000008</v>
      </c>
      <c r="M84" s="79">
        <f t="shared" si="8"/>
        <v>152658.00000000015</v>
      </c>
      <c r="N84" s="79">
        <f>SUM($M$5:$M84)</f>
        <v>2903255</v>
      </c>
      <c r="P84" s="79">
        <f>INDEX(等级时间!$U$3:$AU$203,MATCH($J84,等级时间!$U$3:$U$203,0),MATCH(P$4,等级时间!$U$3:$AU$3,0))</f>
        <v>76.66</v>
      </c>
      <c r="Q84" s="79">
        <f t="shared" si="11"/>
        <v>3.2399999999999949</v>
      </c>
      <c r="R84" s="79">
        <f t="shared" si="9"/>
        <v>64151.999999999898</v>
      </c>
      <c r="S84" s="79">
        <f>SUM($R$5:$R84)</f>
        <v>1219746</v>
      </c>
    </row>
    <row r="85" spans="2:19" x14ac:dyDescent="0.15">
      <c r="B85" s="79">
        <v>81</v>
      </c>
      <c r="C85" s="79">
        <f t="shared" si="6"/>
        <v>8100</v>
      </c>
      <c r="D85" s="79">
        <f t="shared" si="7"/>
        <v>3500000000</v>
      </c>
      <c r="J85" s="79">
        <v>100</v>
      </c>
      <c r="K85" s="79">
        <f>INDEX(等级时间!$U$3:$AU$203,MATCH($J85,等级时间!$U$3:$U$203,0),MATCH(K$4,等级时间!$U$3:$AU$3,0))</f>
        <v>190.45</v>
      </c>
      <c r="L85" s="79">
        <f t="shared" si="10"/>
        <v>7.9799999999999898</v>
      </c>
      <c r="M85" s="79">
        <f t="shared" si="8"/>
        <v>159599.9999999998</v>
      </c>
      <c r="N85" s="79">
        <f>SUM($M$5:$M85)</f>
        <v>3062855</v>
      </c>
      <c r="P85" s="79">
        <f>INDEX(等级时间!$U$3:$AU$203,MATCH($J85,等级时间!$U$3:$U$203,0),MATCH(P$4,等级时间!$U$3:$AU$3,0))</f>
        <v>80.010000000000005</v>
      </c>
      <c r="Q85" s="79">
        <f t="shared" si="11"/>
        <v>3.3500000000000085</v>
      </c>
      <c r="R85" s="79">
        <f t="shared" si="9"/>
        <v>67000.000000000175</v>
      </c>
      <c r="S85" s="79">
        <f>SUM($R$5:$R85)</f>
        <v>1286746.0000000002</v>
      </c>
    </row>
    <row r="86" spans="2:19" x14ac:dyDescent="0.15">
      <c r="B86" s="79">
        <v>82</v>
      </c>
      <c r="C86" s="79">
        <f t="shared" si="6"/>
        <v>8200</v>
      </c>
      <c r="D86" s="79">
        <f t="shared" si="7"/>
        <v>3700000000</v>
      </c>
    </row>
    <row r="87" spans="2:19" x14ac:dyDescent="0.15">
      <c r="B87" s="79">
        <v>83</v>
      </c>
      <c r="C87" s="79">
        <f t="shared" si="6"/>
        <v>8300</v>
      </c>
      <c r="D87" s="79">
        <f t="shared" si="7"/>
        <v>3900000000</v>
      </c>
    </row>
    <row r="88" spans="2:19" x14ac:dyDescent="0.15">
      <c r="B88" s="79">
        <v>84</v>
      </c>
      <c r="C88" s="79">
        <f t="shared" si="6"/>
        <v>8400</v>
      </c>
      <c r="D88" s="79">
        <f t="shared" si="7"/>
        <v>4200000000</v>
      </c>
    </row>
    <row r="89" spans="2:19" x14ac:dyDescent="0.15">
      <c r="B89" s="79">
        <v>85</v>
      </c>
      <c r="C89" s="79">
        <f t="shared" si="6"/>
        <v>8500</v>
      </c>
      <c r="D89" s="79">
        <f t="shared" si="7"/>
        <v>4400000000</v>
      </c>
    </row>
    <row r="90" spans="2:19" x14ac:dyDescent="0.15">
      <c r="B90" s="79">
        <v>86</v>
      </c>
      <c r="C90" s="79">
        <f t="shared" si="6"/>
        <v>8600</v>
      </c>
      <c r="D90" s="79">
        <f t="shared" si="7"/>
        <v>4700000000</v>
      </c>
    </row>
    <row r="91" spans="2:19" x14ac:dyDescent="0.15">
      <c r="B91" s="79">
        <v>87</v>
      </c>
      <c r="C91" s="79">
        <f t="shared" si="6"/>
        <v>8700</v>
      </c>
      <c r="D91" s="79">
        <f t="shared" si="7"/>
        <v>5000000000</v>
      </c>
    </row>
    <row r="92" spans="2:19" x14ac:dyDescent="0.15">
      <c r="B92" s="79">
        <v>88</v>
      </c>
      <c r="C92" s="79">
        <f t="shared" si="6"/>
        <v>8800</v>
      </c>
      <c r="D92" s="79">
        <f t="shared" si="7"/>
        <v>5300000000</v>
      </c>
    </row>
    <row r="93" spans="2:19" x14ac:dyDescent="0.15">
      <c r="B93" s="79">
        <v>89</v>
      </c>
      <c r="C93" s="79">
        <f t="shared" si="6"/>
        <v>8900</v>
      </c>
      <c r="D93" s="79">
        <f t="shared" si="7"/>
        <v>5600000000</v>
      </c>
    </row>
    <row r="94" spans="2:19" x14ac:dyDescent="0.15">
      <c r="B94" s="79">
        <v>90</v>
      </c>
      <c r="C94" s="79">
        <f t="shared" si="6"/>
        <v>9000</v>
      </c>
      <c r="D94" s="79">
        <f t="shared" si="7"/>
        <v>5900000000</v>
      </c>
    </row>
    <row r="95" spans="2:19" x14ac:dyDescent="0.15">
      <c r="B95" s="79">
        <v>91</v>
      </c>
      <c r="C95" s="79">
        <f t="shared" si="6"/>
        <v>9100</v>
      </c>
      <c r="D95" s="79">
        <f t="shared" si="7"/>
        <v>6200000000</v>
      </c>
    </row>
    <row r="96" spans="2:19" x14ac:dyDescent="0.15">
      <c r="B96" s="79">
        <v>92</v>
      </c>
      <c r="C96" s="79">
        <f t="shared" si="6"/>
        <v>9200</v>
      </c>
      <c r="D96" s="79">
        <f t="shared" si="7"/>
        <v>6600000000</v>
      </c>
    </row>
    <row r="97" spans="2:4" x14ac:dyDescent="0.15">
      <c r="B97" s="79">
        <v>93</v>
      </c>
      <c r="C97" s="79">
        <f t="shared" si="6"/>
        <v>9300</v>
      </c>
      <c r="D97" s="79">
        <f t="shared" si="7"/>
        <v>7000000000</v>
      </c>
    </row>
    <row r="98" spans="2:4" x14ac:dyDescent="0.15">
      <c r="B98" s="79">
        <v>94</v>
      </c>
      <c r="C98" s="79">
        <f t="shared" si="6"/>
        <v>9400</v>
      </c>
      <c r="D98" s="79">
        <f t="shared" si="7"/>
        <v>7300000000</v>
      </c>
    </row>
    <row r="99" spans="2:4" x14ac:dyDescent="0.15">
      <c r="B99" s="79">
        <v>95</v>
      </c>
      <c r="C99" s="79">
        <f t="shared" si="6"/>
        <v>9500</v>
      </c>
      <c r="D99" s="79">
        <f t="shared" si="7"/>
        <v>7700000000</v>
      </c>
    </row>
    <row r="100" spans="2:4" x14ac:dyDescent="0.15">
      <c r="B100" s="79">
        <v>96</v>
      </c>
      <c r="C100" s="79">
        <f t="shared" si="6"/>
        <v>9600</v>
      </c>
      <c r="D100" s="79">
        <f t="shared" si="7"/>
        <v>8200000000</v>
      </c>
    </row>
    <row r="101" spans="2:4" x14ac:dyDescent="0.15">
      <c r="B101" s="79">
        <v>97</v>
      </c>
      <c r="C101" s="79">
        <f t="shared" si="6"/>
        <v>9700</v>
      </c>
      <c r="D101" s="79">
        <f t="shared" si="7"/>
        <v>8600000000</v>
      </c>
    </row>
    <row r="102" spans="2:4" x14ac:dyDescent="0.15">
      <c r="B102" s="79">
        <v>98</v>
      </c>
      <c r="C102" s="79">
        <f t="shared" si="6"/>
        <v>9800</v>
      </c>
      <c r="D102" s="79">
        <f t="shared" si="7"/>
        <v>9000000000</v>
      </c>
    </row>
    <row r="103" spans="2:4" x14ac:dyDescent="0.15">
      <c r="B103" s="79">
        <v>99</v>
      </c>
      <c r="C103" s="79">
        <f t="shared" si="6"/>
        <v>9900</v>
      </c>
      <c r="D103" s="79">
        <f t="shared" si="7"/>
        <v>9500000000</v>
      </c>
    </row>
    <row r="104" spans="2:4" x14ac:dyDescent="0.15">
      <c r="B104" s="79">
        <v>100</v>
      </c>
      <c r="C104" s="79">
        <f t="shared" si="6"/>
        <v>10000</v>
      </c>
      <c r="D104" s="79">
        <f t="shared" si="7"/>
        <v>10000000000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workbookViewId="0">
      <selection activeCell="G49" sqref="G49"/>
    </sheetView>
  </sheetViews>
  <sheetFormatPr defaultRowHeight="16.5" x14ac:dyDescent="0.15"/>
  <cols>
    <col min="1" max="2" width="9" style="72"/>
    <col min="3" max="3" width="11.375" style="72" bestFit="1" customWidth="1"/>
    <col min="4" max="4" width="12.75" style="72" bestFit="1" customWidth="1"/>
    <col min="5" max="5" width="11.375" style="72" bestFit="1" customWidth="1"/>
    <col min="6" max="11" width="9" style="72"/>
    <col min="12" max="12" width="11.375" style="72" bestFit="1" customWidth="1"/>
    <col min="13" max="13" width="15" style="72" bestFit="1" customWidth="1"/>
    <col min="14" max="14" width="11.375" style="72" bestFit="1" customWidth="1"/>
    <col min="15" max="16384" width="9" style="72"/>
  </cols>
  <sheetData>
    <row r="1" spans="2:14" x14ac:dyDescent="0.15">
      <c r="B1" s="72" t="s">
        <v>295</v>
      </c>
      <c r="C1" s="72">
        <v>100</v>
      </c>
      <c r="D1" s="72">
        <v>5</v>
      </c>
    </row>
    <row r="2" spans="2:14" x14ac:dyDescent="0.15">
      <c r="B2" s="72" t="s">
        <v>296</v>
      </c>
      <c r="C2" s="72">
        <v>0</v>
      </c>
      <c r="D2" s="72">
        <v>100</v>
      </c>
    </row>
    <row r="4" spans="2:14" x14ac:dyDescent="0.15">
      <c r="B4" s="79" t="s">
        <v>292</v>
      </c>
      <c r="C4" s="79" t="s">
        <v>293</v>
      </c>
      <c r="D4" s="79" t="s">
        <v>289</v>
      </c>
      <c r="G4" s="79" t="s">
        <v>298</v>
      </c>
      <c r="J4" s="79" t="s">
        <v>9</v>
      </c>
      <c r="K4" s="79" t="s">
        <v>34</v>
      </c>
      <c r="L4" s="79" t="s">
        <v>309</v>
      </c>
      <c r="M4" s="79" t="s">
        <v>305</v>
      </c>
      <c r="N4" s="79" t="s">
        <v>306</v>
      </c>
    </row>
    <row r="5" spans="2:14" x14ac:dyDescent="0.15">
      <c r="B5" s="79">
        <v>1</v>
      </c>
      <c r="C5" s="79">
        <f>$C$1*B5+$C$2</f>
        <v>100</v>
      </c>
      <c r="D5" s="79">
        <f>ROUND(B5^$D$1+$D$2,2-LEN(B5^$D$1+$D$2))</f>
        <v>100</v>
      </c>
      <c r="G5" s="79">
        <v>10</v>
      </c>
      <c r="J5" s="79">
        <v>20</v>
      </c>
      <c r="K5" s="79">
        <f>INDEX(等级时间!$U$3:$AU$203,MATCH($J5,等级时间!$U$3:$U$203,0),MATCH(K$4,等级时间!$U$3:$AU$3,0))</f>
        <v>0.02</v>
      </c>
      <c r="L5" s="79">
        <f>K5</f>
        <v>0.02</v>
      </c>
      <c r="M5" s="79">
        <f>VLOOKUP($J5,$B:$D,2,0)*L5*IF($J5&gt;=$G$6,2,1)</f>
        <v>40</v>
      </c>
      <c r="N5" s="79">
        <f>SUM($M$5:$M5)</f>
        <v>40</v>
      </c>
    </row>
    <row r="6" spans="2:14" x14ac:dyDescent="0.15">
      <c r="B6" s="79">
        <v>2</v>
      </c>
      <c r="C6" s="79">
        <f t="shared" ref="C6:C69" si="0">$C$1*B6+$C$2</f>
        <v>200</v>
      </c>
      <c r="D6" s="79">
        <f t="shared" ref="D6:D69" si="1">ROUND(B6^$D$1+$D$2,2-LEN(B6^$D$1+$D$2))</f>
        <v>130</v>
      </c>
      <c r="G6" s="79">
        <v>50</v>
      </c>
      <c r="J6" s="79">
        <v>21</v>
      </c>
      <c r="K6" s="79">
        <f>INDEX(等级时间!$U$3:$AU$203,MATCH($J6,等级时间!$U$3:$U$203,0),MATCH(K$4,等级时间!$U$3:$AU$3,0))</f>
        <v>0.14000000000000001</v>
      </c>
      <c r="L6" s="79">
        <f>K6-K5</f>
        <v>0.12000000000000001</v>
      </c>
      <c r="M6" s="79">
        <f>VLOOKUP($J6,$B:$D,2,0)*L6*IF($J6&gt;=$G$6,2,1)</f>
        <v>252.00000000000003</v>
      </c>
      <c r="N6" s="79">
        <f>SUM($M$5:$M6)</f>
        <v>292</v>
      </c>
    </row>
    <row r="7" spans="2:14" x14ac:dyDescent="0.15">
      <c r="B7" s="79">
        <v>3</v>
      </c>
      <c r="C7" s="79">
        <f t="shared" si="0"/>
        <v>300</v>
      </c>
      <c r="D7" s="79">
        <f t="shared" si="1"/>
        <v>340</v>
      </c>
      <c r="J7" s="79">
        <v>22</v>
      </c>
      <c r="K7" s="79">
        <f>INDEX(等级时间!$U$3:$AU$203,MATCH($J7,等级时间!$U$3:$U$203,0),MATCH(K$4,等级时间!$U$3:$AU$3,0))</f>
        <v>0.27</v>
      </c>
      <c r="L7" s="79">
        <f t="shared" ref="L7:L70" si="2">K7-K6</f>
        <v>0.13</v>
      </c>
      <c r="M7" s="79">
        <f>VLOOKUP($J7,$B:$D,2,0)*L7*IF($J7&gt;=$G$6,2,1)</f>
        <v>286</v>
      </c>
      <c r="N7" s="79">
        <f>SUM($M$5:$M7)</f>
        <v>578</v>
      </c>
    </row>
    <row r="8" spans="2:14" x14ac:dyDescent="0.15">
      <c r="B8" s="79">
        <v>4</v>
      </c>
      <c r="C8" s="79">
        <f t="shared" si="0"/>
        <v>400</v>
      </c>
      <c r="D8" s="79">
        <f t="shared" si="1"/>
        <v>1100</v>
      </c>
      <c r="J8" s="79">
        <v>23</v>
      </c>
      <c r="K8" s="79">
        <f>INDEX(等级时间!$U$3:$AU$203,MATCH($J8,等级时间!$U$3:$U$203,0),MATCH(K$4,等级时间!$U$3:$AU$3,0))</f>
        <v>0.42</v>
      </c>
      <c r="L8" s="79">
        <f t="shared" si="2"/>
        <v>0.14999999999999997</v>
      </c>
      <c r="M8" s="79">
        <f>VLOOKUP($J8,$B:$D,2,0)*L8*IF($J8&gt;=$G$6,2,1)</f>
        <v>344.99999999999994</v>
      </c>
      <c r="N8" s="79">
        <f>SUM($M$5:$M8)</f>
        <v>923</v>
      </c>
    </row>
    <row r="9" spans="2:14" x14ac:dyDescent="0.15">
      <c r="B9" s="79">
        <v>5</v>
      </c>
      <c r="C9" s="79">
        <f t="shared" si="0"/>
        <v>500</v>
      </c>
      <c r="D9" s="79">
        <f t="shared" si="1"/>
        <v>3200</v>
      </c>
      <c r="J9" s="79">
        <v>24</v>
      </c>
      <c r="K9" s="79">
        <f>INDEX(等级时间!$U$3:$AU$203,MATCH($J9,等级时间!$U$3:$U$203,0),MATCH(K$4,等级时间!$U$3:$AU$3,0))</f>
        <v>0.59</v>
      </c>
      <c r="L9" s="79">
        <f t="shared" si="2"/>
        <v>0.16999999999999998</v>
      </c>
      <c r="M9" s="79">
        <f>VLOOKUP($J9,$B:$D,2,0)*L9*IF($J9&gt;=$G$6,2,1)</f>
        <v>407.99999999999994</v>
      </c>
      <c r="N9" s="79">
        <f>SUM($M$5:$M9)</f>
        <v>1331</v>
      </c>
    </row>
    <row r="10" spans="2:14" x14ac:dyDescent="0.15">
      <c r="B10" s="79">
        <v>6</v>
      </c>
      <c r="C10" s="79">
        <f t="shared" si="0"/>
        <v>600</v>
      </c>
      <c r="D10" s="79">
        <f t="shared" si="1"/>
        <v>7900</v>
      </c>
      <c r="J10" s="79">
        <v>25</v>
      </c>
      <c r="K10" s="79">
        <f>INDEX(等级时间!$U$3:$AU$203,MATCH($J10,等级时间!$U$3:$U$203,0),MATCH(K$4,等级时间!$U$3:$AU$3,0))</f>
        <v>0.77</v>
      </c>
      <c r="L10" s="79">
        <f t="shared" si="2"/>
        <v>0.18000000000000005</v>
      </c>
      <c r="M10" s="79">
        <f>VLOOKUP($J10,$B:$D,2,0)*L10*IF($J10&gt;=$G$6,2,1)</f>
        <v>450.00000000000011</v>
      </c>
      <c r="N10" s="79">
        <f>SUM($M$5:$M10)</f>
        <v>1781</v>
      </c>
    </row>
    <row r="11" spans="2:14" x14ac:dyDescent="0.15">
      <c r="B11" s="79">
        <v>7</v>
      </c>
      <c r="C11" s="79">
        <f t="shared" si="0"/>
        <v>700</v>
      </c>
      <c r="D11" s="79">
        <f t="shared" si="1"/>
        <v>17000</v>
      </c>
      <c r="J11" s="79">
        <v>26</v>
      </c>
      <c r="K11" s="79">
        <f>INDEX(等级时间!$U$3:$AU$203,MATCH($J11,等级时间!$U$3:$U$203,0),MATCH(K$4,等级时间!$U$3:$AU$3,0))</f>
        <v>0.98</v>
      </c>
      <c r="L11" s="79">
        <f t="shared" si="2"/>
        <v>0.20999999999999996</v>
      </c>
      <c r="M11" s="79">
        <f>VLOOKUP($J11,$B:$D,2,0)*L11*IF($J11&gt;=$G$6,2,1)</f>
        <v>545.99999999999989</v>
      </c>
      <c r="N11" s="79">
        <f>SUM($M$5:$M11)</f>
        <v>2327</v>
      </c>
    </row>
    <row r="12" spans="2:14" x14ac:dyDescent="0.15">
      <c r="B12" s="79">
        <v>8</v>
      </c>
      <c r="C12" s="79">
        <f t="shared" si="0"/>
        <v>800</v>
      </c>
      <c r="D12" s="79">
        <f t="shared" si="1"/>
        <v>33000</v>
      </c>
      <c r="J12" s="79">
        <v>27</v>
      </c>
      <c r="K12" s="79">
        <f>INDEX(等级时间!$U$3:$AU$203,MATCH($J12,等级时间!$U$3:$U$203,0),MATCH(K$4,等级时间!$U$3:$AU$3,0))</f>
        <v>1.2</v>
      </c>
      <c r="L12" s="79">
        <f t="shared" si="2"/>
        <v>0.21999999999999997</v>
      </c>
      <c r="M12" s="79">
        <f>VLOOKUP($J12,$B:$D,2,0)*L12*IF($J12&gt;=$G$6,2,1)</f>
        <v>593.99999999999989</v>
      </c>
      <c r="N12" s="79">
        <f>SUM($M$5:$M12)</f>
        <v>2921</v>
      </c>
    </row>
    <row r="13" spans="2:14" x14ac:dyDescent="0.15">
      <c r="B13" s="79">
        <v>9</v>
      </c>
      <c r="C13" s="79">
        <f t="shared" si="0"/>
        <v>900</v>
      </c>
      <c r="D13" s="79">
        <f t="shared" si="1"/>
        <v>59000</v>
      </c>
      <c r="J13" s="79">
        <v>28</v>
      </c>
      <c r="K13" s="79">
        <f>INDEX(等级时间!$U$3:$AU$203,MATCH($J13,等级时间!$U$3:$U$203,0),MATCH(K$4,等级时间!$U$3:$AU$3,0))</f>
        <v>1.44</v>
      </c>
      <c r="L13" s="79">
        <f t="shared" si="2"/>
        <v>0.24</v>
      </c>
      <c r="M13" s="79">
        <f>VLOOKUP($J13,$B:$D,2,0)*L13*IF($J13&gt;=$G$6,2,1)</f>
        <v>672</v>
      </c>
      <c r="N13" s="79">
        <f>SUM($M$5:$M13)</f>
        <v>3593</v>
      </c>
    </row>
    <row r="14" spans="2:14" x14ac:dyDescent="0.15">
      <c r="B14" s="79">
        <v>10</v>
      </c>
      <c r="C14" s="79">
        <f t="shared" si="0"/>
        <v>1000</v>
      </c>
      <c r="D14" s="79">
        <f t="shared" si="1"/>
        <v>100000</v>
      </c>
      <c r="J14" s="79">
        <v>29</v>
      </c>
      <c r="K14" s="79">
        <f>INDEX(等级时间!$U$3:$AU$203,MATCH($J14,等级时间!$U$3:$U$203,0),MATCH(K$4,等级时间!$U$3:$AU$3,0))</f>
        <v>1.7</v>
      </c>
      <c r="L14" s="79">
        <f t="shared" si="2"/>
        <v>0.26</v>
      </c>
      <c r="M14" s="79">
        <f>VLOOKUP($J14,$B:$D,2,0)*L14*IF($J14&gt;=$G$6,2,1)</f>
        <v>754</v>
      </c>
      <c r="N14" s="79">
        <f>SUM($M$5:$M14)</f>
        <v>4347</v>
      </c>
    </row>
    <row r="15" spans="2:14" x14ac:dyDescent="0.15">
      <c r="B15" s="79">
        <v>11</v>
      </c>
      <c r="C15" s="79">
        <f t="shared" si="0"/>
        <v>1100</v>
      </c>
      <c r="D15" s="79">
        <f t="shared" si="1"/>
        <v>160000</v>
      </c>
      <c r="J15" s="79">
        <v>30</v>
      </c>
      <c r="K15" s="79">
        <f>INDEX(等级时间!$U$3:$AU$203,MATCH($J15,等级时间!$U$3:$U$203,0),MATCH(K$4,等级时间!$U$3:$AU$3,0))</f>
        <v>1.98</v>
      </c>
      <c r="L15" s="79">
        <f t="shared" si="2"/>
        <v>0.28000000000000003</v>
      </c>
      <c r="M15" s="79">
        <f>VLOOKUP($J15,$B:$D,2,0)*L15*IF($J15&gt;=$G$6,2,1)</f>
        <v>840.00000000000011</v>
      </c>
      <c r="N15" s="79">
        <f>SUM($M$5:$M15)</f>
        <v>5187</v>
      </c>
    </row>
    <row r="16" spans="2:14" x14ac:dyDescent="0.15">
      <c r="B16" s="79">
        <v>12</v>
      </c>
      <c r="C16" s="79">
        <f t="shared" si="0"/>
        <v>1200</v>
      </c>
      <c r="D16" s="79">
        <f t="shared" si="1"/>
        <v>250000</v>
      </c>
      <c r="J16" s="79">
        <v>31</v>
      </c>
      <c r="K16" s="79">
        <f>INDEX(等级时间!$U$3:$AU$203,MATCH($J16,等级时间!$U$3:$U$203,0),MATCH(K$4,等级时间!$U$3:$AU$3,0))</f>
        <v>2.2799999999999998</v>
      </c>
      <c r="L16" s="79">
        <f t="shared" si="2"/>
        <v>0.29999999999999982</v>
      </c>
      <c r="M16" s="79">
        <f>VLOOKUP($J16,$B:$D,2,0)*L16*IF($J16&gt;=$G$6,2,1)</f>
        <v>929.99999999999943</v>
      </c>
      <c r="N16" s="79">
        <f>SUM($M$5:$M16)</f>
        <v>6116.9999999999991</v>
      </c>
    </row>
    <row r="17" spans="2:14" x14ac:dyDescent="0.15">
      <c r="B17" s="79">
        <v>13</v>
      </c>
      <c r="C17" s="79">
        <f t="shared" si="0"/>
        <v>1300</v>
      </c>
      <c r="D17" s="79">
        <f t="shared" si="1"/>
        <v>370000</v>
      </c>
      <c r="J17" s="79">
        <v>32</v>
      </c>
      <c r="K17" s="79">
        <f>INDEX(等级时间!$U$3:$AU$203,MATCH($J17,等级时间!$U$3:$U$203,0),MATCH(K$4,等级时间!$U$3:$AU$3,0))</f>
        <v>2.59</v>
      </c>
      <c r="L17" s="79">
        <f t="shared" si="2"/>
        <v>0.31000000000000005</v>
      </c>
      <c r="M17" s="79">
        <f>VLOOKUP($J17,$B:$D,2,0)*L17*IF($J17&gt;=$G$6,2,1)</f>
        <v>992.00000000000023</v>
      </c>
      <c r="N17" s="79">
        <f>SUM($M$5:$M17)</f>
        <v>7108.9999999999991</v>
      </c>
    </row>
    <row r="18" spans="2:14" x14ac:dyDescent="0.15">
      <c r="B18" s="79">
        <v>14</v>
      </c>
      <c r="C18" s="79">
        <f t="shared" si="0"/>
        <v>1400</v>
      </c>
      <c r="D18" s="79">
        <f t="shared" si="1"/>
        <v>540000</v>
      </c>
      <c r="J18" s="79">
        <v>33</v>
      </c>
      <c r="K18" s="79">
        <f>INDEX(等级时间!$U$3:$AU$203,MATCH($J18,等级时间!$U$3:$U$203,0),MATCH(K$4,等级时间!$U$3:$AU$3,0))</f>
        <v>2.92</v>
      </c>
      <c r="L18" s="79">
        <f t="shared" si="2"/>
        <v>0.33000000000000007</v>
      </c>
      <c r="M18" s="79">
        <f>VLOOKUP($J18,$B:$D,2,0)*L18*IF($J18&gt;=$G$6,2,1)</f>
        <v>1089.0000000000002</v>
      </c>
      <c r="N18" s="79">
        <f>SUM($M$5:$M18)</f>
        <v>8198</v>
      </c>
    </row>
    <row r="19" spans="2:14" x14ac:dyDescent="0.15">
      <c r="B19" s="79">
        <v>15</v>
      </c>
      <c r="C19" s="79">
        <f t="shared" si="0"/>
        <v>1500</v>
      </c>
      <c r="D19" s="79">
        <f t="shared" si="1"/>
        <v>760000</v>
      </c>
      <c r="J19" s="79">
        <v>34</v>
      </c>
      <c r="K19" s="79">
        <f>INDEX(等级时间!$U$3:$AU$203,MATCH($J19,等级时间!$U$3:$U$203,0),MATCH(K$4,等级时间!$U$3:$AU$3,0))</f>
        <v>3.27</v>
      </c>
      <c r="L19" s="79">
        <f t="shared" si="2"/>
        <v>0.35000000000000009</v>
      </c>
      <c r="M19" s="79">
        <f>VLOOKUP($J19,$B:$D,2,0)*L19*IF($J19&gt;=$G$6,2,1)</f>
        <v>1190.0000000000002</v>
      </c>
      <c r="N19" s="79">
        <f>SUM($M$5:$M19)</f>
        <v>9388</v>
      </c>
    </row>
    <row r="20" spans="2:14" x14ac:dyDescent="0.15">
      <c r="B20" s="79">
        <v>16</v>
      </c>
      <c r="C20" s="79">
        <f t="shared" si="0"/>
        <v>1600</v>
      </c>
      <c r="D20" s="79">
        <f t="shared" si="1"/>
        <v>1000000</v>
      </c>
      <c r="J20" s="79">
        <v>35</v>
      </c>
      <c r="K20" s="79">
        <f>INDEX(等级时间!$U$3:$AU$203,MATCH($J20,等级时间!$U$3:$U$203,0),MATCH(K$4,等级时间!$U$3:$AU$3,0))</f>
        <v>3.63</v>
      </c>
      <c r="L20" s="79">
        <f t="shared" si="2"/>
        <v>0.35999999999999988</v>
      </c>
      <c r="M20" s="79">
        <f>VLOOKUP($J20,$B:$D,2,0)*L20*IF($J20&gt;=$G$6,2,1)</f>
        <v>1259.9999999999995</v>
      </c>
      <c r="N20" s="79">
        <f>SUM($M$5:$M20)</f>
        <v>10648</v>
      </c>
    </row>
    <row r="21" spans="2:14" x14ac:dyDescent="0.15">
      <c r="B21" s="79">
        <v>17</v>
      </c>
      <c r="C21" s="79">
        <f t="shared" si="0"/>
        <v>1700</v>
      </c>
      <c r="D21" s="79">
        <f t="shared" si="1"/>
        <v>1400000</v>
      </c>
      <c r="J21" s="79">
        <v>36</v>
      </c>
      <c r="K21" s="79">
        <f>INDEX(等级时间!$U$3:$AU$203,MATCH($J21,等级时间!$U$3:$U$203,0),MATCH(K$4,等级时间!$U$3:$AU$3,0))</f>
        <v>4.0199999999999996</v>
      </c>
      <c r="L21" s="79">
        <f t="shared" si="2"/>
        <v>0.38999999999999968</v>
      </c>
      <c r="M21" s="79">
        <f>VLOOKUP($J21,$B:$D,2,0)*L21*IF($J21&gt;=$G$6,2,1)</f>
        <v>1403.9999999999989</v>
      </c>
      <c r="N21" s="79">
        <f>SUM($M$5:$M21)</f>
        <v>12051.999999999998</v>
      </c>
    </row>
    <row r="22" spans="2:14" x14ac:dyDescent="0.15">
      <c r="B22" s="79">
        <v>18</v>
      </c>
      <c r="C22" s="79">
        <f t="shared" si="0"/>
        <v>1800</v>
      </c>
      <c r="D22" s="79">
        <f t="shared" si="1"/>
        <v>1900000</v>
      </c>
      <c r="J22" s="79">
        <v>37</v>
      </c>
      <c r="K22" s="79">
        <f>INDEX(等级时间!$U$3:$AU$203,MATCH($J22,等级时间!$U$3:$U$203,0),MATCH(K$4,等级时间!$U$3:$AU$3,0))</f>
        <v>4.43</v>
      </c>
      <c r="L22" s="79">
        <f t="shared" si="2"/>
        <v>0.41000000000000014</v>
      </c>
      <c r="M22" s="79">
        <f>VLOOKUP($J22,$B:$D,2,0)*L22*IF($J22&gt;=$G$6,2,1)</f>
        <v>1517.0000000000005</v>
      </c>
      <c r="N22" s="79">
        <f>SUM($M$5:$M22)</f>
        <v>13568.999999999998</v>
      </c>
    </row>
    <row r="23" spans="2:14" x14ac:dyDescent="0.15">
      <c r="B23" s="79">
        <v>19</v>
      </c>
      <c r="C23" s="79">
        <f t="shared" si="0"/>
        <v>1900</v>
      </c>
      <c r="D23" s="79">
        <f t="shared" si="1"/>
        <v>2500000</v>
      </c>
      <c r="J23" s="79">
        <v>38</v>
      </c>
      <c r="K23" s="79">
        <f>INDEX(等级时间!$U$3:$AU$203,MATCH($J23,等级时间!$U$3:$U$203,0),MATCH(K$4,等级时间!$U$3:$AU$3,0))</f>
        <v>4.8600000000000003</v>
      </c>
      <c r="L23" s="79">
        <f t="shared" si="2"/>
        <v>0.4300000000000006</v>
      </c>
      <c r="M23" s="79">
        <f>VLOOKUP($J23,$B:$D,2,0)*L23*IF($J23&gt;=$G$6,2,1)</f>
        <v>1634.0000000000023</v>
      </c>
      <c r="N23" s="79">
        <f>SUM($M$5:$M23)</f>
        <v>15203</v>
      </c>
    </row>
    <row r="24" spans="2:14" x14ac:dyDescent="0.15">
      <c r="B24" s="79">
        <v>20</v>
      </c>
      <c r="C24" s="79">
        <f t="shared" si="0"/>
        <v>2000</v>
      </c>
      <c r="D24" s="79">
        <f t="shared" si="1"/>
        <v>3200000</v>
      </c>
      <c r="J24" s="79">
        <v>39</v>
      </c>
      <c r="K24" s="79">
        <f>INDEX(等级时间!$U$3:$AU$203,MATCH($J24,等级时间!$U$3:$U$203,0),MATCH(K$4,等级时间!$U$3:$AU$3,0))</f>
        <v>5.32</v>
      </c>
      <c r="L24" s="79">
        <f t="shared" si="2"/>
        <v>0.45999999999999996</v>
      </c>
      <c r="M24" s="79">
        <f>VLOOKUP($J24,$B:$D,2,0)*L24*IF($J24&gt;=$G$6,2,1)</f>
        <v>1793.9999999999998</v>
      </c>
      <c r="N24" s="79">
        <f>SUM($M$5:$M24)</f>
        <v>16997</v>
      </c>
    </row>
    <row r="25" spans="2:14" x14ac:dyDescent="0.15">
      <c r="B25" s="79">
        <v>21</v>
      </c>
      <c r="C25" s="79">
        <f t="shared" si="0"/>
        <v>2100</v>
      </c>
      <c r="D25" s="79">
        <f t="shared" si="1"/>
        <v>4100000</v>
      </c>
      <c r="J25" s="79">
        <v>40</v>
      </c>
      <c r="K25" s="79">
        <f>INDEX(等级时间!$U$3:$AU$203,MATCH($J25,等级时间!$U$3:$U$203,0),MATCH(K$4,等级时间!$U$3:$AU$3,0))</f>
        <v>5.8</v>
      </c>
      <c r="L25" s="79">
        <f t="shared" si="2"/>
        <v>0.47999999999999954</v>
      </c>
      <c r="M25" s="79">
        <f>VLOOKUP($J25,$B:$D,2,0)*L25*IF($J25&gt;=$G$6,2,1)</f>
        <v>1919.9999999999982</v>
      </c>
      <c r="N25" s="79">
        <f>SUM($M$5:$M25)</f>
        <v>18917</v>
      </c>
    </row>
    <row r="26" spans="2:14" x14ac:dyDescent="0.15">
      <c r="B26" s="79">
        <v>22</v>
      </c>
      <c r="C26" s="79">
        <f t="shared" si="0"/>
        <v>2200</v>
      </c>
      <c r="D26" s="79">
        <f t="shared" si="1"/>
        <v>5200000</v>
      </c>
      <c r="J26" s="79">
        <v>41</v>
      </c>
      <c r="K26" s="79">
        <f>INDEX(等级时间!$U$3:$AU$203,MATCH($J26,等级时间!$U$3:$U$203,0),MATCH(K$4,等级时间!$U$3:$AU$3,0))</f>
        <v>6.32</v>
      </c>
      <c r="L26" s="79">
        <f t="shared" si="2"/>
        <v>0.52000000000000046</v>
      </c>
      <c r="M26" s="79">
        <f>VLOOKUP($J26,$B:$D,2,0)*L26*IF($J26&gt;=$G$6,2,1)</f>
        <v>2132.0000000000018</v>
      </c>
      <c r="N26" s="79">
        <f>SUM($M$5:$M26)</f>
        <v>21049</v>
      </c>
    </row>
    <row r="27" spans="2:14" x14ac:dyDescent="0.15">
      <c r="B27" s="79">
        <v>23</v>
      </c>
      <c r="C27" s="79">
        <f t="shared" si="0"/>
        <v>2300</v>
      </c>
      <c r="D27" s="79">
        <f t="shared" si="1"/>
        <v>6400000</v>
      </c>
      <c r="J27" s="79">
        <v>42</v>
      </c>
      <c r="K27" s="79">
        <f>INDEX(等级时间!$U$3:$AU$203,MATCH($J27,等级时间!$U$3:$U$203,0),MATCH(K$4,等级时间!$U$3:$AU$3,0))</f>
        <v>6.86</v>
      </c>
      <c r="L27" s="79">
        <f t="shared" si="2"/>
        <v>0.54</v>
      </c>
      <c r="M27" s="79">
        <f>VLOOKUP($J27,$B:$D,2,0)*L27*IF($J27&gt;=$G$6,2,1)</f>
        <v>2268</v>
      </c>
      <c r="N27" s="79">
        <f>SUM($M$5:$M27)</f>
        <v>23317</v>
      </c>
    </row>
    <row r="28" spans="2:14" x14ac:dyDescent="0.15">
      <c r="B28" s="79">
        <v>24</v>
      </c>
      <c r="C28" s="79">
        <f t="shared" si="0"/>
        <v>2400</v>
      </c>
      <c r="D28" s="79">
        <f t="shared" si="1"/>
        <v>8000000</v>
      </c>
      <c r="J28" s="79">
        <v>43</v>
      </c>
      <c r="K28" s="79">
        <f>INDEX(等级时间!$U$3:$AU$203,MATCH($J28,等级时间!$U$3:$U$203,0),MATCH(K$4,等级时间!$U$3:$AU$3,0))</f>
        <v>7.43</v>
      </c>
      <c r="L28" s="79">
        <f t="shared" si="2"/>
        <v>0.5699999999999994</v>
      </c>
      <c r="M28" s="79">
        <f>VLOOKUP($J28,$B:$D,2,0)*L28*IF($J28&gt;=$G$6,2,1)</f>
        <v>2450.9999999999973</v>
      </c>
      <c r="N28" s="79">
        <f>SUM($M$5:$M28)</f>
        <v>25767.999999999996</v>
      </c>
    </row>
    <row r="29" spans="2:14" x14ac:dyDescent="0.15">
      <c r="B29" s="79">
        <v>25</v>
      </c>
      <c r="C29" s="79">
        <f t="shared" si="0"/>
        <v>2500</v>
      </c>
      <c r="D29" s="79">
        <f t="shared" si="1"/>
        <v>9800000</v>
      </c>
      <c r="J29" s="79">
        <v>44</v>
      </c>
      <c r="K29" s="79">
        <f>INDEX(等级时间!$U$3:$AU$203,MATCH($J29,等级时间!$U$3:$U$203,0),MATCH(K$4,等级时间!$U$3:$AU$3,0))</f>
        <v>8.0399999999999991</v>
      </c>
      <c r="L29" s="79">
        <f t="shared" si="2"/>
        <v>0.60999999999999943</v>
      </c>
      <c r="M29" s="79">
        <f>VLOOKUP($J29,$B:$D,2,0)*L29*IF($J29&gt;=$G$6,2,1)</f>
        <v>2683.9999999999973</v>
      </c>
      <c r="N29" s="79">
        <f>SUM($M$5:$M29)</f>
        <v>28451.999999999993</v>
      </c>
    </row>
    <row r="30" spans="2:14" x14ac:dyDescent="0.15">
      <c r="B30" s="79">
        <v>26</v>
      </c>
      <c r="C30" s="79">
        <f t="shared" si="0"/>
        <v>2600</v>
      </c>
      <c r="D30" s="79">
        <f t="shared" si="1"/>
        <v>12000000</v>
      </c>
      <c r="J30" s="79">
        <v>45</v>
      </c>
      <c r="K30" s="79">
        <f>INDEX(等级时间!$U$3:$AU$203,MATCH($J30,等级时间!$U$3:$U$203,0),MATCH(K$4,等级时间!$U$3:$AU$3,0))</f>
        <v>8.69</v>
      </c>
      <c r="L30" s="79">
        <f t="shared" si="2"/>
        <v>0.65000000000000036</v>
      </c>
      <c r="M30" s="79">
        <f>VLOOKUP($J30,$B:$D,2,0)*L30*IF($J30&gt;=$G$6,2,1)</f>
        <v>2925.0000000000018</v>
      </c>
      <c r="N30" s="79">
        <f>SUM($M$5:$M30)</f>
        <v>31376.999999999993</v>
      </c>
    </row>
    <row r="31" spans="2:14" x14ac:dyDescent="0.15">
      <c r="B31" s="79">
        <v>27</v>
      </c>
      <c r="C31" s="79">
        <f t="shared" si="0"/>
        <v>2700</v>
      </c>
      <c r="D31" s="79">
        <f t="shared" si="1"/>
        <v>14000000</v>
      </c>
      <c r="J31" s="79">
        <v>46</v>
      </c>
      <c r="K31" s="79">
        <f>INDEX(等级时间!$U$3:$AU$203,MATCH($J31,等级时间!$U$3:$U$203,0),MATCH(K$4,等级时间!$U$3:$AU$3,0))</f>
        <v>9.3800000000000008</v>
      </c>
      <c r="L31" s="79">
        <f t="shared" si="2"/>
        <v>0.69000000000000128</v>
      </c>
      <c r="M31" s="79">
        <f>VLOOKUP($J31,$B:$D,2,0)*L31*IF($J31&gt;=$G$6,2,1)</f>
        <v>3174.0000000000059</v>
      </c>
      <c r="N31" s="79">
        <f>SUM($M$5:$M31)</f>
        <v>34551</v>
      </c>
    </row>
    <row r="32" spans="2:14" x14ac:dyDescent="0.15">
      <c r="B32" s="79">
        <v>28</v>
      </c>
      <c r="C32" s="79">
        <f t="shared" si="0"/>
        <v>2800</v>
      </c>
      <c r="D32" s="79">
        <f t="shared" si="1"/>
        <v>17000000</v>
      </c>
      <c r="J32" s="79">
        <v>47</v>
      </c>
      <c r="K32" s="79">
        <f>INDEX(等级时间!$U$3:$AU$203,MATCH($J32,等级时间!$U$3:$U$203,0),MATCH(K$4,等级时间!$U$3:$AU$3,0))</f>
        <v>10.1</v>
      </c>
      <c r="L32" s="79">
        <f t="shared" si="2"/>
        <v>0.71999999999999886</v>
      </c>
      <c r="M32" s="79">
        <f>VLOOKUP($J32,$B:$D,2,0)*L32*IF($J32&gt;=$G$6,2,1)</f>
        <v>3383.9999999999945</v>
      </c>
      <c r="N32" s="79">
        <f>SUM($M$5:$M32)</f>
        <v>37934.999999999993</v>
      </c>
    </row>
    <row r="33" spans="2:14" x14ac:dyDescent="0.15">
      <c r="B33" s="79">
        <v>29</v>
      </c>
      <c r="C33" s="79">
        <f t="shared" si="0"/>
        <v>2900</v>
      </c>
      <c r="D33" s="79">
        <f t="shared" si="1"/>
        <v>21000000</v>
      </c>
      <c r="J33" s="79">
        <v>48</v>
      </c>
      <c r="K33" s="79">
        <f>INDEX(等级时间!$U$3:$AU$203,MATCH($J33,等级时间!$U$3:$U$203,0),MATCH(K$4,等级时间!$U$3:$AU$3,0))</f>
        <v>10.86</v>
      </c>
      <c r="L33" s="79">
        <f t="shared" si="2"/>
        <v>0.75999999999999979</v>
      </c>
      <c r="M33" s="79">
        <f>VLOOKUP($J33,$B:$D,2,0)*L33*IF($J33&gt;=$G$6,2,1)</f>
        <v>3647.9999999999991</v>
      </c>
      <c r="N33" s="79">
        <f>SUM($M$5:$M33)</f>
        <v>41582.999999999993</v>
      </c>
    </row>
    <row r="34" spans="2:14" x14ac:dyDescent="0.15">
      <c r="B34" s="79">
        <v>30</v>
      </c>
      <c r="C34" s="79">
        <f t="shared" si="0"/>
        <v>3000</v>
      </c>
      <c r="D34" s="79">
        <f t="shared" si="1"/>
        <v>24000000</v>
      </c>
      <c r="J34" s="79">
        <v>49</v>
      </c>
      <c r="K34" s="79">
        <f>INDEX(等级时间!$U$3:$AU$203,MATCH($J34,等级时间!$U$3:$U$203,0),MATCH(K$4,等级时间!$U$3:$AU$3,0))</f>
        <v>11.68</v>
      </c>
      <c r="L34" s="79">
        <f t="shared" si="2"/>
        <v>0.82000000000000028</v>
      </c>
      <c r="M34" s="79">
        <f>VLOOKUP($J34,$B:$D,2,0)*L34*IF($J34&gt;=$G$6,2,1)</f>
        <v>4018.0000000000014</v>
      </c>
      <c r="N34" s="79">
        <f>SUM($M$5:$M34)</f>
        <v>45600.999999999993</v>
      </c>
    </row>
    <row r="35" spans="2:14" x14ac:dyDescent="0.15">
      <c r="B35" s="79">
        <v>31</v>
      </c>
      <c r="C35" s="79">
        <f t="shared" si="0"/>
        <v>3100</v>
      </c>
      <c r="D35" s="79">
        <f t="shared" si="1"/>
        <v>29000000</v>
      </c>
      <c r="J35" s="79">
        <v>50</v>
      </c>
      <c r="K35" s="79">
        <f>INDEX(等级时间!$U$3:$AU$203,MATCH($J35,等级时间!$U$3:$U$203,0),MATCH(K$4,等级时间!$U$3:$AU$3,0))</f>
        <v>12.54</v>
      </c>
      <c r="L35" s="79">
        <f t="shared" si="2"/>
        <v>0.85999999999999943</v>
      </c>
      <c r="M35" s="79">
        <f>VLOOKUP($J35,$B:$D,2,0)*L35*IF($J35&gt;=$G$6,2,1)</f>
        <v>8599.9999999999945</v>
      </c>
      <c r="N35" s="79">
        <f>SUM($M$5:$M35)</f>
        <v>54200.999999999985</v>
      </c>
    </row>
    <row r="36" spans="2:14" x14ac:dyDescent="0.15">
      <c r="B36" s="79">
        <v>32</v>
      </c>
      <c r="C36" s="79">
        <f t="shared" si="0"/>
        <v>3200</v>
      </c>
      <c r="D36" s="79">
        <f t="shared" si="1"/>
        <v>34000000</v>
      </c>
      <c r="J36" s="79">
        <v>51</v>
      </c>
      <c r="K36" s="79">
        <f>INDEX(等级时间!$U$3:$AU$203,MATCH($J36,等级时间!$U$3:$U$203,0),MATCH(K$4,等级时间!$U$3:$AU$3,0))</f>
        <v>13.45</v>
      </c>
      <c r="L36" s="79">
        <f t="shared" si="2"/>
        <v>0.91000000000000014</v>
      </c>
      <c r="M36" s="79">
        <f>VLOOKUP($J36,$B:$D,2,0)*L36*IF($J36&gt;=$G$6,2,1)</f>
        <v>9282.0000000000018</v>
      </c>
      <c r="N36" s="79">
        <f>SUM($M$5:$M36)</f>
        <v>63482.999999999985</v>
      </c>
    </row>
    <row r="37" spans="2:14" x14ac:dyDescent="0.15">
      <c r="B37" s="79">
        <v>33</v>
      </c>
      <c r="C37" s="79">
        <f t="shared" si="0"/>
        <v>3300</v>
      </c>
      <c r="D37" s="79">
        <f t="shared" si="1"/>
        <v>39000000</v>
      </c>
      <c r="J37" s="79">
        <v>52</v>
      </c>
      <c r="K37" s="79">
        <f>INDEX(等级时间!$U$3:$AU$203,MATCH($J37,等级时间!$U$3:$U$203,0),MATCH(K$4,等级时间!$U$3:$AU$3,0))</f>
        <v>14.41</v>
      </c>
      <c r="L37" s="79">
        <f t="shared" si="2"/>
        <v>0.96000000000000085</v>
      </c>
      <c r="M37" s="79">
        <f>VLOOKUP($J37,$B:$D,2,0)*L37*IF($J37&gt;=$G$6,2,1)</f>
        <v>9984.0000000000091</v>
      </c>
      <c r="N37" s="79">
        <f>SUM($M$5:$M37)</f>
        <v>73467</v>
      </c>
    </row>
    <row r="38" spans="2:14" x14ac:dyDescent="0.15">
      <c r="B38" s="79">
        <v>34</v>
      </c>
      <c r="C38" s="79">
        <f t="shared" si="0"/>
        <v>3400</v>
      </c>
      <c r="D38" s="79">
        <f t="shared" si="1"/>
        <v>45000000</v>
      </c>
      <c r="J38" s="79">
        <v>53</v>
      </c>
      <c r="K38" s="79">
        <f>INDEX(等级时间!$U$3:$AU$203,MATCH($J38,等级时间!$U$3:$U$203,0),MATCH(K$4,等级时间!$U$3:$AU$3,0))</f>
        <v>15.42</v>
      </c>
      <c r="L38" s="79">
        <f t="shared" si="2"/>
        <v>1.0099999999999998</v>
      </c>
      <c r="M38" s="79">
        <f>VLOOKUP($J38,$B:$D,2,0)*L38*IF($J38&gt;=$G$6,2,1)</f>
        <v>10705.999999999998</v>
      </c>
      <c r="N38" s="79">
        <f>SUM($M$5:$M38)</f>
        <v>84173</v>
      </c>
    </row>
    <row r="39" spans="2:14" x14ac:dyDescent="0.15">
      <c r="B39" s="79">
        <v>35</v>
      </c>
      <c r="C39" s="79">
        <f t="shared" si="0"/>
        <v>3500</v>
      </c>
      <c r="D39" s="79">
        <f t="shared" si="1"/>
        <v>53000000</v>
      </c>
      <c r="J39" s="79">
        <v>54</v>
      </c>
      <c r="K39" s="79">
        <f>INDEX(等级时间!$U$3:$AU$203,MATCH($J39,等级时间!$U$3:$U$203,0),MATCH(K$4,等级时间!$U$3:$AU$3,0))</f>
        <v>16.489999999999998</v>
      </c>
      <c r="L39" s="79">
        <f t="shared" si="2"/>
        <v>1.0699999999999985</v>
      </c>
      <c r="M39" s="79">
        <f>VLOOKUP($J39,$B:$D,2,0)*L39*IF($J39&gt;=$G$6,2,1)</f>
        <v>11555.999999999984</v>
      </c>
      <c r="N39" s="79">
        <f>SUM($M$5:$M39)</f>
        <v>95728.999999999985</v>
      </c>
    </row>
    <row r="40" spans="2:14" x14ac:dyDescent="0.15">
      <c r="B40" s="79">
        <v>36</v>
      </c>
      <c r="C40" s="79">
        <f t="shared" si="0"/>
        <v>3600</v>
      </c>
      <c r="D40" s="79">
        <f t="shared" si="1"/>
        <v>60000000</v>
      </c>
      <c r="J40" s="79">
        <v>55</v>
      </c>
      <c r="K40" s="79">
        <f>INDEX(等级时间!$U$3:$AU$203,MATCH($J40,等级时间!$U$3:$U$203,0),MATCH(K$4,等级时间!$U$3:$AU$3,0))</f>
        <v>17.63</v>
      </c>
      <c r="L40" s="79">
        <f t="shared" si="2"/>
        <v>1.1400000000000006</v>
      </c>
      <c r="M40" s="79">
        <f>VLOOKUP($J40,$B:$D,2,0)*L40*IF($J40&gt;=$G$6,2,1)</f>
        <v>12540.000000000005</v>
      </c>
      <c r="N40" s="79">
        <f>SUM($M$5:$M40)</f>
        <v>108268.99999999999</v>
      </c>
    </row>
    <row r="41" spans="2:14" x14ac:dyDescent="0.15">
      <c r="B41" s="79">
        <v>37</v>
      </c>
      <c r="C41" s="79">
        <f t="shared" si="0"/>
        <v>3700</v>
      </c>
      <c r="D41" s="79">
        <f t="shared" si="1"/>
        <v>69000000</v>
      </c>
      <c r="J41" s="79">
        <v>56</v>
      </c>
      <c r="K41" s="79">
        <f>INDEX(等级时间!$U$3:$AU$203,MATCH($J41,等级时间!$U$3:$U$203,0),MATCH(K$4,等级时间!$U$3:$AU$3,0))</f>
        <v>18.82</v>
      </c>
      <c r="L41" s="79">
        <f t="shared" si="2"/>
        <v>1.1900000000000013</v>
      </c>
      <c r="M41" s="79">
        <f>VLOOKUP($J41,$B:$D,2,0)*L41*IF($J41&gt;=$G$6,2,1)</f>
        <v>13328.000000000015</v>
      </c>
      <c r="N41" s="79">
        <f>SUM($M$5:$M41)</f>
        <v>121597</v>
      </c>
    </row>
    <row r="42" spans="2:14" x14ac:dyDescent="0.15">
      <c r="B42" s="79">
        <v>38</v>
      </c>
      <c r="C42" s="79">
        <f t="shared" si="0"/>
        <v>3800</v>
      </c>
      <c r="D42" s="79">
        <f t="shared" si="1"/>
        <v>79000000</v>
      </c>
      <c r="J42" s="79">
        <v>57</v>
      </c>
      <c r="K42" s="79">
        <f>INDEX(等级时间!$U$3:$AU$203,MATCH($J42,等级时间!$U$3:$U$203,0),MATCH(K$4,等级时间!$U$3:$AU$3,0))</f>
        <v>20.079999999999998</v>
      </c>
      <c r="L42" s="79">
        <f t="shared" si="2"/>
        <v>1.259999999999998</v>
      </c>
      <c r="M42" s="79">
        <f>VLOOKUP($J42,$B:$D,2,0)*L42*IF($J42&gt;=$G$6,2,1)</f>
        <v>14363.999999999978</v>
      </c>
      <c r="N42" s="79">
        <f>SUM($M$5:$M42)</f>
        <v>135960.99999999997</v>
      </c>
    </row>
    <row r="43" spans="2:14" x14ac:dyDescent="0.15">
      <c r="B43" s="79">
        <v>39</v>
      </c>
      <c r="C43" s="79">
        <f t="shared" si="0"/>
        <v>3900</v>
      </c>
      <c r="D43" s="79">
        <f t="shared" si="1"/>
        <v>90000000</v>
      </c>
      <c r="J43" s="79">
        <v>58</v>
      </c>
      <c r="K43" s="79">
        <f>INDEX(等级时间!$U$3:$AU$203,MATCH($J43,等级时间!$U$3:$U$203,0),MATCH(K$4,等级时间!$U$3:$AU$3,0))</f>
        <v>21.41</v>
      </c>
      <c r="L43" s="79">
        <f t="shared" si="2"/>
        <v>1.3300000000000018</v>
      </c>
      <c r="M43" s="79">
        <f>VLOOKUP($J43,$B:$D,2,0)*L43*IF($J43&gt;=$G$6,2,1)</f>
        <v>15428.000000000022</v>
      </c>
      <c r="N43" s="79">
        <f>SUM($M$5:$M43)</f>
        <v>151389</v>
      </c>
    </row>
    <row r="44" spans="2:14" x14ac:dyDescent="0.15">
      <c r="B44" s="79">
        <v>40</v>
      </c>
      <c r="C44" s="79">
        <f t="shared" si="0"/>
        <v>4000</v>
      </c>
      <c r="D44" s="79">
        <f t="shared" si="1"/>
        <v>100000000</v>
      </c>
      <c r="J44" s="79">
        <v>59</v>
      </c>
      <c r="K44" s="79">
        <f>INDEX(等级时间!$U$3:$AU$203,MATCH($J44,等级时间!$U$3:$U$203,0),MATCH(K$4,等级时间!$U$3:$AU$3,0))</f>
        <v>22.81</v>
      </c>
      <c r="L44" s="79">
        <f t="shared" si="2"/>
        <v>1.3999999999999986</v>
      </c>
      <c r="M44" s="79">
        <f>VLOOKUP($J44,$B:$D,2,0)*L44*IF($J44&gt;=$G$6,2,1)</f>
        <v>16519.999999999982</v>
      </c>
      <c r="N44" s="79">
        <f>SUM($M$5:$M44)</f>
        <v>167908.99999999997</v>
      </c>
    </row>
    <row r="45" spans="2:14" x14ac:dyDescent="0.15">
      <c r="B45" s="79">
        <v>41</v>
      </c>
      <c r="C45" s="79">
        <f t="shared" si="0"/>
        <v>4100</v>
      </c>
      <c r="D45" s="79">
        <f t="shared" si="1"/>
        <v>120000000</v>
      </c>
      <c r="J45" s="79">
        <v>60</v>
      </c>
      <c r="K45" s="79">
        <f>INDEX(等级时间!$U$3:$AU$203,MATCH($J45,等级时间!$U$3:$U$203,0),MATCH(K$4,等级时间!$U$3:$AU$3,0))</f>
        <v>24.29</v>
      </c>
      <c r="L45" s="79">
        <f t="shared" si="2"/>
        <v>1.4800000000000004</v>
      </c>
      <c r="M45" s="79">
        <f>VLOOKUP($J45,$B:$D,2,0)*L45*IF($J45&gt;=$G$6,2,1)</f>
        <v>17760.000000000004</v>
      </c>
      <c r="N45" s="79">
        <f>SUM($M$5:$M45)</f>
        <v>185668.99999999997</v>
      </c>
    </row>
    <row r="46" spans="2:14" x14ac:dyDescent="0.15">
      <c r="B46" s="79">
        <v>42</v>
      </c>
      <c r="C46" s="79">
        <f t="shared" si="0"/>
        <v>4200</v>
      </c>
      <c r="D46" s="79">
        <f t="shared" si="1"/>
        <v>130000000</v>
      </c>
      <c r="J46" s="79">
        <v>61</v>
      </c>
      <c r="K46" s="79">
        <f>INDEX(等级时间!$U$3:$AU$203,MATCH($J46,等级时间!$U$3:$U$203,0),MATCH(K$4,等级时间!$U$3:$AU$3,0))</f>
        <v>25.84</v>
      </c>
      <c r="L46" s="79">
        <f t="shared" si="2"/>
        <v>1.5500000000000007</v>
      </c>
      <c r="M46" s="79">
        <f>VLOOKUP($J46,$B:$D,2,0)*L46*IF($J46&gt;=$G$6,2,1)</f>
        <v>18910.000000000007</v>
      </c>
      <c r="N46" s="79">
        <f>SUM($M$5:$M46)</f>
        <v>204578.99999999997</v>
      </c>
    </row>
    <row r="47" spans="2:14" x14ac:dyDescent="0.15">
      <c r="B47" s="79">
        <v>43</v>
      </c>
      <c r="C47" s="79">
        <f t="shared" si="0"/>
        <v>4300</v>
      </c>
      <c r="D47" s="79">
        <f t="shared" si="1"/>
        <v>150000000</v>
      </c>
      <c r="J47" s="79">
        <v>62</v>
      </c>
      <c r="K47" s="79">
        <f>INDEX(等级时间!$U$3:$AU$203,MATCH($J47,等级时间!$U$3:$U$203,0),MATCH(K$4,等级时间!$U$3:$AU$3,0))</f>
        <v>27.47</v>
      </c>
      <c r="L47" s="79">
        <f t="shared" si="2"/>
        <v>1.629999999999999</v>
      </c>
      <c r="M47" s="79">
        <f>VLOOKUP($J47,$B:$D,2,0)*L47*IF($J47&gt;=$G$6,2,1)</f>
        <v>20211.999999999989</v>
      </c>
      <c r="N47" s="79">
        <f>SUM($M$5:$M47)</f>
        <v>224790.99999999997</v>
      </c>
    </row>
    <row r="48" spans="2:14" x14ac:dyDescent="0.15">
      <c r="B48" s="79">
        <v>44</v>
      </c>
      <c r="C48" s="79">
        <f t="shared" si="0"/>
        <v>4400</v>
      </c>
      <c r="D48" s="79">
        <f t="shared" si="1"/>
        <v>160000000</v>
      </c>
      <c r="J48" s="79">
        <v>63</v>
      </c>
      <c r="K48" s="79">
        <f>INDEX(等级时间!$U$3:$AU$203,MATCH($J48,等级时间!$U$3:$U$203,0),MATCH(K$4,等级时间!$U$3:$AU$3,0))</f>
        <v>29.19</v>
      </c>
      <c r="L48" s="79">
        <f t="shared" si="2"/>
        <v>1.7200000000000024</v>
      </c>
      <c r="M48" s="79">
        <f>VLOOKUP($J48,$B:$D,2,0)*L48*IF($J48&gt;=$G$6,2,1)</f>
        <v>21672.000000000029</v>
      </c>
      <c r="N48" s="79">
        <f>SUM($M$5:$M48)</f>
        <v>246463</v>
      </c>
    </row>
    <row r="49" spans="2:14" x14ac:dyDescent="0.15">
      <c r="B49" s="79">
        <v>45</v>
      </c>
      <c r="C49" s="79">
        <f t="shared" si="0"/>
        <v>4500</v>
      </c>
      <c r="D49" s="79">
        <f t="shared" si="1"/>
        <v>180000000</v>
      </c>
      <c r="J49" s="79">
        <v>64</v>
      </c>
      <c r="K49" s="79">
        <f>INDEX(等级时间!$U$3:$AU$203,MATCH($J49,等级时间!$U$3:$U$203,0),MATCH(K$4,等级时间!$U$3:$AU$3,0))</f>
        <v>31</v>
      </c>
      <c r="L49" s="79">
        <f t="shared" si="2"/>
        <v>1.8099999999999987</v>
      </c>
      <c r="M49" s="79">
        <f>VLOOKUP($J49,$B:$D,2,0)*L49*IF($J49&gt;=$G$6,2,1)</f>
        <v>23167.999999999985</v>
      </c>
      <c r="N49" s="79">
        <f>SUM($M$5:$M49)</f>
        <v>269631</v>
      </c>
    </row>
    <row r="50" spans="2:14" x14ac:dyDescent="0.15">
      <c r="B50" s="79">
        <v>46</v>
      </c>
      <c r="C50" s="79">
        <f t="shared" si="0"/>
        <v>4600</v>
      </c>
      <c r="D50" s="79">
        <f t="shared" si="1"/>
        <v>210000000</v>
      </c>
      <c r="J50" s="79">
        <v>65</v>
      </c>
      <c r="K50" s="79">
        <f>INDEX(等级时间!$U$3:$AU$203,MATCH($J50,等级时间!$U$3:$U$203,0),MATCH(K$4,等级时间!$U$3:$AU$3,0))</f>
        <v>32.9</v>
      </c>
      <c r="L50" s="79">
        <f t="shared" si="2"/>
        <v>1.8999999999999986</v>
      </c>
      <c r="M50" s="79">
        <f>VLOOKUP($J50,$B:$D,2,0)*L50*IF($J50&gt;=$G$6,2,1)</f>
        <v>24699.999999999982</v>
      </c>
      <c r="N50" s="79">
        <f>SUM($M$5:$M50)</f>
        <v>294331</v>
      </c>
    </row>
    <row r="51" spans="2:14" x14ac:dyDescent="0.15">
      <c r="B51" s="79">
        <v>47</v>
      </c>
      <c r="C51" s="79">
        <f t="shared" si="0"/>
        <v>4700</v>
      </c>
      <c r="D51" s="79">
        <f t="shared" si="1"/>
        <v>230000000</v>
      </c>
      <c r="J51" s="79">
        <v>66</v>
      </c>
      <c r="K51" s="79">
        <f>INDEX(等级时间!$U$3:$AU$203,MATCH($J51,等级时间!$U$3:$U$203,0),MATCH(K$4,等级时间!$U$3:$AU$3,0))</f>
        <v>34.89</v>
      </c>
      <c r="L51" s="79">
        <f t="shared" si="2"/>
        <v>1.990000000000002</v>
      </c>
      <c r="M51" s="79">
        <f>VLOOKUP($J51,$B:$D,2,0)*L51*IF($J51&gt;=$G$6,2,1)</f>
        <v>26268.000000000025</v>
      </c>
      <c r="N51" s="79">
        <f>SUM($M$5:$M51)</f>
        <v>320599</v>
      </c>
    </row>
    <row r="52" spans="2:14" x14ac:dyDescent="0.15">
      <c r="B52" s="79">
        <v>48</v>
      </c>
      <c r="C52" s="79">
        <f t="shared" si="0"/>
        <v>4800</v>
      </c>
      <c r="D52" s="79">
        <f t="shared" si="1"/>
        <v>250000000</v>
      </c>
      <c r="J52" s="79">
        <v>67</v>
      </c>
      <c r="K52" s="79">
        <f>INDEX(等级时间!$U$3:$AU$203,MATCH($J52,等级时间!$U$3:$U$203,0),MATCH(K$4,等级时间!$U$3:$AU$3,0))</f>
        <v>36.979999999999997</v>
      </c>
      <c r="L52" s="79">
        <f t="shared" si="2"/>
        <v>2.0899999999999963</v>
      </c>
      <c r="M52" s="79">
        <f>VLOOKUP($J52,$B:$D,2,0)*L52*IF($J52&gt;=$G$6,2,1)</f>
        <v>28005.999999999949</v>
      </c>
      <c r="N52" s="79">
        <f>SUM($M$5:$M52)</f>
        <v>348604.99999999994</v>
      </c>
    </row>
    <row r="53" spans="2:14" x14ac:dyDescent="0.15">
      <c r="B53" s="79">
        <v>49</v>
      </c>
      <c r="C53" s="79">
        <f t="shared" si="0"/>
        <v>4900</v>
      </c>
      <c r="D53" s="79">
        <f t="shared" si="1"/>
        <v>280000000</v>
      </c>
      <c r="J53" s="79">
        <v>68</v>
      </c>
      <c r="K53" s="79">
        <f>INDEX(等级时间!$U$3:$AU$203,MATCH($J53,等级时间!$U$3:$U$203,0),MATCH(K$4,等级时间!$U$3:$AU$3,0))</f>
        <v>39.17</v>
      </c>
      <c r="L53" s="79">
        <f t="shared" si="2"/>
        <v>2.1900000000000048</v>
      </c>
      <c r="M53" s="79">
        <f>VLOOKUP($J53,$B:$D,2,0)*L53*IF($J53&gt;=$G$6,2,1)</f>
        <v>29784.000000000065</v>
      </c>
      <c r="N53" s="79">
        <f>SUM($M$5:$M53)</f>
        <v>378389</v>
      </c>
    </row>
    <row r="54" spans="2:14" x14ac:dyDescent="0.15">
      <c r="B54" s="79">
        <v>50</v>
      </c>
      <c r="C54" s="79">
        <f t="shared" si="0"/>
        <v>5000</v>
      </c>
      <c r="D54" s="79">
        <f t="shared" si="1"/>
        <v>310000000</v>
      </c>
      <c r="J54" s="79">
        <v>69</v>
      </c>
      <c r="K54" s="79">
        <f>INDEX(等级时间!$U$3:$AU$203,MATCH($J54,等级时间!$U$3:$U$203,0),MATCH(K$4,等级时间!$U$3:$AU$3,0))</f>
        <v>41.47</v>
      </c>
      <c r="L54" s="79">
        <f t="shared" si="2"/>
        <v>2.2999999999999972</v>
      </c>
      <c r="M54" s="79">
        <f>VLOOKUP($J54,$B:$D,2,0)*L54*IF($J54&gt;=$G$6,2,1)</f>
        <v>31739.99999999996</v>
      </c>
      <c r="N54" s="79">
        <f>SUM($M$5:$M54)</f>
        <v>410128.99999999994</v>
      </c>
    </row>
    <row r="55" spans="2:14" x14ac:dyDescent="0.15">
      <c r="B55" s="79">
        <v>51</v>
      </c>
      <c r="C55" s="79">
        <f t="shared" si="0"/>
        <v>5100</v>
      </c>
      <c r="D55" s="79">
        <f t="shared" si="1"/>
        <v>350000000</v>
      </c>
      <c r="J55" s="79">
        <v>70</v>
      </c>
      <c r="K55" s="79">
        <f>INDEX(等级时间!$U$3:$AU$203,MATCH($J55,等级时间!$U$3:$U$203,0),MATCH(K$4,等级时间!$U$3:$AU$3,0))</f>
        <v>43.88</v>
      </c>
      <c r="L55" s="79">
        <f t="shared" si="2"/>
        <v>2.4100000000000037</v>
      </c>
      <c r="M55" s="79">
        <f>VLOOKUP($J55,$B:$D,2,0)*L55*IF($J55&gt;=$G$6,2,1)</f>
        <v>33740.000000000051</v>
      </c>
      <c r="N55" s="79">
        <f>SUM($M$5:$M55)</f>
        <v>443869</v>
      </c>
    </row>
    <row r="56" spans="2:14" x14ac:dyDescent="0.15">
      <c r="B56" s="79">
        <v>52</v>
      </c>
      <c r="C56" s="79">
        <f t="shared" si="0"/>
        <v>5200</v>
      </c>
      <c r="D56" s="79">
        <f t="shared" si="1"/>
        <v>380000000</v>
      </c>
      <c r="J56" s="79">
        <v>71</v>
      </c>
      <c r="K56" s="79">
        <f>INDEX(等级时间!$U$3:$AU$203,MATCH($J56,等级时间!$U$3:$U$203,0),MATCH(K$4,等级时间!$U$3:$AU$3,0))</f>
        <v>46.4</v>
      </c>
      <c r="L56" s="79">
        <f t="shared" si="2"/>
        <v>2.519999999999996</v>
      </c>
      <c r="M56" s="79">
        <f>VLOOKUP($J56,$B:$D,2,0)*L56*IF($J56&gt;=$G$6,2,1)</f>
        <v>35783.999999999942</v>
      </c>
      <c r="N56" s="79">
        <f>SUM($M$5:$M56)</f>
        <v>479652.99999999994</v>
      </c>
    </row>
    <row r="57" spans="2:14" x14ac:dyDescent="0.15">
      <c r="B57" s="79">
        <v>53</v>
      </c>
      <c r="C57" s="79">
        <f t="shared" si="0"/>
        <v>5300</v>
      </c>
      <c r="D57" s="79">
        <f t="shared" si="1"/>
        <v>420000000</v>
      </c>
      <c r="J57" s="79">
        <v>72</v>
      </c>
      <c r="K57" s="79">
        <f>INDEX(等级时间!$U$3:$AU$203,MATCH($J57,等级时间!$U$3:$U$203,0),MATCH(K$4,等级时间!$U$3:$AU$3,0))</f>
        <v>49.05</v>
      </c>
      <c r="L57" s="79">
        <f t="shared" si="2"/>
        <v>2.6499999999999986</v>
      </c>
      <c r="M57" s="79">
        <f>VLOOKUP($J57,$B:$D,2,0)*L57*IF($J57&gt;=$G$6,2,1)</f>
        <v>38159.999999999978</v>
      </c>
      <c r="N57" s="79">
        <f>SUM($M$5:$M57)</f>
        <v>517812.99999999994</v>
      </c>
    </row>
    <row r="58" spans="2:14" x14ac:dyDescent="0.15">
      <c r="B58" s="79">
        <v>54</v>
      </c>
      <c r="C58" s="79">
        <f t="shared" si="0"/>
        <v>5400</v>
      </c>
      <c r="D58" s="79">
        <f t="shared" si="1"/>
        <v>460000000</v>
      </c>
      <c r="J58" s="79">
        <v>73</v>
      </c>
      <c r="K58" s="79">
        <f>INDEX(等级时间!$U$3:$AU$203,MATCH($J58,等级时间!$U$3:$U$203,0),MATCH(K$4,等级时间!$U$3:$AU$3,0))</f>
        <v>51.81</v>
      </c>
      <c r="L58" s="79">
        <f t="shared" si="2"/>
        <v>2.7600000000000051</v>
      </c>
      <c r="M58" s="79">
        <f>VLOOKUP($J58,$B:$D,2,0)*L58*IF($J58&gt;=$G$6,2,1)</f>
        <v>40296.000000000073</v>
      </c>
      <c r="N58" s="79">
        <f>SUM($M$5:$M58)</f>
        <v>558109</v>
      </c>
    </row>
    <row r="59" spans="2:14" x14ac:dyDescent="0.15">
      <c r="B59" s="79">
        <v>55</v>
      </c>
      <c r="C59" s="79">
        <f t="shared" si="0"/>
        <v>5500</v>
      </c>
      <c r="D59" s="79">
        <f t="shared" si="1"/>
        <v>500000000</v>
      </c>
      <c r="J59" s="79">
        <v>74</v>
      </c>
      <c r="K59" s="79">
        <f>INDEX(等级时间!$U$3:$AU$203,MATCH($J59,等级时间!$U$3:$U$203,0),MATCH(K$4,等级时间!$U$3:$AU$3,0))</f>
        <v>54.7</v>
      </c>
      <c r="L59" s="79">
        <f t="shared" si="2"/>
        <v>2.8900000000000006</v>
      </c>
      <c r="M59" s="79">
        <f>VLOOKUP($J59,$B:$D,2,0)*L59*IF($J59&gt;=$G$6,2,1)</f>
        <v>42772.000000000007</v>
      </c>
      <c r="N59" s="79">
        <f>SUM($M$5:$M59)</f>
        <v>600881</v>
      </c>
    </row>
    <row r="60" spans="2:14" x14ac:dyDescent="0.15">
      <c r="B60" s="79">
        <v>56</v>
      </c>
      <c r="C60" s="79">
        <f t="shared" si="0"/>
        <v>5600</v>
      </c>
      <c r="D60" s="79">
        <f t="shared" si="1"/>
        <v>550000000</v>
      </c>
      <c r="J60" s="79">
        <v>75</v>
      </c>
      <c r="K60" s="79">
        <f>INDEX(等级时间!$U$3:$AU$203,MATCH($J60,等级时间!$U$3:$U$203,0),MATCH(K$4,等级时间!$U$3:$AU$3,0))</f>
        <v>57.73</v>
      </c>
      <c r="L60" s="79">
        <f t="shared" si="2"/>
        <v>3.029999999999994</v>
      </c>
      <c r="M60" s="79">
        <f>VLOOKUP($J60,$B:$D,2,0)*L60*IF($J60&gt;=$G$6,2,1)</f>
        <v>45449.999999999913</v>
      </c>
      <c r="N60" s="79">
        <f>SUM($M$5:$M60)</f>
        <v>646330.99999999988</v>
      </c>
    </row>
    <row r="61" spans="2:14" x14ac:dyDescent="0.15">
      <c r="B61" s="79">
        <v>57</v>
      </c>
      <c r="C61" s="79">
        <f t="shared" si="0"/>
        <v>5700</v>
      </c>
      <c r="D61" s="79">
        <f t="shared" si="1"/>
        <v>600000000</v>
      </c>
      <c r="J61" s="79">
        <v>76</v>
      </c>
      <c r="K61" s="79">
        <f>INDEX(等级时间!$U$3:$AU$203,MATCH($J61,等级时间!$U$3:$U$203,0),MATCH(K$4,等级时间!$U$3:$AU$3,0))</f>
        <v>60.89</v>
      </c>
      <c r="L61" s="79">
        <f t="shared" si="2"/>
        <v>3.1600000000000037</v>
      </c>
      <c r="M61" s="79">
        <f>VLOOKUP($J61,$B:$D,2,0)*L61*IF($J61&gt;=$G$6,2,1)</f>
        <v>48032.000000000058</v>
      </c>
      <c r="N61" s="79">
        <f>SUM($M$5:$M61)</f>
        <v>694363</v>
      </c>
    </row>
    <row r="62" spans="2:14" x14ac:dyDescent="0.15">
      <c r="B62" s="79">
        <v>58</v>
      </c>
      <c r="C62" s="79">
        <f t="shared" si="0"/>
        <v>5800</v>
      </c>
      <c r="D62" s="79">
        <f t="shared" si="1"/>
        <v>660000000</v>
      </c>
      <c r="J62" s="79">
        <v>77</v>
      </c>
      <c r="K62" s="79">
        <f>INDEX(等级时间!$U$3:$AU$203,MATCH($J62,等级时间!$U$3:$U$203,0),MATCH(K$4,等级时间!$U$3:$AU$3,0))</f>
        <v>64.180000000000007</v>
      </c>
      <c r="L62" s="79">
        <f t="shared" si="2"/>
        <v>3.2900000000000063</v>
      </c>
      <c r="M62" s="79">
        <f>VLOOKUP($J62,$B:$D,2,0)*L62*IF($J62&gt;=$G$6,2,1)</f>
        <v>50666.000000000095</v>
      </c>
      <c r="N62" s="79">
        <f>SUM($M$5:$M62)</f>
        <v>745029.00000000012</v>
      </c>
    </row>
    <row r="63" spans="2:14" x14ac:dyDescent="0.15">
      <c r="B63" s="79">
        <v>59</v>
      </c>
      <c r="C63" s="79">
        <f t="shared" si="0"/>
        <v>5900</v>
      </c>
      <c r="D63" s="79">
        <f t="shared" si="1"/>
        <v>710000000</v>
      </c>
      <c r="J63" s="79">
        <v>78</v>
      </c>
      <c r="K63" s="79">
        <f>INDEX(等级时间!$U$3:$AU$203,MATCH($J63,等级时间!$U$3:$U$203,0),MATCH(K$4,等级时间!$U$3:$AU$3,0))</f>
        <v>67.63</v>
      </c>
      <c r="L63" s="79">
        <f t="shared" si="2"/>
        <v>3.4499999999999886</v>
      </c>
      <c r="M63" s="79">
        <f>VLOOKUP($J63,$B:$D,2,0)*L63*IF($J63&gt;=$G$6,2,1)</f>
        <v>53819.999999999825</v>
      </c>
      <c r="N63" s="79">
        <f>SUM($M$5:$M63)</f>
        <v>798849</v>
      </c>
    </row>
    <row r="64" spans="2:14" x14ac:dyDescent="0.15">
      <c r="B64" s="79">
        <v>60</v>
      </c>
      <c r="C64" s="79">
        <f t="shared" si="0"/>
        <v>6000</v>
      </c>
      <c r="D64" s="79">
        <f t="shared" si="1"/>
        <v>780000000</v>
      </c>
      <c r="J64" s="79">
        <v>79</v>
      </c>
      <c r="K64" s="79">
        <f>INDEX(等级时间!$U$3:$AU$203,MATCH($J64,等级时间!$U$3:$U$203,0),MATCH(K$4,等级时间!$U$3:$AU$3,0))</f>
        <v>71.22</v>
      </c>
      <c r="L64" s="79">
        <f t="shared" si="2"/>
        <v>3.5900000000000034</v>
      </c>
      <c r="M64" s="79">
        <f>VLOOKUP($J64,$B:$D,2,0)*L64*IF($J64&gt;=$G$6,2,1)</f>
        <v>56722.000000000051</v>
      </c>
      <c r="N64" s="79">
        <f>SUM($M$5:$M64)</f>
        <v>855571</v>
      </c>
    </row>
    <row r="65" spans="2:14" x14ac:dyDescent="0.15">
      <c r="B65" s="79">
        <v>61</v>
      </c>
      <c r="C65" s="79">
        <f t="shared" si="0"/>
        <v>6100</v>
      </c>
      <c r="D65" s="79">
        <f t="shared" si="1"/>
        <v>840000000</v>
      </c>
      <c r="J65" s="79">
        <v>80</v>
      </c>
      <c r="K65" s="79">
        <f>INDEX(等级时间!$U$3:$AU$203,MATCH($J65,等级时间!$U$3:$U$203,0),MATCH(K$4,等级时间!$U$3:$AU$3,0))</f>
        <v>74.959999999999994</v>
      </c>
      <c r="L65" s="79">
        <f t="shared" si="2"/>
        <v>3.7399999999999949</v>
      </c>
      <c r="M65" s="79">
        <f>VLOOKUP($J65,$B:$D,2,0)*L65*IF($J65&gt;=$G$6,2,1)</f>
        <v>59839.99999999992</v>
      </c>
      <c r="N65" s="79">
        <f>SUM($M$5:$M65)</f>
        <v>915410.99999999988</v>
      </c>
    </row>
    <row r="66" spans="2:14" x14ac:dyDescent="0.15">
      <c r="B66" s="79">
        <v>62</v>
      </c>
      <c r="C66" s="79">
        <f t="shared" si="0"/>
        <v>6200</v>
      </c>
      <c r="D66" s="79">
        <f t="shared" si="1"/>
        <v>920000000</v>
      </c>
      <c r="J66" s="79">
        <v>81</v>
      </c>
      <c r="K66" s="79">
        <f>INDEX(等级时间!$U$3:$AU$203,MATCH($J66,等级时间!$U$3:$U$203,0),MATCH(K$4,等级时间!$U$3:$AU$3,0))</f>
        <v>78.86</v>
      </c>
      <c r="L66" s="79">
        <f t="shared" si="2"/>
        <v>3.9000000000000057</v>
      </c>
      <c r="M66" s="79">
        <f>VLOOKUP($J66,$B:$D,2,0)*L66*IF($J66&gt;=$G$6,2,1)</f>
        <v>63180.000000000095</v>
      </c>
      <c r="N66" s="79">
        <f>SUM($M$5:$M66)</f>
        <v>978591</v>
      </c>
    </row>
    <row r="67" spans="2:14" x14ac:dyDescent="0.15">
      <c r="B67" s="79">
        <v>63</v>
      </c>
      <c r="C67" s="79">
        <f t="shared" si="0"/>
        <v>6300</v>
      </c>
      <c r="D67" s="79">
        <f t="shared" si="1"/>
        <v>990000000</v>
      </c>
      <c r="J67" s="79">
        <v>82</v>
      </c>
      <c r="K67" s="79">
        <f>INDEX(等级时间!$U$3:$AU$203,MATCH($J67,等级时间!$U$3:$U$203,0),MATCH(K$4,等级时间!$U$3:$AU$3,0))</f>
        <v>82.93</v>
      </c>
      <c r="L67" s="79">
        <f t="shared" si="2"/>
        <v>4.0700000000000074</v>
      </c>
      <c r="M67" s="79">
        <f>VLOOKUP($J67,$B:$D,2,0)*L67*IF($J67&gt;=$G$6,2,1)</f>
        <v>66748.000000000116</v>
      </c>
      <c r="N67" s="79">
        <f>SUM($M$5:$M67)</f>
        <v>1045339.0000000001</v>
      </c>
    </row>
    <row r="68" spans="2:14" x14ac:dyDescent="0.15">
      <c r="B68" s="79">
        <v>64</v>
      </c>
      <c r="C68" s="79">
        <f t="shared" si="0"/>
        <v>6400</v>
      </c>
      <c r="D68" s="79">
        <f t="shared" si="1"/>
        <v>1100000000</v>
      </c>
      <c r="J68" s="79">
        <v>83</v>
      </c>
      <c r="K68" s="79">
        <f>INDEX(等级时间!$U$3:$AU$203,MATCH($J68,等级时间!$U$3:$U$203,0),MATCH(K$4,等级时间!$U$3:$AU$3,0))</f>
        <v>87.17</v>
      </c>
      <c r="L68" s="79">
        <f t="shared" si="2"/>
        <v>4.2399999999999949</v>
      </c>
      <c r="M68" s="79">
        <f>VLOOKUP($J68,$B:$D,2,0)*L68*IF($J68&gt;=$G$6,2,1)</f>
        <v>70383.999999999913</v>
      </c>
      <c r="N68" s="79">
        <f>SUM($M$5:$M68)</f>
        <v>1115723</v>
      </c>
    </row>
    <row r="69" spans="2:14" x14ac:dyDescent="0.15">
      <c r="B69" s="79">
        <v>65</v>
      </c>
      <c r="C69" s="79">
        <f t="shared" si="0"/>
        <v>6500</v>
      </c>
      <c r="D69" s="79">
        <f t="shared" si="1"/>
        <v>1200000000</v>
      </c>
      <c r="J69" s="79">
        <v>84</v>
      </c>
      <c r="K69" s="79">
        <f>INDEX(等级时间!$U$3:$AU$203,MATCH($J69,等级时间!$U$3:$U$203,0),MATCH(K$4,等级时间!$U$3:$AU$3,0))</f>
        <v>91.58</v>
      </c>
      <c r="L69" s="79">
        <f t="shared" si="2"/>
        <v>4.4099999999999966</v>
      </c>
      <c r="M69" s="79">
        <f>VLOOKUP($J69,$B:$D,2,0)*L69*IF($J69&gt;=$G$6,2,1)</f>
        <v>74087.999999999942</v>
      </c>
      <c r="N69" s="79">
        <f>SUM($M$5:$M69)</f>
        <v>1189811</v>
      </c>
    </row>
    <row r="70" spans="2:14" x14ac:dyDescent="0.15">
      <c r="B70" s="79">
        <v>66</v>
      </c>
      <c r="C70" s="79">
        <f t="shared" ref="C70:C104" si="3">$C$1*B70+$C$2</f>
        <v>6600</v>
      </c>
      <c r="D70" s="79">
        <f t="shared" ref="D70:D104" si="4">ROUND(B70^$D$1+$D$2,2-LEN(B70^$D$1+$D$2))</f>
        <v>1300000000</v>
      </c>
      <c r="J70" s="79">
        <v>85</v>
      </c>
      <c r="K70" s="79">
        <f>INDEX(等级时间!$U$3:$AU$203,MATCH($J70,等级时间!$U$3:$U$203,0),MATCH(K$4,等级时间!$U$3:$AU$3,0))</f>
        <v>96.17</v>
      </c>
      <c r="L70" s="79">
        <f t="shared" si="2"/>
        <v>4.5900000000000034</v>
      </c>
      <c r="M70" s="79">
        <f>VLOOKUP($J70,$B:$D,2,0)*L70*IF($J70&gt;=$G$6,2,1)</f>
        <v>78030.000000000058</v>
      </c>
      <c r="N70" s="79">
        <f>SUM($M$5:$M70)</f>
        <v>1267841</v>
      </c>
    </row>
    <row r="71" spans="2:14" x14ac:dyDescent="0.15">
      <c r="B71" s="79">
        <v>67</v>
      </c>
      <c r="C71" s="79">
        <f t="shared" si="3"/>
        <v>6700</v>
      </c>
      <c r="D71" s="79">
        <f t="shared" si="4"/>
        <v>1400000000</v>
      </c>
      <c r="J71" s="79">
        <v>86</v>
      </c>
      <c r="K71" s="79">
        <f>INDEX(等级时间!$U$3:$AU$203,MATCH($J71,等级时间!$U$3:$U$203,0),MATCH(K$4,等级时间!$U$3:$AU$3,0))</f>
        <v>100.95</v>
      </c>
      <c r="L71" s="79">
        <f t="shared" ref="L71:L85" si="5">K71-K70</f>
        <v>4.7800000000000011</v>
      </c>
      <c r="M71" s="79">
        <f>VLOOKUP($J71,$B:$D,2,0)*L71*IF($J71&gt;=$G$6,2,1)</f>
        <v>82216.000000000015</v>
      </c>
      <c r="N71" s="79">
        <f>SUM($M$5:$M71)</f>
        <v>1350057</v>
      </c>
    </row>
    <row r="72" spans="2:14" x14ac:dyDescent="0.15">
      <c r="B72" s="79">
        <v>68</v>
      </c>
      <c r="C72" s="79">
        <f t="shared" si="3"/>
        <v>6800</v>
      </c>
      <c r="D72" s="79">
        <f t="shared" si="4"/>
        <v>1500000000</v>
      </c>
      <c r="J72" s="79">
        <v>87</v>
      </c>
      <c r="K72" s="79">
        <f>INDEX(等级时间!$U$3:$AU$203,MATCH($J72,等级时间!$U$3:$U$203,0),MATCH(K$4,等级时间!$U$3:$AU$3,0))</f>
        <v>105.91</v>
      </c>
      <c r="L72" s="79">
        <f t="shared" si="5"/>
        <v>4.9599999999999937</v>
      </c>
      <c r="M72" s="79">
        <f>VLOOKUP($J72,$B:$D,2,0)*L72*IF($J72&gt;=$G$6,2,1)</f>
        <v>86303.999999999898</v>
      </c>
      <c r="N72" s="79">
        <f>SUM($M$5:$M72)</f>
        <v>1436361</v>
      </c>
    </row>
    <row r="73" spans="2:14" x14ac:dyDescent="0.15">
      <c r="B73" s="79">
        <v>69</v>
      </c>
      <c r="C73" s="79">
        <f t="shared" si="3"/>
        <v>6900</v>
      </c>
      <c r="D73" s="79">
        <f t="shared" si="4"/>
        <v>1600000000</v>
      </c>
      <c r="J73" s="79">
        <v>88</v>
      </c>
      <c r="K73" s="79">
        <f>INDEX(等级时间!$U$3:$AU$203,MATCH($J73,等级时间!$U$3:$U$203,0),MATCH(K$4,等级时间!$U$3:$AU$3,0))</f>
        <v>111.08</v>
      </c>
      <c r="L73" s="79">
        <f t="shared" si="5"/>
        <v>5.1700000000000017</v>
      </c>
      <c r="M73" s="79">
        <f>VLOOKUP($J73,$B:$D,2,0)*L73*IF($J73&gt;=$G$6,2,1)</f>
        <v>90992.000000000029</v>
      </c>
      <c r="N73" s="79">
        <f>SUM($M$5:$M73)</f>
        <v>1527353</v>
      </c>
    </row>
    <row r="74" spans="2:14" x14ac:dyDescent="0.15">
      <c r="B74" s="79">
        <v>70</v>
      </c>
      <c r="C74" s="79">
        <f t="shared" si="3"/>
        <v>7000</v>
      </c>
      <c r="D74" s="79">
        <f t="shared" si="4"/>
        <v>1700000000</v>
      </c>
      <c r="J74" s="79">
        <v>89</v>
      </c>
      <c r="K74" s="79">
        <f>INDEX(等级时间!$U$3:$AU$203,MATCH($J74,等级时间!$U$3:$U$203,0),MATCH(K$4,等级时间!$U$3:$AU$3,0))</f>
        <v>116.44</v>
      </c>
      <c r="L74" s="79">
        <f t="shared" si="5"/>
        <v>5.3599999999999994</v>
      </c>
      <c r="M74" s="79">
        <f>VLOOKUP($J74,$B:$D,2,0)*L74*IF($J74&gt;=$G$6,2,1)</f>
        <v>95407.999999999985</v>
      </c>
      <c r="N74" s="79">
        <f>SUM($M$5:$M74)</f>
        <v>1622761</v>
      </c>
    </row>
    <row r="75" spans="2:14" x14ac:dyDescent="0.15">
      <c r="B75" s="79">
        <v>71</v>
      </c>
      <c r="C75" s="79">
        <f t="shared" si="3"/>
        <v>7100</v>
      </c>
      <c r="D75" s="79">
        <f t="shared" si="4"/>
        <v>1800000000</v>
      </c>
      <c r="J75" s="79">
        <v>90</v>
      </c>
      <c r="K75" s="79">
        <f>INDEX(等级时间!$U$3:$AU$203,MATCH($J75,等级时间!$U$3:$U$203,0),MATCH(K$4,等级时间!$U$3:$AU$3,0))</f>
        <v>122.01</v>
      </c>
      <c r="L75" s="79">
        <f t="shared" si="5"/>
        <v>5.5700000000000074</v>
      </c>
      <c r="M75" s="79">
        <f>VLOOKUP($J75,$B:$D,2,0)*L75*IF($J75&gt;=$G$6,2,1)</f>
        <v>100260.00000000013</v>
      </c>
      <c r="N75" s="79">
        <f>SUM($M$5:$M75)</f>
        <v>1723021.0000000002</v>
      </c>
    </row>
    <row r="76" spans="2:14" x14ac:dyDescent="0.15">
      <c r="B76" s="79">
        <v>72</v>
      </c>
      <c r="C76" s="79">
        <f t="shared" si="3"/>
        <v>7200</v>
      </c>
      <c r="D76" s="79">
        <f t="shared" si="4"/>
        <v>1900000000</v>
      </c>
      <c r="J76" s="79">
        <v>91</v>
      </c>
      <c r="K76" s="79">
        <f>INDEX(等级时间!$U$3:$AU$203,MATCH($J76,等级时间!$U$3:$U$203,0),MATCH(K$4,等级时间!$U$3:$AU$3,0))</f>
        <v>127.79</v>
      </c>
      <c r="L76" s="79">
        <f t="shared" si="5"/>
        <v>5.7800000000000011</v>
      </c>
      <c r="M76" s="79">
        <f>VLOOKUP($J76,$B:$D,2,0)*L76*IF($J76&gt;=$G$6,2,1)</f>
        <v>105196.00000000001</v>
      </c>
      <c r="N76" s="79">
        <f>SUM($M$5:$M76)</f>
        <v>1828217.0000000002</v>
      </c>
    </row>
    <row r="77" spans="2:14" x14ac:dyDescent="0.15">
      <c r="B77" s="79">
        <v>73</v>
      </c>
      <c r="C77" s="79">
        <f t="shared" si="3"/>
        <v>7300</v>
      </c>
      <c r="D77" s="79">
        <f t="shared" si="4"/>
        <v>2100000000</v>
      </c>
      <c r="J77" s="79">
        <v>92</v>
      </c>
      <c r="K77" s="79">
        <f>INDEX(等级时间!$U$3:$AU$203,MATCH($J77,等级时间!$U$3:$U$203,0),MATCH(K$4,等级时间!$U$3:$AU$3,0))</f>
        <v>133.80000000000001</v>
      </c>
      <c r="L77" s="79">
        <f t="shared" si="5"/>
        <v>6.0100000000000051</v>
      </c>
      <c r="M77" s="79">
        <f>VLOOKUP($J77,$B:$D,2,0)*L77*IF($J77&gt;=$G$6,2,1)</f>
        <v>110584.00000000009</v>
      </c>
      <c r="N77" s="79">
        <f>SUM($M$5:$M77)</f>
        <v>1938801.0000000002</v>
      </c>
    </row>
    <row r="78" spans="2:14" x14ac:dyDescent="0.15">
      <c r="B78" s="79">
        <v>74</v>
      </c>
      <c r="C78" s="79">
        <f t="shared" si="3"/>
        <v>7400</v>
      </c>
      <c r="D78" s="79">
        <f t="shared" si="4"/>
        <v>2200000000</v>
      </c>
      <c r="J78" s="79">
        <v>93</v>
      </c>
      <c r="K78" s="79">
        <f>INDEX(等级时间!$U$3:$AU$203,MATCH($J78,等级时间!$U$3:$U$203,0),MATCH(K$4,等级时间!$U$3:$AU$3,0))</f>
        <v>140.03</v>
      </c>
      <c r="L78" s="79">
        <f t="shared" si="5"/>
        <v>6.2299999999999898</v>
      </c>
      <c r="M78" s="79">
        <f>VLOOKUP($J78,$B:$D,2,0)*L78*IF($J78&gt;=$G$6,2,1)</f>
        <v>115877.99999999981</v>
      </c>
      <c r="N78" s="79">
        <f>SUM($M$5:$M78)</f>
        <v>2054679</v>
      </c>
    </row>
    <row r="79" spans="2:14" x14ac:dyDescent="0.15">
      <c r="B79" s="79">
        <v>75</v>
      </c>
      <c r="C79" s="79">
        <f t="shared" si="3"/>
        <v>7500</v>
      </c>
      <c r="D79" s="79">
        <f t="shared" si="4"/>
        <v>2400000000</v>
      </c>
      <c r="J79" s="79">
        <v>94</v>
      </c>
      <c r="K79" s="79">
        <f>INDEX(等级时间!$U$3:$AU$203,MATCH($J79,等级时间!$U$3:$U$203,0),MATCH(K$4,等级时间!$U$3:$AU$3,0))</f>
        <v>146.47999999999999</v>
      </c>
      <c r="L79" s="79">
        <f t="shared" si="5"/>
        <v>6.4499999999999886</v>
      </c>
      <c r="M79" s="79">
        <f>VLOOKUP($J79,$B:$D,2,0)*L79*IF($J79&gt;=$G$6,2,1)</f>
        <v>121259.99999999978</v>
      </c>
      <c r="N79" s="79">
        <f>SUM($M$5:$M79)</f>
        <v>2175939</v>
      </c>
    </row>
    <row r="80" spans="2:14" x14ac:dyDescent="0.15">
      <c r="B80" s="79">
        <v>76</v>
      </c>
      <c r="C80" s="79">
        <f t="shared" si="3"/>
        <v>7600</v>
      </c>
      <c r="D80" s="79">
        <f t="shared" si="4"/>
        <v>2500000000</v>
      </c>
      <c r="J80" s="79">
        <v>95</v>
      </c>
      <c r="K80" s="79">
        <f>INDEX(等级时间!$U$3:$AU$203,MATCH($J80,等级时间!$U$3:$U$203,0),MATCH(K$4,等级时间!$U$3:$AU$3,0))</f>
        <v>153.18</v>
      </c>
      <c r="L80" s="79">
        <f t="shared" si="5"/>
        <v>6.7000000000000171</v>
      </c>
      <c r="M80" s="79">
        <f>VLOOKUP($J80,$B:$D,2,0)*L80*IF($J80&gt;=$G$6,2,1)</f>
        <v>127300.00000000032</v>
      </c>
      <c r="N80" s="79">
        <f>SUM($M$5:$M80)</f>
        <v>2303239.0000000005</v>
      </c>
    </row>
    <row r="81" spans="2:14" x14ac:dyDescent="0.15">
      <c r="B81" s="79">
        <v>77</v>
      </c>
      <c r="C81" s="79">
        <f t="shared" si="3"/>
        <v>7700</v>
      </c>
      <c r="D81" s="79">
        <f t="shared" si="4"/>
        <v>2700000000</v>
      </c>
      <c r="J81" s="79">
        <v>96</v>
      </c>
      <c r="K81" s="79">
        <f>INDEX(等级时间!$U$3:$AU$203,MATCH($J81,等级时间!$U$3:$U$203,0),MATCH(K$4,等级时间!$U$3:$AU$3,0))</f>
        <v>160.12</v>
      </c>
      <c r="L81" s="79">
        <f t="shared" si="5"/>
        <v>6.9399999999999977</v>
      </c>
      <c r="M81" s="79">
        <f>VLOOKUP($J81,$B:$D,2,0)*L81*IF($J81&gt;=$G$6,2,1)</f>
        <v>133247.99999999994</v>
      </c>
      <c r="N81" s="79">
        <f>SUM($M$5:$M81)</f>
        <v>2436487.0000000005</v>
      </c>
    </row>
    <row r="82" spans="2:14" x14ac:dyDescent="0.15">
      <c r="B82" s="79">
        <v>78</v>
      </c>
      <c r="C82" s="79">
        <f t="shared" si="3"/>
        <v>7800</v>
      </c>
      <c r="D82" s="79">
        <f t="shared" si="4"/>
        <v>2900000000</v>
      </c>
      <c r="J82" s="79">
        <v>97</v>
      </c>
      <c r="K82" s="79">
        <f>INDEX(等级时间!$U$3:$AU$203,MATCH($J82,等级时间!$U$3:$U$203,0),MATCH(K$4,等级时间!$U$3:$AU$3,0))</f>
        <v>167.31</v>
      </c>
      <c r="L82" s="79">
        <f t="shared" si="5"/>
        <v>7.1899999999999977</v>
      </c>
      <c r="M82" s="79">
        <f>VLOOKUP($J82,$B:$D,2,0)*L82*IF($J82&gt;=$G$6,2,1)</f>
        <v>139485.99999999994</v>
      </c>
      <c r="N82" s="79">
        <f>SUM($M$5:$M82)</f>
        <v>2575973.0000000005</v>
      </c>
    </row>
    <row r="83" spans="2:14" x14ac:dyDescent="0.15">
      <c r="B83" s="79">
        <v>79</v>
      </c>
      <c r="C83" s="79">
        <f t="shared" si="3"/>
        <v>7900</v>
      </c>
      <c r="D83" s="79">
        <f t="shared" si="4"/>
        <v>3100000000</v>
      </c>
      <c r="J83" s="79">
        <v>98</v>
      </c>
      <c r="K83" s="79">
        <f>INDEX(等级时间!$U$3:$AU$203,MATCH($J83,等级时间!$U$3:$U$203,0),MATCH(K$4,等级时间!$U$3:$AU$3,0))</f>
        <v>174.76</v>
      </c>
      <c r="L83" s="79">
        <f t="shared" si="5"/>
        <v>7.4499999999999886</v>
      </c>
      <c r="M83" s="79">
        <f>VLOOKUP($J83,$B:$D,2,0)*L83*IF($J83&gt;=$G$6,2,1)</f>
        <v>146019.99999999977</v>
      </c>
      <c r="N83" s="79">
        <f>SUM($M$5:$M83)</f>
        <v>2721993</v>
      </c>
    </row>
    <row r="84" spans="2:14" x14ac:dyDescent="0.15">
      <c r="B84" s="79">
        <v>80</v>
      </c>
      <c r="C84" s="79">
        <f t="shared" si="3"/>
        <v>8000</v>
      </c>
      <c r="D84" s="79">
        <f t="shared" si="4"/>
        <v>3300000000</v>
      </c>
      <c r="J84" s="79">
        <v>99</v>
      </c>
      <c r="K84" s="79">
        <f>INDEX(等级时间!$U$3:$AU$203,MATCH($J84,等级时间!$U$3:$U$203,0),MATCH(K$4,等级时间!$U$3:$AU$3,0))</f>
        <v>182.47</v>
      </c>
      <c r="L84" s="79">
        <f t="shared" si="5"/>
        <v>7.710000000000008</v>
      </c>
      <c r="M84" s="79">
        <f>VLOOKUP($J84,$B:$D,2,0)*L84*IF($J84&gt;=$G$6,2,1)</f>
        <v>152658.00000000015</v>
      </c>
      <c r="N84" s="79">
        <f>SUM($M$5:$M84)</f>
        <v>2874651</v>
      </c>
    </row>
    <row r="85" spans="2:14" x14ac:dyDescent="0.15">
      <c r="B85" s="79">
        <v>81</v>
      </c>
      <c r="C85" s="79">
        <f t="shared" si="3"/>
        <v>8100</v>
      </c>
      <c r="D85" s="79">
        <f t="shared" si="4"/>
        <v>3500000000</v>
      </c>
      <c r="J85" s="79">
        <v>100</v>
      </c>
      <c r="K85" s="79">
        <f>INDEX(等级时间!$U$3:$AU$203,MATCH($J85,等级时间!$U$3:$U$203,0),MATCH(K$4,等级时间!$U$3:$AU$3,0))</f>
        <v>190.45</v>
      </c>
      <c r="L85" s="79">
        <f t="shared" si="5"/>
        <v>7.9799999999999898</v>
      </c>
      <c r="M85" s="79">
        <f>VLOOKUP($J85,$B:$D,2,0)*L85*IF($J85&gt;=$G$6,2,1)</f>
        <v>159599.9999999998</v>
      </c>
      <c r="N85" s="79">
        <f>SUM($M$5:$M85)</f>
        <v>3034251</v>
      </c>
    </row>
    <row r="86" spans="2:14" x14ac:dyDescent="0.15">
      <c r="B86" s="79">
        <v>82</v>
      </c>
      <c r="C86" s="79">
        <f t="shared" si="3"/>
        <v>8200</v>
      </c>
      <c r="D86" s="79">
        <f t="shared" si="4"/>
        <v>3700000000</v>
      </c>
    </row>
    <row r="87" spans="2:14" x14ac:dyDescent="0.15">
      <c r="B87" s="79">
        <v>83</v>
      </c>
      <c r="C87" s="79">
        <f t="shared" si="3"/>
        <v>8300</v>
      </c>
      <c r="D87" s="79">
        <f t="shared" si="4"/>
        <v>3900000000</v>
      </c>
    </row>
    <row r="88" spans="2:14" x14ac:dyDescent="0.15">
      <c r="B88" s="79">
        <v>84</v>
      </c>
      <c r="C88" s="79">
        <f t="shared" si="3"/>
        <v>8400</v>
      </c>
      <c r="D88" s="79">
        <f t="shared" si="4"/>
        <v>4200000000</v>
      </c>
    </row>
    <row r="89" spans="2:14" x14ac:dyDescent="0.15">
      <c r="B89" s="79">
        <v>85</v>
      </c>
      <c r="C89" s="79">
        <f t="shared" si="3"/>
        <v>8500</v>
      </c>
      <c r="D89" s="79">
        <f t="shared" si="4"/>
        <v>4400000000</v>
      </c>
    </row>
    <row r="90" spans="2:14" x14ac:dyDescent="0.15">
      <c r="B90" s="79">
        <v>86</v>
      </c>
      <c r="C90" s="79">
        <f t="shared" si="3"/>
        <v>8600</v>
      </c>
      <c r="D90" s="79">
        <f t="shared" si="4"/>
        <v>4700000000</v>
      </c>
    </row>
    <row r="91" spans="2:14" x14ac:dyDescent="0.15">
      <c r="B91" s="79">
        <v>87</v>
      </c>
      <c r="C91" s="79">
        <f t="shared" si="3"/>
        <v>8700</v>
      </c>
      <c r="D91" s="79">
        <f t="shared" si="4"/>
        <v>5000000000</v>
      </c>
    </row>
    <row r="92" spans="2:14" x14ac:dyDescent="0.15">
      <c r="B92" s="79">
        <v>88</v>
      </c>
      <c r="C92" s="79">
        <f t="shared" si="3"/>
        <v>8800</v>
      </c>
      <c r="D92" s="79">
        <f t="shared" si="4"/>
        <v>5300000000</v>
      </c>
    </row>
    <row r="93" spans="2:14" x14ac:dyDescent="0.15">
      <c r="B93" s="79">
        <v>89</v>
      </c>
      <c r="C93" s="79">
        <f t="shared" si="3"/>
        <v>8900</v>
      </c>
      <c r="D93" s="79">
        <f t="shared" si="4"/>
        <v>5600000000</v>
      </c>
    </row>
    <row r="94" spans="2:14" x14ac:dyDescent="0.15">
      <c r="B94" s="79">
        <v>90</v>
      </c>
      <c r="C94" s="79">
        <f t="shared" si="3"/>
        <v>9000</v>
      </c>
      <c r="D94" s="79">
        <f t="shared" si="4"/>
        <v>5900000000</v>
      </c>
    </row>
    <row r="95" spans="2:14" x14ac:dyDescent="0.15">
      <c r="B95" s="79">
        <v>91</v>
      </c>
      <c r="C95" s="79">
        <f t="shared" si="3"/>
        <v>9100</v>
      </c>
      <c r="D95" s="79">
        <f t="shared" si="4"/>
        <v>6200000000</v>
      </c>
    </row>
    <row r="96" spans="2:14" x14ac:dyDescent="0.15">
      <c r="B96" s="79">
        <v>92</v>
      </c>
      <c r="C96" s="79">
        <f t="shared" si="3"/>
        <v>9200</v>
      </c>
      <c r="D96" s="79">
        <f t="shared" si="4"/>
        <v>6600000000</v>
      </c>
    </row>
    <row r="97" spans="2:4" x14ac:dyDescent="0.15">
      <c r="B97" s="79">
        <v>93</v>
      </c>
      <c r="C97" s="79">
        <f t="shared" si="3"/>
        <v>9300</v>
      </c>
      <c r="D97" s="79">
        <f t="shared" si="4"/>
        <v>7000000000</v>
      </c>
    </row>
    <row r="98" spans="2:4" x14ac:dyDescent="0.15">
      <c r="B98" s="79">
        <v>94</v>
      </c>
      <c r="C98" s="79">
        <f t="shared" si="3"/>
        <v>9400</v>
      </c>
      <c r="D98" s="79">
        <f t="shared" si="4"/>
        <v>7300000000</v>
      </c>
    </row>
    <row r="99" spans="2:4" x14ac:dyDescent="0.15">
      <c r="B99" s="79">
        <v>95</v>
      </c>
      <c r="C99" s="79">
        <f t="shared" si="3"/>
        <v>9500</v>
      </c>
      <c r="D99" s="79">
        <f t="shared" si="4"/>
        <v>7700000000</v>
      </c>
    </row>
    <row r="100" spans="2:4" x14ac:dyDescent="0.15">
      <c r="B100" s="79">
        <v>96</v>
      </c>
      <c r="C100" s="79">
        <f t="shared" si="3"/>
        <v>9600</v>
      </c>
      <c r="D100" s="79">
        <f t="shared" si="4"/>
        <v>8200000000</v>
      </c>
    </row>
    <row r="101" spans="2:4" x14ac:dyDescent="0.15">
      <c r="B101" s="79">
        <v>97</v>
      </c>
      <c r="C101" s="79">
        <f t="shared" si="3"/>
        <v>9700</v>
      </c>
      <c r="D101" s="79">
        <f t="shared" si="4"/>
        <v>8600000000</v>
      </c>
    </row>
    <row r="102" spans="2:4" x14ac:dyDescent="0.15">
      <c r="B102" s="79">
        <v>98</v>
      </c>
      <c r="C102" s="79">
        <f t="shared" si="3"/>
        <v>9800</v>
      </c>
      <c r="D102" s="79">
        <f t="shared" si="4"/>
        <v>9000000000</v>
      </c>
    </row>
    <row r="103" spans="2:4" x14ac:dyDescent="0.15">
      <c r="B103" s="79">
        <v>99</v>
      </c>
      <c r="C103" s="79">
        <f t="shared" si="3"/>
        <v>9900</v>
      </c>
      <c r="D103" s="79">
        <f t="shared" si="4"/>
        <v>9500000000</v>
      </c>
    </row>
    <row r="104" spans="2:4" x14ac:dyDescent="0.15">
      <c r="B104" s="79">
        <v>100</v>
      </c>
      <c r="C104" s="79">
        <f t="shared" si="3"/>
        <v>10000</v>
      </c>
      <c r="D104" s="79">
        <f t="shared" si="4"/>
        <v>10000000000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"/>
  <sheetViews>
    <sheetView tabSelected="1" workbookViewId="0">
      <pane ySplit="24" topLeftCell="A52" activePane="bottomLeft" state="frozen"/>
      <selection pane="bottomLeft" activeCell="H66" sqref="H66"/>
    </sheetView>
  </sheetViews>
  <sheetFormatPr defaultRowHeight="16.5" x14ac:dyDescent="0.15"/>
  <cols>
    <col min="1" max="2" width="9" style="72"/>
    <col min="3" max="3" width="11.375" style="72" bestFit="1" customWidth="1"/>
    <col min="4" max="4" width="12.75" style="72" bestFit="1" customWidth="1"/>
    <col min="5" max="5" width="9.5" style="90" bestFit="1" customWidth="1"/>
    <col min="6" max="6" width="15.375" style="72" bestFit="1" customWidth="1"/>
    <col min="7" max="7" width="11.75" style="72" bestFit="1" customWidth="1"/>
    <col min="8" max="8" width="16.5" style="72" bestFit="1" customWidth="1"/>
    <col min="9" max="9" width="12.875" style="72" bestFit="1" customWidth="1"/>
    <col min="10" max="15" width="9" style="72"/>
    <col min="16" max="16" width="11.375" style="72" bestFit="1" customWidth="1"/>
    <col min="17" max="17" width="15" style="72" bestFit="1" customWidth="1"/>
    <col min="18" max="18" width="11.375" style="72" bestFit="1" customWidth="1"/>
    <col min="19" max="16384" width="9" style="72"/>
  </cols>
  <sheetData>
    <row r="1" spans="2:18" x14ac:dyDescent="0.15">
      <c r="B1" s="72" t="s">
        <v>295</v>
      </c>
      <c r="C1" s="72">
        <v>10000</v>
      </c>
      <c r="D1" s="72">
        <v>5</v>
      </c>
      <c r="E1" s="90">
        <v>3.5</v>
      </c>
    </row>
    <row r="2" spans="2:18" x14ac:dyDescent="0.15">
      <c r="B2" s="72" t="s">
        <v>296</v>
      </c>
      <c r="C2" s="72">
        <v>0</v>
      </c>
      <c r="D2" s="72">
        <v>100</v>
      </c>
      <c r="E2" s="90">
        <v>10</v>
      </c>
    </row>
    <row r="3" spans="2:18" x14ac:dyDescent="0.15">
      <c r="D3" s="88"/>
      <c r="E3" s="91" t="s">
        <v>297</v>
      </c>
      <c r="F3" s="88"/>
      <c r="H3" s="88"/>
    </row>
    <row r="4" spans="2:18" x14ac:dyDescent="0.15">
      <c r="B4" s="79" t="s">
        <v>287</v>
      </c>
      <c r="C4" s="79" t="s">
        <v>288</v>
      </c>
      <c r="D4" s="79" t="s">
        <v>1</v>
      </c>
      <c r="E4" s="92" t="s">
        <v>148</v>
      </c>
      <c r="F4" s="79" t="s">
        <v>313</v>
      </c>
      <c r="G4" s="79" t="s">
        <v>312</v>
      </c>
      <c r="H4" s="79" t="s">
        <v>314</v>
      </c>
      <c r="I4" s="79" t="s">
        <v>315</v>
      </c>
      <c r="J4" s="89"/>
      <c r="L4" s="79" t="s">
        <v>298</v>
      </c>
      <c r="N4" s="79" t="s">
        <v>9</v>
      </c>
      <c r="O4" s="79" t="s">
        <v>34</v>
      </c>
      <c r="P4" s="79" t="s">
        <v>309</v>
      </c>
      <c r="Q4" s="79" t="s">
        <v>307</v>
      </c>
      <c r="R4" s="79" t="s">
        <v>308</v>
      </c>
    </row>
    <row r="5" spans="2:18" x14ac:dyDescent="0.15">
      <c r="B5" s="79">
        <v>1</v>
      </c>
      <c r="C5" s="79">
        <f>$C$1*B5+$C$2</f>
        <v>10000</v>
      </c>
      <c r="D5" s="79">
        <f>ROUND($B5^D$1+D$2,2-LEN($B5^D$1+D$2))</f>
        <v>100</v>
      </c>
      <c r="E5" s="92">
        <f>ROUND(B5^E$1+E$2,IF(LEN(INT(B5^E$1+E$2))&lt;3,1-LEN(INT(B5^E$1+E$2)),2-LEN(INT(B5^E$1+E$2))))</f>
        <v>10</v>
      </c>
      <c r="F5" s="79">
        <f t="array" ref="F5">MIN(IF(树木!$N$5:$N$85&gt;=旅店!$E5,树木!$K$5:$K$85))</f>
        <v>0.02</v>
      </c>
      <c r="G5" s="79">
        <f t="array" ref="G5">MIN(IF(树木!$N$5:$N$85&gt;=旅店!$E5,树木!$J$5:$J$85))</f>
        <v>20</v>
      </c>
      <c r="H5" s="79">
        <f t="array" ref="H5">MIN(IF(树木!$S$5:$S$85&gt;=旅店!$E5,树木!$P$5:$P$85))</f>
        <v>0.01</v>
      </c>
      <c r="I5" s="79">
        <f t="array" ref="I5">MIN(IF(树木!$S$5:$S$85&gt;=旅店!$E5,树木!$J$5:$J$85))</f>
        <v>20</v>
      </c>
      <c r="J5" s="89"/>
      <c r="L5" s="79">
        <v>6</v>
      </c>
      <c r="N5" s="79">
        <v>20</v>
      </c>
      <c r="O5" s="79">
        <f>INDEX(等级时间!$U$3:$AU$203,MATCH($N5,等级时间!$U$3:$U$203,0),MATCH(O$4,等级时间!$U$3:$AU$3,0))</f>
        <v>0.02</v>
      </c>
      <c r="P5" s="79">
        <f>O5</f>
        <v>0.02</v>
      </c>
      <c r="Q5" s="79">
        <f>VLOOKUP($N5,$B:$E,2,0)*P5*IF($N5&gt;=$L$6,2,1)</f>
        <v>8000</v>
      </c>
      <c r="R5" s="79">
        <f>SUM($Q$5:$Q5)</f>
        <v>8000</v>
      </c>
    </row>
    <row r="6" spans="2:18" x14ac:dyDescent="0.15">
      <c r="B6" s="79">
        <v>2</v>
      </c>
      <c r="C6" s="79">
        <f t="shared" ref="C6:C69" si="0">$C$1*B6+$C$2</f>
        <v>20000</v>
      </c>
      <c r="D6" s="79">
        <f>ROUND($B6^D$1+D$2,2-LEN($B6^D$1+D$2))</f>
        <v>130</v>
      </c>
      <c r="E6" s="92">
        <f t="shared" ref="E6:E69" si="1">ROUND(B6^E$1+E$2,IF(LEN(INT(B6^E$1+E$2))&lt;3,1-LEN(INT(B6^E$1+E$2)),2-LEN(INT(B6^E$1+E$2))))</f>
        <v>20</v>
      </c>
      <c r="F6" s="79">
        <f t="array" ref="F6">MIN(IF(树木!$N$5:$N$85&gt;=旅店!$E6,树木!$K$5:$K$85))</f>
        <v>0.02</v>
      </c>
      <c r="G6" s="79">
        <f t="array" ref="G6">MIN(IF(树木!$N$5:$N$85&gt;=旅店!$E6,树木!$J$5:$J$85))</f>
        <v>20</v>
      </c>
      <c r="H6" s="79">
        <f t="array" ref="H6">MIN(IF(树木!$S$5:$S$85&gt;=旅店!$E6,树木!$P$5:$P$85))</f>
        <v>0.01</v>
      </c>
      <c r="I6" s="79">
        <f t="array" ref="I6">MIN(IF(树木!$S$5:$S$85&gt;=旅店!$E6,树木!$J$5:$J$85))</f>
        <v>20</v>
      </c>
      <c r="J6" s="89"/>
      <c r="L6" s="79">
        <v>20</v>
      </c>
      <c r="N6" s="79">
        <v>21</v>
      </c>
      <c r="O6" s="79">
        <f>INDEX(等级时间!$U$3:$AU$203,MATCH($N6,等级时间!$U$3:$U$203,0),MATCH(O$4,等级时间!$U$3:$AU$3,0))</f>
        <v>0.14000000000000001</v>
      </c>
      <c r="P6" s="79">
        <f>O6-O5</f>
        <v>0.12000000000000001</v>
      </c>
      <c r="Q6" s="79">
        <f>VLOOKUP($N6,$B:$E,2,0)*P6*IF($N6&gt;=$L$6,2,1)</f>
        <v>50400.000000000007</v>
      </c>
      <c r="R6" s="79">
        <f>SUM($Q$5:$Q6)</f>
        <v>58400.000000000007</v>
      </c>
    </row>
    <row r="7" spans="2:18" x14ac:dyDescent="0.15">
      <c r="B7" s="79">
        <v>3</v>
      </c>
      <c r="C7" s="79">
        <f t="shared" si="0"/>
        <v>30000</v>
      </c>
      <c r="D7" s="79">
        <f t="shared" ref="D7:D70" si="2">ROUND($B7^D$1+D$2,2-LEN($B7^D$1+D$2))</f>
        <v>340</v>
      </c>
      <c r="E7" s="92">
        <f t="shared" si="1"/>
        <v>60</v>
      </c>
      <c r="F7" s="79">
        <f t="array" ref="F7">MIN(IF(树木!$N$5:$N$85&gt;=旅店!$E7,树木!$K$5:$K$85))</f>
        <v>0.14000000000000001</v>
      </c>
      <c r="G7" s="79">
        <f t="array" ref="G7">MIN(IF(树木!$N$5:$N$85&gt;=旅店!$E7,树木!$J$5:$J$85))</f>
        <v>21</v>
      </c>
      <c r="H7" s="79">
        <f t="array" ref="H7">MIN(IF(树木!$S$5:$S$85&gt;=旅店!$E7,树木!$P$5:$P$85))</f>
        <v>0.06</v>
      </c>
      <c r="I7" s="79">
        <f t="array" ref="I7">MIN(IF(树木!$S$5:$S$85&gt;=旅店!$E7,树木!$J$5:$J$85))</f>
        <v>21</v>
      </c>
      <c r="J7" s="89"/>
      <c r="L7" s="79">
        <v>60</v>
      </c>
      <c r="N7" s="79">
        <v>22</v>
      </c>
      <c r="O7" s="79">
        <f>INDEX(等级时间!$U$3:$AU$203,MATCH($N7,等级时间!$U$3:$U$203,0),MATCH(O$4,等级时间!$U$3:$AU$3,0))</f>
        <v>0.27</v>
      </c>
      <c r="P7" s="79">
        <f t="shared" ref="P7:P70" si="3">O7-O6</f>
        <v>0.13</v>
      </c>
      <c r="Q7" s="79">
        <f>VLOOKUP($N7,$B:$E,2,0)*P7*IF($N7&gt;=$L$6,2,1)</f>
        <v>57200</v>
      </c>
      <c r="R7" s="79">
        <f>SUM($Q$5:$Q7)</f>
        <v>115600</v>
      </c>
    </row>
    <row r="8" spans="2:18" x14ac:dyDescent="0.15">
      <c r="B8" s="79">
        <v>4</v>
      </c>
      <c r="C8" s="79">
        <f t="shared" si="0"/>
        <v>40000</v>
      </c>
      <c r="D8" s="79">
        <f t="shared" si="2"/>
        <v>1100</v>
      </c>
      <c r="E8" s="92">
        <f t="shared" si="1"/>
        <v>140</v>
      </c>
      <c r="F8" s="79">
        <f t="array" ref="F8">MIN(IF(树木!$N$5:$N$85&gt;=旅店!$E8,树木!$K$5:$K$85))</f>
        <v>0.14000000000000001</v>
      </c>
      <c r="G8" s="79">
        <f t="array" ref="G8">MIN(IF(树木!$N$5:$N$85&gt;=旅店!$E8,树木!$J$5:$J$85))</f>
        <v>21</v>
      </c>
      <c r="H8" s="79">
        <f t="array" ref="H8">MIN(IF(树木!$S$5:$S$85&gt;=旅店!$E8,树木!$P$5:$P$85))</f>
        <v>0.11</v>
      </c>
      <c r="I8" s="79">
        <f t="array" ref="I8">MIN(IF(树木!$S$5:$S$85&gt;=旅店!$E8,树木!$J$5:$J$85))</f>
        <v>22</v>
      </c>
      <c r="J8" s="89"/>
      <c r="N8" s="79">
        <v>23</v>
      </c>
      <c r="O8" s="79">
        <f>INDEX(等级时间!$U$3:$AU$203,MATCH($N8,等级时间!$U$3:$U$203,0),MATCH(O$4,等级时间!$U$3:$AU$3,0))</f>
        <v>0.42</v>
      </c>
      <c r="P8" s="79">
        <f t="shared" si="3"/>
        <v>0.14999999999999997</v>
      </c>
      <c r="Q8" s="79">
        <f>VLOOKUP($N8,$B:$E,2,0)*P8*IF($N8&gt;=$L$6,2,1)</f>
        <v>68999.999999999985</v>
      </c>
      <c r="R8" s="79">
        <f>SUM($Q$5:$Q8)</f>
        <v>184600</v>
      </c>
    </row>
    <row r="9" spans="2:18" x14ac:dyDescent="0.15">
      <c r="B9" s="79">
        <v>5</v>
      </c>
      <c r="C9" s="79">
        <f t="shared" si="0"/>
        <v>50000</v>
      </c>
      <c r="D9" s="79">
        <f t="shared" si="2"/>
        <v>3200</v>
      </c>
      <c r="E9" s="92">
        <f t="shared" si="1"/>
        <v>290</v>
      </c>
      <c r="F9" s="79">
        <f t="array" ref="F9">MIN(IF(树木!$N$5:$N$85&gt;=旅店!$E9,树木!$K$5:$K$85))</f>
        <v>0.14000000000000001</v>
      </c>
      <c r="G9" s="79">
        <f t="array" ref="G9">MIN(IF(树木!$N$5:$N$85&gt;=旅店!$E9,树木!$J$5:$J$85))</f>
        <v>21</v>
      </c>
      <c r="H9" s="79">
        <f t="array" ref="H9">MIN(IF(树木!$S$5:$S$85&gt;=旅店!$E9,树木!$P$5:$P$85))</f>
        <v>0.18</v>
      </c>
      <c r="I9" s="79">
        <f t="array" ref="I9">MIN(IF(树木!$S$5:$S$85&gt;=旅店!$E9,树木!$J$5:$J$85))</f>
        <v>23</v>
      </c>
      <c r="J9" s="89"/>
      <c r="N9" s="79">
        <v>24</v>
      </c>
      <c r="O9" s="79">
        <f>INDEX(等级时间!$U$3:$AU$203,MATCH($N9,等级时间!$U$3:$U$203,0),MATCH(O$4,等级时间!$U$3:$AU$3,0))</f>
        <v>0.59</v>
      </c>
      <c r="P9" s="79">
        <f t="shared" si="3"/>
        <v>0.16999999999999998</v>
      </c>
      <c r="Q9" s="79">
        <f>VLOOKUP($N9,$B:$E,2,0)*P9*IF($N9&gt;=$L$6,2,1)</f>
        <v>81599.999999999985</v>
      </c>
      <c r="R9" s="79">
        <f>SUM($Q$5:$Q9)</f>
        <v>266200</v>
      </c>
    </row>
    <row r="10" spans="2:18" x14ac:dyDescent="0.15">
      <c r="B10" s="79">
        <v>6</v>
      </c>
      <c r="C10" s="79">
        <f t="shared" si="0"/>
        <v>60000</v>
      </c>
      <c r="D10" s="79">
        <f t="shared" si="2"/>
        <v>7900</v>
      </c>
      <c r="E10" s="92">
        <f t="shared" si="1"/>
        <v>540</v>
      </c>
      <c r="F10" s="79">
        <f t="array" ref="F10">MIN(IF(树木!$N$5:$N$85&gt;=旅店!$E10,树木!$K$5:$K$85))</f>
        <v>0.27</v>
      </c>
      <c r="G10" s="79">
        <f t="array" ref="G10">MIN(IF(树木!$N$5:$N$85&gt;=旅店!$E10,树木!$J$5:$J$85))</f>
        <v>22</v>
      </c>
      <c r="H10" s="79">
        <f t="array" ref="H10">MIN(IF(树木!$S$5:$S$85&gt;=旅店!$E10,树木!$P$5:$P$85))</f>
        <v>0.25</v>
      </c>
      <c r="I10" s="79">
        <f t="array" ref="I10">MIN(IF(树木!$S$5:$S$85&gt;=旅店!$E10,树木!$J$5:$J$85))</f>
        <v>24</v>
      </c>
      <c r="J10" s="89"/>
      <c r="N10" s="79">
        <v>25</v>
      </c>
      <c r="O10" s="79">
        <f>INDEX(等级时间!$U$3:$AU$203,MATCH($N10,等级时间!$U$3:$U$203,0),MATCH(O$4,等级时间!$U$3:$AU$3,0))</f>
        <v>0.77</v>
      </c>
      <c r="P10" s="79">
        <f t="shared" si="3"/>
        <v>0.18000000000000005</v>
      </c>
      <c r="Q10" s="79">
        <f>VLOOKUP($N10,$B:$E,2,0)*P10*IF($N10&gt;=$L$6,2,1)</f>
        <v>90000.000000000029</v>
      </c>
      <c r="R10" s="79">
        <f>SUM($Q$5:$Q10)</f>
        <v>356200</v>
      </c>
    </row>
    <row r="11" spans="2:18" x14ac:dyDescent="0.15">
      <c r="B11" s="79">
        <v>7</v>
      </c>
      <c r="C11" s="79">
        <f t="shared" si="0"/>
        <v>70000</v>
      </c>
      <c r="D11" s="79">
        <f t="shared" si="2"/>
        <v>17000</v>
      </c>
      <c r="E11" s="92">
        <f t="shared" si="1"/>
        <v>920</v>
      </c>
      <c r="F11" s="79">
        <f t="array" ref="F11">MIN(IF(树木!$N$5:$N$85&gt;=旅店!$E11,树木!$K$5:$K$85))</f>
        <v>0.42</v>
      </c>
      <c r="G11" s="79">
        <f t="array" ref="G11">MIN(IF(树木!$N$5:$N$85&gt;=旅店!$E11,树木!$J$5:$J$85))</f>
        <v>23</v>
      </c>
      <c r="H11" s="79">
        <f t="array" ref="H11">MIN(IF(树木!$S$5:$S$85&gt;=旅店!$E11,树木!$P$5:$P$85))</f>
        <v>0.41</v>
      </c>
      <c r="I11" s="79">
        <f t="array" ref="I11">MIN(IF(树木!$S$5:$S$85&gt;=旅店!$E11,树木!$J$5:$J$85))</f>
        <v>26</v>
      </c>
      <c r="J11" s="89"/>
      <c r="N11" s="79">
        <v>26</v>
      </c>
      <c r="O11" s="79">
        <f>INDEX(等级时间!$U$3:$AU$203,MATCH($N11,等级时间!$U$3:$U$203,0),MATCH(O$4,等级时间!$U$3:$AU$3,0))</f>
        <v>0.98</v>
      </c>
      <c r="P11" s="79">
        <f t="shared" si="3"/>
        <v>0.20999999999999996</v>
      </c>
      <c r="Q11" s="79">
        <f>VLOOKUP($N11,$B:$E,2,0)*P11*IF($N11&gt;=$L$6,2,1)</f>
        <v>109199.99999999999</v>
      </c>
      <c r="R11" s="79">
        <f>SUM($Q$5:$Q11)</f>
        <v>465400</v>
      </c>
    </row>
    <row r="12" spans="2:18" x14ac:dyDescent="0.15">
      <c r="B12" s="79">
        <v>8</v>
      </c>
      <c r="C12" s="79">
        <f t="shared" si="0"/>
        <v>80000</v>
      </c>
      <c r="D12" s="79">
        <f t="shared" si="2"/>
        <v>33000</v>
      </c>
      <c r="E12" s="92">
        <f t="shared" si="1"/>
        <v>1500</v>
      </c>
      <c r="F12" s="79">
        <f t="array" ref="F12">MIN(IF(树木!$N$5:$N$85&gt;=旅店!$E12,树木!$K$5:$K$85))</f>
        <v>0.77</v>
      </c>
      <c r="G12" s="79">
        <f t="array" ref="G12">MIN(IF(树木!$N$5:$N$85&gt;=旅店!$E12,树木!$J$5:$J$85))</f>
        <v>25</v>
      </c>
      <c r="H12" s="79">
        <f t="array" ref="H12">MIN(IF(树木!$S$5:$S$85&gt;=旅店!$E12,树木!$P$5:$P$85))</f>
        <v>0.71</v>
      </c>
      <c r="I12" s="79">
        <f t="array" ref="I12">MIN(IF(树木!$S$5:$S$85&gt;=旅店!$E12,树木!$J$5:$J$85))</f>
        <v>29</v>
      </c>
      <c r="J12" s="89"/>
      <c r="N12" s="79">
        <v>27</v>
      </c>
      <c r="O12" s="79">
        <f>INDEX(等级时间!$U$3:$AU$203,MATCH($N12,等级时间!$U$3:$U$203,0),MATCH(O$4,等级时间!$U$3:$AU$3,0))</f>
        <v>1.2</v>
      </c>
      <c r="P12" s="79">
        <f t="shared" si="3"/>
        <v>0.21999999999999997</v>
      </c>
      <c r="Q12" s="79">
        <f>VLOOKUP($N12,$B:$E,2,0)*P12*IF($N12&gt;=$L$6,2,1)</f>
        <v>118799.99999999999</v>
      </c>
      <c r="R12" s="79">
        <f>SUM($Q$5:$Q12)</f>
        <v>584200</v>
      </c>
    </row>
    <row r="13" spans="2:18" x14ac:dyDescent="0.15">
      <c r="B13" s="79">
        <v>9</v>
      </c>
      <c r="C13" s="79">
        <f t="shared" si="0"/>
        <v>90000</v>
      </c>
      <c r="D13" s="79">
        <f t="shared" si="2"/>
        <v>59000</v>
      </c>
      <c r="E13" s="92">
        <f t="shared" si="1"/>
        <v>2200</v>
      </c>
      <c r="F13" s="79">
        <f t="array" ref="F13">MIN(IF(树木!$N$5:$N$85&gt;=旅店!$E13,树木!$K$5:$K$85))</f>
        <v>0.98</v>
      </c>
      <c r="G13" s="79">
        <f t="array" ref="G13">MIN(IF(树木!$N$5:$N$85&gt;=旅店!$E13,树木!$J$5:$J$85))</f>
        <v>26</v>
      </c>
      <c r="H13" s="79">
        <f t="array" ref="H13">MIN(IF(树木!$S$5:$S$85&gt;=旅店!$E13,树木!$P$5:$P$85))</f>
        <v>0.96</v>
      </c>
      <c r="I13" s="79">
        <f t="array" ref="I13">MIN(IF(树木!$S$5:$S$85&gt;=旅店!$E13,树木!$J$5:$J$85))</f>
        <v>31</v>
      </c>
      <c r="J13" s="89"/>
      <c r="N13" s="79">
        <v>28</v>
      </c>
      <c r="O13" s="79">
        <f>INDEX(等级时间!$U$3:$AU$203,MATCH($N13,等级时间!$U$3:$U$203,0),MATCH(O$4,等级时间!$U$3:$AU$3,0))</f>
        <v>1.44</v>
      </c>
      <c r="P13" s="79">
        <f t="shared" si="3"/>
        <v>0.24</v>
      </c>
      <c r="Q13" s="79">
        <f>VLOOKUP($N13,$B:$E,2,0)*P13*IF($N13&gt;=$L$6,2,1)</f>
        <v>134400</v>
      </c>
      <c r="R13" s="79">
        <f>SUM($Q$5:$Q13)</f>
        <v>718600</v>
      </c>
    </row>
    <row r="14" spans="2:18" x14ac:dyDescent="0.15">
      <c r="B14" s="79">
        <v>10</v>
      </c>
      <c r="C14" s="79">
        <f t="shared" si="0"/>
        <v>100000</v>
      </c>
      <c r="D14" s="79">
        <f t="shared" si="2"/>
        <v>100000</v>
      </c>
      <c r="E14" s="92">
        <f t="shared" si="1"/>
        <v>3200</v>
      </c>
      <c r="F14" s="79">
        <f t="array" ref="F14">MIN(IF(树木!$N$5:$N$85&gt;=旅店!$E14,树木!$K$5:$K$85))</f>
        <v>1.44</v>
      </c>
      <c r="G14" s="79">
        <f t="array" ref="G14">MIN(IF(树木!$N$5:$N$85&gt;=旅店!$E14,树木!$J$5:$J$85))</f>
        <v>28</v>
      </c>
      <c r="H14" s="79">
        <f t="array" ref="H14">MIN(IF(树木!$S$5:$S$85&gt;=旅店!$E14,树木!$P$5:$P$85))</f>
        <v>1.23</v>
      </c>
      <c r="I14" s="79">
        <f t="array" ref="I14">MIN(IF(树木!$S$5:$S$85&gt;=旅店!$E14,树木!$J$5:$J$85))</f>
        <v>33</v>
      </c>
      <c r="J14" s="89"/>
      <c r="N14" s="79">
        <v>29</v>
      </c>
      <c r="O14" s="79">
        <f>INDEX(等级时间!$U$3:$AU$203,MATCH($N14,等级时间!$U$3:$U$203,0),MATCH(O$4,等级时间!$U$3:$AU$3,0))</f>
        <v>1.7</v>
      </c>
      <c r="P14" s="79">
        <f t="shared" si="3"/>
        <v>0.26</v>
      </c>
      <c r="Q14" s="79">
        <f>VLOOKUP($N14,$B:$E,2,0)*P14*IF($N14&gt;=$L$6,2,1)</f>
        <v>150800</v>
      </c>
      <c r="R14" s="79">
        <f>SUM($Q$5:$Q14)</f>
        <v>869400</v>
      </c>
    </row>
    <row r="15" spans="2:18" x14ac:dyDescent="0.15">
      <c r="B15" s="79">
        <v>11</v>
      </c>
      <c r="C15" s="79">
        <f t="shared" si="0"/>
        <v>110000</v>
      </c>
      <c r="D15" s="79">
        <f t="shared" si="2"/>
        <v>160000</v>
      </c>
      <c r="E15" s="92">
        <f t="shared" si="1"/>
        <v>4400</v>
      </c>
      <c r="F15" s="79">
        <f t="array" ref="F15">MIN(IF(树木!$N$5:$N$85&gt;=旅店!$E15,树木!$K$5:$K$85))</f>
        <v>1.98</v>
      </c>
      <c r="G15" s="79">
        <f t="array" ref="G15">MIN(IF(树木!$N$5:$N$85&gt;=旅店!$E15,树木!$J$5:$J$85))</f>
        <v>30</v>
      </c>
      <c r="H15" s="79">
        <f t="array" ref="H15">MIN(IF(树木!$S$5:$S$85&gt;=旅店!$E15,树木!$P$5:$P$85))</f>
        <v>1.53</v>
      </c>
      <c r="I15" s="79">
        <f t="array" ref="I15">MIN(IF(树木!$S$5:$S$85&gt;=旅店!$E15,树木!$J$5:$J$85))</f>
        <v>35</v>
      </c>
      <c r="J15" s="89"/>
      <c r="N15" s="79">
        <v>30</v>
      </c>
      <c r="O15" s="79">
        <f>INDEX(等级时间!$U$3:$AU$203,MATCH($N15,等级时间!$U$3:$U$203,0),MATCH(O$4,等级时间!$U$3:$AU$3,0))</f>
        <v>1.98</v>
      </c>
      <c r="P15" s="79">
        <f t="shared" si="3"/>
        <v>0.28000000000000003</v>
      </c>
      <c r="Q15" s="79">
        <f>VLOOKUP($N15,$B:$E,2,0)*P15*IF($N15&gt;=$L$6,2,1)</f>
        <v>168000.00000000003</v>
      </c>
      <c r="R15" s="79">
        <f>SUM($Q$5:$Q15)</f>
        <v>1037400</v>
      </c>
    </row>
    <row r="16" spans="2:18" x14ac:dyDescent="0.15">
      <c r="B16" s="79">
        <v>12</v>
      </c>
      <c r="C16" s="79">
        <f t="shared" si="0"/>
        <v>120000</v>
      </c>
      <c r="D16" s="79">
        <f t="shared" si="2"/>
        <v>250000</v>
      </c>
      <c r="E16" s="92">
        <f t="shared" si="1"/>
        <v>6000</v>
      </c>
      <c r="F16" s="79">
        <f t="array" ref="F16">MIN(IF(树木!$N$5:$N$85&gt;=旅店!$E16,树木!$K$5:$K$85))</f>
        <v>2.2799999999999998</v>
      </c>
      <c r="G16" s="79">
        <f t="array" ref="G16">MIN(IF(树木!$N$5:$N$85&gt;=旅店!$E16,树木!$J$5:$J$85))</f>
        <v>31</v>
      </c>
      <c r="H16" s="79">
        <f t="array" ref="H16">MIN(IF(树木!$S$5:$S$85&gt;=旅店!$E16,树木!$P$5:$P$85))</f>
        <v>2.04</v>
      </c>
      <c r="I16" s="79">
        <f t="array" ref="I16">MIN(IF(树木!$S$5:$S$85&gt;=旅店!$E16,树木!$J$5:$J$85))</f>
        <v>38</v>
      </c>
      <c r="J16" s="89"/>
      <c r="N16" s="79">
        <v>31</v>
      </c>
      <c r="O16" s="79">
        <f>INDEX(等级时间!$U$3:$AU$203,MATCH($N16,等级时间!$U$3:$U$203,0),MATCH(O$4,等级时间!$U$3:$AU$3,0))</f>
        <v>2.2799999999999998</v>
      </c>
      <c r="P16" s="79">
        <f t="shared" si="3"/>
        <v>0.29999999999999982</v>
      </c>
      <c r="Q16" s="79">
        <f>VLOOKUP($N16,$B:$E,2,0)*P16*IF($N16&gt;=$L$6,2,1)</f>
        <v>185999.99999999988</v>
      </c>
      <c r="R16" s="79">
        <f>SUM($Q$5:$Q16)</f>
        <v>1223400</v>
      </c>
    </row>
    <row r="17" spans="2:18" x14ac:dyDescent="0.15">
      <c r="B17" s="79">
        <v>13</v>
      </c>
      <c r="C17" s="79">
        <f t="shared" si="0"/>
        <v>130000</v>
      </c>
      <c r="D17" s="79">
        <f t="shared" si="2"/>
        <v>370000</v>
      </c>
      <c r="E17" s="92">
        <f t="shared" si="1"/>
        <v>7900</v>
      </c>
      <c r="F17" s="79">
        <f t="array" ref="F17">MIN(IF(树木!$N$5:$N$85&gt;=旅店!$E17,树木!$K$5:$K$85))</f>
        <v>2.92</v>
      </c>
      <c r="G17" s="79">
        <f t="array" ref="G17">MIN(IF(树木!$N$5:$N$85&gt;=旅店!$E17,树木!$J$5:$J$85))</f>
        <v>33</v>
      </c>
      <c r="H17" s="79">
        <f t="array" ref="H17">MIN(IF(树木!$S$5:$S$85&gt;=旅店!$E17,树木!$P$5:$P$85))</f>
        <v>2.44</v>
      </c>
      <c r="I17" s="79">
        <f t="array" ref="I17">MIN(IF(树木!$S$5:$S$85&gt;=旅店!$E17,树木!$J$5:$J$85))</f>
        <v>40</v>
      </c>
      <c r="J17" s="89"/>
      <c r="N17" s="79">
        <v>32</v>
      </c>
      <c r="O17" s="79">
        <f>INDEX(等级时间!$U$3:$AU$203,MATCH($N17,等级时间!$U$3:$U$203,0),MATCH(O$4,等级时间!$U$3:$AU$3,0))</f>
        <v>2.59</v>
      </c>
      <c r="P17" s="79">
        <f t="shared" si="3"/>
        <v>0.31000000000000005</v>
      </c>
      <c r="Q17" s="79">
        <f>VLOOKUP($N17,$B:$E,2,0)*P17*IF($N17&gt;=$L$6,2,1)</f>
        <v>198400.00000000003</v>
      </c>
      <c r="R17" s="79">
        <f>SUM($Q$5:$Q17)</f>
        <v>1421800</v>
      </c>
    </row>
    <row r="18" spans="2:18" x14ac:dyDescent="0.15">
      <c r="B18" s="79">
        <v>14</v>
      </c>
      <c r="C18" s="79">
        <f t="shared" si="0"/>
        <v>140000</v>
      </c>
      <c r="D18" s="79">
        <f t="shared" si="2"/>
        <v>540000</v>
      </c>
      <c r="E18" s="92">
        <f t="shared" si="1"/>
        <v>10000</v>
      </c>
      <c r="F18" s="79">
        <f t="array" ref="F18">MIN(IF(树木!$N$5:$N$85&gt;=旅店!$E18,树木!$K$5:$K$85))</f>
        <v>3.63</v>
      </c>
      <c r="G18" s="79">
        <f t="array" ref="G18">MIN(IF(树木!$N$5:$N$85&gt;=旅店!$E18,树木!$J$5:$J$85))</f>
        <v>35</v>
      </c>
      <c r="H18" s="79">
        <f t="array" ref="H18">MIN(IF(树木!$S$5:$S$85&gt;=旅店!$E18,树木!$P$5:$P$85))</f>
        <v>2.65</v>
      </c>
      <c r="I18" s="79">
        <f t="array" ref="I18">MIN(IF(树木!$S$5:$S$85&gt;=旅店!$E18,树木!$J$5:$J$85))</f>
        <v>41</v>
      </c>
      <c r="J18" s="89"/>
      <c r="N18" s="79">
        <v>33</v>
      </c>
      <c r="O18" s="79">
        <f>INDEX(等级时间!$U$3:$AU$203,MATCH($N18,等级时间!$U$3:$U$203,0),MATCH(O$4,等级时间!$U$3:$AU$3,0))</f>
        <v>2.92</v>
      </c>
      <c r="P18" s="79">
        <f t="shared" si="3"/>
        <v>0.33000000000000007</v>
      </c>
      <c r="Q18" s="79">
        <f>VLOOKUP($N18,$B:$E,2,0)*P18*IF($N18&gt;=$L$6,2,1)</f>
        <v>217800.00000000006</v>
      </c>
      <c r="R18" s="79">
        <f>SUM($Q$5:$Q18)</f>
        <v>1639600</v>
      </c>
    </row>
    <row r="19" spans="2:18" x14ac:dyDescent="0.15">
      <c r="B19" s="79">
        <v>15</v>
      </c>
      <c r="C19" s="79">
        <f t="shared" si="0"/>
        <v>150000</v>
      </c>
      <c r="D19" s="79">
        <f t="shared" si="2"/>
        <v>760000</v>
      </c>
      <c r="E19" s="92">
        <f t="shared" si="1"/>
        <v>13000</v>
      </c>
      <c r="F19" s="79">
        <f t="array" ref="F19">MIN(IF(树木!$N$5:$N$85&gt;=旅店!$E19,树木!$K$5:$K$85))</f>
        <v>4.43</v>
      </c>
      <c r="G19" s="79">
        <f t="array" ref="G19">MIN(IF(树木!$N$5:$N$85&gt;=旅店!$E19,树木!$J$5:$J$85))</f>
        <v>37</v>
      </c>
      <c r="H19" s="79">
        <f t="array" ref="H19">MIN(IF(树木!$S$5:$S$85&gt;=旅店!$E19,树木!$P$5:$P$85))</f>
        <v>3.12</v>
      </c>
      <c r="I19" s="79">
        <f t="array" ref="I19">MIN(IF(树木!$S$5:$S$85&gt;=旅店!$E19,树木!$J$5:$J$85))</f>
        <v>43</v>
      </c>
      <c r="J19" s="89"/>
      <c r="N19" s="79">
        <v>34</v>
      </c>
      <c r="O19" s="79">
        <f>INDEX(等级时间!$U$3:$AU$203,MATCH($N19,等级时间!$U$3:$U$203,0),MATCH(O$4,等级时间!$U$3:$AU$3,0))</f>
        <v>3.27</v>
      </c>
      <c r="P19" s="79">
        <f t="shared" si="3"/>
        <v>0.35000000000000009</v>
      </c>
      <c r="Q19" s="79">
        <f>VLOOKUP($N19,$B:$E,2,0)*P19*IF($N19&gt;=$L$6,2,1)</f>
        <v>238000.00000000006</v>
      </c>
      <c r="R19" s="79">
        <f>SUM($Q$5:$Q19)</f>
        <v>1877600</v>
      </c>
    </row>
    <row r="20" spans="2:18" x14ac:dyDescent="0.15">
      <c r="B20" s="79">
        <v>16</v>
      </c>
      <c r="C20" s="79">
        <f t="shared" si="0"/>
        <v>160000</v>
      </c>
      <c r="D20" s="79">
        <f t="shared" si="2"/>
        <v>1000000</v>
      </c>
      <c r="E20" s="92">
        <f t="shared" si="1"/>
        <v>16000</v>
      </c>
      <c r="F20" s="79">
        <f t="array" ref="F20">MIN(IF(树木!$N$5:$N$85&gt;=旅店!$E20,树木!$K$5:$K$85))</f>
        <v>5.32</v>
      </c>
      <c r="G20" s="79">
        <f t="array" ref="G20">MIN(IF(树木!$N$5:$N$85&gt;=旅店!$E20,树木!$J$5:$J$85))</f>
        <v>39</v>
      </c>
      <c r="H20" s="79">
        <f t="array" ref="H20">MIN(IF(树木!$S$5:$S$85&gt;=旅店!$E20,树木!$P$5:$P$85))</f>
        <v>3.38</v>
      </c>
      <c r="I20" s="79">
        <f t="array" ref="I20">MIN(IF(树木!$S$5:$S$85&gt;=旅店!$E20,树木!$J$5:$J$85))</f>
        <v>44</v>
      </c>
      <c r="J20" s="89"/>
      <c r="N20" s="79">
        <v>35</v>
      </c>
      <c r="O20" s="79">
        <f>INDEX(等级时间!$U$3:$AU$203,MATCH($N20,等级时间!$U$3:$U$203,0),MATCH(O$4,等级时间!$U$3:$AU$3,0))</f>
        <v>3.63</v>
      </c>
      <c r="P20" s="79">
        <f t="shared" si="3"/>
        <v>0.35999999999999988</v>
      </c>
      <c r="Q20" s="79">
        <f>VLOOKUP($N20,$B:$E,2,0)*P20*IF($N20&gt;=$L$6,2,1)</f>
        <v>251999.99999999991</v>
      </c>
      <c r="R20" s="79">
        <f>SUM($Q$5:$Q20)</f>
        <v>2129600</v>
      </c>
    </row>
    <row r="21" spans="2:18" x14ac:dyDescent="0.15">
      <c r="B21" s="79">
        <v>17</v>
      </c>
      <c r="C21" s="79">
        <f t="shared" si="0"/>
        <v>170000</v>
      </c>
      <c r="D21" s="79">
        <f t="shared" si="2"/>
        <v>1400000</v>
      </c>
      <c r="E21" s="92">
        <f t="shared" si="1"/>
        <v>20000</v>
      </c>
      <c r="F21" s="79">
        <f t="array" ref="F21">MIN(IF(树木!$N$5:$N$85&gt;=旅店!$E21,树木!$K$5:$K$85))</f>
        <v>5.8</v>
      </c>
      <c r="G21" s="79">
        <f t="array" ref="G21">MIN(IF(树木!$N$5:$N$85&gt;=旅店!$E21,树木!$J$5:$J$85))</f>
        <v>40</v>
      </c>
      <c r="H21" s="79">
        <f t="array" ref="H21">MIN(IF(树木!$S$5:$S$85&gt;=旅店!$E21,树木!$P$5:$P$85))</f>
        <v>3.94</v>
      </c>
      <c r="I21" s="79">
        <f t="array" ref="I21">MIN(IF(树木!$S$5:$S$85&gt;=旅店!$E21,树木!$J$5:$J$85))</f>
        <v>46</v>
      </c>
      <c r="J21" s="89"/>
      <c r="N21" s="79">
        <v>36</v>
      </c>
      <c r="O21" s="79">
        <f>INDEX(等级时间!$U$3:$AU$203,MATCH($N21,等级时间!$U$3:$U$203,0),MATCH(O$4,等级时间!$U$3:$AU$3,0))</f>
        <v>4.0199999999999996</v>
      </c>
      <c r="P21" s="79">
        <f t="shared" si="3"/>
        <v>0.38999999999999968</v>
      </c>
      <c r="Q21" s="79">
        <f>VLOOKUP($N21,$B:$E,2,0)*P21*IF($N21&gt;=$L$6,2,1)</f>
        <v>280799.99999999977</v>
      </c>
      <c r="R21" s="79">
        <f>SUM($Q$5:$Q21)</f>
        <v>2410400</v>
      </c>
    </row>
    <row r="22" spans="2:18" x14ac:dyDescent="0.15">
      <c r="B22" s="79">
        <v>18</v>
      </c>
      <c r="C22" s="79">
        <f t="shared" si="0"/>
        <v>180000</v>
      </c>
      <c r="D22" s="79">
        <f t="shared" si="2"/>
        <v>1900000</v>
      </c>
      <c r="E22" s="92">
        <f t="shared" si="1"/>
        <v>25000</v>
      </c>
      <c r="F22" s="79">
        <f t="array" ref="F22">MIN(IF(树木!$N$5:$N$85&gt;=旅店!$E22,树木!$K$5:$K$85))</f>
        <v>6.32</v>
      </c>
      <c r="G22" s="79">
        <f t="array" ref="G22">MIN(IF(树木!$N$5:$N$85&gt;=旅店!$E22,树木!$J$5:$J$85))</f>
        <v>41</v>
      </c>
      <c r="H22" s="79">
        <f t="array" ref="H22">MIN(IF(树木!$S$5:$S$85&gt;=旅店!$E22,树木!$P$5:$P$85))</f>
        <v>4.5599999999999996</v>
      </c>
      <c r="I22" s="79">
        <f t="array" ref="I22">MIN(IF(树木!$S$5:$S$85&gt;=旅店!$E22,树木!$J$5:$J$85))</f>
        <v>48</v>
      </c>
      <c r="J22" s="89"/>
      <c r="N22" s="79">
        <v>37</v>
      </c>
      <c r="O22" s="79">
        <f>INDEX(等级时间!$U$3:$AU$203,MATCH($N22,等级时间!$U$3:$U$203,0),MATCH(O$4,等级时间!$U$3:$AU$3,0))</f>
        <v>4.43</v>
      </c>
      <c r="P22" s="79">
        <f t="shared" si="3"/>
        <v>0.41000000000000014</v>
      </c>
      <c r="Q22" s="79">
        <f>VLOOKUP($N22,$B:$E,2,0)*P22*IF($N22&gt;=$L$6,2,1)</f>
        <v>303400.00000000012</v>
      </c>
      <c r="R22" s="79">
        <f>SUM($Q$5:$Q22)</f>
        <v>2713800</v>
      </c>
    </row>
    <row r="23" spans="2:18" x14ac:dyDescent="0.15">
      <c r="B23" s="79">
        <v>19</v>
      </c>
      <c r="C23" s="79">
        <f t="shared" si="0"/>
        <v>190000</v>
      </c>
      <c r="D23" s="79">
        <f t="shared" si="2"/>
        <v>2500000</v>
      </c>
      <c r="E23" s="92">
        <f t="shared" si="1"/>
        <v>30000</v>
      </c>
      <c r="F23" s="79">
        <f t="array" ref="F23">MIN(IF(树木!$N$5:$N$85&gt;=旅店!$E23,树木!$K$5:$K$85))</f>
        <v>7.43</v>
      </c>
      <c r="G23" s="79">
        <f t="array" ref="G23">MIN(IF(树木!$N$5:$N$85&gt;=旅店!$E23,树木!$J$5:$J$85))</f>
        <v>43</v>
      </c>
      <c r="H23" s="79">
        <f t="array" ref="H23">MIN(IF(树木!$S$5:$S$85&gt;=旅店!$E23,树木!$P$5:$P$85))</f>
        <v>4.91</v>
      </c>
      <c r="I23" s="79">
        <f t="array" ref="I23">MIN(IF(树木!$S$5:$S$85&gt;=旅店!$E23,树木!$J$5:$J$85))</f>
        <v>49</v>
      </c>
      <c r="J23" s="89"/>
      <c r="N23" s="79">
        <v>38</v>
      </c>
      <c r="O23" s="79">
        <f>INDEX(等级时间!$U$3:$AU$203,MATCH($N23,等级时间!$U$3:$U$203,0),MATCH(O$4,等级时间!$U$3:$AU$3,0))</f>
        <v>4.8600000000000003</v>
      </c>
      <c r="P23" s="79">
        <f t="shared" si="3"/>
        <v>0.4300000000000006</v>
      </c>
      <c r="Q23" s="79">
        <f>VLOOKUP($N23,$B:$E,2,0)*P23*IF($N23&gt;=$L$6,2,1)</f>
        <v>326800.00000000047</v>
      </c>
      <c r="R23" s="79">
        <f>SUM($Q$5:$Q23)</f>
        <v>3040600.0000000005</v>
      </c>
    </row>
    <row r="24" spans="2:18" x14ac:dyDescent="0.15">
      <c r="B24" s="79">
        <v>20</v>
      </c>
      <c r="C24" s="79">
        <f t="shared" si="0"/>
        <v>200000</v>
      </c>
      <c r="D24" s="79">
        <f t="shared" si="2"/>
        <v>3200000</v>
      </c>
      <c r="E24" s="92">
        <f t="shared" si="1"/>
        <v>36000</v>
      </c>
      <c r="F24" s="79">
        <f t="array" ref="F24">MIN(IF(树木!$N$5:$N$85&gt;=旅店!$E24,树木!$K$5:$K$85))</f>
        <v>8.0399999999999991</v>
      </c>
      <c r="G24" s="79">
        <f t="array" ref="G24">MIN(IF(树木!$N$5:$N$85&gt;=旅店!$E24,树木!$J$5:$J$85))</f>
        <v>44</v>
      </c>
      <c r="H24" s="79">
        <f t="array" ref="H24">MIN(IF(树木!$S$5:$S$85&gt;=旅店!$E24,树木!$P$5:$P$85))</f>
        <v>5.65</v>
      </c>
      <c r="I24" s="79">
        <f t="array" ref="I24">MIN(IF(树木!$S$5:$S$85&gt;=旅店!$E24,树木!$J$5:$J$85))</f>
        <v>51</v>
      </c>
      <c r="J24" s="89"/>
      <c r="N24" s="79">
        <v>39</v>
      </c>
      <c r="O24" s="79">
        <f>INDEX(等级时间!$U$3:$AU$203,MATCH($N24,等级时间!$U$3:$U$203,0),MATCH(O$4,等级时间!$U$3:$AU$3,0))</f>
        <v>5.32</v>
      </c>
      <c r="P24" s="79">
        <f t="shared" si="3"/>
        <v>0.45999999999999996</v>
      </c>
      <c r="Q24" s="79">
        <f>VLOOKUP($N24,$B:$E,2,0)*P24*IF($N24&gt;=$L$6,2,1)</f>
        <v>358800</v>
      </c>
      <c r="R24" s="79">
        <f>SUM($Q$5:$Q24)</f>
        <v>3399400.0000000005</v>
      </c>
    </row>
    <row r="25" spans="2:18" x14ac:dyDescent="0.15">
      <c r="B25" s="79">
        <v>21</v>
      </c>
      <c r="C25" s="79">
        <f t="shared" si="0"/>
        <v>210000</v>
      </c>
      <c r="D25" s="79">
        <f t="shared" si="2"/>
        <v>4100000</v>
      </c>
      <c r="E25" s="92">
        <f t="shared" si="1"/>
        <v>42000</v>
      </c>
      <c r="F25" s="79">
        <f t="array" ref="F25">MIN(IF(树木!$N$5:$N$85&gt;=旅店!$E25,树木!$K$5:$K$85))</f>
        <v>8.69</v>
      </c>
      <c r="G25" s="79">
        <f t="array" ref="G25">MIN(IF(树木!$N$5:$N$85&gt;=旅店!$E25,树木!$J$5:$J$85))</f>
        <v>45</v>
      </c>
      <c r="H25" s="79">
        <f t="array" ref="H25">MIN(IF(树木!$S$5:$S$85&gt;=旅店!$E25,树木!$P$5:$P$85))</f>
        <v>6.05</v>
      </c>
      <c r="I25" s="79">
        <f t="array" ref="I25">MIN(IF(树木!$S$5:$S$85&gt;=旅店!$E25,树木!$J$5:$J$85))</f>
        <v>52</v>
      </c>
      <c r="J25" s="89"/>
      <c r="N25" s="79">
        <v>40</v>
      </c>
      <c r="O25" s="79">
        <f>INDEX(等级时间!$U$3:$AU$203,MATCH($N25,等级时间!$U$3:$U$203,0),MATCH(O$4,等级时间!$U$3:$AU$3,0))</f>
        <v>5.8</v>
      </c>
      <c r="P25" s="79">
        <f t="shared" si="3"/>
        <v>0.47999999999999954</v>
      </c>
      <c r="Q25" s="79">
        <f>VLOOKUP($N25,$B:$E,2,0)*P25*IF($N25&gt;=$L$6,2,1)</f>
        <v>383999.99999999965</v>
      </c>
      <c r="R25" s="79">
        <f>SUM($Q$5:$Q25)</f>
        <v>3783400</v>
      </c>
    </row>
    <row r="26" spans="2:18" x14ac:dyDescent="0.15">
      <c r="B26" s="79">
        <v>22</v>
      </c>
      <c r="C26" s="79">
        <f t="shared" si="0"/>
        <v>220000</v>
      </c>
      <c r="D26" s="79">
        <f t="shared" si="2"/>
        <v>5200000</v>
      </c>
      <c r="E26" s="92">
        <f t="shared" si="1"/>
        <v>50000</v>
      </c>
      <c r="F26" s="79">
        <f t="array" ref="F26">MIN(IF(树木!$N$5:$N$85&gt;=旅店!$E26,树木!$K$5:$K$85))</f>
        <v>9.3800000000000008</v>
      </c>
      <c r="G26" s="79">
        <f t="array" ref="G26">MIN(IF(树木!$N$5:$N$85&gt;=旅店!$E26,树木!$J$5:$J$85))</f>
        <v>46</v>
      </c>
      <c r="H26" s="79">
        <f t="array" ref="H26">MIN(IF(树木!$S$5:$S$85&gt;=旅店!$E26,树木!$P$5:$P$85))</f>
        <v>6.93</v>
      </c>
      <c r="I26" s="79">
        <f t="array" ref="I26">MIN(IF(树木!$S$5:$S$85&gt;=旅店!$E26,树木!$J$5:$J$85))</f>
        <v>54</v>
      </c>
      <c r="J26" s="89"/>
      <c r="N26" s="79">
        <v>41</v>
      </c>
      <c r="O26" s="79">
        <f>INDEX(等级时间!$U$3:$AU$203,MATCH($N26,等级时间!$U$3:$U$203,0),MATCH(O$4,等级时间!$U$3:$AU$3,0))</f>
        <v>6.32</v>
      </c>
      <c r="P26" s="79">
        <f t="shared" si="3"/>
        <v>0.52000000000000046</v>
      </c>
      <c r="Q26" s="79">
        <f>VLOOKUP($N26,$B:$E,2,0)*P26*IF($N26&gt;=$L$6,2,1)</f>
        <v>426400.00000000041</v>
      </c>
      <c r="R26" s="79">
        <f>SUM($Q$5:$Q26)</f>
        <v>4209800</v>
      </c>
    </row>
    <row r="27" spans="2:18" x14ac:dyDescent="0.15">
      <c r="B27" s="79">
        <v>23</v>
      </c>
      <c r="C27" s="79">
        <f t="shared" si="0"/>
        <v>230000</v>
      </c>
      <c r="D27" s="79">
        <f t="shared" si="2"/>
        <v>6400000</v>
      </c>
      <c r="E27" s="92">
        <f t="shared" si="1"/>
        <v>58000</v>
      </c>
      <c r="F27" s="79">
        <f t="array" ref="F27">MIN(IF(树木!$N$5:$N$85&gt;=旅店!$E27,树木!$K$5:$K$85))</f>
        <v>10.1</v>
      </c>
      <c r="G27" s="79">
        <f t="array" ref="G27">MIN(IF(树木!$N$5:$N$85&gt;=旅店!$E27,树木!$J$5:$J$85))</f>
        <v>47</v>
      </c>
      <c r="H27" s="79">
        <f t="array" ref="H27">MIN(IF(树木!$S$5:$S$85&gt;=旅店!$E27,树木!$P$5:$P$85))</f>
        <v>7.91</v>
      </c>
      <c r="I27" s="79">
        <f t="array" ref="I27">MIN(IF(树木!$S$5:$S$85&gt;=旅店!$E27,树木!$J$5:$J$85))</f>
        <v>56</v>
      </c>
      <c r="J27" s="89"/>
      <c r="N27" s="79">
        <v>42</v>
      </c>
      <c r="O27" s="79">
        <f>INDEX(等级时间!$U$3:$AU$203,MATCH($N27,等级时间!$U$3:$U$203,0),MATCH(O$4,等级时间!$U$3:$AU$3,0))</f>
        <v>6.86</v>
      </c>
      <c r="P27" s="79">
        <f t="shared" si="3"/>
        <v>0.54</v>
      </c>
      <c r="Q27" s="79">
        <f>VLOOKUP($N27,$B:$E,2,0)*P27*IF($N27&gt;=$L$6,2,1)</f>
        <v>453600.00000000006</v>
      </c>
      <c r="R27" s="79">
        <f>SUM($Q$5:$Q27)</f>
        <v>4663400</v>
      </c>
    </row>
    <row r="28" spans="2:18" x14ac:dyDescent="0.15">
      <c r="B28" s="79">
        <v>24</v>
      </c>
      <c r="C28" s="79">
        <f t="shared" si="0"/>
        <v>240000</v>
      </c>
      <c r="D28" s="79">
        <f t="shared" si="2"/>
        <v>8000000</v>
      </c>
      <c r="E28" s="92">
        <f t="shared" si="1"/>
        <v>68000</v>
      </c>
      <c r="F28" s="79">
        <f t="array" ref="F28">MIN(IF(树木!$N$5:$N$85&gt;=旅店!$E28,树木!$K$5:$K$85))</f>
        <v>11.68</v>
      </c>
      <c r="G28" s="79">
        <f t="array" ref="G28">MIN(IF(树木!$N$5:$N$85&gt;=旅店!$E28,树木!$J$5:$J$85))</f>
        <v>49</v>
      </c>
      <c r="H28" s="79">
        <f t="array" ref="H28">MIN(IF(树木!$S$5:$S$85&gt;=旅店!$E28,树木!$P$5:$P$85))</f>
        <v>8.44</v>
      </c>
      <c r="I28" s="79">
        <f t="array" ref="I28">MIN(IF(树木!$S$5:$S$85&gt;=旅店!$E28,树木!$J$5:$J$85))</f>
        <v>57</v>
      </c>
      <c r="J28" s="89"/>
      <c r="N28" s="79">
        <v>43</v>
      </c>
      <c r="O28" s="79">
        <f>INDEX(等级时间!$U$3:$AU$203,MATCH($N28,等级时间!$U$3:$U$203,0),MATCH(O$4,等级时间!$U$3:$AU$3,0))</f>
        <v>7.43</v>
      </c>
      <c r="P28" s="79">
        <f t="shared" si="3"/>
        <v>0.5699999999999994</v>
      </c>
      <c r="Q28" s="79">
        <f>VLOOKUP($N28,$B:$E,2,0)*P28*IF($N28&gt;=$L$6,2,1)</f>
        <v>490199.99999999948</v>
      </c>
      <c r="R28" s="79">
        <f>SUM($Q$5:$Q28)</f>
        <v>5153599.9999999991</v>
      </c>
    </row>
    <row r="29" spans="2:18" x14ac:dyDescent="0.15">
      <c r="B29" s="79">
        <v>25</v>
      </c>
      <c r="C29" s="79">
        <f t="shared" si="0"/>
        <v>250000</v>
      </c>
      <c r="D29" s="79">
        <f t="shared" si="2"/>
        <v>9800000</v>
      </c>
      <c r="E29" s="92">
        <f t="shared" si="1"/>
        <v>78000</v>
      </c>
      <c r="F29" s="79">
        <f t="array" ref="F29">MIN(IF(树木!$N$5:$N$85&gt;=旅店!$E29,树木!$K$5:$K$85))</f>
        <v>12.54</v>
      </c>
      <c r="G29" s="79">
        <f t="array" ref="G29">MIN(IF(树木!$N$5:$N$85&gt;=旅店!$E29,树木!$J$5:$J$85))</f>
        <v>50</v>
      </c>
      <c r="H29" s="79">
        <f t="array" ref="H29">MIN(IF(树木!$S$5:$S$85&gt;=旅店!$E29,树木!$P$5:$P$85))</f>
        <v>9.58</v>
      </c>
      <c r="I29" s="79">
        <f t="array" ref="I29">MIN(IF(树木!$S$5:$S$85&gt;=旅店!$E29,树木!$J$5:$J$85))</f>
        <v>59</v>
      </c>
      <c r="J29" s="89"/>
      <c r="N29" s="79">
        <v>44</v>
      </c>
      <c r="O29" s="79">
        <f>INDEX(等级时间!$U$3:$AU$203,MATCH($N29,等级时间!$U$3:$U$203,0),MATCH(O$4,等级时间!$U$3:$AU$3,0))</f>
        <v>8.0399999999999991</v>
      </c>
      <c r="P29" s="79">
        <f t="shared" si="3"/>
        <v>0.60999999999999943</v>
      </c>
      <c r="Q29" s="79">
        <f>VLOOKUP($N29,$B:$E,2,0)*P29*IF($N29&gt;=$L$6,2,1)</f>
        <v>536799.99999999953</v>
      </c>
      <c r="R29" s="79">
        <f>SUM($Q$5:$Q29)</f>
        <v>5690399.9999999981</v>
      </c>
    </row>
    <row r="30" spans="2:18" x14ac:dyDescent="0.15">
      <c r="B30" s="79">
        <v>26</v>
      </c>
      <c r="C30" s="79">
        <f t="shared" si="0"/>
        <v>260000</v>
      </c>
      <c r="D30" s="79">
        <f t="shared" si="2"/>
        <v>12000000</v>
      </c>
      <c r="E30" s="92">
        <f t="shared" si="1"/>
        <v>90000</v>
      </c>
      <c r="F30" s="79">
        <f t="array" ref="F30">MIN(IF(树木!$N$5:$N$85&gt;=旅店!$E30,树木!$K$5:$K$85))</f>
        <v>13.45</v>
      </c>
      <c r="G30" s="79">
        <f t="array" ref="G30">MIN(IF(树木!$N$5:$N$85&gt;=旅店!$E30,树木!$J$5:$J$85))</f>
        <v>51</v>
      </c>
      <c r="H30" s="79">
        <f t="array" ref="H30">MIN(IF(树木!$S$5:$S$85&gt;=旅店!$E30,树木!$P$5:$P$85))</f>
        <v>10.86</v>
      </c>
      <c r="I30" s="79">
        <f t="array" ref="I30">MIN(IF(树木!$S$5:$S$85&gt;=旅店!$E30,树木!$J$5:$J$85))</f>
        <v>61</v>
      </c>
      <c r="J30" s="89"/>
      <c r="N30" s="79">
        <v>45</v>
      </c>
      <c r="O30" s="79">
        <f>INDEX(等级时间!$U$3:$AU$203,MATCH($N30,等级时间!$U$3:$U$203,0),MATCH(O$4,等级时间!$U$3:$AU$3,0))</f>
        <v>8.69</v>
      </c>
      <c r="P30" s="79">
        <f t="shared" si="3"/>
        <v>0.65000000000000036</v>
      </c>
      <c r="Q30" s="79">
        <f>VLOOKUP($N30,$B:$E,2,0)*P30*IF($N30&gt;=$L$6,2,1)</f>
        <v>585000.00000000035</v>
      </c>
      <c r="R30" s="79">
        <f>SUM($Q$5:$Q30)</f>
        <v>6275399.9999999981</v>
      </c>
    </row>
    <row r="31" spans="2:18" x14ac:dyDescent="0.15">
      <c r="B31" s="79">
        <v>27</v>
      </c>
      <c r="C31" s="79">
        <f t="shared" si="0"/>
        <v>270000</v>
      </c>
      <c r="D31" s="79">
        <f t="shared" si="2"/>
        <v>14000000</v>
      </c>
      <c r="E31" s="92">
        <f t="shared" si="1"/>
        <v>100000</v>
      </c>
      <c r="F31" s="79">
        <f t="array" ref="F31">MIN(IF(树木!$N$5:$N$85&gt;=旅店!$E31,树木!$K$5:$K$85))</f>
        <v>14.41</v>
      </c>
      <c r="G31" s="79">
        <f t="array" ref="G31">MIN(IF(树木!$N$5:$N$85&gt;=旅店!$E31,树木!$J$5:$J$85))</f>
        <v>52</v>
      </c>
      <c r="H31" s="79">
        <f t="array" ref="H31">MIN(IF(树木!$S$5:$S$85&gt;=旅店!$E31,树木!$P$5:$P$85))</f>
        <v>11.54</v>
      </c>
      <c r="I31" s="79">
        <f t="array" ref="I31">MIN(IF(树木!$S$5:$S$85&gt;=旅店!$E31,树木!$J$5:$J$85))</f>
        <v>62</v>
      </c>
      <c r="J31" s="89"/>
      <c r="N31" s="79">
        <v>46</v>
      </c>
      <c r="O31" s="79">
        <f>INDEX(等级时间!$U$3:$AU$203,MATCH($N31,等级时间!$U$3:$U$203,0),MATCH(O$4,等级时间!$U$3:$AU$3,0))</f>
        <v>9.3800000000000008</v>
      </c>
      <c r="P31" s="79">
        <f t="shared" si="3"/>
        <v>0.69000000000000128</v>
      </c>
      <c r="Q31" s="79">
        <f>VLOOKUP($N31,$B:$E,2,0)*P31*IF($N31&gt;=$L$6,2,1)</f>
        <v>634800.00000000116</v>
      </c>
      <c r="R31" s="79">
        <f>SUM($Q$5:$Q31)</f>
        <v>6910199.9999999991</v>
      </c>
    </row>
    <row r="32" spans="2:18" x14ac:dyDescent="0.15">
      <c r="B32" s="79">
        <v>28</v>
      </c>
      <c r="C32" s="79">
        <f t="shared" si="0"/>
        <v>280000</v>
      </c>
      <c r="D32" s="79">
        <f t="shared" si="2"/>
        <v>17000000</v>
      </c>
      <c r="E32" s="92">
        <f t="shared" si="1"/>
        <v>120000</v>
      </c>
      <c r="F32" s="79">
        <f t="array" ref="F32">MIN(IF(树木!$N$5:$N$85&gt;=旅店!$E32,树木!$K$5:$K$85))</f>
        <v>16.489999999999998</v>
      </c>
      <c r="G32" s="79">
        <f t="array" ref="G32">MIN(IF(树木!$N$5:$N$85&gt;=旅店!$E32,树木!$J$5:$J$85))</f>
        <v>54</v>
      </c>
      <c r="H32" s="79">
        <f t="array" ref="H32">MIN(IF(树木!$S$5:$S$85&gt;=旅店!$E32,树木!$P$5:$P$85))</f>
        <v>13.02</v>
      </c>
      <c r="I32" s="79">
        <f t="array" ref="I32">MIN(IF(树木!$S$5:$S$85&gt;=旅店!$E32,树木!$J$5:$J$85))</f>
        <v>64</v>
      </c>
      <c r="J32" s="89"/>
      <c r="N32" s="79">
        <v>47</v>
      </c>
      <c r="O32" s="79">
        <f>INDEX(等级时间!$U$3:$AU$203,MATCH($N32,等级时间!$U$3:$U$203,0),MATCH(O$4,等级时间!$U$3:$AU$3,0))</f>
        <v>10.1</v>
      </c>
      <c r="P32" s="79">
        <f t="shared" si="3"/>
        <v>0.71999999999999886</v>
      </c>
      <c r="Q32" s="79">
        <f>VLOOKUP($N32,$B:$E,2,0)*P32*IF($N32&gt;=$L$6,2,1)</f>
        <v>676799.99999999895</v>
      </c>
      <c r="R32" s="79">
        <f>SUM($Q$5:$Q32)</f>
        <v>7586999.9999999981</v>
      </c>
    </row>
    <row r="33" spans="2:18" x14ac:dyDescent="0.15">
      <c r="B33" s="79">
        <v>29</v>
      </c>
      <c r="C33" s="79">
        <f t="shared" si="0"/>
        <v>290000</v>
      </c>
      <c r="D33" s="79">
        <f t="shared" si="2"/>
        <v>21000000</v>
      </c>
      <c r="E33" s="92">
        <f t="shared" si="1"/>
        <v>130000</v>
      </c>
      <c r="F33" s="79">
        <f t="array" ref="F33">MIN(IF(树木!$N$5:$N$85&gt;=旅店!$E33,树木!$K$5:$K$85))</f>
        <v>17.63</v>
      </c>
      <c r="G33" s="79">
        <f t="array" ref="G33">MIN(IF(树木!$N$5:$N$85&gt;=旅店!$E33,树木!$J$5:$J$85))</f>
        <v>55</v>
      </c>
      <c r="H33" s="79">
        <f t="array" ref="H33">MIN(IF(树木!$S$5:$S$85&gt;=旅店!$E33,树木!$P$5:$P$85))</f>
        <v>13.82</v>
      </c>
      <c r="I33" s="79">
        <f t="array" ref="I33">MIN(IF(树木!$S$5:$S$85&gt;=旅店!$E33,树木!$J$5:$J$85))</f>
        <v>65</v>
      </c>
      <c r="J33" s="89"/>
      <c r="N33" s="79">
        <v>48</v>
      </c>
      <c r="O33" s="79">
        <f>INDEX(等级时间!$U$3:$AU$203,MATCH($N33,等级时间!$U$3:$U$203,0),MATCH(O$4,等级时间!$U$3:$AU$3,0))</f>
        <v>10.86</v>
      </c>
      <c r="P33" s="79">
        <f t="shared" si="3"/>
        <v>0.75999999999999979</v>
      </c>
      <c r="Q33" s="79">
        <f>VLOOKUP($N33,$B:$E,2,0)*P33*IF($N33&gt;=$L$6,2,1)</f>
        <v>729599.99999999977</v>
      </c>
      <c r="R33" s="79">
        <f>SUM($Q$5:$Q33)</f>
        <v>8316599.9999999981</v>
      </c>
    </row>
    <row r="34" spans="2:18" x14ac:dyDescent="0.15">
      <c r="B34" s="79">
        <v>30</v>
      </c>
      <c r="C34" s="79">
        <f t="shared" si="0"/>
        <v>300000</v>
      </c>
      <c r="D34" s="79">
        <f t="shared" si="2"/>
        <v>24000000</v>
      </c>
      <c r="E34" s="92">
        <f t="shared" si="1"/>
        <v>150000</v>
      </c>
      <c r="F34" s="79">
        <f t="array" ref="F34">MIN(IF(树木!$N$5:$N$85&gt;=旅店!$E34,树木!$K$5:$K$85))</f>
        <v>18.82</v>
      </c>
      <c r="G34" s="79">
        <f t="array" ref="G34">MIN(IF(树木!$N$5:$N$85&gt;=旅店!$E34,树木!$J$5:$J$85))</f>
        <v>56</v>
      </c>
      <c r="H34" s="79">
        <f t="array" ref="H34">MIN(IF(树木!$S$5:$S$85&gt;=旅店!$E34,树木!$P$5:$P$85))</f>
        <v>15.54</v>
      </c>
      <c r="I34" s="79">
        <f t="array" ref="I34">MIN(IF(树木!$S$5:$S$85&gt;=旅店!$E34,树木!$J$5:$J$85))</f>
        <v>67</v>
      </c>
      <c r="J34" s="89"/>
      <c r="N34" s="79">
        <v>49</v>
      </c>
      <c r="O34" s="79">
        <f>INDEX(等级时间!$U$3:$AU$203,MATCH($N34,等级时间!$U$3:$U$203,0),MATCH(O$4,等级时间!$U$3:$AU$3,0))</f>
        <v>11.68</v>
      </c>
      <c r="P34" s="79">
        <f t="shared" si="3"/>
        <v>0.82000000000000028</v>
      </c>
      <c r="Q34" s="79">
        <f>VLOOKUP($N34,$B:$E,2,0)*P34*IF($N34&gt;=$L$6,2,1)</f>
        <v>803600.00000000023</v>
      </c>
      <c r="R34" s="79">
        <f>SUM($Q$5:$Q34)</f>
        <v>9120199.9999999981</v>
      </c>
    </row>
    <row r="35" spans="2:18" x14ac:dyDescent="0.15">
      <c r="B35" s="79">
        <v>31</v>
      </c>
      <c r="C35" s="79">
        <f t="shared" si="0"/>
        <v>310000</v>
      </c>
      <c r="D35" s="79">
        <f t="shared" si="2"/>
        <v>29000000</v>
      </c>
      <c r="E35" s="92">
        <f t="shared" si="1"/>
        <v>170000</v>
      </c>
      <c r="F35" s="79">
        <f t="array" ref="F35">MIN(IF(树木!$N$5:$N$85&gt;=旅店!$E35,树木!$K$5:$K$85))</f>
        <v>21.41</v>
      </c>
      <c r="G35" s="79">
        <f t="array" ref="G35">MIN(IF(树木!$N$5:$N$85&gt;=旅店!$E35,树木!$J$5:$J$85))</f>
        <v>58</v>
      </c>
      <c r="H35" s="79">
        <f t="array" ref="H35">MIN(IF(树木!$S$5:$S$85&gt;=旅店!$E35,树木!$P$5:$P$85))</f>
        <v>16.46</v>
      </c>
      <c r="I35" s="79">
        <f t="array" ref="I35">MIN(IF(树木!$S$5:$S$85&gt;=旅店!$E35,树木!$J$5:$J$85))</f>
        <v>68</v>
      </c>
      <c r="J35" s="89"/>
      <c r="N35" s="79">
        <v>50</v>
      </c>
      <c r="O35" s="79">
        <f>INDEX(等级时间!$U$3:$AU$203,MATCH($N35,等级时间!$U$3:$U$203,0),MATCH(O$4,等级时间!$U$3:$AU$3,0))</f>
        <v>12.54</v>
      </c>
      <c r="P35" s="79">
        <f t="shared" si="3"/>
        <v>0.85999999999999943</v>
      </c>
      <c r="Q35" s="79">
        <f>VLOOKUP($N35,$B:$E,2,0)*P35*IF($N35&gt;=$L$6,2,1)</f>
        <v>859999.99999999942</v>
      </c>
      <c r="R35" s="79">
        <f>SUM($Q$5:$Q35)</f>
        <v>9980199.9999999981</v>
      </c>
    </row>
    <row r="36" spans="2:18" x14ac:dyDescent="0.15">
      <c r="B36" s="79">
        <v>32</v>
      </c>
      <c r="C36" s="79">
        <f t="shared" si="0"/>
        <v>320000</v>
      </c>
      <c r="D36" s="79">
        <f t="shared" si="2"/>
        <v>34000000</v>
      </c>
      <c r="E36" s="92">
        <f t="shared" si="1"/>
        <v>190000</v>
      </c>
      <c r="F36" s="79">
        <f t="array" ref="F36">MIN(IF(树木!$N$5:$N$85&gt;=旅店!$E36,树木!$K$5:$K$85))</f>
        <v>22.81</v>
      </c>
      <c r="G36" s="79">
        <f t="array" ref="G36">MIN(IF(树木!$N$5:$N$85&gt;=旅店!$E36,树木!$J$5:$J$85))</f>
        <v>59</v>
      </c>
      <c r="H36" s="79">
        <f t="array" ref="H36">MIN(IF(树木!$S$5:$S$85&gt;=旅店!$E36,树木!$P$5:$P$85))</f>
        <v>18.440000000000001</v>
      </c>
      <c r="I36" s="79">
        <f t="array" ref="I36">MIN(IF(树木!$S$5:$S$85&gt;=旅店!$E36,树木!$J$5:$J$85))</f>
        <v>70</v>
      </c>
      <c r="J36" s="89"/>
      <c r="N36" s="79">
        <v>51</v>
      </c>
      <c r="O36" s="79">
        <f>INDEX(等级时间!$U$3:$AU$203,MATCH($N36,等级时间!$U$3:$U$203,0),MATCH(O$4,等级时间!$U$3:$AU$3,0))</f>
        <v>13.45</v>
      </c>
      <c r="P36" s="79">
        <f t="shared" si="3"/>
        <v>0.91000000000000014</v>
      </c>
      <c r="Q36" s="79">
        <f>VLOOKUP($N36,$B:$E,2,0)*P36*IF($N36&gt;=$L$6,2,1)</f>
        <v>928200.00000000012</v>
      </c>
      <c r="R36" s="79">
        <f>SUM($Q$5:$Q36)</f>
        <v>10908399.999999998</v>
      </c>
    </row>
    <row r="37" spans="2:18" x14ac:dyDescent="0.15">
      <c r="B37" s="79">
        <v>33</v>
      </c>
      <c r="C37" s="79">
        <f t="shared" si="0"/>
        <v>330000</v>
      </c>
      <c r="D37" s="79">
        <f t="shared" si="2"/>
        <v>39000000</v>
      </c>
      <c r="E37" s="92">
        <f t="shared" si="1"/>
        <v>210000</v>
      </c>
      <c r="F37" s="79">
        <f t="array" ref="F37">MIN(IF(树木!$N$5:$N$85&gt;=旅店!$E37,树木!$K$5:$K$85))</f>
        <v>24.29</v>
      </c>
      <c r="G37" s="79">
        <f t="array" ref="G37">MIN(IF(树木!$N$5:$N$85&gt;=旅店!$E37,树木!$J$5:$J$85))</f>
        <v>60</v>
      </c>
      <c r="H37" s="79">
        <f t="array" ref="H37">MIN(IF(树木!$S$5:$S$85&gt;=旅店!$E37,树木!$P$5:$P$85))</f>
        <v>19.5</v>
      </c>
      <c r="I37" s="79">
        <f t="array" ref="I37">MIN(IF(树木!$S$5:$S$85&gt;=旅店!$E37,树木!$J$5:$J$85))</f>
        <v>71</v>
      </c>
      <c r="J37" s="89"/>
      <c r="N37" s="79">
        <v>52</v>
      </c>
      <c r="O37" s="79">
        <f>INDEX(等级时间!$U$3:$AU$203,MATCH($N37,等级时间!$U$3:$U$203,0),MATCH(O$4,等级时间!$U$3:$AU$3,0))</f>
        <v>14.41</v>
      </c>
      <c r="P37" s="79">
        <f t="shared" si="3"/>
        <v>0.96000000000000085</v>
      </c>
      <c r="Q37" s="79">
        <f>VLOOKUP($N37,$B:$E,2,0)*P37*IF($N37&gt;=$L$6,2,1)</f>
        <v>998400.00000000093</v>
      </c>
      <c r="R37" s="79">
        <f>SUM($Q$5:$Q37)</f>
        <v>11906800</v>
      </c>
    </row>
    <row r="38" spans="2:18" x14ac:dyDescent="0.15">
      <c r="B38" s="79">
        <v>34</v>
      </c>
      <c r="C38" s="79">
        <f t="shared" si="0"/>
        <v>340000</v>
      </c>
      <c r="D38" s="79">
        <f t="shared" si="2"/>
        <v>45000000</v>
      </c>
      <c r="E38" s="92">
        <f t="shared" si="1"/>
        <v>230000</v>
      </c>
      <c r="F38" s="79">
        <f t="array" ref="F38">MIN(IF(树木!$N$5:$N$85&gt;=旅店!$E38,树木!$K$5:$K$85))</f>
        <v>25.84</v>
      </c>
      <c r="G38" s="79">
        <f t="array" ref="G38">MIN(IF(树木!$N$5:$N$85&gt;=旅店!$E38,树木!$J$5:$J$85))</f>
        <v>61</v>
      </c>
      <c r="H38" s="79">
        <f t="array" ref="H38">MIN(IF(树木!$S$5:$S$85&gt;=旅店!$E38,树木!$P$5:$P$85))</f>
        <v>21.77</v>
      </c>
      <c r="I38" s="79">
        <f t="array" ref="I38">MIN(IF(树木!$S$5:$S$85&gt;=旅店!$E38,树木!$J$5:$J$85))</f>
        <v>73</v>
      </c>
      <c r="J38" s="89"/>
      <c r="N38" s="79">
        <v>53</v>
      </c>
      <c r="O38" s="79">
        <f>INDEX(等级时间!$U$3:$AU$203,MATCH($N38,等级时间!$U$3:$U$203,0),MATCH(O$4,等级时间!$U$3:$AU$3,0))</f>
        <v>15.42</v>
      </c>
      <c r="P38" s="79">
        <f t="shared" si="3"/>
        <v>1.0099999999999998</v>
      </c>
      <c r="Q38" s="79">
        <f>VLOOKUP($N38,$B:$E,2,0)*P38*IF($N38&gt;=$L$6,2,1)</f>
        <v>1070599.9999999998</v>
      </c>
      <c r="R38" s="79">
        <f>SUM($Q$5:$Q38)</f>
        <v>12977400</v>
      </c>
    </row>
    <row r="39" spans="2:18" x14ac:dyDescent="0.15">
      <c r="B39" s="79">
        <v>35</v>
      </c>
      <c r="C39" s="79">
        <f t="shared" si="0"/>
        <v>350000</v>
      </c>
      <c r="D39" s="79">
        <f t="shared" si="2"/>
        <v>53000000</v>
      </c>
      <c r="E39" s="92">
        <f t="shared" si="1"/>
        <v>250000</v>
      </c>
      <c r="F39" s="79">
        <f t="array" ref="F39">MIN(IF(树木!$N$5:$N$85&gt;=旅店!$E39,树木!$K$5:$K$85))</f>
        <v>27.47</v>
      </c>
      <c r="G39" s="79">
        <f t="array" ref="G39">MIN(IF(树木!$N$5:$N$85&gt;=旅店!$E39,树木!$J$5:$J$85))</f>
        <v>62</v>
      </c>
      <c r="H39" s="79">
        <f t="array" ref="H39">MIN(IF(树木!$S$5:$S$85&gt;=旅店!$E39,树木!$P$5:$P$85))</f>
        <v>22.98</v>
      </c>
      <c r="I39" s="79">
        <f t="array" ref="I39">MIN(IF(树木!$S$5:$S$85&gt;=旅店!$E39,树木!$J$5:$J$85))</f>
        <v>74</v>
      </c>
      <c r="J39" s="89"/>
      <c r="N39" s="79">
        <v>54</v>
      </c>
      <c r="O39" s="79">
        <f>INDEX(等级时间!$U$3:$AU$203,MATCH($N39,等级时间!$U$3:$U$203,0),MATCH(O$4,等级时间!$U$3:$AU$3,0))</f>
        <v>16.489999999999998</v>
      </c>
      <c r="P39" s="79">
        <f t="shared" si="3"/>
        <v>1.0699999999999985</v>
      </c>
      <c r="Q39" s="79">
        <f>VLOOKUP($N39,$B:$E,2,0)*P39*IF($N39&gt;=$L$6,2,1)</f>
        <v>1155599.9999999984</v>
      </c>
      <c r="R39" s="79">
        <f>SUM($Q$5:$Q39)</f>
        <v>14132999.999999998</v>
      </c>
    </row>
    <row r="40" spans="2:18" x14ac:dyDescent="0.15">
      <c r="B40" s="79">
        <v>36</v>
      </c>
      <c r="C40" s="79">
        <f t="shared" si="0"/>
        <v>360000</v>
      </c>
      <c r="D40" s="79">
        <f t="shared" si="2"/>
        <v>60000000</v>
      </c>
      <c r="E40" s="92">
        <f t="shared" si="1"/>
        <v>280000</v>
      </c>
      <c r="F40" s="79">
        <f t="array" ref="F40">MIN(IF(树木!$N$5:$N$85&gt;=旅店!$E40,树木!$K$5:$K$85))</f>
        <v>31</v>
      </c>
      <c r="G40" s="79">
        <f t="array" ref="G40">MIN(IF(树木!$N$5:$N$85&gt;=旅店!$E40,树木!$J$5:$J$85))</f>
        <v>64</v>
      </c>
      <c r="H40" s="79">
        <f t="array" ref="H40">MIN(IF(树木!$S$5:$S$85&gt;=旅店!$E40,树木!$P$5:$P$85))</f>
        <v>24.25</v>
      </c>
      <c r="I40" s="79">
        <f t="array" ref="I40">MIN(IF(树木!$S$5:$S$85&gt;=旅店!$E40,树木!$J$5:$J$85))</f>
        <v>75</v>
      </c>
      <c r="J40" s="89"/>
      <c r="N40" s="79">
        <v>55</v>
      </c>
      <c r="O40" s="79">
        <f>INDEX(等级时间!$U$3:$AU$203,MATCH($N40,等级时间!$U$3:$U$203,0),MATCH(O$4,等级时间!$U$3:$AU$3,0))</f>
        <v>17.63</v>
      </c>
      <c r="P40" s="79">
        <f t="shared" si="3"/>
        <v>1.1400000000000006</v>
      </c>
      <c r="Q40" s="79">
        <f>VLOOKUP($N40,$B:$E,2,0)*P40*IF($N40&gt;=$L$6,2,1)</f>
        <v>1254000.0000000007</v>
      </c>
      <c r="R40" s="79">
        <f>SUM($Q$5:$Q40)</f>
        <v>15386999.999999998</v>
      </c>
    </row>
    <row r="41" spans="2:18" x14ac:dyDescent="0.15">
      <c r="B41" s="79">
        <v>37</v>
      </c>
      <c r="C41" s="79">
        <f t="shared" si="0"/>
        <v>370000</v>
      </c>
      <c r="D41" s="79">
        <f t="shared" si="2"/>
        <v>69000000</v>
      </c>
      <c r="E41" s="92">
        <f t="shared" si="1"/>
        <v>310000</v>
      </c>
      <c r="F41" s="79">
        <f t="array" ref="F41">MIN(IF(树木!$N$5:$N$85&gt;=旅店!$E41,树木!$K$5:$K$85))</f>
        <v>32.9</v>
      </c>
      <c r="G41" s="79">
        <f t="array" ref="G41">MIN(IF(树木!$N$5:$N$85&gt;=旅店!$E41,树木!$J$5:$J$85))</f>
        <v>65</v>
      </c>
      <c r="H41" s="79">
        <f t="array" ref="H41">MIN(IF(树木!$S$5:$S$85&gt;=旅店!$E41,树木!$P$5:$P$85))</f>
        <v>26.96</v>
      </c>
      <c r="I41" s="79">
        <f t="array" ref="I41">MIN(IF(树木!$S$5:$S$85&gt;=旅店!$E41,树木!$J$5:$J$85))</f>
        <v>77</v>
      </c>
      <c r="J41" s="89"/>
      <c r="N41" s="79">
        <v>56</v>
      </c>
      <c r="O41" s="79">
        <f>INDEX(等级时间!$U$3:$AU$203,MATCH($N41,等级时间!$U$3:$U$203,0),MATCH(O$4,等级时间!$U$3:$AU$3,0))</f>
        <v>18.82</v>
      </c>
      <c r="P41" s="79">
        <f t="shared" si="3"/>
        <v>1.1900000000000013</v>
      </c>
      <c r="Q41" s="79">
        <f>VLOOKUP($N41,$B:$E,2,0)*P41*IF($N41&gt;=$L$6,2,1)</f>
        <v>1332800.0000000014</v>
      </c>
      <c r="R41" s="79">
        <f>SUM($Q$5:$Q41)</f>
        <v>16719800</v>
      </c>
    </row>
    <row r="42" spans="2:18" x14ac:dyDescent="0.15">
      <c r="B42" s="79">
        <v>38</v>
      </c>
      <c r="C42" s="79">
        <f t="shared" si="0"/>
        <v>380000</v>
      </c>
      <c r="D42" s="79">
        <f t="shared" si="2"/>
        <v>79000000</v>
      </c>
      <c r="E42" s="92">
        <f t="shared" si="1"/>
        <v>340000</v>
      </c>
      <c r="F42" s="79">
        <f t="array" ref="F42">MIN(IF(树木!$N$5:$N$85&gt;=旅店!$E42,树木!$K$5:$K$85))</f>
        <v>34.89</v>
      </c>
      <c r="G42" s="79">
        <f t="array" ref="G42">MIN(IF(树木!$N$5:$N$85&gt;=旅店!$E42,树木!$J$5:$J$85))</f>
        <v>66</v>
      </c>
      <c r="H42" s="79">
        <f t="array" ref="H42">MIN(IF(树木!$S$5:$S$85&gt;=旅店!$E42,树木!$P$5:$P$85))</f>
        <v>28.41</v>
      </c>
      <c r="I42" s="79">
        <f t="array" ref="I42">MIN(IF(树木!$S$5:$S$85&gt;=旅店!$E42,树木!$J$5:$J$85))</f>
        <v>78</v>
      </c>
      <c r="J42" s="89"/>
      <c r="N42" s="79">
        <v>57</v>
      </c>
      <c r="O42" s="79">
        <f>INDEX(等级时间!$U$3:$AU$203,MATCH($N42,等级时间!$U$3:$U$203,0),MATCH(O$4,等级时间!$U$3:$AU$3,0))</f>
        <v>20.079999999999998</v>
      </c>
      <c r="P42" s="79">
        <f t="shared" si="3"/>
        <v>1.259999999999998</v>
      </c>
      <c r="Q42" s="79">
        <f>VLOOKUP($N42,$B:$E,2,0)*P42*IF($N42&gt;=$L$6,2,1)</f>
        <v>1436399.9999999977</v>
      </c>
      <c r="R42" s="79">
        <f>SUM($Q$5:$Q42)</f>
        <v>18156199.999999996</v>
      </c>
    </row>
    <row r="43" spans="2:18" x14ac:dyDescent="0.15">
      <c r="B43" s="79">
        <v>39</v>
      </c>
      <c r="C43" s="79">
        <f t="shared" si="0"/>
        <v>390000</v>
      </c>
      <c r="D43" s="79">
        <f t="shared" si="2"/>
        <v>90000000</v>
      </c>
      <c r="E43" s="92">
        <f t="shared" si="1"/>
        <v>370000</v>
      </c>
      <c r="F43" s="79">
        <f t="array" ref="F43">MIN(IF(树木!$N$5:$N$85&gt;=旅店!$E43,树木!$K$5:$K$85))</f>
        <v>36.979999999999997</v>
      </c>
      <c r="G43" s="79">
        <f t="array" ref="G43">MIN(IF(树木!$N$5:$N$85&gt;=旅店!$E43,树木!$J$5:$J$85))</f>
        <v>67</v>
      </c>
      <c r="H43" s="79">
        <f t="array" ref="H43">MIN(IF(树木!$S$5:$S$85&gt;=旅店!$E43,树木!$P$5:$P$85))</f>
        <v>29.92</v>
      </c>
      <c r="I43" s="79">
        <f t="array" ref="I43">MIN(IF(树木!$S$5:$S$85&gt;=旅店!$E43,树木!$J$5:$J$85))</f>
        <v>79</v>
      </c>
      <c r="J43" s="89"/>
      <c r="N43" s="79">
        <v>58</v>
      </c>
      <c r="O43" s="79">
        <f>INDEX(等级时间!$U$3:$AU$203,MATCH($N43,等级时间!$U$3:$U$203,0),MATCH(O$4,等级时间!$U$3:$AU$3,0))</f>
        <v>21.41</v>
      </c>
      <c r="P43" s="79">
        <f t="shared" si="3"/>
        <v>1.3300000000000018</v>
      </c>
      <c r="Q43" s="79">
        <f>VLOOKUP($N43,$B:$E,2,0)*P43*IF($N43&gt;=$L$6,2,1)</f>
        <v>1542800.0000000021</v>
      </c>
      <c r="R43" s="79">
        <f>SUM($Q$5:$Q43)</f>
        <v>19699000</v>
      </c>
    </row>
    <row r="44" spans="2:18" x14ac:dyDescent="0.15">
      <c r="B44" s="79">
        <v>40</v>
      </c>
      <c r="C44" s="79">
        <f t="shared" si="0"/>
        <v>400000</v>
      </c>
      <c r="D44" s="79">
        <f t="shared" si="2"/>
        <v>100000000</v>
      </c>
      <c r="E44" s="92">
        <f t="shared" si="1"/>
        <v>400000</v>
      </c>
      <c r="F44" s="79">
        <f t="array" ref="F44">MIN(IF(树木!$N$5:$N$85&gt;=旅店!$E44,树木!$K$5:$K$85))</f>
        <v>39.17</v>
      </c>
      <c r="G44" s="79">
        <f t="array" ref="G44">MIN(IF(树木!$N$5:$N$85&gt;=旅店!$E44,树木!$J$5:$J$85))</f>
        <v>68</v>
      </c>
      <c r="H44" s="79">
        <f t="array" ref="H44">MIN(IF(树木!$S$5:$S$85&gt;=旅店!$E44,树木!$P$5:$P$85))</f>
        <v>33.130000000000003</v>
      </c>
      <c r="I44" s="79">
        <f t="array" ref="I44">MIN(IF(树木!$S$5:$S$85&gt;=旅店!$E44,树木!$J$5:$J$85))</f>
        <v>81</v>
      </c>
      <c r="J44" s="89"/>
      <c r="N44" s="79">
        <v>59</v>
      </c>
      <c r="O44" s="79">
        <f>INDEX(等级时间!$U$3:$AU$203,MATCH($N44,等级时间!$U$3:$U$203,0),MATCH(O$4,等级时间!$U$3:$AU$3,0))</f>
        <v>22.81</v>
      </c>
      <c r="P44" s="79">
        <f t="shared" si="3"/>
        <v>1.3999999999999986</v>
      </c>
      <c r="Q44" s="79">
        <f>VLOOKUP($N44,$B:$E,2,0)*P44*IF($N44&gt;=$L$6,2,1)</f>
        <v>1651999.9999999984</v>
      </c>
      <c r="R44" s="79">
        <f>SUM($Q$5:$Q44)</f>
        <v>21351000</v>
      </c>
    </row>
    <row r="45" spans="2:18" x14ac:dyDescent="0.15">
      <c r="B45" s="79">
        <v>41</v>
      </c>
      <c r="C45" s="79">
        <f t="shared" si="0"/>
        <v>410000</v>
      </c>
      <c r="D45" s="79">
        <f t="shared" si="2"/>
        <v>120000000</v>
      </c>
      <c r="E45" s="92">
        <f t="shared" si="1"/>
        <v>440000</v>
      </c>
      <c r="F45" s="79">
        <f t="array" ref="F45">MIN(IF(树木!$N$5:$N$85&gt;=旅店!$E45,树木!$K$5:$K$85))</f>
        <v>43.88</v>
      </c>
      <c r="G45" s="79">
        <f t="array" ref="G45">MIN(IF(树木!$N$5:$N$85&gt;=旅店!$E45,树木!$J$5:$J$85))</f>
        <v>70</v>
      </c>
      <c r="H45" s="79">
        <f t="array" ref="H45">MIN(IF(树木!$S$5:$S$85&gt;=旅店!$E45,树木!$P$5:$P$85))</f>
        <v>34.840000000000003</v>
      </c>
      <c r="I45" s="79">
        <f t="array" ref="I45">MIN(IF(树木!$S$5:$S$85&gt;=旅店!$E45,树木!$J$5:$J$85))</f>
        <v>82</v>
      </c>
      <c r="J45" s="89"/>
      <c r="N45" s="79">
        <v>60</v>
      </c>
      <c r="O45" s="79">
        <f>INDEX(等级时间!$U$3:$AU$203,MATCH($N45,等级时间!$U$3:$U$203,0),MATCH(O$4,等级时间!$U$3:$AU$3,0))</f>
        <v>24.29</v>
      </c>
      <c r="P45" s="79">
        <f t="shared" si="3"/>
        <v>1.4800000000000004</v>
      </c>
      <c r="Q45" s="79">
        <f>VLOOKUP($N45,$B:$E,2,0)*P45*IF($N45&gt;=$L$6,2,1)</f>
        <v>1776000.0000000005</v>
      </c>
      <c r="R45" s="79">
        <f>SUM($Q$5:$Q45)</f>
        <v>23127000</v>
      </c>
    </row>
    <row r="46" spans="2:18" x14ac:dyDescent="0.15">
      <c r="B46" s="79">
        <v>42</v>
      </c>
      <c r="C46" s="79">
        <f t="shared" si="0"/>
        <v>420000</v>
      </c>
      <c r="D46" s="79">
        <f t="shared" si="2"/>
        <v>130000000</v>
      </c>
      <c r="E46" s="92">
        <f t="shared" si="1"/>
        <v>480000</v>
      </c>
      <c r="F46" s="79">
        <f t="array" ref="F46">MIN(IF(树木!$N$5:$N$85&gt;=旅店!$E46,树木!$K$5:$K$85))</f>
        <v>46.4</v>
      </c>
      <c r="G46" s="79">
        <f t="array" ref="G46">MIN(IF(树木!$N$5:$N$85&gt;=旅店!$E46,树木!$J$5:$J$85))</f>
        <v>71</v>
      </c>
      <c r="H46" s="79">
        <f t="array" ref="H46">MIN(IF(树木!$S$5:$S$85&gt;=旅店!$E46,树木!$P$5:$P$85))</f>
        <v>36.619999999999997</v>
      </c>
      <c r="I46" s="79">
        <f t="array" ref="I46">MIN(IF(树木!$S$5:$S$85&gt;=旅店!$E46,树木!$J$5:$J$85))</f>
        <v>83</v>
      </c>
      <c r="J46" s="89"/>
      <c r="N46" s="79">
        <v>61</v>
      </c>
      <c r="O46" s="79">
        <f>INDEX(等级时间!$U$3:$AU$203,MATCH($N46,等级时间!$U$3:$U$203,0),MATCH(O$4,等级时间!$U$3:$AU$3,0))</f>
        <v>25.84</v>
      </c>
      <c r="P46" s="79">
        <f t="shared" si="3"/>
        <v>1.5500000000000007</v>
      </c>
      <c r="Q46" s="79">
        <f>VLOOKUP($N46,$B:$E,2,0)*P46*IF($N46&gt;=$L$6,2,1)</f>
        <v>1891000.0000000009</v>
      </c>
      <c r="R46" s="79">
        <f>SUM($Q$5:$Q46)</f>
        <v>25018000</v>
      </c>
    </row>
    <row r="47" spans="2:18" x14ac:dyDescent="0.15">
      <c r="B47" s="79">
        <v>43</v>
      </c>
      <c r="C47" s="79">
        <f t="shared" si="0"/>
        <v>430000</v>
      </c>
      <c r="D47" s="79">
        <f t="shared" si="2"/>
        <v>150000000</v>
      </c>
      <c r="E47" s="92">
        <f t="shared" si="1"/>
        <v>520000</v>
      </c>
      <c r="F47" s="79">
        <f t="array" ref="F47">MIN(IF(树木!$N$5:$N$85&gt;=旅店!$E47,树木!$K$5:$K$85))</f>
        <v>49.05</v>
      </c>
      <c r="G47" s="79">
        <f t="array" ref="G47">MIN(IF(树木!$N$5:$N$85&gt;=旅店!$E47,树木!$J$5:$J$85))</f>
        <v>72</v>
      </c>
      <c r="H47" s="79">
        <f t="array" ref="H47">MIN(IF(树木!$S$5:$S$85&gt;=旅店!$E47,树木!$P$5:$P$85))</f>
        <v>40.4</v>
      </c>
      <c r="I47" s="79">
        <f t="array" ref="I47">MIN(IF(树木!$S$5:$S$85&gt;=旅店!$E47,树木!$J$5:$J$85))</f>
        <v>85</v>
      </c>
      <c r="J47" s="89"/>
      <c r="N47" s="79">
        <v>62</v>
      </c>
      <c r="O47" s="79">
        <f>INDEX(等级时间!$U$3:$AU$203,MATCH($N47,等级时间!$U$3:$U$203,0),MATCH(O$4,等级时间!$U$3:$AU$3,0))</f>
        <v>27.47</v>
      </c>
      <c r="P47" s="79">
        <f t="shared" si="3"/>
        <v>1.629999999999999</v>
      </c>
      <c r="Q47" s="79">
        <f>VLOOKUP($N47,$B:$E,2,0)*P47*IF($N47&gt;=$L$6,2,1)</f>
        <v>2021199.9999999988</v>
      </c>
      <c r="R47" s="79">
        <f>SUM($Q$5:$Q47)</f>
        <v>27039200</v>
      </c>
    </row>
    <row r="48" spans="2:18" x14ac:dyDescent="0.15">
      <c r="B48" s="79">
        <v>44</v>
      </c>
      <c r="C48" s="79">
        <f t="shared" si="0"/>
        <v>440000</v>
      </c>
      <c r="D48" s="79">
        <f t="shared" si="2"/>
        <v>160000000</v>
      </c>
      <c r="E48" s="92">
        <f t="shared" si="1"/>
        <v>570000</v>
      </c>
      <c r="F48" s="79">
        <f t="array" ref="F48">MIN(IF(树木!$N$5:$N$85&gt;=旅店!$E48,树木!$K$5:$K$85))</f>
        <v>51.81</v>
      </c>
      <c r="G48" s="79">
        <f t="array" ref="G48">MIN(IF(树木!$N$5:$N$85&gt;=旅店!$E48,树木!$J$5:$J$85))</f>
        <v>73</v>
      </c>
      <c r="H48" s="79">
        <f t="array" ref="H48">MIN(IF(树木!$S$5:$S$85&gt;=旅店!$E48,树木!$P$5:$P$85))</f>
        <v>42.41</v>
      </c>
      <c r="I48" s="79">
        <f t="array" ref="I48">MIN(IF(树木!$S$5:$S$85&gt;=旅店!$E48,树木!$J$5:$J$85))</f>
        <v>86</v>
      </c>
      <c r="J48" s="89"/>
      <c r="N48" s="79">
        <v>63</v>
      </c>
      <c r="O48" s="79">
        <f>INDEX(等级时间!$U$3:$AU$203,MATCH($N48,等级时间!$U$3:$U$203,0),MATCH(O$4,等级时间!$U$3:$AU$3,0))</f>
        <v>29.19</v>
      </c>
      <c r="P48" s="79">
        <f t="shared" si="3"/>
        <v>1.7200000000000024</v>
      </c>
      <c r="Q48" s="79">
        <f>VLOOKUP($N48,$B:$E,2,0)*P48*IF($N48&gt;=$L$6,2,1)</f>
        <v>2167200.0000000033</v>
      </c>
      <c r="R48" s="79">
        <f>SUM($Q$5:$Q48)</f>
        <v>29206400.000000004</v>
      </c>
    </row>
    <row r="49" spans="2:18" x14ac:dyDescent="0.15">
      <c r="B49" s="79">
        <v>45</v>
      </c>
      <c r="C49" s="79">
        <f t="shared" si="0"/>
        <v>450000</v>
      </c>
      <c r="D49" s="79">
        <f t="shared" si="2"/>
        <v>180000000</v>
      </c>
      <c r="E49" s="92">
        <f t="shared" si="1"/>
        <v>610000</v>
      </c>
      <c r="F49" s="79">
        <f t="array" ref="F49">MIN(IF(树木!$N$5:$N$85&gt;=旅店!$E49,树木!$K$5:$K$85))</f>
        <v>54.7</v>
      </c>
      <c r="G49" s="79">
        <f t="array" ref="G49">MIN(IF(树木!$N$5:$N$85&gt;=旅店!$E49,树木!$J$5:$J$85))</f>
        <v>74</v>
      </c>
      <c r="H49" s="79">
        <f t="array" ref="H49">MIN(IF(树木!$S$5:$S$85&gt;=旅店!$E49,树木!$P$5:$P$85))</f>
        <v>44.5</v>
      </c>
      <c r="I49" s="79">
        <f t="array" ref="I49">MIN(IF(树木!$S$5:$S$85&gt;=旅店!$E49,树木!$J$5:$J$85))</f>
        <v>87</v>
      </c>
      <c r="J49" s="89"/>
      <c r="N49" s="79">
        <v>64</v>
      </c>
      <c r="O49" s="79">
        <f>INDEX(等级时间!$U$3:$AU$203,MATCH($N49,等级时间!$U$3:$U$203,0),MATCH(O$4,等级时间!$U$3:$AU$3,0))</f>
        <v>31</v>
      </c>
      <c r="P49" s="79">
        <f t="shared" si="3"/>
        <v>1.8099999999999987</v>
      </c>
      <c r="Q49" s="79">
        <f>VLOOKUP($N49,$B:$E,2,0)*P49*IF($N49&gt;=$L$6,2,1)</f>
        <v>2316799.9999999981</v>
      </c>
      <c r="R49" s="79">
        <f>SUM($Q$5:$Q49)</f>
        <v>31523200</v>
      </c>
    </row>
    <row r="50" spans="2:18" x14ac:dyDescent="0.15">
      <c r="B50" s="79">
        <v>46</v>
      </c>
      <c r="C50" s="79">
        <f t="shared" si="0"/>
        <v>460000</v>
      </c>
      <c r="D50" s="79">
        <f t="shared" si="2"/>
        <v>210000000</v>
      </c>
      <c r="E50" s="92">
        <f t="shared" si="1"/>
        <v>660000</v>
      </c>
      <c r="F50" s="79">
        <f t="array" ref="F50">MIN(IF(树木!$N$5:$N$85&gt;=旅店!$E50,树木!$K$5:$K$85))</f>
        <v>57.73</v>
      </c>
      <c r="G50" s="79">
        <f t="array" ref="G50">MIN(IF(树木!$N$5:$N$85&gt;=旅店!$E50,树木!$J$5:$J$85))</f>
        <v>75</v>
      </c>
      <c r="H50" s="79">
        <f t="array" ref="H50">MIN(IF(树木!$S$5:$S$85&gt;=旅店!$E50,树木!$P$5:$P$85))</f>
        <v>48.92</v>
      </c>
      <c r="I50" s="79">
        <f t="array" ref="I50">MIN(IF(树木!$S$5:$S$85&gt;=旅店!$E50,树木!$J$5:$J$85))</f>
        <v>89</v>
      </c>
      <c r="J50" s="89"/>
      <c r="N50" s="79">
        <v>65</v>
      </c>
      <c r="O50" s="79">
        <f>INDEX(等级时间!$U$3:$AU$203,MATCH($N50,等级时间!$U$3:$U$203,0),MATCH(O$4,等级时间!$U$3:$AU$3,0))</f>
        <v>32.9</v>
      </c>
      <c r="P50" s="79">
        <f t="shared" si="3"/>
        <v>1.8999999999999986</v>
      </c>
      <c r="Q50" s="79">
        <f>VLOOKUP($N50,$B:$E,2,0)*P50*IF($N50&gt;=$L$6,2,1)</f>
        <v>2469999.9999999981</v>
      </c>
      <c r="R50" s="79">
        <f>SUM($Q$5:$Q50)</f>
        <v>33993200</v>
      </c>
    </row>
    <row r="51" spans="2:18" x14ac:dyDescent="0.15">
      <c r="B51" s="79">
        <v>47</v>
      </c>
      <c r="C51" s="79">
        <f t="shared" si="0"/>
        <v>470000</v>
      </c>
      <c r="D51" s="79">
        <f t="shared" si="2"/>
        <v>230000000</v>
      </c>
      <c r="E51" s="92">
        <f t="shared" si="1"/>
        <v>710000</v>
      </c>
      <c r="F51" s="79">
        <f t="array" ref="F51">MIN(IF(树木!$N$5:$N$85&gt;=旅店!$E51,树木!$K$5:$K$85))</f>
        <v>60.89</v>
      </c>
      <c r="G51" s="79">
        <f t="array" ref="G51">MIN(IF(树木!$N$5:$N$85&gt;=旅店!$E51,树木!$J$5:$J$85))</f>
        <v>76</v>
      </c>
      <c r="H51" s="79">
        <f t="array" ref="H51">MIN(IF(树木!$S$5:$S$85&gt;=旅店!$E51,树木!$P$5:$P$85))</f>
        <v>51.26</v>
      </c>
      <c r="I51" s="79">
        <f t="array" ref="I51">MIN(IF(树木!$S$5:$S$85&gt;=旅店!$E51,树木!$J$5:$J$85))</f>
        <v>90</v>
      </c>
      <c r="J51" s="89"/>
      <c r="N51" s="79">
        <v>66</v>
      </c>
      <c r="O51" s="79">
        <f>INDEX(等级时间!$U$3:$AU$203,MATCH($N51,等级时间!$U$3:$U$203,0),MATCH(O$4,等级时间!$U$3:$AU$3,0))</f>
        <v>34.89</v>
      </c>
      <c r="P51" s="79">
        <f t="shared" si="3"/>
        <v>1.990000000000002</v>
      </c>
      <c r="Q51" s="79">
        <f>VLOOKUP($N51,$B:$E,2,0)*P51*IF($N51&gt;=$L$6,2,1)</f>
        <v>2626800.0000000028</v>
      </c>
      <c r="R51" s="79">
        <f>SUM($Q$5:$Q51)</f>
        <v>36620000</v>
      </c>
    </row>
    <row r="52" spans="2:18" x14ac:dyDescent="0.15">
      <c r="B52" s="79">
        <v>48</v>
      </c>
      <c r="C52" s="79">
        <f t="shared" si="0"/>
        <v>480000</v>
      </c>
      <c r="D52" s="79">
        <f t="shared" si="2"/>
        <v>250000000</v>
      </c>
      <c r="E52" s="92">
        <f t="shared" si="1"/>
        <v>770000</v>
      </c>
      <c r="F52" s="79">
        <f t="array" ref="F52">MIN(IF(树木!$N$5:$N$85&gt;=旅店!$E52,树木!$K$5:$K$85))</f>
        <v>64.180000000000007</v>
      </c>
      <c r="G52" s="79">
        <f t="array" ref="G52">MIN(IF(树木!$N$5:$N$85&gt;=旅店!$E52,树木!$J$5:$J$85))</f>
        <v>77</v>
      </c>
      <c r="H52" s="79">
        <f t="array" ref="H52">MIN(IF(树木!$S$5:$S$85&gt;=旅店!$E52,树木!$P$5:$P$85))</f>
        <v>53.69</v>
      </c>
      <c r="I52" s="79">
        <f t="array" ref="I52">MIN(IF(树木!$S$5:$S$85&gt;=旅店!$E52,树木!$J$5:$J$85))</f>
        <v>91</v>
      </c>
      <c r="J52" s="89"/>
      <c r="N52" s="79">
        <v>67</v>
      </c>
      <c r="O52" s="79">
        <f>INDEX(等级时间!$U$3:$AU$203,MATCH($N52,等级时间!$U$3:$U$203,0),MATCH(O$4,等级时间!$U$3:$AU$3,0))</f>
        <v>36.979999999999997</v>
      </c>
      <c r="P52" s="79">
        <f t="shared" si="3"/>
        <v>2.0899999999999963</v>
      </c>
      <c r="Q52" s="79">
        <f>VLOOKUP($N52,$B:$E,2,0)*P52*IF($N52&gt;=$L$6,2,1)</f>
        <v>2800599.9999999949</v>
      </c>
      <c r="R52" s="79">
        <f>SUM($Q$5:$Q52)</f>
        <v>39420599.999999993</v>
      </c>
    </row>
    <row r="53" spans="2:18" x14ac:dyDescent="0.15">
      <c r="B53" s="79">
        <v>49</v>
      </c>
      <c r="C53" s="79">
        <f t="shared" si="0"/>
        <v>490000</v>
      </c>
      <c r="D53" s="79">
        <f t="shared" si="2"/>
        <v>280000000</v>
      </c>
      <c r="E53" s="92">
        <f t="shared" si="1"/>
        <v>820000</v>
      </c>
      <c r="F53" s="79">
        <f t="array" ref="F53">MIN(IF(树木!$N$5:$N$85&gt;=旅店!$E53,树木!$K$5:$K$85))</f>
        <v>67.63</v>
      </c>
      <c r="G53" s="79">
        <f t="array" ref="G53">MIN(IF(树木!$N$5:$N$85&gt;=旅店!$E53,树木!$J$5:$J$85))</f>
        <v>78</v>
      </c>
      <c r="H53" s="79">
        <f t="array" ref="H53">MIN(IF(树木!$S$5:$S$85&gt;=旅店!$E53,树木!$P$5:$P$85))</f>
        <v>56.21</v>
      </c>
      <c r="I53" s="79">
        <f t="array" ref="I53">MIN(IF(树木!$S$5:$S$85&gt;=旅店!$E53,树木!$J$5:$J$85))</f>
        <v>92</v>
      </c>
      <c r="J53" s="89"/>
      <c r="N53" s="79">
        <v>68</v>
      </c>
      <c r="O53" s="79">
        <f>INDEX(等级时间!$U$3:$AU$203,MATCH($N53,等级时间!$U$3:$U$203,0),MATCH(O$4,等级时间!$U$3:$AU$3,0))</f>
        <v>39.17</v>
      </c>
      <c r="P53" s="79">
        <f t="shared" si="3"/>
        <v>2.1900000000000048</v>
      </c>
      <c r="Q53" s="79">
        <f>VLOOKUP($N53,$B:$E,2,0)*P53*IF($N53&gt;=$L$6,2,1)</f>
        <v>2978400.0000000065</v>
      </c>
      <c r="R53" s="79">
        <f>SUM($Q$5:$Q53)</f>
        <v>42399000</v>
      </c>
    </row>
    <row r="54" spans="2:18" x14ac:dyDescent="0.15">
      <c r="B54" s="79">
        <v>50</v>
      </c>
      <c r="C54" s="79">
        <f t="shared" si="0"/>
        <v>500000</v>
      </c>
      <c r="D54" s="79">
        <f t="shared" si="2"/>
        <v>310000000</v>
      </c>
      <c r="E54" s="92">
        <f t="shared" si="1"/>
        <v>880000</v>
      </c>
      <c r="F54" s="79">
        <f t="array" ref="F54">MIN(IF(树木!$N$5:$N$85&gt;=旅店!$E54,树木!$K$5:$K$85))</f>
        <v>71.22</v>
      </c>
      <c r="G54" s="79">
        <f t="array" ref="G54">MIN(IF(树木!$N$5:$N$85&gt;=旅店!$E54,树木!$J$5:$J$85))</f>
        <v>79</v>
      </c>
      <c r="H54" s="79">
        <f t="array" ref="H54">MIN(IF(树木!$S$5:$S$85&gt;=旅店!$E54,树木!$P$5:$P$85))</f>
        <v>61.54</v>
      </c>
      <c r="I54" s="79">
        <f t="array" ref="I54">MIN(IF(树木!$S$5:$S$85&gt;=旅店!$E54,树木!$J$5:$J$85))</f>
        <v>94</v>
      </c>
      <c r="J54" s="89"/>
      <c r="N54" s="79">
        <v>69</v>
      </c>
      <c r="O54" s="79">
        <f>INDEX(等级时间!$U$3:$AU$203,MATCH($N54,等级时间!$U$3:$U$203,0),MATCH(O$4,等级时间!$U$3:$AU$3,0))</f>
        <v>41.47</v>
      </c>
      <c r="P54" s="79">
        <f t="shared" si="3"/>
        <v>2.2999999999999972</v>
      </c>
      <c r="Q54" s="79">
        <f>VLOOKUP($N54,$B:$E,2,0)*P54*IF($N54&gt;=$L$6,2,1)</f>
        <v>3173999.9999999963</v>
      </c>
      <c r="R54" s="79">
        <f>SUM($Q$5:$Q54)</f>
        <v>45573000</v>
      </c>
    </row>
    <row r="55" spans="2:18" x14ac:dyDescent="0.15">
      <c r="B55" s="79">
        <v>51</v>
      </c>
      <c r="C55" s="79">
        <f t="shared" si="0"/>
        <v>510000</v>
      </c>
      <c r="D55" s="79">
        <f t="shared" si="2"/>
        <v>350000000</v>
      </c>
      <c r="E55" s="92">
        <f t="shared" si="1"/>
        <v>950000</v>
      </c>
      <c r="F55" s="79">
        <f t="array" ref="F55">MIN(IF(树木!$N$5:$N$85&gt;=旅店!$E55,树木!$K$5:$K$85))</f>
        <v>78.86</v>
      </c>
      <c r="G55" s="79">
        <f t="array" ref="G55">MIN(IF(树木!$N$5:$N$85&gt;=旅店!$E55,树木!$J$5:$J$85))</f>
        <v>81</v>
      </c>
      <c r="H55" s="79">
        <f t="array" ref="H55">MIN(IF(树木!$S$5:$S$85&gt;=旅店!$E55,树木!$P$5:$P$85))</f>
        <v>64.36</v>
      </c>
      <c r="I55" s="79">
        <f t="array" ref="I55">MIN(IF(树木!$S$5:$S$85&gt;=旅店!$E55,树木!$J$5:$J$85))</f>
        <v>95</v>
      </c>
      <c r="J55" s="89"/>
      <c r="N55" s="79">
        <v>70</v>
      </c>
      <c r="O55" s="79">
        <f>INDEX(等级时间!$U$3:$AU$203,MATCH($N55,等级时间!$U$3:$U$203,0),MATCH(O$4,等级时间!$U$3:$AU$3,0))</f>
        <v>43.88</v>
      </c>
      <c r="P55" s="79">
        <f t="shared" si="3"/>
        <v>2.4100000000000037</v>
      </c>
      <c r="Q55" s="79">
        <f>VLOOKUP($N55,$B:$E,2,0)*P55*IF($N55&gt;=$L$6,2,1)</f>
        <v>3374000.0000000051</v>
      </c>
      <c r="R55" s="79">
        <f>SUM($Q$5:$Q55)</f>
        <v>48947000.000000007</v>
      </c>
    </row>
    <row r="56" spans="2:18" x14ac:dyDescent="0.15">
      <c r="B56" s="79">
        <v>52</v>
      </c>
      <c r="C56" s="79">
        <f t="shared" si="0"/>
        <v>520000</v>
      </c>
      <c r="D56" s="79">
        <f t="shared" si="2"/>
        <v>380000000</v>
      </c>
      <c r="E56" s="92">
        <f t="shared" si="1"/>
        <v>1000000</v>
      </c>
      <c r="F56" s="79">
        <f t="array" ref="F56">MIN(IF(树木!$N$5:$N$85&gt;=旅店!$E56,树木!$K$5:$K$85))</f>
        <v>78.86</v>
      </c>
      <c r="G56" s="79">
        <f t="array" ref="G56">MIN(IF(树木!$N$5:$N$85&gt;=旅店!$E56,树木!$J$5:$J$85))</f>
        <v>81</v>
      </c>
      <c r="H56" s="79">
        <f t="array" ref="H56">MIN(IF(树木!$S$5:$S$85&gt;=旅店!$E56,树木!$P$5:$P$85))</f>
        <v>67.27</v>
      </c>
      <c r="I56" s="79">
        <f t="array" ref="I56">MIN(IF(树木!$S$5:$S$85&gt;=旅店!$E56,树木!$J$5:$J$85))</f>
        <v>96</v>
      </c>
      <c r="J56" s="89"/>
      <c r="N56" s="79">
        <v>71</v>
      </c>
      <c r="O56" s="79">
        <f>INDEX(等级时间!$U$3:$AU$203,MATCH($N56,等级时间!$U$3:$U$203,0),MATCH(O$4,等级时间!$U$3:$AU$3,0))</f>
        <v>46.4</v>
      </c>
      <c r="P56" s="79">
        <f t="shared" si="3"/>
        <v>2.519999999999996</v>
      </c>
      <c r="Q56" s="79">
        <f>VLOOKUP($N56,$B:$E,2,0)*P56*IF($N56&gt;=$L$6,2,1)</f>
        <v>3578399.9999999944</v>
      </c>
      <c r="R56" s="79">
        <f>SUM($Q$5:$Q56)</f>
        <v>52525400</v>
      </c>
    </row>
    <row r="57" spans="2:18" x14ac:dyDescent="0.15">
      <c r="B57" s="79">
        <v>53</v>
      </c>
      <c r="C57" s="79">
        <f t="shared" si="0"/>
        <v>530000</v>
      </c>
      <c r="D57" s="79">
        <f t="shared" si="2"/>
        <v>420000000</v>
      </c>
      <c r="E57" s="92">
        <f t="shared" si="1"/>
        <v>1100000</v>
      </c>
      <c r="F57" s="79">
        <f t="array" ref="F57">MIN(IF(树木!$N$5:$N$85&gt;=旅店!$E57,树木!$K$5:$K$85))</f>
        <v>87.17</v>
      </c>
      <c r="G57" s="79">
        <f t="array" ref="G57">MIN(IF(树木!$N$5:$N$85&gt;=旅店!$E57,树木!$J$5:$J$85))</f>
        <v>83</v>
      </c>
      <c r="H57" s="79">
        <f t="array" ref="H57">MIN(IF(树木!$S$5:$S$85&gt;=旅店!$E57,树木!$P$5:$P$85))</f>
        <v>73.42</v>
      </c>
      <c r="I57" s="79">
        <f t="array" ref="I57">MIN(IF(树木!$S$5:$S$85&gt;=旅店!$E57,树木!$J$5:$J$85))</f>
        <v>98</v>
      </c>
      <c r="J57" s="89"/>
      <c r="N57" s="79">
        <v>72</v>
      </c>
      <c r="O57" s="79">
        <f>INDEX(等级时间!$U$3:$AU$203,MATCH($N57,等级时间!$U$3:$U$203,0),MATCH(O$4,等级时间!$U$3:$AU$3,0))</f>
        <v>49.05</v>
      </c>
      <c r="P57" s="79">
        <f t="shared" si="3"/>
        <v>2.6499999999999986</v>
      </c>
      <c r="Q57" s="79">
        <f>VLOOKUP($N57,$B:$E,2,0)*P57*IF($N57&gt;=$L$6,2,1)</f>
        <v>3815999.9999999981</v>
      </c>
      <c r="R57" s="79">
        <f>SUM($Q$5:$Q57)</f>
        <v>56341400</v>
      </c>
    </row>
    <row r="58" spans="2:18" x14ac:dyDescent="0.15">
      <c r="B58" s="79">
        <v>54</v>
      </c>
      <c r="C58" s="79">
        <f t="shared" si="0"/>
        <v>540000</v>
      </c>
      <c r="D58" s="79">
        <f t="shared" si="2"/>
        <v>460000000</v>
      </c>
      <c r="E58" s="92">
        <f t="shared" si="1"/>
        <v>1200000</v>
      </c>
      <c r="F58" s="79">
        <f t="array" ref="F58">MIN(IF(树木!$N$5:$N$85&gt;=旅店!$E58,树木!$K$5:$K$85))</f>
        <v>91.58</v>
      </c>
      <c r="G58" s="79">
        <f t="array" ref="G58">MIN(IF(树木!$N$5:$N$85&gt;=旅店!$E58,树木!$J$5:$J$85))</f>
        <v>84</v>
      </c>
      <c r="H58" s="79">
        <f t="array" ref="H58">MIN(IF(树木!$S$5:$S$85&gt;=旅店!$E58,树木!$P$5:$P$85))</f>
        <v>76.66</v>
      </c>
      <c r="I58" s="79">
        <f t="array" ref="I58">MIN(IF(树木!$S$5:$S$85&gt;=旅店!$E58,树木!$J$5:$J$85))</f>
        <v>99</v>
      </c>
      <c r="J58" s="89"/>
      <c r="N58" s="79">
        <v>73</v>
      </c>
      <c r="O58" s="79">
        <f>INDEX(等级时间!$U$3:$AU$203,MATCH($N58,等级时间!$U$3:$U$203,0),MATCH(O$4,等级时间!$U$3:$AU$3,0))</f>
        <v>51.81</v>
      </c>
      <c r="P58" s="79">
        <f t="shared" si="3"/>
        <v>2.7600000000000051</v>
      </c>
      <c r="Q58" s="79">
        <f>VLOOKUP($N58,$B:$E,2,0)*P58*IF($N58&gt;=$L$6,2,1)</f>
        <v>4029600.0000000075</v>
      </c>
      <c r="R58" s="79">
        <f>SUM($Q$5:$Q58)</f>
        <v>60371000.000000007</v>
      </c>
    </row>
    <row r="59" spans="2:18" x14ac:dyDescent="0.15">
      <c r="B59" s="79">
        <v>55</v>
      </c>
      <c r="C59" s="79">
        <f t="shared" si="0"/>
        <v>550000</v>
      </c>
      <c r="D59" s="79">
        <f t="shared" si="2"/>
        <v>500000000</v>
      </c>
      <c r="E59" s="92">
        <f t="shared" si="1"/>
        <v>1200000</v>
      </c>
      <c r="F59" s="79">
        <f t="array" ref="F59">MIN(IF(树木!$N$5:$N$85&gt;=旅店!$E59,树木!$K$5:$K$85))</f>
        <v>91.58</v>
      </c>
      <c r="G59" s="79">
        <f t="array" ref="G59">MIN(IF(树木!$N$5:$N$85&gt;=旅店!$E59,树木!$J$5:$J$85))</f>
        <v>84</v>
      </c>
      <c r="H59" s="79">
        <f t="array" ref="H59">MIN(IF(树木!$S$5:$S$85&gt;=旅店!$E59,树木!$P$5:$P$85))</f>
        <v>76.66</v>
      </c>
      <c r="I59" s="79">
        <f t="array" ref="I59">MIN(IF(树木!$S$5:$S$85&gt;=旅店!$E59,树木!$J$5:$J$85))</f>
        <v>99</v>
      </c>
      <c r="J59" s="89"/>
      <c r="N59" s="79">
        <v>74</v>
      </c>
      <c r="O59" s="79">
        <f>INDEX(等级时间!$U$3:$AU$203,MATCH($N59,等级时间!$U$3:$U$203,0),MATCH(O$4,等级时间!$U$3:$AU$3,0))</f>
        <v>54.7</v>
      </c>
      <c r="P59" s="79">
        <f t="shared" si="3"/>
        <v>2.8900000000000006</v>
      </c>
      <c r="Q59" s="79">
        <f>VLOOKUP($N59,$B:$E,2,0)*P59*IF($N59&gt;=$L$6,2,1)</f>
        <v>4277200.0000000009</v>
      </c>
      <c r="R59" s="79">
        <f>SUM($Q$5:$Q59)</f>
        <v>64648200.000000007</v>
      </c>
    </row>
    <row r="60" spans="2:18" x14ac:dyDescent="0.15">
      <c r="B60" s="79">
        <v>56</v>
      </c>
      <c r="C60" s="79">
        <f t="shared" si="0"/>
        <v>560000</v>
      </c>
      <c r="D60" s="79">
        <f t="shared" si="2"/>
        <v>550000000</v>
      </c>
      <c r="E60" s="92">
        <f t="shared" si="1"/>
        <v>1300000</v>
      </c>
      <c r="F60" s="79">
        <f t="array" ref="F60">MIN(IF(树木!$N$5:$N$85&gt;=旅店!$E60,树木!$K$5:$K$85))</f>
        <v>100.95</v>
      </c>
      <c r="G60" s="79">
        <f t="array" ref="G60">MIN(IF(树木!$N$5:$N$85&gt;=旅店!$E60,树木!$J$5:$J$85))</f>
        <v>86</v>
      </c>
      <c r="H60" s="79">
        <f t="array" ref="H60">MIN(IF(树木!$S$5:$S$85&gt;=旅店!$E60,树木!$P$5:$P$85))</f>
        <v>0</v>
      </c>
      <c r="I60" s="79">
        <f t="array" ref="I60">MIN(IF(树木!$S$5:$S$85&gt;=旅店!$E60,树木!$J$5:$J$85))</f>
        <v>0</v>
      </c>
      <c r="J60" s="89"/>
      <c r="N60" s="79">
        <v>75</v>
      </c>
      <c r="O60" s="79">
        <f>INDEX(等级时间!$U$3:$AU$203,MATCH($N60,等级时间!$U$3:$U$203,0),MATCH(O$4,等级时间!$U$3:$AU$3,0))</f>
        <v>57.73</v>
      </c>
      <c r="P60" s="79">
        <f t="shared" si="3"/>
        <v>3.029999999999994</v>
      </c>
      <c r="Q60" s="79">
        <f>VLOOKUP($N60,$B:$E,2,0)*P60*IF($N60&gt;=$L$6,2,1)</f>
        <v>4544999.9999999907</v>
      </c>
      <c r="R60" s="79">
        <f>SUM($Q$5:$Q60)</f>
        <v>69193200</v>
      </c>
    </row>
    <row r="61" spans="2:18" x14ac:dyDescent="0.15">
      <c r="B61" s="79">
        <v>57</v>
      </c>
      <c r="C61" s="79">
        <f t="shared" si="0"/>
        <v>570000</v>
      </c>
      <c r="D61" s="79">
        <f t="shared" si="2"/>
        <v>600000000</v>
      </c>
      <c r="E61" s="92">
        <f t="shared" si="1"/>
        <v>1400000</v>
      </c>
      <c r="F61" s="79">
        <f t="array" ref="F61">MIN(IF(树木!$N$5:$N$85&gt;=旅店!$E61,树木!$K$5:$K$85))</f>
        <v>105.91</v>
      </c>
      <c r="G61" s="79">
        <f t="array" ref="G61">MIN(IF(树木!$N$5:$N$85&gt;=旅店!$E61,树木!$J$5:$J$85))</f>
        <v>87</v>
      </c>
      <c r="H61" s="79">
        <f t="array" ref="H61">MIN(IF(树木!$S$5:$S$85&gt;=旅店!$E61,树木!$P$5:$P$85))</f>
        <v>0</v>
      </c>
      <c r="I61" s="79">
        <f t="array" ref="I61">MIN(IF(树木!$S$5:$S$85&gt;=旅店!$E61,树木!$J$5:$J$85))</f>
        <v>0</v>
      </c>
      <c r="J61" s="89"/>
      <c r="N61" s="79">
        <v>76</v>
      </c>
      <c r="O61" s="79">
        <f>INDEX(等级时间!$U$3:$AU$203,MATCH($N61,等级时间!$U$3:$U$203,0),MATCH(O$4,等级时间!$U$3:$AU$3,0))</f>
        <v>60.89</v>
      </c>
      <c r="P61" s="79">
        <f t="shared" si="3"/>
        <v>3.1600000000000037</v>
      </c>
      <c r="Q61" s="79">
        <f>VLOOKUP($N61,$B:$E,2,0)*P61*IF($N61&gt;=$L$6,2,1)</f>
        <v>4803200.0000000056</v>
      </c>
      <c r="R61" s="79">
        <f>SUM($Q$5:$Q61)</f>
        <v>73996400</v>
      </c>
    </row>
    <row r="62" spans="2:18" x14ac:dyDescent="0.15">
      <c r="B62" s="79">
        <v>58</v>
      </c>
      <c r="C62" s="79">
        <f t="shared" si="0"/>
        <v>580000</v>
      </c>
      <c r="D62" s="79">
        <f t="shared" si="2"/>
        <v>660000000</v>
      </c>
      <c r="E62" s="92">
        <f t="shared" si="1"/>
        <v>1500000</v>
      </c>
      <c r="F62" s="79">
        <f t="array" ref="F62">MIN(IF(树木!$N$5:$N$85&gt;=旅店!$E62,树木!$K$5:$K$85))</f>
        <v>111.08</v>
      </c>
      <c r="G62" s="79">
        <f t="array" ref="G62">MIN(IF(树木!$N$5:$N$85&gt;=旅店!$E62,树木!$J$5:$J$85))</f>
        <v>88</v>
      </c>
      <c r="H62" s="79">
        <f t="array" ref="H62">MIN(IF(树木!$S$5:$S$85&gt;=旅店!$E62,树木!$P$5:$P$85))</f>
        <v>0</v>
      </c>
      <c r="I62" s="79">
        <f t="array" ref="I62">MIN(IF(树木!$S$5:$S$85&gt;=旅店!$E62,树木!$J$5:$J$85))</f>
        <v>0</v>
      </c>
      <c r="J62" s="89"/>
      <c r="N62" s="79">
        <v>77</v>
      </c>
      <c r="O62" s="79">
        <f>INDEX(等级时间!$U$3:$AU$203,MATCH($N62,等级时间!$U$3:$U$203,0),MATCH(O$4,等级时间!$U$3:$AU$3,0))</f>
        <v>64.180000000000007</v>
      </c>
      <c r="P62" s="79">
        <f t="shared" si="3"/>
        <v>3.2900000000000063</v>
      </c>
      <c r="Q62" s="79">
        <f>VLOOKUP($N62,$B:$E,2,0)*P62*IF($N62&gt;=$L$6,2,1)</f>
        <v>5066600.0000000093</v>
      </c>
      <c r="R62" s="79">
        <f>SUM($Q$5:$Q62)</f>
        <v>79063000.000000015</v>
      </c>
    </row>
    <row r="63" spans="2:18" x14ac:dyDescent="0.15">
      <c r="B63" s="79">
        <v>59</v>
      </c>
      <c r="C63" s="79">
        <f t="shared" si="0"/>
        <v>590000</v>
      </c>
      <c r="D63" s="79">
        <f t="shared" si="2"/>
        <v>710000000</v>
      </c>
      <c r="E63" s="92">
        <f t="shared" si="1"/>
        <v>1600000</v>
      </c>
      <c r="F63" s="79">
        <f t="array" ref="F63">MIN(IF(树木!$N$5:$N$85&gt;=旅店!$E63,树木!$K$5:$K$85))</f>
        <v>116.44</v>
      </c>
      <c r="G63" s="79">
        <f t="array" ref="G63">MIN(IF(树木!$N$5:$N$85&gt;=旅店!$E63,树木!$J$5:$J$85))</f>
        <v>89</v>
      </c>
      <c r="H63" s="79">
        <f t="array" ref="H63">MIN(IF(树木!$S$5:$S$85&gt;=旅店!$E63,树木!$P$5:$P$85))</f>
        <v>0</v>
      </c>
      <c r="I63" s="79">
        <f t="array" ref="I63">MIN(IF(树木!$S$5:$S$85&gt;=旅店!$E63,树木!$J$5:$J$85))</f>
        <v>0</v>
      </c>
      <c r="J63" s="89"/>
      <c r="N63" s="79">
        <v>78</v>
      </c>
      <c r="O63" s="79">
        <f>INDEX(等级时间!$U$3:$AU$203,MATCH($N63,等级时间!$U$3:$U$203,0),MATCH(O$4,等级时间!$U$3:$AU$3,0))</f>
        <v>67.63</v>
      </c>
      <c r="P63" s="79">
        <f t="shared" si="3"/>
        <v>3.4499999999999886</v>
      </c>
      <c r="Q63" s="79">
        <f>VLOOKUP($N63,$B:$E,2,0)*P63*IF($N63&gt;=$L$6,2,1)</f>
        <v>5381999.9999999823</v>
      </c>
      <c r="R63" s="79">
        <f>SUM($Q$5:$Q63)</f>
        <v>84445000</v>
      </c>
    </row>
    <row r="64" spans="2:18" x14ac:dyDescent="0.15">
      <c r="B64" s="79">
        <v>60</v>
      </c>
      <c r="C64" s="79">
        <f t="shared" si="0"/>
        <v>600000</v>
      </c>
      <c r="D64" s="79">
        <f t="shared" si="2"/>
        <v>780000000</v>
      </c>
      <c r="E64" s="92">
        <f t="shared" si="1"/>
        <v>1700000</v>
      </c>
      <c r="F64" s="79">
        <f t="array" ref="F64">MIN(IF(树木!$N$5:$N$85&gt;=旅店!$E64,树木!$K$5:$K$85))</f>
        <v>122.01</v>
      </c>
      <c r="G64" s="79">
        <f t="array" ref="G64">MIN(IF(树木!$N$5:$N$85&gt;=旅店!$E64,树木!$J$5:$J$85))</f>
        <v>90</v>
      </c>
      <c r="H64" s="79">
        <f t="array" ref="H64">MIN(IF(树木!$S$5:$S$85&gt;=旅店!$E64,树木!$P$5:$P$85))</f>
        <v>0</v>
      </c>
      <c r="I64" s="79">
        <f t="array" ref="I64">MIN(IF(树木!$S$5:$S$85&gt;=旅店!$E64,树木!$J$5:$J$85))</f>
        <v>0</v>
      </c>
      <c r="J64" s="89"/>
      <c r="N64" s="79">
        <v>79</v>
      </c>
      <c r="O64" s="79">
        <f>INDEX(等级时间!$U$3:$AU$203,MATCH($N64,等级时间!$U$3:$U$203,0),MATCH(O$4,等级时间!$U$3:$AU$3,0))</f>
        <v>71.22</v>
      </c>
      <c r="P64" s="79">
        <f t="shared" si="3"/>
        <v>3.5900000000000034</v>
      </c>
      <c r="Q64" s="79">
        <f>VLOOKUP($N64,$B:$E,2,0)*P64*IF($N64&gt;=$L$6,2,1)</f>
        <v>5672200.0000000056</v>
      </c>
      <c r="R64" s="79">
        <f>SUM($Q$5:$Q64)</f>
        <v>90117200</v>
      </c>
    </row>
    <row r="65" spans="2:18" x14ac:dyDescent="0.15">
      <c r="B65" s="79">
        <v>61</v>
      </c>
      <c r="C65" s="79">
        <f t="shared" si="0"/>
        <v>610000</v>
      </c>
      <c r="D65" s="79">
        <f t="shared" si="2"/>
        <v>840000000</v>
      </c>
      <c r="E65" s="92">
        <f t="shared" si="1"/>
        <v>1800000</v>
      </c>
      <c r="F65" s="79">
        <f t="array" ref="F65">MIN(IF(树木!$N$5:$N$85&gt;=旅店!$E65,树木!$K$5:$K$85))</f>
        <v>127.79</v>
      </c>
      <c r="G65" s="79">
        <f t="array" ref="G65">MIN(IF(树木!$N$5:$N$85&gt;=旅店!$E65,树木!$J$5:$J$85))</f>
        <v>91</v>
      </c>
      <c r="H65" s="79">
        <f t="array" ref="H65">MIN(IF(树木!$S$5:$S$85&gt;=旅店!$E65,树木!$P$5:$P$85))</f>
        <v>0</v>
      </c>
      <c r="I65" s="79">
        <f t="array" ref="I65">MIN(IF(树木!$S$5:$S$85&gt;=旅店!$E65,树木!$J$5:$J$85))</f>
        <v>0</v>
      </c>
      <c r="J65" s="89"/>
      <c r="N65" s="79">
        <v>80</v>
      </c>
      <c r="O65" s="79">
        <f>INDEX(等级时间!$U$3:$AU$203,MATCH($N65,等级时间!$U$3:$U$203,0),MATCH(O$4,等级时间!$U$3:$AU$3,0))</f>
        <v>74.959999999999994</v>
      </c>
      <c r="P65" s="79">
        <f t="shared" si="3"/>
        <v>3.7399999999999949</v>
      </c>
      <c r="Q65" s="79">
        <f>VLOOKUP($N65,$B:$E,2,0)*P65*IF($N65&gt;=$L$6,2,1)</f>
        <v>5983999.9999999916</v>
      </c>
      <c r="R65" s="79">
        <f>SUM($Q$5:$Q65)</f>
        <v>96101199.999999985</v>
      </c>
    </row>
    <row r="66" spans="2:18" x14ac:dyDescent="0.15">
      <c r="B66" s="79">
        <v>62</v>
      </c>
      <c r="C66" s="79">
        <f t="shared" si="0"/>
        <v>620000</v>
      </c>
      <c r="D66" s="79">
        <f t="shared" si="2"/>
        <v>920000000</v>
      </c>
      <c r="E66" s="92">
        <f t="shared" si="1"/>
        <v>1900000</v>
      </c>
      <c r="F66" s="79">
        <f t="array" ref="F66">MIN(IF(树木!$N$5:$N$85&gt;=旅店!$E66,树木!$K$5:$K$85))</f>
        <v>133.80000000000001</v>
      </c>
      <c r="G66" s="79">
        <f t="array" ref="G66">MIN(IF(树木!$N$5:$N$85&gt;=旅店!$E66,树木!$J$5:$J$85))</f>
        <v>92</v>
      </c>
      <c r="H66" s="79">
        <f t="array" ref="H66">MIN(IF(树木!$S$5:$S$85&gt;=旅店!$E66,树木!$P$5:$P$85))</f>
        <v>0</v>
      </c>
      <c r="I66" s="79">
        <f t="array" ref="I66">MIN(IF(树木!$S$5:$S$85&gt;=旅店!$E66,树木!$J$5:$J$85))</f>
        <v>0</v>
      </c>
      <c r="J66" s="89"/>
      <c r="N66" s="79">
        <v>81</v>
      </c>
      <c r="O66" s="79">
        <f>INDEX(等级时间!$U$3:$AU$203,MATCH($N66,等级时间!$U$3:$U$203,0),MATCH(O$4,等级时间!$U$3:$AU$3,0))</f>
        <v>78.86</v>
      </c>
      <c r="P66" s="79">
        <f t="shared" si="3"/>
        <v>3.9000000000000057</v>
      </c>
      <c r="Q66" s="79">
        <f>VLOOKUP($N66,$B:$E,2,0)*P66*IF($N66&gt;=$L$6,2,1)</f>
        <v>6318000.0000000093</v>
      </c>
      <c r="R66" s="79">
        <f>SUM($Q$5:$Q66)</f>
        <v>102419200</v>
      </c>
    </row>
    <row r="67" spans="2:18" x14ac:dyDescent="0.15">
      <c r="B67" s="79">
        <v>63</v>
      </c>
      <c r="C67" s="79">
        <f t="shared" si="0"/>
        <v>630000</v>
      </c>
      <c r="D67" s="79">
        <f t="shared" si="2"/>
        <v>990000000</v>
      </c>
      <c r="E67" s="92">
        <f t="shared" si="1"/>
        <v>2000000</v>
      </c>
      <c r="F67" s="79">
        <f t="array" ref="F67">MIN(IF(树木!$N$5:$N$85&gt;=旅店!$E67,树木!$K$5:$K$85))</f>
        <v>140.03</v>
      </c>
      <c r="G67" s="79">
        <f t="array" ref="G67">MIN(IF(树木!$N$5:$N$85&gt;=旅店!$E67,树木!$J$5:$J$85))</f>
        <v>93</v>
      </c>
      <c r="H67" s="79">
        <f t="array" ref="H67">MIN(IF(树木!$S$5:$S$85&gt;=旅店!$E67,树木!$P$5:$P$85))</f>
        <v>0</v>
      </c>
      <c r="I67" s="79">
        <f t="array" ref="I67">MIN(IF(树木!$S$5:$S$85&gt;=旅店!$E67,树木!$J$5:$J$85))</f>
        <v>0</v>
      </c>
      <c r="J67" s="89"/>
      <c r="N67" s="79">
        <v>82</v>
      </c>
      <c r="O67" s="79">
        <f>INDEX(等级时间!$U$3:$AU$203,MATCH($N67,等级时间!$U$3:$U$203,0),MATCH(O$4,等级时间!$U$3:$AU$3,0))</f>
        <v>82.93</v>
      </c>
      <c r="P67" s="79">
        <f t="shared" si="3"/>
        <v>4.0700000000000074</v>
      </c>
      <c r="Q67" s="79">
        <f>VLOOKUP($N67,$B:$E,2,0)*P67*IF($N67&gt;=$L$6,2,1)</f>
        <v>6674800.0000000121</v>
      </c>
      <c r="R67" s="79">
        <f>SUM($Q$5:$Q67)</f>
        <v>109094000.00000001</v>
      </c>
    </row>
    <row r="68" spans="2:18" x14ac:dyDescent="0.15">
      <c r="B68" s="79">
        <v>64</v>
      </c>
      <c r="C68" s="79">
        <f t="shared" si="0"/>
        <v>640000</v>
      </c>
      <c r="D68" s="79">
        <f t="shared" si="2"/>
        <v>1100000000</v>
      </c>
      <c r="E68" s="92">
        <f t="shared" si="1"/>
        <v>2100000</v>
      </c>
      <c r="F68" s="79">
        <f t="array" ref="F68">MIN(IF(树木!$N$5:$N$85&gt;=旅店!$E68,树木!$K$5:$K$85))</f>
        <v>146.47999999999999</v>
      </c>
      <c r="G68" s="79">
        <f t="array" ref="G68">MIN(IF(树木!$N$5:$N$85&gt;=旅店!$E68,树木!$J$5:$J$85))</f>
        <v>94</v>
      </c>
      <c r="H68" s="79">
        <f t="array" ref="H68">MIN(IF(树木!$S$5:$S$85&gt;=旅店!$E68,树木!$P$5:$P$85))</f>
        <v>0</v>
      </c>
      <c r="I68" s="79">
        <f t="array" ref="I68">MIN(IF(树木!$S$5:$S$85&gt;=旅店!$E68,树木!$J$5:$J$85))</f>
        <v>0</v>
      </c>
      <c r="J68" s="89"/>
      <c r="N68" s="79">
        <v>83</v>
      </c>
      <c r="O68" s="79">
        <f>INDEX(等级时间!$U$3:$AU$203,MATCH($N68,等级时间!$U$3:$U$203,0),MATCH(O$4,等级时间!$U$3:$AU$3,0))</f>
        <v>87.17</v>
      </c>
      <c r="P68" s="79">
        <f t="shared" si="3"/>
        <v>4.2399999999999949</v>
      </c>
      <c r="Q68" s="79">
        <f>VLOOKUP($N68,$B:$E,2,0)*P68*IF($N68&gt;=$L$6,2,1)</f>
        <v>7038399.9999999916</v>
      </c>
      <c r="R68" s="79">
        <f>SUM($Q$5:$Q68)</f>
        <v>116132400</v>
      </c>
    </row>
    <row r="69" spans="2:18" x14ac:dyDescent="0.15">
      <c r="B69" s="79">
        <v>65</v>
      </c>
      <c r="C69" s="79">
        <f t="shared" si="0"/>
        <v>650000</v>
      </c>
      <c r="D69" s="79">
        <f t="shared" si="2"/>
        <v>1200000000</v>
      </c>
      <c r="E69" s="92">
        <f t="shared" si="1"/>
        <v>2200000</v>
      </c>
      <c r="F69" s="79">
        <f t="array" ref="F69">MIN(IF(树木!$N$5:$N$85&gt;=旅店!$E69,树木!$K$5:$K$85))</f>
        <v>146.47999999999999</v>
      </c>
      <c r="G69" s="79">
        <f t="array" ref="G69">MIN(IF(树木!$N$5:$N$85&gt;=旅店!$E69,树木!$J$5:$J$85))</f>
        <v>94</v>
      </c>
      <c r="H69" s="79">
        <f t="array" ref="H69">MIN(IF(树木!$S$5:$S$85&gt;=旅店!$E69,树木!$P$5:$P$85))</f>
        <v>0</v>
      </c>
      <c r="I69" s="79">
        <f t="array" ref="I69">MIN(IF(树木!$S$5:$S$85&gt;=旅店!$E69,树木!$J$5:$J$85))</f>
        <v>0</v>
      </c>
      <c r="J69" s="89"/>
      <c r="N69" s="79">
        <v>84</v>
      </c>
      <c r="O69" s="79">
        <f>INDEX(等级时间!$U$3:$AU$203,MATCH($N69,等级时间!$U$3:$U$203,0),MATCH(O$4,等级时间!$U$3:$AU$3,0))</f>
        <v>91.58</v>
      </c>
      <c r="P69" s="79">
        <f t="shared" si="3"/>
        <v>4.4099999999999966</v>
      </c>
      <c r="Q69" s="79">
        <f>VLOOKUP($N69,$B:$E,2,0)*P69*IF($N69&gt;=$L$6,2,1)</f>
        <v>7408799.9999999944</v>
      </c>
      <c r="R69" s="79">
        <f>SUM($Q$5:$Q69)</f>
        <v>123541200</v>
      </c>
    </row>
    <row r="70" spans="2:18" x14ac:dyDescent="0.15">
      <c r="B70" s="79">
        <v>66</v>
      </c>
      <c r="C70" s="79">
        <f t="shared" ref="C70:C104" si="4">$C$1*B70+$C$2</f>
        <v>660000</v>
      </c>
      <c r="D70" s="79">
        <f t="shared" si="2"/>
        <v>1300000000</v>
      </c>
      <c r="E70" s="92">
        <f t="shared" ref="E70:E104" si="5">ROUND(B70^E$1+E$2,IF(LEN(INT(B70^E$1+E$2))&lt;3,1-LEN(INT(B70^E$1+E$2)),2-LEN(INT(B70^E$1+E$2))))</f>
        <v>2300000</v>
      </c>
      <c r="F70" s="79">
        <f t="array" ref="F70">MIN(IF(树木!$N$5:$N$85&gt;=旅店!$E70,树木!$K$5:$K$85))</f>
        <v>153.18</v>
      </c>
      <c r="G70" s="79">
        <f t="array" ref="G70">MIN(IF(树木!$N$5:$N$85&gt;=旅店!$E70,树木!$J$5:$J$85))</f>
        <v>95</v>
      </c>
      <c r="H70" s="79">
        <f t="array" ref="H70">MIN(IF(树木!$S$5:$S$85&gt;=旅店!$E70,树木!$P$5:$P$85))</f>
        <v>0</v>
      </c>
      <c r="I70" s="79">
        <f t="array" ref="I70">MIN(IF(树木!$S$5:$S$85&gt;=旅店!$E70,树木!$J$5:$J$85))</f>
        <v>0</v>
      </c>
      <c r="J70" s="89"/>
      <c r="N70" s="79">
        <v>85</v>
      </c>
      <c r="O70" s="79">
        <f>INDEX(等级时间!$U$3:$AU$203,MATCH($N70,等级时间!$U$3:$U$203,0),MATCH(O$4,等级时间!$U$3:$AU$3,0))</f>
        <v>96.17</v>
      </c>
      <c r="P70" s="79">
        <f t="shared" si="3"/>
        <v>4.5900000000000034</v>
      </c>
      <c r="Q70" s="79">
        <f>VLOOKUP($N70,$B:$E,2,0)*P70*IF($N70&gt;=$L$6,2,1)</f>
        <v>7803000.0000000056</v>
      </c>
      <c r="R70" s="79">
        <f>SUM($Q$5:$Q70)</f>
        <v>131344200</v>
      </c>
    </row>
    <row r="71" spans="2:18" x14ac:dyDescent="0.15">
      <c r="B71" s="79">
        <v>67</v>
      </c>
      <c r="C71" s="79">
        <f t="shared" si="4"/>
        <v>670000</v>
      </c>
      <c r="D71" s="79">
        <f t="shared" ref="D71:D104" si="6">ROUND($B71^D$1+D$2,2-LEN($B71^D$1+D$2))</f>
        <v>1400000000</v>
      </c>
      <c r="E71" s="92">
        <f t="shared" si="5"/>
        <v>2500000</v>
      </c>
      <c r="F71" s="79">
        <f t="array" ref="F71">MIN(IF(树木!$N$5:$N$85&gt;=旅店!$E71,树木!$K$5:$K$85))</f>
        <v>167.31</v>
      </c>
      <c r="G71" s="79">
        <f t="array" ref="G71">MIN(IF(树木!$N$5:$N$85&gt;=旅店!$E71,树木!$J$5:$J$85))</f>
        <v>97</v>
      </c>
      <c r="H71" s="79">
        <f t="array" ref="H71">MIN(IF(树木!$S$5:$S$85&gt;=旅店!$E71,树木!$P$5:$P$85))</f>
        <v>0</v>
      </c>
      <c r="I71" s="79">
        <f t="array" ref="I71">MIN(IF(树木!$S$5:$S$85&gt;=旅店!$E71,树木!$J$5:$J$85))</f>
        <v>0</v>
      </c>
      <c r="J71" s="89"/>
      <c r="N71" s="79">
        <v>86</v>
      </c>
      <c r="O71" s="79">
        <f>INDEX(等级时间!$U$3:$AU$203,MATCH($N71,等级时间!$U$3:$U$203,0),MATCH(O$4,等级时间!$U$3:$AU$3,0))</f>
        <v>100.95</v>
      </c>
      <c r="P71" s="79">
        <f t="shared" ref="P71:P85" si="7">O71-O70</f>
        <v>4.7800000000000011</v>
      </c>
      <c r="Q71" s="79">
        <f>VLOOKUP($N71,$B:$E,2,0)*P71*IF($N71&gt;=$L$6,2,1)</f>
        <v>8221600.0000000019</v>
      </c>
      <c r="R71" s="79">
        <f>SUM($Q$5:$Q71)</f>
        <v>139565800</v>
      </c>
    </row>
    <row r="72" spans="2:18" x14ac:dyDescent="0.15">
      <c r="B72" s="79">
        <v>68</v>
      </c>
      <c r="C72" s="79">
        <f t="shared" si="4"/>
        <v>680000</v>
      </c>
      <c r="D72" s="79">
        <f t="shared" si="6"/>
        <v>1500000000</v>
      </c>
      <c r="E72" s="92">
        <f t="shared" si="5"/>
        <v>2600000</v>
      </c>
      <c r="F72" s="79">
        <f t="array" ref="F72">MIN(IF(树木!$N$5:$N$85&gt;=旅店!$E72,树木!$K$5:$K$85))</f>
        <v>167.31</v>
      </c>
      <c r="G72" s="79">
        <f t="array" ref="G72">MIN(IF(树木!$N$5:$N$85&gt;=旅店!$E72,树木!$J$5:$J$85))</f>
        <v>97</v>
      </c>
      <c r="H72" s="79">
        <f t="array" ref="H72">MIN(IF(树木!$S$5:$S$85&gt;=旅店!$E72,树木!$P$5:$P$85))</f>
        <v>0</v>
      </c>
      <c r="I72" s="79">
        <f t="array" ref="I72">MIN(IF(树木!$S$5:$S$85&gt;=旅店!$E72,树木!$J$5:$J$85))</f>
        <v>0</v>
      </c>
      <c r="J72" s="89"/>
      <c r="N72" s="79">
        <v>87</v>
      </c>
      <c r="O72" s="79">
        <f>INDEX(等级时间!$U$3:$AU$203,MATCH($N72,等级时间!$U$3:$U$203,0),MATCH(O$4,等级时间!$U$3:$AU$3,0))</f>
        <v>105.91</v>
      </c>
      <c r="P72" s="79">
        <f t="shared" si="7"/>
        <v>4.9599999999999937</v>
      </c>
      <c r="Q72" s="79">
        <f>VLOOKUP($N72,$B:$E,2,0)*P72*IF($N72&gt;=$L$6,2,1)</f>
        <v>8630399.9999999888</v>
      </c>
      <c r="R72" s="79">
        <f>SUM($Q$5:$Q72)</f>
        <v>148196200</v>
      </c>
    </row>
    <row r="73" spans="2:18" x14ac:dyDescent="0.15">
      <c r="B73" s="79">
        <v>69</v>
      </c>
      <c r="C73" s="79">
        <f t="shared" si="4"/>
        <v>690000</v>
      </c>
      <c r="D73" s="79">
        <f t="shared" si="6"/>
        <v>1600000000</v>
      </c>
      <c r="E73" s="92">
        <f t="shared" si="5"/>
        <v>2700000</v>
      </c>
      <c r="F73" s="79">
        <f t="array" ref="F73">MIN(IF(树木!$N$5:$N$85&gt;=旅店!$E73,树木!$K$5:$K$85))</f>
        <v>174.76</v>
      </c>
      <c r="G73" s="79">
        <f t="array" ref="G73">MIN(IF(树木!$N$5:$N$85&gt;=旅店!$E73,树木!$J$5:$J$85))</f>
        <v>98</v>
      </c>
      <c r="H73" s="79">
        <f t="array" ref="H73">MIN(IF(树木!$S$5:$S$85&gt;=旅店!$E73,树木!$P$5:$P$85))</f>
        <v>0</v>
      </c>
      <c r="I73" s="79">
        <f t="array" ref="I73">MIN(IF(树木!$S$5:$S$85&gt;=旅店!$E73,树木!$J$5:$J$85))</f>
        <v>0</v>
      </c>
      <c r="J73" s="89"/>
      <c r="N73" s="79">
        <v>88</v>
      </c>
      <c r="O73" s="79">
        <f>INDEX(等级时间!$U$3:$AU$203,MATCH($N73,等级时间!$U$3:$U$203,0),MATCH(O$4,等级时间!$U$3:$AU$3,0))</f>
        <v>111.08</v>
      </c>
      <c r="P73" s="79">
        <f t="shared" si="7"/>
        <v>5.1700000000000017</v>
      </c>
      <c r="Q73" s="79">
        <f>VLOOKUP($N73,$B:$E,2,0)*P73*IF($N73&gt;=$L$6,2,1)</f>
        <v>9099200.0000000037</v>
      </c>
      <c r="R73" s="79">
        <f>SUM($Q$5:$Q73)</f>
        <v>157295400</v>
      </c>
    </row>
    <row r="74" spans="2:18" x14ac:dyDescent="0.15">
      <c r="B74" s="79">
        <v>70</v>
      </c>
      <c r="C74" s="79">
        <f t="shared" si="4"/>
        <v>700000</v>
      </c>
      <c r="D74" s="79">
        <f t="shared" si="6"/>
        <v>1700000000</v>
      </c>
      <c r="E74" s="92">
        <f t="shared" si="5"/>
        <v>2900000</v>
      </c>
      <c r="F74" s="79">
        <f t="array" ref="F74">MIN(IF(树木!$N$5:$N$85&gt;=旅店!$E74,树木!$K$5:$K$85))</f>
        <v>182.47</v>
      </c>
      <c r="G74" s="79">
        <f t="array" ref="G74">MIN(IF(树木!$N$5:$N$85&gt;=旅店!$E74,树木!$J$5:$J$85))</f>
        <v>99</v>
      </c>
      <c r="H74" s="79">
        <f t="array" ref="H74">MIN(IF(树木!$S$5:$S$85&gt;=旅店!$E74,树木!$P$5:$P$85))</f>
        <v>0</v>
      </c>
      <c r="I74" s="79">
        <f t="array" ref="I74">MIN(IF(树木!$S$5:$S$85&gt;=旅店!$E74,树木!$J$5:$J$85))</f>
        <v>0</v>
      </c>
      <c r="J74" s="89"/>
      <c r="N74" s="79">
        <v>89</v>
      </c>
      <c r="O74" s="79">
        <f>INDEX(等级时间!$U$3:$AU$203,MATCH($N74,等级时间!$U$3:$U$203,0),MATCH(O$4,等级时间!$U$3:$AU$3,0))</f>
        <v>116.44</v>
      </c>
      <c r="P74" s="79">
        <f t="shared" si="7"/>
        <v>5.3599999999999994</v>
      </c>
      <c r="Q74" s="79">
        <f>VLOOKUP($N74,$B:$E,2,0)*P74*IF($N74&gt;=$L$6,2,1)</f>
        <v>9540799.9999999981</v>
      </c>
      <c r="R74" s="79">
        <f>SUM($Q$5:$Q74)</f>
        <v>166836200</v>
      </c>
    </row>
    <row r="75" spans="2:18" x14ac:dyDescent="0.15">
      <c r="B75" s="79">
        <v>71</v>
      </c>
      <c r="C75" s="79">
        <f t="shared" si="4"/>
        <v>710000</v>
      </c>
      <c r="D75" s="79">
        <f t="shared" si="6"/>
        <v>1800000000</v>
      </c>
      <c r="E75" s="92">
        <f t="shared" si="5"/>
        <v>3000000</v>
      </c>
      <c r="F75" s="79">
        <f t="array" ref="F75">MIN(IF(树木!$N$5:$N$85&gt;=旅店!$E75,树木!$K$5:$K$85))</f>
        <v>190.45</v>
      </c>
      <c r="G75" s="79">
        <f t="array" ref="G75">MIN(IF(树木!$N$5:$N$85&gt;=旅店!$E75,树木!$J$5:$J$85))</f>
        <v>100</v>
      </c>
      <c r="H75" s="79">
        <f t="array" ref="H75">MIN(IF(树木!$S$5:$S$85&gt;=旅店!$E75,树木!$P$5:$P$85))</f>
        <v>0</v>
      </c>
      <c r="I75" s="79">
        <f t="array" ref="I75">MIN(IF(树木!$S$5:$S$85&gt;=旅店!$E75,树木!$J$5:$J$85))</f>
        <v>0</v>
      </c>
      <c r="J75" s="89"/>
      <c r="N75" s="79">
        <v>90</v>
      </c>
      <c r="O75" s="79">
        <f>INDEX(等级时间!$U$3:$AU$203,MATCH($N75,等级时间!$U$3:$U$203,0),MATCH(O$4,等级时间!$U$3:$AU$3,0))</f>
        <v>122.01</v>
      </c>
      <c r="P75" s="79">
        <f t="shared" si="7"/>
        <v>5.5700000000000074</v>
      </c>
      <c r="Q75" s="79">
        <f>VLOOKUP($N75,$B:$E,2,0)*P75*IF($N75&gt;=$L$6,2,1)</f>
        <v>10026000.000000013</v>
      </c>
      <c r="R75" s="79">
        <f>SUM($Q$5:$Q75)</f>
        <v>176862200</v>
      </c>
    </row>
    <row r="76" spans="2:18" x14ac:dyDescent="0.15">
      <c r="B76" s="79">
        <v>72</v>
      </c>
      <c r="C76" s="79">
        <f t="shared" si="4"/>
        <v>720000</v>
      </c>
      <c r="D76" s="79">
        <f t="shared" si="6"/>
        <v>1900000000</v>
      </c>
      <c r="E76" s="92">
        <f t="shared" si="5"/>
        <v>3200000</v>
      </c>
      <c r="F76" s="79">
        <f t="array" ref="F76">MIN(IF(树木!$N$5:$N$85&gt;=旅店!$E76,树木!$K$5:$K$85))</f>
        <v>0</v>
      </c>
      <c r="G76" s="79">
        <f t="array" ref="G76">MIN(IF(树木!$N$5:$N$85&gt;=旅店!$E76,树木!$J$5:$J$85))</f>
        <v>0</v>
      </c>
      <c r="H76" s="79">
        <f t="array" ref="H76">MIN(IF(树木!$S$5:$S$85&gt;=旅店!$E76,树木!$P$5:$P$85))</f>
        <v>0</v>
      </c>
      <c r="I76" s="79">
        <f t="array" ref="I76">MIN(IF(树木!$S$5:$S$85&gt;=旅店!$E76,树木!$J$5:$J$85))</f>
        <v>0</v>
      </c>
      <c r="J76" s="89"/>
      <c r="N76" s="79">
        <v>91</v>
      </c>
      <c r="O76" s="79">
        <f>INDEX(等级时间!$U$3:$AU$203,MATCH($N76,等级时间!$U$3:$U$203,0),MATCH(O$4,等级时间!$U$3:$AU$3,0))</f>
        <v>127.79</v>
      </c>
      <c r="P76" s="79">
        <f t="shared" si="7"/>
        <v>5.7800000000000011</v>
      </c>
      <c r="Q76" s="79">
        <f>VLOOKUP($N76,$B:$E,2,0)*P76*IF($N76&gt;=$L$6,2,1)</f>
        <v>10519600.000000002</v>
      </c>
      <c r="R76" s="79">
        <f>SUM($Q$5:$Q76)</f>
        <v>187381800</v>
      </c>
    </row>
    <row r="77" spans="2:18" x14ac:dyDescent="0.15">
      <c r="B77" s="79">
        <v>73</v>
      </c>
      <c r="C77" s="79">
        <f t="shared" si="4"/>
        <v>730000</v>
      </c>
      <c r="D77" s="79">
        <f t="shared" si="6"/>
        <v>2100000000</v>
      </c>
      <c r="E77" s="92">
        <f t="shared" si="5"/>
        <v>3300000</v>
      </c>
      <c r="F77" s="79">
        <f t="array" ref="F77">MIN(IF(树木!$N$5:$N$85&gt;=旅店!$E77,树木!$K$5:$K$85))</f>
        <v>0</v>
      </c>
      <c r="G77" s="79">
        <f t="array" ref="G77">MIN(IF(树木!$N$5:$N$85&gt;=旅店!$E77,树木!$J$5:$J$85))</f>
        <v>0</v>
      </c>
      <c r="H77" s="79">
        <f t="array" ref="H77">MIN(IF(树木!$S$5:$S$85&gt;=旅店!$E77,树木!$P$5:$P$85))</f>
        <v>0</v>
      </c>
      <c r="I77" s="79">
        <f t="array" ref="I77">MIN(IF(树木!$S$5:$S$85&gt;=旅店!$E77,树木!$J$5:$J$85))</f>
        <v>0</v>
      </c>
      <c r="J77" s="89"/>
      <c r="N77" s="79">
        <v>92</v>
      </c>
      <c r="O77" s="79">
        <f>INDEX(等级时间!$U$3:$AU$203,MATCH($N77,等级时间!$U$3:$U$203,0),MATCH(O$4,等级时间!$U$3:$AU$3,0))</f>
        <v>133.80000000000001</v>
      </c>
      <c r="P77" s="79">
        <f t="shared" si="7"/>
        <v>6.0100000000000051</v>
      </c>
      <c r="Q77" s="79">
        <f>VLOOKUP($N77,$B:$E,2,0)*P77*IF($N77&gt;=$L$6,2,1)</f>
        <v>11058400.000000009</v>
      </c>
      <c r="R77" s="79">
        <f>SUM($Q$5:$Q77)</f>
        <v>198440200</v>
      </c>
    </row>
    <row r="78" spans="2:18" x14ac:dyDescent="0.15">
      <c r="B78" s="79">
        <v>74</v>
      </c>
      <c r="C78" s="79">
        <f t="shared" si="4"/>
        <v>740000</v>
      </c>
      <c r="D78" s="79">
        <f t="shared" si="6"/>
        <v>2200000000</v>
      </c>
      <c r="E78" s="92">
        <f t="shared" si="5"/>
        <v>3500000</v>
      </c>
      <c r="F78" s="79">
        <f t="array" ref="F78">MIN(IF(树木!$N$5:$N$85&gt;=旅店!$E78,树木!$K$5:$K$85))</f>
        <v>0</v>
      </c>
      <c r="G78" s="79">
        <f t="array" ref="G78">MIN(IF(树木!$N$5:$N$85&gt;=旅店!$E78,树木!$J$5:$J$85))</f>
        <v>0</v>
      </c>
      <c r="H78" s="79">
        <f t="array" ref="H78">MIN(IF(树木!$S$5:$S$85&gt;=旅店!$E78,树木!$P$5:$P$85))</f>
        <v>0</v>
      </c>
      <c r="I78" s="79">
        <f t="array" ref="I78">MIN(IF(树木!$S$5:$S$85&gt;=旅店!$E78,树木!$J$5:$J$85))</f>
        <v>0</v>
      </c>
      <c r="J78" s="89"/>
      <c r="N78" s="79">
        <v>93</v>
      </c>
      <c r="O78" s="79">
        <f>INDEX(等级时间!$U$3:$AU$203,MATCH($N78,等级时间!$U$3:$U$203,0),MATCH(O$4,等级时间!$U$3:$AU$3,0))</f>
        <v>140.03</v>
      </c>
      <c r="P78" s="79">
        <f t="shared" si="7"/>
        <v>6.2299999999999898</v>
      </c>
      <c r="Q78" s="79">
        <f>VLOOKUP($N78,$B:$E,2,0)*P78*IF($N78&gt;=$L$6,2,1)</f>
        <v>11587799.999999981</v>
      </c>
      <c r="R78" s="79">
        <f>SUM($Q$5:$Q78)</f>
        <v>210027999.99999997</v>
      </c>
    </row>
    <row r="79" spans="2:18" x14ac:dyDescent="0.15">
      <c r="B79" s="79">
        <v>75</v>
      </c>
      <c r="C79" s="79">
        <f t="shared" si="4"/>
        <v>750000</v>
      </c>
      <c r="D79" s="79">
        <f t="shared" si="6"/>
        <v>2400000000</v>
      </c>
      <c r="E79" s="92">
        <f t="shared" si="5"/>
        <v>3700000</v>
      </c>
      <c r="F79" s="79">
        <f t="array" ref="F79">MIN(IF(树木!$N$5:$N$85&gt;=旅店!$E79,树木!$K$5:$K$85))</f>
        <v>0</v>
      </c>
      <c r="G79" s="79">
        <f t="array" ref="G79">MIN(IF(树木!$N$5:$N$85&gt;=旅店!$E79,树木!$J$5:$J$85))</f>
        <v>0</v>
      </c>
      <c r="H79" s="79">
        <f t="array" ref="H79">MIN(IF(树木!$S$5:$S$85&gt;=旅店!$E79,树木!$P$5:$P$85))</f>
        <v>0</v>
      </c>
      <c r="I79" s="79">
        <f t="array" ref="I79">MIN(IF(树木!$S$5:$S$85&gt;=旅店!$E79,树木!$J$5:$J$85))</f>
        <v>0</v>
      </c>
      <c r="J79" s="89"/>
      <c r="N79" s="79">
        <v>94</v>
      </c>
      <c r="O79" s="79">
        <f>INDEX(等级时间!$U$3:$AU$203,MATCH($N79,等级时间!$U$3:$U$203,0),MATCH(O$4,等级时间!$U$3:$AU$3,0))</f>
        <v>146.47999999999999</v>
      </c>
      <c r="P79" s="79">
        <f t="shared" si="7"/>
        <v>6.4499999999999886</v>
      </c>
      <c r="Q79" s="79">
        <f>VLOOKUP($N79,$B:$E,2,0)*P79*IF($N79&gt;=$L$6,2,1)</f>
        <v>12125999.99999998</v>
      </c>
      <c r="R79" s="79">
        <f>SUM($Q$5:$Q79)</f>
        <v>222153999.99999994</v>
      </c>
    </row>
    <row r="80" spans="2:18" x14ac:dyDescent="0.15">
      <c r="B80" s="79">
        <v>76</v>
      </c>
      <c r="C80" s="79">
        <f t="shared" si="4"/>
        <v>760000</v>
      </c>
      <c r="D80" s="79">
        <f t="shared" si="6"/>
        <v>2500000000</v>
      </c>
      <c r="E80" s="92">
        <f t="shared" si="5"/>
        <v>3800000</v>
      </c>
      <c r="F80" s="79">
        <f t="array" ref="F80">MIN(IF(树木!$N$5:$N$85&gt;=旅店!$E80,树木!$K$5:$K$85))</f>
        <v>0</v>
      </c>
      <c r="G80" s="79">
        <f t="array" ref="G80">MIN(IF(树木!$N$5:$N$85&gt;=旅店!$E80,树木!$J$5:$J$85))</f>
        <v>0</v>
      </c>
      <c r="H80" s="79">
        <f t="array" ref="H80">MIN(IF(树木!$S$5:$S$85&gt;=旅店!$E80,树木!$P$5:$P$85))</f>
        <v>0</v>
      </c>
      <c r="I80" s="79">
        <f t="array" ref="I80">MIN(IF(树木!$S$5:$S$85&gt;=旅店!$E80,树木!$J$5:$J$85))</f>
        <v>0</v>
      </c>
      <c r="J80" s="89"/>
      <c r="N80" s="79">
        <v>95</v>
      </c>
      <c r="O80" s="79">
        <f>INDEX(等级时间!$U$3:$AU$203,MATCH($N80,等级时间!$U$3:$U$203,0),MATCH(O$4,等级时间!$U$3:$AU$3,0))</f>
        <v>153.18</v>
      </c>
      <c r="P80" s="79">
        <f t="shared" si="7"/>
        <v>6.7000000000000171</v>
      </c>
      <c r="Q80" s="79">
        <f>VLOOKUP($N80,$B:$E,2,0)*P80*IF($N80&gt;=$L$6,2,1)</f>
        <v>12730000.000000032</v>
      </c>
      <c r="R80" s="79">
        <f>SUM($Q$5:$Q80)</f>
        <v>234883999.99999997</v>
      </c>
    </row>
    <row r="81" spans="2:18" x14ac:dyDescent="0.15">
      <c r="B81" s="79">
        <v>77</v>
      </c>
      <c r="C81" s="79">
        <f t="shared" si="4"/>
        <v>770000</v>
      </c>
      <c r="D81" s="79">
        <f t="shared" si="6"/>
        <v>2700000000</v>
      </c>
      <c r="E81" s="92">
        <f t="shared" si="5"/>
        <v>4000000</v>
      </c>
      <c r="F81" s="79">
        <f t="array" ref="F81">MIN(IF(树木!$N$5:$N$85&gt;=旅店!$E81,树木!$K$5:$K$85))</f>
        <v>0</v>
      </c>
      <c r="G81" s="79">
        <f t="array" ref="G81">MIN(IF(树木!$N$5:$N$85&gt;=旅店!$E81,树木!$J$5:$J$85))</f>
        <v>0</v>
      </c>
      <c r="H81" s="79">
        <f t="array" ref="H81">MIN(IF(树木!$S$5:$S$85&gt;=旅店!$E81,树木!$P$5:$P$85))</f>
        <v>0</v>
      </c>
      <c r="I81" s="79">
        <f t="array" ref="I81">MIN(IF(树木!$S$5:$S$85&gt;=旅店!$E81,树木!$J$5:$J$85))</f>
        <v>0</v>
      </c>
      <c r="J81" s="89"/>
      <c r="N81" s="79">
        <v>96</v>
      </c>
      <c r="O81" s="79">
        <f>INDEX(等级时间!$U$3:$AU$203,MATCH($N81,等级时间!$U$3:$U$203,0),MATCH(O$4,等级时间!$U$3:$AU$3,0))</f>
        <v>160.12</v>
      </c>
      <c r="P81" s="79">
        <f t="shared" si="7"/>
        <v>6.9399999999999977</v>
      </c>
      <c r="Q81" s="79">
        <f>VLOOKUP($N81,$B:$E,2,0)*P81*IF($N81&gt;=$L$6,2,1)</f>
        <v>13324799.999999996</v>
      </c>
      <c r="R81" s="79">
        <f>SUM($Q$5:$Q81)</f>
        <v>248208799.99999997</v>
      </c>
    </row>
    <row r="82" spans="2:18" x14ac:dyDescent="0.15">
      <c r="B82" s="79">
        <v>78</v>
      </c>
      <c r="C82" s="79">
        <f t="shared" si="4"/>
        <v>780000</v>
      </c>
      <c r="D82" s="79">
        <f t="shared" si="6"/>
        <v>2900000000</v>
      </c>
      <c r="E82" s="92">
        <f t="shared" si="5"/>
        <v>4200000</v>
      </c>
      <c r="F82" s="79">
        <f t="array" ref="F82">MIN(IF(树木!$N$5:$N$85&gt;=旅店!$E82,树木!$K$5:$K$85))</f>
        <v>0</v>
      </c>
      <c r="G82" s="79">
        <f t="array" ref="G82">MIN(IF(树木!$N$5:$N$85&gt;=旅店!$E82,树木!$J$5:$J$85))</f>
        <v>0</v>
      </c>
      <c r="H82" s="79">
        <f t="array" ref="H82">MIN(IF(树木!$S$5:$S$85&gt;=旅店!$E82,树木!$P$5:$P$85))</f>
        <v>0</v>
      </c>
      <c r="I82" s="79">
        <f t="array" ref="I82">MIN(IF(树木!$S$5:$S$85&gt;=旅店!$E82,树木!$J$5:$J$85))</f>
        <v>0</v>
      </c>
      <c r="J82" s="89"/>
      <c r="N82" s="79">
        <v>97</v>
      </c>
      <c r="O82" s="79">
        <f>INDEX(等级时间!$U$3:$AU$203,MATCH($N82,等级时间!$U$3:$U$203,0),MATCH(O$4,等级时间!$U$3:$AU$3,0))</f>
        <v>167.31</v>
      </c>
      <c r="P82" s="79">
        <f t="shared" si="7"/>
        <v>7.1899999999999977</v>
      </c>
      <c r="Q82" s="79">
        <f>VLOOKUP($N82,$B:$E,2,0)*P82*IF($N82&gt;=$L$6,2,1)</f>
        <v>13948599.999999996</v>
      </c>
      <c r="R82" s="79">
        <f>SUM($Q$5:$Q82)</f>
        <v>262157399.99999997</v>
      </c>
    </row>
    <row r="83" spans="2:18" x14ac:dyDescent="0.15">
      <c r="B83" s="79">
        <v>79</v>
      </c>
      <c r="C83" s="79">
        <f t="shared" si="4"/>
        <v>790000</v>
      </c>
      <c r="D83" s="79">
        <f t="shared" si="6"/>
        <v>3100000000</v>
      </c>
      <c r="E83" s="92">
        <f t="shared" si="5"/>
        <v>4400000</v>
      </c>
      <c r="F83" s="79">
        <f t="array" ref="F83">MIN(IF(树木!$N$5:$N$85&gt;=旅店!$E83,树木!$K$5:$K$85))</f>
        <v>0</v>
      </c>
      <c r="G83" s="79">
        <f t="array" ref="G83">MIN(IF(树木!$N$5:$N$85&gt;=旅店!$E83,树木!$J$5:$J$85))</f>
        <v>0</v>
      </c>
      <c r="H83" s="79">
        <f t="array" ref="H83">MIN(IF(树木!$S$5:$S$85&gt;=旅店!$E83,树木!$P$5:$P$85))</f>
        <v>0</v>
      </c>
      <c r="I83" s="79">
        <f t="array" ref="I83">MIN(IF(树木!$S$5:$S$85&gt;=旅店!$E83,树木!$J$5:$J$85))</f>
        <v>0</v>
      </c>
      <c r="J83" s="89"/>
      <c r="N83" s="79">
        <v>98</v>
      </c>
      <c r="O83" s="79">
        <f>INDEX(等级时间!$U$3:$AU$203,MATCH($N83,等级时间!$U$3:$U$203,0),MATCH(O$4,等级时间!$U$3:$AU$3,0))</f>
        <v>174.76</v>
      </c>
      <c r="P83" s="79">
        <f t="shared" si="7"/>
        <v>7.4499999999999886</v>
      </c>
      <c r="Q83" s="79">
        <f>VLOOKUP($N83,$B:$E,2,0)*P83*IF($N83&gt;=$L$6,2,1)</f>
        <v>14601999.999999978</v>
      </c>
      <c r="R83" s="79">
        <f>SUM($Q$5:$Q83)</f>
        <v>276759399.99999994</v>
      </c>
    </row>
    <row r="84" spans="2:18" x14ac:dyDescent="0.15">
      <c r="B84" s="79">
        <v>80</v>
      </c>
      <c r="C84" s="79">
        <f t="shared" si="4"/>
        <v>800000</v>
      </c>
      <c r="D84" s="79">
        <f t="shared" si="6"/>
        <v>3300000000</v>
      </c>
      <c r="E84" s="92">
        <f t="shared" si="5"/>
        <v>4600000</v>
      </c>
      <c r="F84" s="79">
        <f t="array" ref="F84">MIN(IF(树木!$N$5:$N$85&gt;=旅店!$E84,树木!$K$5:$K$85))</f>
        <v>0</v>
      </c>
      <c r="G84" s="79">
        <f t="array" ref="G84">MIN(IF(树木!$N$5:$N$85&gt;=旅店!$E84,树木!$J$5:$J$85))</f>
        <v>0</v>
      </c>
      <c r="H84" s="79">
        <f t="array" ref="H84">MIN(IF(树木!$S$5:$S$85&gt;=旅店!$E84,树木!$P$5:$P$85))</f>
        <v>0</v>
      </c>
      <c r="I84" s="79">
        <f t="array" ref="I84">MIN(IF(树木!$S$5:$S$85&gt;=旅店!$E84,树木!$J$5:$J$85))</f>
        <v>0</v>
      </c>
      <c r="J84" s="89"/>
      <c r="N84" s="79">
        <v>99</v>
      </c>
      <c r="O84" s="79">
        <f>INDEX(等级时间!$U$3:$AU$203,MATCH($N84,等级时间!$U$3:$U$203,0),MATCH(O$4,等级时间!$U$3:$AU$3,0))</f>
        <v>182.47</v>
      </c>
      <c r="P84" s="79">
        <f t="shared" si="7"/>
        <v>7.710000000000008</v>
      </c>
      <c r="Q84" s="79">
        <f>VLOOKUP($N84,$B:$E,2,0)*P84*IF($N84&gt;=$L$6,2,1)</f>
        <v>15265800.000000015</v>
      </c>
      <c r="R84" s="79">
        <f>SUM($Q$5:$Q84)</f>
        <v>292025199.99999994</v>
      </c>
    </row>
    <row r="85" spans="2:18" x14ac:dyDescent="0.15">
      <c r="B85" s="79">
        <v>81</v>
      </c>
      <c r="C85" s="79">
        <f t="shared" si="4"/>
        <v>810000</v>
      </c>
      <c r="D85" s="79">
        <f t="shared" si="6"/>
        <v>3500000000</v>
      </c>
      <c r="E85" s="92">
        <f t="shared" si="5"/>
        <v>4800000</v>
      </c>
      <c r="F85" s="79">
        <f t="array" ref="F85">MIN(IF(树木!$N$5:$N$85&gt;=旅店!$E85,树木!$K$5:$K$85))</f>
        <v>0</v>
      </c>
      <c r="G85" s="79">
        <f t="array" ref="G85">MIN(IF(树木!$N$5:$N$85&gt;=旅店!$E85,树木!$J$5:$J$85))</f>
        <v>0</v>
      </c>
      <c r="H85" s="79">
        <f t="array" ref="H85">MIN(IF(树木!$S$5:$S$85&gt;=旅店!$E85,树木!$P$5:$P$85))</f>
        <v>0</v>
      </c>
      <c r="I85" s="79">
        <f t="array" ref="I85">MIN(IF(树木!$S$5:$S$85&gt;=旅店!$E85,树木!$J$5:$J$85))</f>
        <v>0</v>
      </c>
      <c r="J85" s="89"/>
      <c r="N85" s="79">
        <v>100</v>
      </c>
      <c r="O85" s="79">
        <f>INDEX(等级时间!$U$3:$AU$203,MATCH($N85,等级时间!$U$3:$U$203,0),MATCH(O$4,等级时间!$U$3:$AU$3,0))</f>
        <v>190.45</v>
      </c>
      <c r="P85" s="79">
        <f t="shared" si="7"/>
        <v>7.9799999999999898</v>
      </c>
      <c r="Q85" s="79">
        <f>VLOOKUP($N85,$B:$E,2,0)*P85*IF($N85&gt;=$L$6,2,1)</f>
        <v>15959999.99999998</v>
      </c>
      <c r="R85" s="79">
        <f>SUM($Q$5:$Q85)</f>
        <v>307985199.99999994</v>
      </c>
    </row>
    <row r="86" spans="2:18" x14ac:dyDescent="0.15">
      <c r="B86" s="79">
        <v>82</v>
      </c>
      <c r="C86" s="79">
        <f t="shared" si="4"/>
        <v>820000</v>
      </c>
      <c r="D86" s="79">
        <f t="shared" si="6"/>
        <v>3700000000</v>
      </c>
      <c r="E86" s="92">
        <f t="shared" si="5"/>
        <v>5000000</v>
      </c>
      <c r="F86" s="79">
        <f t="array" ref="F86">MIN(IF(树木!$N$5:$N$85&gt;=旅店!$E86,树木!$K$5:$K$85))</f>
        <v>0</v>
      </c>
      <c r="G86" s="79">
        <f t="array" ref="G86">MIN(IF(树木!$N$5:$N$85&gt;=旅店!$E86,树木!$J$5:$J$85))</f>
        <v>0</v>
      </c>
      <c r="H86" s="79">
        <f t="array" ref="H86">MIN(IF(树木!$S$5:$S$85&gt;=旅店!$E86,树木!$P$5:$P$85))</f>
        <v>0</v>
      </c>
      <c r="I86" s="79">
        <f t="array" ref="I86">MIN(IF(树木!$S$5:$S$85&gt;=旅店!$E86,树木!$J$5:$J$85))</f>
        <v>0</v>
      </c>
      <c r="J86" s="89"/>
    </row>
    <row r="87" spans="2:18" x14ac:dyDescent="0.15">
      <c r="B87" s="79">
        <v>83</v>
      </c>
      <c r="C87" s="79">
        <f t="shared" si="4"/>
        <v>830000</v>
      </c>
      <c r="D87" s="79">
        <f t="shared" si="6"/>
        <v>3900000000</v>
      </c>
      <c r="E87" s="92">
        <f t="shared" si="5"/>
        <v>5200000</v>
      </c>
      <c r="F87" s="79">
        <f t="array" ref="F87">MIN(IF(树木!$N$5:$N$85&gt;=旅店!$E87,树木!$K$5:$K$85))</f>
        <v>0</v>
      </c>
      <c r="G87" s="79">
        <f t="array" ref="G87">MIN(IF(树木!$N$5:$N$85&gt;=旅店!$E87,树木!$J$5:$J$85))</f>
        <v>0</v>
      </c>
      <c r="H87" s="79">
        <f t="array" ref="H87">MIN(IF(树木!$S$5:$S$85&gt;=旅店!$E87,树木!$P$5:$P$85))</f>
        <v>0</v>
      </c>
      <c r="I87" s="79">
        <f t="array" ref="I87">MIN(IF(树木!$S$5:$S$85&gt;=旅店!$E87,树木!$J$5:$J$85))</f>
        <v>0</v>
      </c>
      <c r="J87" s="89"/>
    </row>
    <row r="88" spans="2:18" x14ac:dyDescent="0.15">
      <c r="B88" s="79">
        <v>84</v>
      </c>
      <c r="C88" s="79">
        <f t="shared" si="4"/>
        <v>840000</v>
      </c>
      <c r="D88" s="79">
        <f t="shared" si="6"/>
        <v>4200000000</v>
      </c>
      <c r="E88" s="92">
        <f t="shared" si="5"/>
        <v>5400000</v>
      </c>
      <c r="F88" s="79">
        <f t="array" ref="F88">MIN(IF(树木!$N$5:$N$85&gt;=旅店!$E88,树木!$K$5:$K$85))</f>
        <v>0</v>
      </c>
      <c r="G88" s="79">
        <f t="array" ref="G88">MIN(IF(树木!$N$5:$N$85&gt;=旅店!$E88,树木!$J$5:$J$85))</f>
        <v>0</v>
      </c>
      <c r="H88" s="79">
        <f t="array" ref="H88">MIN(IF(树木!$S$5:$S$85&gt;=旅店!$E88,树木!$P$5:$P$85))</f>
        <v>0</v>
      </c>
      <c r="I88" s="79">
        <f t="array" ref="I88">MIN(IF(树木!$S$5:$S$85&gt;=旅店!$E88,树木!$J$5:$J$85))</f>
        <v>0</v>
      </c>
      <c r="J88" s="89"/>
    </row>
    <row r="89" spans="2:18" x14ac:dyDescent="0.15">
      <c r="B89" s="79">
        <v>85</v>
      </c>
      <c r="C89" s="79">
        <f t="shared" si="4"/>
        <v>850000</v>
      </c>
      <c r="D89" s="79">
        <f t="shared" si="6"/>
        <v>4400000000</v>
      </c>
      <c r="E89" s="92">
        <f t="shared" si="5"/>
        <v>5700000</v>
      </c>
      <c r="F89" s="79">
        <f t="array" ref="F89">MIN(IF(树木!$N$5:$N$85&gt;=旅店!$E89,树木!$K$5:$K$85))</f>
        <v>0</v>
      </c>
      <c r="G89" s="79">
        <f t="array" ref="G89">MIN(IF(树木!$N$5:$N$85&gt;=旅店!$E89,树木!$J$5:$J$85))</f>
        <v>0</v>
      </c>
      <c r="H89" s="79">
        <f t="array" ref="H89">MIN(IF(树木!$S$5:$S$85&gt;=旅店!$E89,树木!$P$5:$P$85))</f>
        <v>0</v>
      </c>
      <c r="I89" s="79">
        <f t="array" ref="I89">MIN(IF(树木!$S$5:$S$85&gt;=旅店!$E89,树木!$J$5:$J$85))</f>
        <v>0</v>
      </c>
      <c r="J89" s="89"/>
    </row>
    <row r="90" spans="2:18" x14ac:dyDescent="0.15">
      <c r="B90" s="79">
        <v>86</v>
      </c>
      <c r="C90" s="79">
        <f t="shared" si="4"/>
        <v>860000</v>
      </c>
      <c r="D90" s="79">
        <f t="shared" si="6"/>
        <v>4700000000</v>
      </c>
      <c r="E90" s="92">
        <f t="shared" si="5"/>
        <v>5900000</v>
      </c>
      <c r="F90" s="79">
        <f t="array" ref="F90">MIN(IF(树木!$N$5:$N$85&gt;=旅店!$E90,树木!$K$5:$K$85))</f>
        <v>0</v>
      </c>
      <c r="G90" s="79">
        <f t="array" ref="G90">MIN(IF(树木!$N$5:$N$85&gt;=旅店!$E90,树木!$J$5:$J$85))</f>
        <v>0</v>
      </c>
      <c r="H90" s="79">
        <f t="array" ref="H90">MIN(IF(树木!$S$5:$S$85&gt;=旅店!$E90,树木!$P$5:$P$85))</f>
        <v>0</v>
      </c>
      <c r="I90" s="79">
        <f t="array" ref="I90">MIN(IF(树木!$S$5:$S$85&gt;=旅店!$E90,树木!$J$5:$J$85))</f>
        <v>0</v>
      </c>
      <c r="J90" s="89"/>
    </row>
    <row r="91" spans="2:18" x14ac:dyDescent="0.15">
      <c r="B91" s="79">
        <v>87</v>
      </c>
      <c r="C91" s="79">
        <f t="shared" si="4"/>
        <v>870000</v>
      </c>
      <c r="D91" s="79">
        <f t="shared" si="6"/>
        <v>5000000000</v>
      </c>
      <c r="E91" s="92">
        <f t="shared" si="5"/>
        <v>6100000</v>
      </c>
      <c r="F91" s="79">
        <f t="array" ref="F91">MIN(IF(树木!$N$5:$N$85&gt;=旅店!$E91,树木!$K$5:$K$85))</f>
        <v>0</v>
      </c>
      <c r="G91" s="79">
        <f t="array" ref="G91">MIN(IF(树木!$N$5:$N$85&gt;=旅店!$E91,树木!$J$5:$J$85))</f>
        <v>0</v>
      </c>
      <c r="H91" s="79">
        <f t="array" ref="H91">MIN(IF(树木!$S$5:$S$85&gt;=旅店!$E91,树木!$P$5:$P$85))</f>
        <v>0</v>
      </c>
      <c r="I91" s="79">
        <f t="array" ref="I91">MIN(IF(树木!$S$5:$S$85&gt;=旅店!$E91,树木!$J$5:$J$85))</f>
        <v>0</v>
      </c>
      <c r="J91" s="89"/>
    </row>
    <row r="92" spans="2:18" x14ac:dyDescent="0.15">
      <c r="B92" s="79">
        <v>88</v>
      </c>
      <c r="C92" s="79">
        <f t="shared" si="4"/>
        <v>880000</v>
      </c>
      <c r="D92" s="79">
        <f t="shared" si="6"/>
        <v>5300000000</v>
      </c>
      <c r="E92" s="92">
        <f t="shared" si="5"/>
        <v>6400000</v>
      </c>
      <c r="F92" s="79">
        <f t="array" ref="F92">MIN(IF(树木!$N$5:$N$85&gt;=旅店!$E92,树木!$K$5:$K$85))</f>
        <v>0</v>
      </c>
      <c r="G92" s="79">
        <f t="array" ref="G92">MIN(IF(树木!$N$5:$N$85&gt;=旅店!$E92,树木!$J$5:$J$85))</f>
        <v>0</v>
      </c>
      <c r="H92" s="79">
        <f t="array" ref="H92">MIN(IF(树木!$S$5:$S$85&gt;=旅店!$E92,树木!$P$5:$P$85))</f>
        <v>0</v>
      </c>
      <c r="I92" s="79">
        <f t="array" ref="I92">MIN(IF(树木!$S$5:$S$85&gt;=旅店!$E92,树木!$J$5:$J$85))</f>
        <v>0</v>
      </c>
      <c r="J92" s="89"/>
    </row>
    <row r="93" spans="2:18" x14ac:dyDescent="0.15">
      <c r="B93" s="79">
        <v>89</v>
      </c>
      <c r="C93" s="79">
        <f t="shared" si="4"/>
        <v>890000</v>
      </c>
      <c r="D93" s="79">
        <f t="shared" si="6"/>
        <v>5600000000</v>
      </c>
      <c r="E93" s="92">
        <f t="shared" si="5"/>
        <v>6700000</v>
      </c>
      <c r="F93" s="79">
        <f t="array" ref="F93">MIN(IF(树木!$N$5:$N$85&gt;=旅店!$E93,树木!$K$5:$K$85))</f>
        <v>0</v>
      </c>
      <c r="G93" s="79">
        <f t="array" ref="G93">MIN(IF(树木!$N$5:$N$85&gt;=旅店!$E93,树木!$J$5:$J$85))</f>
        <v>0</v>
      </c>
      <c r="H93" s="79">
        <f t="array" ref="H93">MIN(IF(树木!$S$5:$S$85&gt;=旅店!$E93,树木!$P$5:$P$85))</f>
        <v>0</v>
      </c>
      <c r="I93" s="79">
        <f t="array" ref="I93">MIN(IF(树木!$S$5:$S$85&gt;=旅店!$E93,树木!$J$5:$J$85))</f>
        <v>0</v>
      </c>
      <c r="J93" s="89"/>
    </row>
    <row r="94" spans="2:18" x14ac:dyDescent="0.15">
      <c r="B94" s="79">
        <v>90</v>
      </c>
      <c r="C94" s="79">
        <f t="shared" si="4"/>
        <v>900000</v>
      </c>
      <c r="D94" s="79">
        <f t="shared" si="6"/>
        <v>5900000000</v>
      </c>
      <c r="E94" s="92">
        <f t="shared" si="5"/>
        <v>6900000</v>
      </c>
      <c r="F94" s="79">
        <f t="array" ref="F94">MIN(IF(树木!$N$5:$N$85&gt;=旅店!$E94,树木!$K$5:$K$85))</f>
        <v>0</v>
      </c>
      <c r="G94" s="79">
        <f t="array" ref="G94">MIN(IF(树木!$N$5:$N$85&gt;=旅店!$E94,树木!$J$5:$J$85))</f>
        <v>0</v>
      </c>
      <c r="H94" s="79">
        <f t="array" ref="H94">MIN(IF(树木!$S$5:$S$85&gt;=旅店!$E94,树木!$P$5:$P$85))</f>
        <v>0</v>
      </c>
      <c r="I94" s="79">
        <f t="array" ref="I94">MIN(IF(树木!$S$5:$S$85&gt;=旅店!$E94,树木!$J$5:$J$85))</f>
        <v>0</v>
      </c>
      <c r="J94" s="89"/>
    </row>
    <row r="95" spans="2:18" x14ac:dyDescent="0.15">
      <c r="B95" s="79">
        <v>91</v>
      </c>
      <c r="C95" s="79">
        <f t="shared" si="4"/>
        <v>910000</v>
      </c>
      <c r="D95" s="79">
        <f t="shared" si="6"/>
        <v>6200000000</v>
      </c>
      <c r="E95" s="92">
        <f t="shared" si="5"/>
        <v>7200000</v>
      </c>
      <c r="F95" s="79">
        <f t="array" ref="F95">MIN(IF(树木!$N$5:$N$85&gt;=旅店!$E95,树木!$K$5:$K$85))</f>
        <v>0</v>
      </c>
      <c r="G95" s="79">
        <f t="array" ref="G95">MIN(IF(树木!$N$5:$N$85&gt;=旅店!$E95,树木!$J$5:$J$85))</f>
        <v>0</v>
      </c>
      <c r="H95" s="79">
        <f t="array" ref="H95">MIN(IF(树木!$S$5:$S$85&gt;=旅店!$E95,树木!$P$5:$P$85))</f>
        <v>0</v>
      </c>
      <c r="I95" s="79">
        <f t="array" ref="I95">MIN(IF(树木!$S$5:$S$85&gt;=旅店!$E95,树木!$J$5:$J$85))</f>
        <v>0</v>
      </c>
      <c r="J95" s="89"/>
    </row>
    <row r="96" spans="2:18" x14ac:dyDescent="0.15">
      <c r="B96" s="79">
        <v>92</v>
      </c>
      <c r="C96" s="79">
        <f t="shared" si="4"/>
        <v>920000</v>
      </c>
      <c r="D96" s="79">
        <f t="shared" si="6"/>
        <v>6600000000</v>
      </c>
      <c r="E96" s="92">
        <f t="shared" si="5"/>
        <v>7500000</v>
      </c>
      <c r="F96" s="79">
        <f t="array" ref="F96">MIN(IF(树木!$N$5:$N$85&gt;=旅店!$E96,树木!$K$5:$K$85))</f>
        <v>0</v>
      </c>
      <c r="G96" s="79">
        <f t="array" ref="G96">MIN(IF(树木!$N$5:$N$85&gt;=旅店!$E96,树木!$J$5:$J$85))</f>
        <v>0</v>
      </c>
      <c r="H96" s="79">
        <f t="array" ref="H96">MIN(IF(树木!$S$5:$S$85&gt;=旅店!$E96,树木!$P$5:$P$85))</f>
        <v>0</v>
      </c>
      <c r="I96" s="79">
        <f t="array" ref="I96">MIN(IF(树木!$S$5:$S$85&gt;=旅店!$E96,树木!$J$5:$J$85))</f>
        <v>0</v>
      </c>
      <c r="J96" s="89"/>
    </row>
    <row r="97" spans="2:10" x14ac:dyDescent="0.15">
      <c r="B97" s="79">
        <v>93</v>
      </c>
      <c r="C97" s="79">
        <f t="shared" si="4"/>
        <v>930000</v>
      </c>
      <c r="D97" s="79">
        <f t="shared" si="6"/>
        <v>7000000000</v>
      </c>
      <c r="E97" s="92">
        <f t="shared" si="5"/>
        <v>7800000</v>
      </c>
      <c r="F97" s="79">
        <f t="array" ref="F97">MIN(IF(树木!$N$5:$N$85&gt;=旅店!$E97,树木!$K$5:$K$85))</f>
        <v>0</v>
      </c>
      <c r="G97" s="79">
        <f t="array" ref="G97">MIN(IF(树木!$N$5:$N$85&gt;=旅店!$E97,树木!$J$5:$J$85))</f>
        <v>0</v>
      </c>
      <c r="H97" s="79">
        <f t="array" ref="H97">MIN(IF(树木!$S$5:$S$85&gt;=旅店!$E97,树木!$P$5:$P$85))</f>
        <v>0</v>
      </c>
      <c r="I97" s="79">
        <f t="array" ref="I97">MIN(IF(树木!$S$5:$S$85&gt;=旅店!$E97,树木!$J$5:$J$85))</f>
        <v>0</v>
      </c>
      <c r="J97" s="89"/>
    </row>
    <row r="98" spans="2:10" x14ac:dyDescent="0.15">
      <c r="B98" s="79">
        <v>94</v>
      </c>
      <c r="C98" s="79">
        <f t="shared" si="4"/>
        <v>940000</v>
      </c>
      <c r="D98" s="79">
        <f t="shared" si="6"/>
        <v>7300000000</v>
      </c>
      <c r="E98" s="92">
        <f t="shared" si="5"/>
        <v>8100000</v>
      </c>
      <c r="F98" s="79">
        <f t="array" ref="F98">MIN(IF(树木!$N$5:$N$85&gt;=旅店!$E98,树木!$K$5:$K$85))</f>
        <v>0</v>
      </c>
      <c r="G98" s="79">
        <f t="array" ref="G98">MIN(IF(树木!$N$5:$N$85&gt;=旅店!$E98,树木!$J$5:$J$85))</f>
        <v>0</v>
      </c>
      <c r="H98" s="79">
        <f t="array" ref="H98">MIN(IF(树木!$S$5:$S$85&gt;=旅店!$E98,树木!$P$5:$P$85))</f>
        <v>0</v>
      </c>
      <c r="I98" s="79">
        <f t="array" ref="I98">MIN(IF(树木!$S$5:$S$85&gt;=旅店!$E98,树木!$J$5:$J$85))</f>
        <v>0</v>
      </c>
      <c r="J98" s="89"/>
    </row>
    <row r="99" spans="2:10" x14ac:dyDescent="0.15">
      <c r="B99" s="79">
        <v>95</v>
      </c>
      <c r="C99" s="79">
        <f t="shared" si="4"/>
        <v>950000</v>
      </c>
      <c r="D99" s="79">
        <f t="shared" si="6"/>
        <v>7700000000</v>
      </c>
      <c r="E99" s="92">
        <f t="shared" si="5"/>
        <v>8400000</v>
      </c>
      <c r="F99" s="79">
        <f t="array" ref="F99">MIN(IF(树木!$N$5:$N$85&gt;=旅店!$E99,树木!$K$5:$K$85))</f>
        <v>0</v>
      </c>
      <c r="G99" s="79">
        <f t="array" ref="G99">MIN(IF(树木!$N$5:$N$85&gt;=旅店!$E99,树木!$J$5:$J$85))</f>
        <v>0</v>
      </c>
      <c r="H99" s="79">
        <f t="array" ref="H99">MIN(IF(树木!$S$5:$S$85&gt;=旅店!$E99,树木!$P$5:$P$85))</f>
        <v>0</v>
      </c>
      <c r="I99" s="79">
        <f t="array" ref="I99">MIN(IF(树木!$S$5:$S$85&gt;=旅店!$E99,树木!$J$5:$J$85))</f>
        <v>0</v>
      </c>
      <c r="J99" s="89"/>
    </row>
    <row r="100" spans="2:10" x14ac:dyDescent="0.15">
      <c r="B100" s="79">
        <v>96</v>
      </c>
      <c r="C100" s="79">
        <f t="shared" si="4"/>
        <v>960000</v>
      </c>
      <c r="D100" s="79">
        <f t="shared" si="6"/>
        <v>8200000000</v>
      </c>
      <c r="E100" s="92">
        <f t="shared" si="5"/>
        <v>8700000</v>
      </c>
      <c r="F100" s="79">
        <f t="array" ref="F100">MIN(IF(树木!$N$5:$N$85&gt;=旅店!$E100,树木!$K$5:$K$85))</f>
        <v>0</v>
      </c>
      <c r="G100" s="79">
        <f t="array" ref="G100">MIN(IF(树木!$N$5:$N$85&gt;=旅店!$E100,树木!$J$5:$J$85))</f>
        <v>0</v>
      </c>
      <c r="H100" s="79">
        <f t="array" ref="H100">MIN(IF(树木!$S$5:$S$85&gt;=旅店!$E100,树木!$P$5:$P$85))</f>
        <v>0</v>
      </c>
      <c r="I100" s="79">
        <f t="array" ref="I100">MIN(IF(树木!$S$5:$S$85&gt;=旅店!$E100,树木!$J$5:$J$85))</f>
        <v>0</v>
      </c>
      <c r="J100" s="89"/>
    </row>
    <row r="101" spans="2:10" x14ac:dyDescent="0.15">
      <c r="B101" s="79">
        <v>97</v>
      </c>
      <c r="C101" s="79">
        <f t="shared" si="4"/>
        <v>970000</v>
      </c>
      <c r="D101" s="79">
        <f t="shared" si="6"/>
        <v>8600000000</v>
      </c>
      <c r="E101" s="92">
        <f t="shared" si="5"/>
        <v>9000000</v>
      </c>
      <c r="F101" s="79">
        <f t="array" ref="F101">MIN(IF(树木!$N$5:$N$85&gt;=旅店!$E101,树木!$K$5:$K$85))</f>
        <v>0</v>
      </c>
      <c r="G101" s="79">
        <f t="array" ref="G101">MIN(IF(树木!$N$5:$N$85&gt;=旅店!$E101,树木!$J$5:$J$85))</f>
        <v>0</v>
      </c>
      <c r="H101" s="79">
        <f t="array" ref="H101">MIN(IF(树木!$S$5:$S$85&gt;=旅店!$E101,树木!$P$5:$P$85))</f>
        <v>0</v>
      </c>
      <c r="I101" s="79">
        <f t="array" ref="I101">MIN(IF(树木!$S$5:$S$85&gt;=旅店!$E101,树木!$J$5:$J$85))</f>
        <v>0</v>
      </c>
      <c r="J101" s="89"/>
    </row>
    <row r="102" spans="2:10" x14ac:dyDescent="0.15">
      <c r="B102" s="79">
        <v>98</v>
      </c>
      <c r="C102" s="79">
        <f t="shared" si="4"/>
        <v>980000</v>
      </c>
      <c r="D102" s="79">
        <f t="shared" si="6"/>
        <v>9000000000</v>
      </c>
      <c r="E102" s="92">
        <f t="shared" si="5"/>
        <v>9300000</v>
      </c>
      <c r="F102" s="79">
        <f t="array" ref="F102">MIN(IF(树木!$N$5:$N$85&gt;=旅店!$E102,树木!$K$5:$K$85))</f>
        <v>0</v>
      </c>
      <c r="G102" s="79">
        <f t="array" ref="G102">MIN(IF(树木!$N$5:$N$85&gt;=旅店!$E102,树木!$J$5:$J$85))</f>
        <v>0</v>
      </c>
      <c r="H102" s="79">
        <f t="array" ref="H102">MIN(IF(树木!$S$5:$S$85&gt;=旅店!$E102,树木!$P$5:$P$85))</f>
        <v>0</v>
      </c>
      <c r="I102" s="79">
        <f t="array" ref="I102">MIN(IF(树木!$S$5:$S$85&gt;=旅店!$E102,树木!$J$5:$J$85))</f>
        <v>0</v>
      </c>
      <c r="J102" s="89"/>
    </row>
    <row r="103" spans="2:10" x14ac:dyDescent="0.15">
      <c r="B103" s="79">
        <v>99</v>
      </c>
      <c r="C103" s="79">
        <f t="shared" si="4"/>
        <v>990000</v>
      </c>
      <c r="D103" s="79">
        <f t="shared" si="6"/>
        <v>9500000000</v>
      </c>
      <c r="E103" s="92">
        <f t="shared" si="5"/>
        <v>9700000</v>
      </c>
      <c r="F103" s="79">
        <f t="array" ref="F103">MIN(IF(树木!$N$5:$N$85&gt;=旅店!$E103,树木!$K$5:$K$85))</f>
        <v>0</v>
      </c>
      <c r="G103" s="79">
        <f t="array" ref="G103">MIN(IF(树木!$N$5:$N$85&gt;=旅店!$E103,树木!$J$5:$J$85))</f>
        <v>0</v>
      </c>
      <c r="H103" s="79">
        <f t="array" ref="H103">MIN(IF(树木!$S$5:$S$85&gt;=旅店!$E103,树木!$P$5:$P$85))</f>
        <v>0</v>
      </c>
      <c r="I103" s="79">
        <f t="array" ref="I103">MIN(IF(树木!$S$5:$S$85&gt;=旅店!$E103,树木!$J$5:$J$85))</f>
        <v>0</v>
      </c>
      <c r="J103" s="89"/>
    </row>
    <row r="104" spans="2:10" x14ac:dyDescent="0.15">
      <c r="B104" s="79">
        <v>100</v>
      </c>
      <c r="C104" s="79">
        <f t="shared" si="4"/>
        <v>1000000</v>
      </c>
      <c r="D104" s="79">
        <f t="shared" si="6"/>
        <v>10000000000</v>
      </c>
      <c r="E104" s="92">
        <f t="shared" si="5"/>
        <v>10000000</v>
      </c>
      <c r="F104" s="79">
        <f t="array" ref="F104">MIN(IF(树木!$N$5:$N$85&gt;=旅店!$E104,树木!$K$5:$K$85))</f>
        <v>0</v>
      </c>
      <c r="G104" s="79">
        <f t="array" ref="G104">MIN(IF(树木!$N$5:$N$85&gt;=旅店!$E104,树木!$J$5:$J$85))</f>
        <v>0</v>
      </c>
      <c r="H104" s="79">
        <f t="array" ref="H104">MIN(IF(树木!$S$5:$S$85&gt;=旅店!$E104,树木!$P$5:$P$85))</f>
        <v>0</v>
      </c>
      <c r="I104" s="79">
        <f t="array" ref="I104">MIN(IF(树木!$S$5:$S$85&gt;=旅店!$E104,树木!$J$5:$J$85))</f>
        <v>0</v>
      </c>
      <c r="J104" s="89"/>
    </row>
  </sheetData>
  <phoneticPr fontId="1" type="noConversion"/>
  <pageMargins left="0.7" right="0.7" top="0.75" bottom="0.75" header="0.3" footer="0.3"/>
  <ignoredErrors>
    <ignoredError sqref="G5:G104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"/>
  <sheetViews>
    <sheetView workbookViewId="0">
      <pane ySplit="24" topLeftCell="A52" activePane="bottomLeft" state="frozen"/>
      <selection pane="bottomLeft" activeCell="R7" sqref="R7"/>
    </sheetView>
  </sheetViews>
  <sheetFormatPr defaultRowHeight="16.5" x14ac:dyDescent="0.15"/>
  <cols>
    <col min="1" max="2" width="9" style="72"/>
    <col min="3" max="3" width="11.375" style="72" bestFit="1" customWidth="1"/>
    <col min="4" max="4" width="12.75" style="72" bestFit="1" customWidth="1"/>
    <col min="5" max="5" width="9.5" style="90" bestFit="1" customWidth="1"/>
    <col min="6" max="6" width="15.375" style="72" bestFit="1" customWidth="1"/>
    <col min="7" max="7" width="11.75" style="72" bestFit="1" customWidth="1"/>
    <col min="8" max="8" width="16.5" style="72" bestFit="1" customWidth="1"/>
    <col min="9" max="9" width="12.875" style="72" bestFit="1" customWidth="1"/>
    <col min="10" max="15" width="9" style="72"/>
    <col min="16" max="16" width="11.375" style="72" bestFit="1" customWidth="1"/>
    <col min="17" max="17" width="15" style="72" bestFit="1" customWidth="1"/>
    <col min="18" max="18" width="11.375" style="72" bestFit="1" customWidth="1"/>
    <col min="19" max="16384" width="9" style="72"/>
  </cols>
  <sheetData>
    <row r="1" spans="2:18" x14ac:dyDescent="0.15">
      <c r="B1" s="72" t="s">
        <v>295</v>
      </c>
      <c r="C1" s="72">
        <v>10000</v>
      </c>
      <c r="D1" s="72">
        <v>5</v>
      </c>
      <c r="E1" s="90">
        <v>3.5</v>
      </c>
    </row>
    <row r="2" spans="2:18" x14ac:dyDescent="0.15">
      <c r="B2" s="72" t="s">
        <v>296</v>
      </c>
      <c r="C2" s="72">
        <v>0</v>
      </c>
      <c r="D2" s="72">
        <v>100</v>
      </c>
      <c r="E2" s="90">
        <v>10</v>
      </c>
    </row>
    <row r="3" spans="2:18" x14ac:dyDescent="0.15">
      <c r="D3" s="87" t="s">
        <v>297</v>
      </c>
      <c r="E3" s="87"/>
      <c r="F3" s="88"/>
      <c r="H3" s="88"/>
    </row>
    <row r="4" spans="2:18" x14ac:dyDescent="0.15">
      <c r="B4" s="79" t="s">
        <v>294</v>
      </c>
      <c r="C4" s="79" t="s">
        <v>293</v>
      </c>
      <c r="D4" s="79" t="s">
        <v>316</v>
      </c>
      <c r="E4" s="92" t="s">
        <v>317</v>
      </c>
      <c r="F4" s="79" t="s">
        <v>313</v>
      </c>
      <c r="G4" s="79" t="s">
        <v>312</v>
      </c>
      <c r="H4" s="79" t="s">
        <v>314</v>
      </c>
      <c r="I4" s="79" t="s">
        <v>315</v>
      </c>
      <c r="L4" s="79" t="s">
        <v>298</v>
      </c>
      <c r="N4" s="79" t="s">
        <v>9</v>
      </c>
      <c r="O4" s="79" t="s">
        <v>34</v>
      </c>
      <c r="P4" s="79" t="s">
        <v>309</v>
      </c>
      <c r="Q4" s="79" t="s">
        <v>318</v>
      </c>
      <c r="R4" s="79" t="s">
        <v>319</v>
      </c>
    </row>
    <row r="5" spans="2:18" x14ac:dyDescent="0.15">
      <c r="B5" s="79">
        <v>1</v>
      </c>
      <c r="C5" s="79">
        <f>$C$1*B5+$C$2</f>
        <v>10000</v>
      </c>
      <c r="D5" s="79">
        <f>ROUND($B5^D$1+D$2,2-LEN($B5^D$1+D$2))</f>
        <v>100</v>
      </c>
      <c r="E5" s="92">
        <f>ROUND(B5^E$1+E$2,IF(LEN(INT(B5^E$1+E$2))&lt;3,1-LEN(INT(B5^E$1+E$2)),2-LEN(INT(B5^E$1+E$2))))</f>
        <v>10</v>
      </c>
      <c r="F5" s="79">
        <f t="array" ref="F5">MIN(IF(树木!$N$5:$N$85&gt;=旅店!$E5,树木!$K$5:$K$85))</f>
        <v>0.02</v>
      </c>
      <c r="G5" s="79">
        <f t="array" ref="G5">MIN(IF(树木!$N$5:$N$85&gt;=旅店!$E5,树木!$J$5:$J$85))</f>
        <v>20</v>
      </c>
      <c r="H5" s="79">
        <f t="array" ref="H5">MIN(IF(树木!$S$5:$S$85&gt;=旅店!$E5,树木!$P$5:$P$85))</f>
        <v>0.01</v>
      </c>
      <c r="I5" s="79">
        <f t="array" ref="I5">MIN(IF(树木!$S$5:$S$85&gt;=旅店!$E5,树木!$J$5:$J$85))</f>
        <v>20</v>
      </c>
      <c r="L5" s="79">
        <v>6</v>
      </c>
      <c r="N5" s="79">
        <v>20</v>
      </c>
      <c r="O5" s="79">
        <f>INDEX(等级时间!$U$3:$AU$203,MATCH($N5,等级时间!$U$3:$U$203,0),MATCH(O$4,等级时间!$U$3:$AU$3,0))</f>
        <v>0.02</v>
      </c>
      <c r="P5" s="79">
        <f>O5</f>
        <v>0.02</v>
      </c>
      <c r="Q5" s="79">
        <f>VLOOKUP($N5,$B:$E,2,0)*P5*IF($N5&gt;=$L$6,2,1)</f>
        <v>8000</v>
      </c>
      <c r="R5" s="79">
        <f>SUM($Q$5:$Q5)</f>
        <v>8000</v>
      </c>
    </row>
    <row r="6" spans="2:18" x14ac:dyDescent="0.15">
      <c r="B6" s="79">
        <v>2</v>
      </c>
      <c r="C6" s="79">
        <f t="shared" ref="C6:C69" si="0">$C$1*B6+$C$2</f>
        <v>20000</v>
      </c>
      <c r="D6" s="79">
        <f t="shared" ref="D6:E37" si="1">ROUND($B6^D$1+D$2,2-LEN($B6^D$1+D$2))</f>
        <v>130</v>
      </c>
      <c r="E6" s="92">
        <f t="shared" ref="E6:E69" si="2">ROUND(B6^E$1+E$2,IF(LEN(INT(B6^E$1+E$2))&lt;3,1-LEN(INT(B6^E$1+E$2)),2-LEN(INT(B6^E$1+E$2))))</f>
        <v>20</v>
      </c>
      <c r="F6" s="79">
        <f t="array" ref="F6">MIN(IF(树木!$N$5:$N$85&gt;=旅店!$E6,树木!$K$5:$K$85))</f>
        <v>0.02</v>
      </c>
      <c r="G6" s="79">
        <f t="array" ref="G6">MIN(IF(树木!$N$5:$N$85&gt;=旅店!$E6,树木!$J$5:$J$85))</f>
        <v>20</v>
      </c>
      <c r="H6" s="79">
        <f t="array" ref="H6">MIN(IF(树木!$S$5:$S$85&gt;=旅店!$E6,树木!$P$5:$P$85))</f>
        <v>0.01</v>
      </c>
      <c r="I6" s="79">
        <f t="array" ref="I6">MIN(IF(树木!$S$5:$S$85&gt;=旅店!$E6,树木!$J$5:$J$85))</f>
        <v>20</v>
      </c>
      <c r="L6" s="79">
        <v>20</v>
      </c>
      <c r="N6" s="79">
        <v>21</v>
      </c>
      <c r="O6" s="79">
        <f>INDEX(等级时间!$U$3:$AU$203,MATCH($N6,等级时间!$U$3:$U$203,0),MATCH(O$4,等级时间!$U$3:$AU$3,0))</f>
        <v>0.14000000000000001</v>
      </c>
      <c r="P6" s="79">
        <f>O6-O5</f>
        <v>0.12000000000000001</v>
      </c>
      <c r="Q6" s="79">
        <f>VLOOKUP($N6,$B:$E,2,0)*P6*IF($N6&gt;=$L$6,2,1)</f>
        <v>50400.000000000007</v>
      </c>
      <c r="R6" s="79">
        <f>SUM($Q$5:$Q6)</f>
        <v>58400.000000000007</v>
      </c>
    </row>
    <row r="7" spans="2:18" x14ac:dyDescent="0.15">
      <c r="B7" s="79">
        <v>3</v>
      </c>
      <c r="C7" s="79">
        <f t="shared" si="0"/>
        <v>30000</v>
      </c>
      <c r="D7" s="79">
        <f t="shared" si="1"/>
        <v>340</v>
      </c>
      <c r="E7" s="92">
        <f t="shared" si="2"/>
        <v>60</v>
      </c>
      <c r="F7" s="79">
        <f t="array" ref="F7">MIN(IF(树木!$N$5:$N$85&gt;=旅店!$E7,树木!$K$5:$K$85))</f>
        <v>0.14000000000000001</v>
      </c>
      <c r="G7" s="79">
        <f t="array" ref="G7">MIN(IF(树木!$N$5:$N$85&gt;=旅店!$E7,树木!$J$5:$J$85))</f>
        <v>21</v>
      </c>
      <c r="H7" s="79">
        <f t="array" ref="H7">MIN(IF(树木!$S$5:$S$85&gt;=旅店!$E7,树木!$P$5:$P$85))</f>
        <v>0.06</v>
      </c>
      <c r="I7" s="79">
        <f t="array" ref="I7">MIN(IF(树木!$S$5:$S$85&gt;=旅店!$E7,树木!$J$5:$J$85))</f>
        <v>21</v>
      </c>
      <c r="L7" s="79">
        <v>60</v>
      </c>
      <c r="N7" s="79">
        <v>22</v>
      </c>
      <c r="O7" s="79">
        <f>INDEX(等级时间!$U$3:$AU$203,MATCH($N7,等级时间!$U$3:$U$203,0),MATCH(O$4,等级时间!$U$3:$AU$3,0))</f>
        <v>0.27</v>
      </c>
      <c r="P7" s="79">
        <f t="shared" ref="P7:P70" si="3">O7-O6</f>
        <v>0.13</v>
      </c>
      <c r="Q7" s="79">
        <f>VLOOKUP($N7,$B:$E,2,0)*P7*IF($N7&gt;=$L$6,2,1)</f>
        <v>57200</v>
      </c>
      <c r="R7" s="79">
        <f>SUM($Q$5:$Q7)</f>
        <v>115600</v>
      </c>
    </row>
    <row r="8" spans="2:18" x14ac:dyDescent="0.15">
      <c r="B8" s="79">
        <v>4</v>
      </c>
      <c r="C8" s="79">
        <f t="shared" si="0"/>
        <v>40000</v>
      </c>
      <c r="D8" s="79">
        <f t="shared" si="1"/>
        <v>1100</v>
      </c>
      <c r="E8" s="92">
        <f t="shared" si="2"/>
        <v>140</v>
      </c>
      <c r="F8" s="79">
        <f t="array" ref="F8">MIN(IF(树木!$N$5:$N$85&gt;=旅店!$E8,树木!$K$5:$K$85))</f>
        <v>0.14000000000000001</v>
      </c>
      <c r="G8" s="79">
        <f t="array" ref="G8">MIN(IF(树木!$N$5:$N$85&gt;=旅店!$E8,树木!$J$5:$J$85))</f>
        <v>21</v>
      </c>
      <c r="H8" s="79">
        <f t="array" ref="H8">MIN(IF(树木!$S$5:$S$85&gt;=旅店!$E8,树木!$P$5:$P$85))</f>
        <v>0.11</v>
      </c>
      <c r="I8" s="79">
        <f t="array" ref="I8">MIN(IF(树木!$S$5:$S$85&gt;=旅店!$E8,树木!$J$5:$J$85))</f>
        <v>22</v>
      </c>
      <c r="N8" s="79">
        <v>23</v>
      </c>
      <c r="O8" s="79">
        <f>INDEX(等级时间!$U$3:$AU$203,MATCH($N8,等级时间!$U$3:$U$203,0),MATCH(O$4,等级时间!$U$3:$AU$3,0))</f>
        <v>0.42</v>
      </c>
      <c r="P8" s="79">
        <f t="shared" si="3"/>
        <v>0.14999999999999997</v>
      </c>
      <c r="Q8" s="79">
        <f>VLOOKUP($N8,$B:$E,2,0)*P8*IF($N8&gt;=$L$6,2,1)</f>
        <v>68999.999999999985</v>
      </c>
      <c r="R8" s="79">
        <f>SUM($Q$5:$Q8)</f>
        <v>184600</v>
      </c>
    </row>
    <row r="9" spans="2:18" x14ac:dyDescent="0.15">
      <c r="B9" s="79">
        <v>5</v>
      </c>
      <c r="C9" s="79">
        <f t="shared" si="0"/>
        <v>50000</v>
      </c>
      <c r="D9" s="79">
        <f t="shared" si="1"/>
        <v>3200</v>
      </c>
      <c r="E9" s="92">
        <f t="shared" si="2"/>
        <v>290</v>
      </c>
      <c r="F9" s="79">
        <f t="array" ref="F9">MIN(IF(树木!$N$5:$N$85&gt;=旅店!$E9,树木!$K$5:$K$85))</f>
        <v>0.14000000000000001</v>
      </c>
      <c r="G9" s="79">
        <f t="array" ref="G9">MIN(IF(树木!$N$5:$N$85&gt;=旅店!$E9,树木!$J$5:$J$85))</f>
        <v>21</v>
      </c>
      <c r="H9" s="79">
        <f t="array" ref="H9">MIN(IF(树木!$S$5:$S$85&gt;=旅店!$E9,树木!$P$5:$P$85))</f>
        <v>0.18</v>
      </c>
      <c r="I9" s="79">
        <f t="array" ref="I9">MIN(IF(树木!$S$5:$S$85&gt;=旅店!$E9,树木!$J$5:$J$85))</f>
        <v>23</v>
      </c>
      <c r="N9" s="79">
        <v>24</v>
      </c>
      <c r="O9" s="79">
        <f>INDEX(等级时间!$U$3:$AU$203,MATCH($N9,等级时间!$U$3:$U$203,0),MATCH(O$4,等级时间!$U$3:$AU$3,0))</f>
        <v>0.59</v>
      </c>
      <c r="P9" s="79">
        <f t="shared" si="3"/>
        <v>0.16999999999999998</v>
      </c>
      <c r="Q9" s="79">
        <f>VLOOKUP($N9,$B:$E,2,0)*P9*IF($N9&gt;=$L$6,2,1)</f>
        <v>81599.999999999985</v>
      </c>
      <c r="R9" s="79">
        <f>SUM($Q$5:$Q9)</f>
        <v>266200</v>
      </c>
    </row>
    <row r="10" spans="2:18" x14ac:dyDescent="0.15">
      <c r="B10" s="79">
        <v>6</v>
      </c>
      <c r="C10" s="79">
        <f t="shared" si="0"/>
        <v>60000</v>
      </c>
      <c r="D10" s="79">
        <f t="shared" si="1"/>
        <v>7900</v>
      </c>
      <c r="E10" s="92">
        <f t="shared" si="2"/>
        <v>540</v>
      </c>
      <c r="F10" s="79">
        <f t="array" ref="F10">MIN(IF(树木!$N$5:$N$85&gt;=旅店!$E10,树木!$K$5:$K$85))</f>
        <v>0.27</v>
      </c>
      <c r="G10" s="79">
        <f t="array" ref="G10">MIN(IF(树木!$N$5:$N$85&gt;=旅店!$E10,树木!$J$5:$J$85))</f>
        <v>22</v>
      </c>
      <c r="H10" s="79">
        <f t="array" ref="H10">MIN(IF(树木!$S$5:$S$85&gt;=旅店!$E10,树木!$P$5:$P$85))</f>
        <v>0.25</v>
      </c>
      <c r="I10" s="79">
        <f t="array" ref="I10">MIN(IF(树木!$S$5:$S$85&gt;=旅店!$E10,树木!$J$5:$J$85))</f>
        <v>24</v>
      </c>
      <c r="N10" s="79">
        <v>25</v>
      </c>
      <c r="O10" s="79">
        <f>INDEX(等级时间!$U$3:$AU$203,MATCH($N10,等级时间!$U$3:$U$203,0),MATCH(O$4,等级时间!$U$3:$AU$3,0))</f>
        <v>0.77</v>
      </c>
      <c r="P10" s="79">
        <f t="shared" si="3"/>
        <v>0.18000000000000005</v>
      </c>
      <c r="Q10" s="79">
        <f>VLOOKUP($N10,$B:$E,2,0)*P10*IF($N10&gt;=$L$6,2,1)</f>
        <v>90000.000000000029</v>
      </c>
      <c r="R10" s="79">
        <f>SUM($Q$5:$Q10)</f>
        <v>356200</v>
      </c>
    </row>
    <row r="11" spans="2:18" x14ac:dyDescent="0.15">
      <c r="B11" s="79">
        <v>7</v>
      </c>
      <c r="C11" s="79">
        <f t="shared" si="0"/>
        <v>70000</v>
      </c>
      <c r="D11" s="79">
        <f t="shared" si="1"/>
        <v>17000</v>
      </c>
      <c r="E11" s="92">
        <f t="shared" si="2"/>
        <v>920</v>
      </c>
      <c r="F11" s="79">
        <f t="array" ref="F11">MIN(IF(树木!$N$5:$N$85&gt;=旅店!$E11,树木!$K$5:$K$85))</f>
        <v>0.42</v>
      </c>
      <c r="G11" s="79">
        <f t="array" ref="G11">MIN(IF(树木!$N$5:$N$85&gt;=旅店!$E11,树木!$J$5:$J$85))</f>
        <v>23</v>
      </c>
      <c r="H11" s="79">
        <f t="array" ref="H11">MIN(IF(树木!$S$5:$S$85&gt;=旅店!$E11,树木!$P$5:$P$85))</f>
        <v>0.41</v>
      </c>
      <c r="I11" s="79">
        <f t="array" ref="I11">MIN(IF(树木!$S$5:$S$85&gt;=旅店!$E11,树木!$J$5:$J$85))</f>
        <v>26</v>
      </c>
      <c r="N11" s="79">
        <v>26</v>
      </c>
      <c r="O11" s="79">
        <f>INDEX(等级时间!$U$3:$AU$203,MATCH($N11,等级时间!$U$3:$U$203,0),MATCH(O$4,等级时间!$U$3:$AU$3,0))</f>
        <v>0.98</v>
      </c>
      <c r="P11" s="79">
        <f t="shared" si="3"/>
        <v>0.20999999999999996</v>
      </c>
      <c r="Q11" s="79">
        <f>VLOOKUP($N11,$B:$E,2,0)*P11*IF($N11&gt;=$L$6,2,1)</f>
        <v>109199.99999999999</v>
      </c>
      <c r="R11" s="79">
        <f>SUM($Q$5:$Q11)</f>
        <v>465400</v>
      </c>
    </row>
    <row r="12" spans="2:18" x14ac:dyDescent="0.15">
      <c r="B12" s="79">
        <v>8</v>
      </c>
      <c r="C12" s="79">
        <f t="shared" si="0"/>
        <v>80000</v>
      </c>
      <c r="D12" s="79">
        <f t="shared" si="1"/>
        <v>33000</v>
      </c>
      <c r="E12" s="92">
        <f t="shared" si="2"/>
        <v>1500</v>
      </c>
      <c r="F12" s="79">
        <f t="array" ref="F12">MIN(IF(树木!$N$5:$N$85&gt;=旅店!$E12,树木!$K$5:$K$85))</f>
        <v>0.77</v>
      </c>
      <c r="G12" s="79">
        <f t="array" ref="G12">MIN(IF(树木!$N$5:$N$85&gt;=旅店!$E12,树木!$J$5:$J$85))</f>
        <v>25</v>
      </c>
      <c r="H12" s="79">
        <f t="array" ref="H12">MIN(IF(树木!$S$5:$S$85&gt;=旅店!$E12,树木!$P$5:$P$85))</f>
        <v>0.71</v>
      </c>
      <c r="I12" s="79">
        <f t="array" ref="I12">MIN(IF(树木!$S$5:$S$85&gt;=旅店!$E12,树木!$J$5:$J$85))</f>
        <v>29</v>
      </c>
      <c r="N12" s="79">
        <v>27</v>
      </c>
      <c r="O12" s="79">
        <f>INDEX(等级时间!$U$3:$AU$203,MATCH($N12,等级时间!$U$3:$U$203,0),MATCH(O$4,等级时间!$U$3:$AU$3,0))</f>
        <v>1.2</v>
      </c>
      <c r="P12" s="79">
        <f t="shared" si="3"/>
        <v>0.21999999999999997</v>
      </c>
      <c r="Q12" s="79">
        <f>VLOOKUP($N12,$B:$E,2,0)*P12*IF($N12&gt;=$L$6,2,1)</f>
        <v>118799.99999999999</v>
      </c>
      <c r="R12" s="79">
        <f>SUM($Q$5:$Q12)</f>
        <v>584200</v>
      </c>
    </row>
    <row r="13" spans="2:18" x14ac:dyDescent="0.15">
      <c r="B13" s="79">
        <v>9</v>
      </c>
      <c r="C13" s="79">
        <f t="shared" si="0"/>
        <v>90000</v>
      </c>
      <c r="D13" s="79">
        <f t="shared" si="1"/>
        <v>59000</v>
      </c>
      <c r="E13" s="92">
        <f t="shared" si="2"/>
        <v>2200</v>
      </c>
      <c r="F13" s="79">
        <f t="array" ref="F13">MIN(IF(树木!$N$5:$N$85&gt;=旅店!$E13,树木!$K$5:$K$85))</f>
        <v>0.98</v>
      </c>
      <c r="G13" s="79">
        <f t="array" ref="G13">MIN(IF(树木!$N$5:$N$85&gt;=旅店!$E13,树木!$J$5:$J$85))</f>
        <v>26</v>
      </c>
      <c r="H13" s="79">
        <f t="array" ref="H13">MIN(IF(树木!$S$5:$S$85&gt;=旅店!$E13,树木!$P$5:$P$85))</f>
        <v>0.96</v>
      </c>
      <c r="I13" s="79">
        <f t="array" ref="I13">MIN(IF(树木!$S$5:$S$85&gt;=旅店!$E13,树木!$J$5:$J$85))</f>
        <v>31</v>
      </c>
      <c r="N13" s="79">
        <v>28</v>
      </c>
      <c r="O13" s="79">
        <f>INDEX(等级时间!$U$3:$AU$203,MATCH($N13,等级时间!$U$3:$U$203,0),MATCH(O$4,等级时间!$U$3:$AU$3,0))</f>
        <v>1.44</v>
      </c>
      <c r="P13" s="79">
        <f t="shared" si="3"/>
        <v>0.24</v>
      </c>
      <c r="Q13" s="79">
        <f>VLOOKUP($N13,$B:$E,2,0)*P13*IF($N13&gt;=$L$6,2,1)</f>
        <v>134400</v>
      </c>
      <c r="R13" s="79">
        <f>SUM($Q$5:$Q13)</f>
        <v>718600</v>
      </c>
    </row>
    <row r="14" spans="2:18" x14ac:dyDescent="0.15">
      <c r="B14" s="79">
        <v>10</v>
      </c>
      <c r="C14" s="79">
        <f t="shared" si="0"/>
        <v>100000</v>
      </c>
      <c r="D14" s="79">
        <f t="shared" si="1"/>
        <v>100000</v>
      </c>
      <c r="E14" s="92">
        <f t="shared" si="2"/>
        <v>3200</v>
      </c>
      <c r="F14" s="79">
        <f t="array" ref="F14">MIN(IF(树木!$N$5:$N$85&gt;=旅店!$E14,树木!$K$5:$K$85))</f>
        <v>1.44</v>
      </c>
      <c r="G14" s="79">
        <f t="array" ref="G14">MIN(IF(树木!$N$5:$N$85&gt;=旅店!$E14,树木!$J$5:$J$85))</f>
        <v>28</v>
      </c>
      <c r="H14" s="79">
        <f t="array" ref="H14">MIN(IF(树木!$S$5:$S$85&gt;=旅店!$E14,树木!$P$5:$P$85))</f>
        <v>1.23</v>
      </c>
      <c r="I14" s="79">
        <f t="array" ref="I14">MIN(IF(树木!$S$5:$S$85&gt;=旅店!$E14,树木!$J$5:$J$85))</f>
        <v>33</v>
      </c>
      <c r="N14" s="79">
        <v>29</v>
      </c>
      <c r="O14" s="79">
        <f>INDEX(等级时间!$U$3:$AU$203,MATCH($N14,等级时间!$U$3:$U$203,0),MATCH(O$4,等级时间!$U$3:$AU$3,0))</f>
        <v>1.7</v>
      </c>
      <c r="P14" s="79">
        <f t="shared" si="3"/>
        <v>0.26</v>
      </c>
      <c r="Q14" s="79">
        <f>VLOOKUP($N14,$B:$E,2,0)*P14*IF($N14&gt;=$L$6,2,1)</f>
        <v>150800</v>
      </c>
      <c r="R14" s="79">
        <f>SUM($Q$5:$Q14)</f>
        <v>869400</v>
      </c>
    </row>
    <row r="15" spans="2:18" x14ac:dyDescent="0.15">
      <c r="B15" s="79">
        <v>11</v>
      </c>
      <c r="C15" s="79">
        <f t="shared" si="0"/>
        <v>110000</v>
      </c>
      <c r="D15" s="79">
        <f t="shared" si="1"/>
        <v>160000</v>
      </c>
      <c r="E15" s="92">
        <f t="shared" si="2"/>
        <v>4400</v>
      </c>
      <c r="F15" s="79">
        <f t="array" ref="F15">MIN(IF(树木!$N$5:$N$85&gt;=旅店!$E15,树木!$K$5:$K$85))</f>
        <v>1.98</v>
      </c>
      <c r="G15" s="79">
        <f t="array" ref="G15">MIN(IF(树木!$N$5:$N$85&gt;=旅店!$E15,树木!$J$5:$J$85))</f>
        <v>30</v>
      </c>
      <c r="H15" s="79">
        <f t="array" ref="H15">MIN(IF(树木!$S$5:$S$85&gt;=旅店!$E15,树木!$P$5:$P$85))</f>
        <v>1.53</v>
      </c>
      <c r="I15" s="79">
        <f t="array" ref="I15">MIN(IF(树木!$S$5:$S$85&gt;=旅店!$E15,树木!$J$5:$J$85))</f>
        <v>35</v>
      </c>
      <c r="N15" s="79">
        <v>30</v>
      </c>
      <c r="O15" s="79">
        <f>INDEX(等级时间!$U$3:$AU$203,MATCH($N15,等级时间!$U$3:$U$203,0),MATCH(O$4,等级时间!$U$3:$AU$3,0))</f>
        <v>1.98</v>
      </c>
      <c r="P15" s="79">
        <f t="shared" si="3"/>
        <v>0.28000000000000003</v>
      </c>
      <c r="Q15" s="79">
        <f>VLOOKUP($N15,$B:$E,2,0)*P15*IF($N15&gt;=$L$6,2,1)</f>
        <v>168000.00000000003</v>
      </c>
      <c r="R15" s="79">
        <f>SUM($Q$5:$Q15)</f>
        <v>1037400</v>
      </c>
    </row>
    <row r="16" spans="2:18" x14ac:dyDescent="0.15">
      <c r="B16" s="79">
        <v>12</v>
      </c>
      <c r="C16" s="79">
        <f t="shared" si="0"/>
        <v>120000</v>
      </c>
      <c r="D16" s="79">
        <f t="shared" si="1"/>
        <v>250000</v>
      </c>
      <c r="E16" s="92">
        <f t="shared" si="2"/>
        <v>6000</v>
      </c>
      <c r="F16" s="79">
        <f t="array" ref="F16">MIN(IF(树木!$N$5:$N$85&gt;=旅店!$E16,树木!$K$5:$K$85))</f>
        <v>2.2799999999999998</v>
      </c>
      <c r="G16" s="79">
        <f t="array" ref="G16">MIN(IF(树木!$N$5:$N$85&gt;=旅店!$E16,树木!$J$5:$J$85))</f>
        <v>31</v>
      </c>
      <c r="H16" s="79">
        <f t="array" ref="H16">MIN(IF(树木!$S$5:$S$85&gt;=旅店!$E16,树木!$P$5:$P$85))</f>
        <v>2.04</v>
      </c>
      <c r="I16" s="79">
        <f t="array" ref="I16">MIN(IF(树木!$S$5:$S$85&gt;=旅店!$E16,树木!$J$5:$J$85))</f>
        <v>38</v>
      </c>
      <c r="N16" s="79">
        <v>31</v>
      </c>
      <c r="O16" s="79">
        <f>INDEX(等级时间!$U$3:$AU$203,MATCH($N16,等级时间!$U$3:$U$203,0),MATCH(O$4,等级时间!$U$3:$AU$3,0))</f>
        <v>2.2799999999999998</v>
      </c>
      <c r="P16" s="79">
        <f t="shared" si="3"/>
        <v>0.29999999999999982</v>
      </c>
      <c r="Q16" s="79">
        <f>VLOOKUP($N16,$B:$E,2,0)*P16*IF($N16&gt;=$L$6,2,1)</f>
        <v>185999.99999999988</v>
      </c>
      <c r="R16" s="79">
        <f>SUM($Q$5:$Q16)</f>
        <v>1223400</v>
      </c>
    </row>
    <row r="17" spans="2:18" x14ac:dyDescent="0.15">
      <c r="B17" s="79">
        <v>13</v>
      </c>
      <c r="C17" s="79">
        <f t="shared" si="0"/>
        <v>130000</v>
      </c>
      <c r="D17" s="79">
        <f t="shared" si="1"/>
        <v>370000</v>
      </c>
      <c r="E17" s="92">
        <f t="shared" si="2"/>
        <v>7900</v>
      </c>
      <c r="F17" s="79">
        <f t="array" ref="F17">MIN(IF(树木!$N$5:$N$85&gt;=旅店!$E17,树木!$K$5:$K$85))</f>
        <v>2.92</v>
      </c>
      <c r="G17" s="79">
        <f t="array" ref="G17">MIN(IF(树木!$N$5:$N$85&gt;=旅店!$E17,树木!$J$5:$J$85))</f>
        <v>33</v>
      </c>
      <c r="H17" s="79">
        <f t="array" ref="H17">MIN(IF(树木!$S$5:$S$85&gt;=旅店!$E17,树木!$P$5:$P$85))</f>
        <v>2.44</v>
      </c>
      <c r="I17" s="79">
        <f t="array" ref="I17">MIN(IF(树木!$S$5:$S$85&gt;=旅店!$E17,树木!$J$5:$J$85))</f>
        <v>40</v>
      </c>
      <c r="N17" s="79">
        <v>32</v>
      </c>
      <c r="O17" s="79">
        <f>INDEX(等级时间!$U$3:$AU$203,MATCH($N17,等级时间!$U$3:$U$203,0),MATCH(O$4,等级时间!$U$3:$AU$3,0))</f>
        <v>2.59</v>
      </c>
      <c r="P17" s="79">
        <f t="shared" si="3"/>
        <v>0.31000000000000005</v>
      </c>
      <c r="Q17" s="79">
        <f>VLOOKUP($N17,$B:$E,2,0)*P17*IF($N17&gt;=$L$6,2,1)</f>
        <v>198400.00000000003</v>
      </c>
      <c r="R17" s="79">
        <f>SUM($Q$5:$Q17)</f>
        <v>1421800</v>
      </c>
    </row>
    <row r="18" spans="2:18" x14ac:dyDescent="0.15">
      <c r="B18" s="79">
        <v>14</v>
      </c>
      <c r="C18" s="79">
        <f t="shared" si="0"/>
        <v>140000</v>
      </c>
      <c r="D18" s="79">
        <f t="shared" si="1"/>
        <v>540000</v>
      </c>
      <c r="E18" s="92">
        <f t="shared" si="2"/>
        <v>10000</v>
      </c>
      <c r="F18" s="79">
        <f t="array" ref="F18">MIN(IF(树木!$N$5:$N$85&gt;=旅店!$E18,树木!$K$5:$K$85))</f>
        <v>3.63</v>
      </c>
      <c r="G18" s="79">
        <f t="array" ref="G18">MIN(IF(树木!$N$5:$N$85&gt;=旅店!$E18,树木!$J$5:$J$85))</f>
        <v>35</v>
      </c>
      <c r="H18" s="79">
        <f t="array" ref="H18">MIN(IF(树木!$S$5:$S$85&gt;=旅店!$E18,树木!$P$5:$P$85))</f>
        <v>2.65</v>
      </c>
      <c r="I18" s="79">
        <f t="array" ref="I18">MIN(IF(树木!$S$5:$S$85&gt;=旅店!$E18,树木!$J$5:$J$85))</f>
        <v>41</v>
      </c>
      <c r="N18" s="79">
        <v>33</v>
      </c>
      <c r="O18" s="79">
        <f>INDEX(等级时间!$U$3:$AU$203,MATCH($N18,等级时间!$U$3:$U$203,0),MATCH(O$4,等级时间!$U$3:$AU$3,0))</f>
        <v>2.92</v>
      </c>
      <c r="P18" s="79">
        <f t="shared" si="3"/>
        <v>0.33000000000000007</v>
      </c>
      <c r="Q18" s="79">
        <f>VLOOKUP($N18,$B:$E,2,0)*P18*IF($N18&gt;=$L$6,2,1)</f>
        <v>217800.00000000006</v>
      </c>
      <c r="R18" s="79">
        <f>SUM($Q$5:$Q18)</f>
        <v>1639600</v>
      </c>
    </row>
    <row r="19" spans="2:18" x14ac:dyDescent="0.15">
      <c r="B19" s="79">
        <v>15</v>
      </c>
      <c r="C19" s="79">
        <f t="shared" si="0"/>
        <v>150000</v>
      </c>
      <c r="D19" s="79">
        <f t="shared" si="1"/>
        <v>760000</v>
      </c>
      <c r="E19" s="92">
        <f t="shared" si="2"/>
        <v>13000</v>
      </c>
      <c r="F19" s="79">
        <f t="array" ref="F19">MIN(IF(树木!$N$5:$N$85&gt;=旅店!$E19,树木!$K$5:$K$85))</f>
        <v>4.43</v>
      </c>
      <c r="G19" s="79">
        <f t="array" ref="G19">MIN(IF(树木!$N$5:$N$85&gt;=旅店!$E19,树木!$J$5:$J$85))</f>
        <v>37</v>
      </c>
      <c r="H19" s="79">
        <f t="array" ref="H19">MIN(IF(树木!$S$5:$S$85&gt;=旅店!$E19,树木!$P$5:$P$85))</f>
        <v>3.12</v>
      </c>
      <c r="I19" s="79">
        <f t="array" ref="I19">MIN(IF(树木!$S$5:$S$85&gt;=旅店!$E19,树木!$J$5:$J$85))</f>
        <v>43</v>
      </c>
      <c r="N19" s="79">
        <v>34</v>
      </c>
      <c r="O19" s="79">
        <f>INDEX(等级时间!$U$3:$AU$203,MATCH($N19,等级时间!$U$3:$U$203,0),MATCH(O$4,等级时间!$U$3:$AU$3,0))</f>
        <v>3.27</v>
      </c>
      <c r="P19" s="79">
        <f t="shared" si="3"/>
        <v>0.35000000000000009</v>
      </c>
      <c r="Q19" s="79">
        <f>VLOOKUP($N19,$B:$E,2,0)*P19*IF($N19&gt;=$L$6,2,1)</f>
        <v>238000.00000000006</v>
      </c>
      <c r="R19" s="79">
        <f>SUM($Q$5:$Q19)</f>
        <v>1877600</v>
      </c>
    </row>
    <row r="20" spans="2:18" x14ac:dyDescent="0.15">
      <c r="B20" s="79">
        <v>16</v>
      </c>
      <c r="C20" s="79">
        <f t="shared" si="0"/>
        <v>160000</v>
      </c>
      <c r="D20" s="79">
        <f t="shared" si="1"/>
        <v>1000000</v>
      </c>
      <c r="E20" s="92">
        <f t="shared" si="2"/>
        <v>16000</v>
      </c>
      <c r="F20" s="79">
        <f t="array" ref="F20">MIN(IF(树木!$N$5:$N$85&gt;=旅店!$E20,树木!$K$5:$K$85))</f>
        <v>5.32</v>
      </c>
      <c r="G20" s="79">
        <f t="array" ref="G20">MIN(IF(树木!$N$5:$N$85&gt;=旅店!$E20,树木!$J$5:$J$85))</f>
        <v>39</v>
      </c>
      <c r="H20" s="79">
        <f t="array" ref="H20">MIN(IF(树木!$S$5:$S$85&gt;=旅店!$E20,树木!$P$5:$P$85))</f>
        <v>3.38</v>
      </c>
      <c r="I20" s="79">
        <f t="array" ref="I20">MIN(IF(树木!$S$5:$S$85&gt;=旅店!$E20,树木!$J$5:$J$85))</f>
        <v>44</v>
      </c>
      <c r="N20" s="79">
        <v>35</v>
      </c>
      <c r="O20" s="79">
        <f>INDEX(等级时间!$U$3:$AU$203,MATCH($N20,等级时间!$U$3:$U$203,0),MATCH(O$4,等级时间!$U$3:$AU$3,0))</f>
        <v>3.63</v>
      </c>
      <c r="P20" s="79">
        <f t="shared" si="3"/>
        <v>0.35999999999999988</v>
      </c>
      <c r="Q20" s="79">
        <f>VLOOKUP($N20,$B:$E,2,0)*P20*IF($N20&gt;=$L$6,2,1)</f>
        <v>251999.99999999991</v>
      </c>
      <c r="R20" s="79">
        <f>SUM($Q$5:$Q20)</f>
        <v>2129600</v>
      </c>
    </row>
    <row r="21" spans="2:18" x14ac:dyDescent="0.15">
      <c r="B21" s="79">
        <v>17</v>
      </c>
      <c r="C21" s="79">
        <f t="shared" si="0"/>
        <v>170000</v>
      </c>
      <c r="D21" s="79">
        <f t="shared" si="1"/>
        <v>1400000</v>
      </c>
      <c r="E21" s="92">
        <f t="shared" si="2"/>
        <v>20000</v>
      </c>
      <c r="F21" s="79">
        <f t="array" ref="F21">MIN(IF(树木!$N$5:$N$85&gt;=旅店!$E21,树木!$K$5:$K$85))</f>
        <v>5.8</v>
      </c>
      <c r="G21" s="79">
        <f t="array" ref="G21">MIN(IF(树木!$N$5:$N$85&gt;=旅店!$E21,树木!$J$5:$J$85))</f>
        <v>40</v>
      </c>
      <c r="H21" s="79">
        <f t="array" ref="H21">MIN(IF(树木!$S$5:$S$85&gt;=旅店!$E21,树木!$P$5:$P$85))</f>
        <v>3.94</v>
      </c>
      <c r="I21" s="79">
        <f t="array" ref="I21">MIN(IF(树木!$S$5:$S$85&gt;=旅店!$E21,树木!$J$5:$J$85))</f>
        <v>46</v>
      </c>
      <c r="N21" s="79">
        <v>36</v>
      </c>
      <c r="O21" s="79">
        <f>INDEX(等级时间!$U$3:$AU$203,MATCH($N21,等级时间!$U$3:$U$203,0),MATCH(O$4,等级时间!$U$3:$AU$3,0))</f>
        <v>4.0199999999999996</v>
      </c>
      <c r="P21" s="79">
        <f t="shared" si="3"/>
        <v>0.38999999999999968</v>
      </c>
      <c r="Q21" s="79">
        <f>VLOOKUP($N21,$B:$E,2,0)*P21*IF($N21&gt;=$L$6,2,1)</f>
        <v>280799.99999999977</v>
      </c>
      <c r="R21" s="79">
        <f>SUM($Q$5:$Q21)</f>
        <v>2410400</v>
      </c>
    </row>
    <row r="22" spans="2:18" x14ac:dyDescent="0.15">
      <c r="B22" s="79">
        <v>18</v>
      </c>
      <c r="C22" s="79">
        <f t="shared" si="0"/>
        <v>180000</v>
      </c>
      <c r="D22" s="79">
        <f t="shared" si="1"/>
        <v>1900000</v>
      </c>
      <c r="E22" s="92">
        <f t="shared" si="2"/>
        <v>25000</v>
      </c>
      <c r="F22" s="79">
        <f t="array" ref="F22">MIN(IF(树木!$N$5:$N$85&gt;=旅店!$E22,树木!$K$5:$K$85))</f>
        <v>6.32</v>
      </c>
      <c r="G22" s="79">
        <f t="array" ref="G22">MIN(IF(树木!$N$5:$N$85&gt;=旅店!$E22,树木!$J$5:$J$85))</f>
        <v>41</v>
      </c>
      <c r="H22" s="79">
        <f t="array" ref="H22">MIN(IF(树木!$S$5:$S$85&gt;=旅店!$E22,树木!$P$5:$P$85))</f>
        <v>4.5599999999999996</v>
      </c>
      <c r="I22" s="79">
        <f t="array" ref="I22">MIN(IF(树木!$S$5:$S$85&gt;=旅店!$E22,树木!$J$5:$J$85))</f>
        <v>48</v>
      </c>
      <c r="N22" s="79">
        <v>37</v>
      </c>
      <c r="O22" s="79">
        <f>INDEX(等级时间!$U$3:$AU$203,MATCH($N22,等级时间!$U$3:$U$203,0),MATCH(O$4,等级时间!$U$3:$AU$3,0))</f>
        <v>4.43</v>
      </c>
      <c r="P22" s="79">
        <f t="shared" si="3"/>
        <v>0.41000000000000014</v>
      </c>
      <c r="Q22" s="79">
        <f>VLOOKUP($N22,$B:$E,2,0)*P22*IF($N22&gt;=$L$6,2,1)</f>
        <v>303400.00000000012</v>
      </c>
      <c r="R22" s="79">
        <f>SUM($Q$5:$Q22)</f>
        <v>2713800</v>
      </c>
    </row>
    <row r="23" spans="2:18" x14ac:dyDescent="0.15">
      <c r="B23" s="79">
        <v>19</v>
      </c>
      <c r="C23" s="79">
        <f t="shared" si="0"/>
        <v>190000</v>
      </c>
      <c r="D23" s="79">
        <f t="shared" si="1"/>
        <v>2500000</v>
      </c>
      <c r="E23" s="92">
        <f t="shared" si="2"/>
        <v>30000</v>
      </c>
      <c r="F23" s="79">
        <f t="array" ref="F23">MIN(IF(树木!$N$5:$N$85&gt;=旅店!$E23,树木!$K$5:$K$85))</f>
        <v>7.43</v>
      </c>
      <c r="G23" s="79">
        <f t="array" ref="G23">MIN(IF(树木!$N$5:$N$85&gt;=旅店!$E23,树木!$J$5:$J$85))</f>
        <v>43</v>
      </c>
      <c r="H23" s="79">
        <f t="array" ref="H23">MIN(IF(树木!$S$5:$S$85&gt;=旅店!$E23,树木!$P$5:$P$85))</f>
        <v>4.91</v>
      </c>
      <c r="I23" s="79">
        <f t="array" ref="I23">MIN(IF(树木!$S$5:$S$85&gt;=旅店!$E23,树木!$J$5:$J$85))</f>
        <v>49</v>
      </c>
      <c r="N23" s="79">
        <v>38</v>
      </c>
      <c r="O23" s="79">
        <f>INDEX(等级时间!$U$3:$AU$203,MATCH($N23,等级时间!$U$3:$U$203,0),MATCH(O$4,等级时间!$U$3:$AU$3,0))</f>
        <v>4.8600000000000003</v>
      </c>
      <c r="P23" s="79">
        <f t="shared" si="3"/>
        <v>0.4300000000000006</v>
      </c>
      <c r="Q23" s="79">
        <f>VLOOKUP($N23,$B:$E,2,0)*P23*IF($N23&gt;=$L$6,2,1)</f>
        <v>326800.00000000047</v>
      </c>
      <c r="R23" s="79">
        <f>SUM($Q$5:$Q23)</f>
        <v>3040600.0000000005</v>
      </c>
    </row>
    <row r="24" spans="2:18" x14ac:dyDescent="0.15">
      <c r="B24" s="79">
        <v>20</v>
      </c>
      <c r="C24" s="79">
        <f t="shared" si="0"/>
        <v>200000</v>
      </c>
      <c r="D24" s="79">
        <f t="shared" si="1"/>
        <v>3200000</v>
      </c>
      <c r="E24" s="92">
        <f t="shared" si="2"/>
        <v>36000</v>
      </c>
      <c r="F24" s="79">
        <f t="array" ref="F24">MIN(IF(树木!$N$5:$N$85&gt;=旅店!$E24,树木!$K$5:$K$85))</f>
        <v>8.0399999999999991</v>
      </c>
      <c r="G24" s="79">
        <f t="array" ref="G24">MIN(IF(树木!$N$5:$N$85&gt;=旅店!$E24,树木!$J$5:$J$85))</f>
        <v>44</v>
      </c>
      <c r="H24" s="79">
        <f t="array" ref="H24">MIN(IF(树木!$S$5:$S$85&gt;=旅店!$E24,树木!$P$5:$P$85))</f>
        <v>5.65</v>
      </c>
      <c r="I24" s="79">
        <f t="array" ref="I24">MIN(IF(树木!$S$5:$S$85&gt;=旅店!$E24,树木!$J$5:$J$85))</f>
        <v>51</v>
      </c>
      <c r="N24" s="79">
        <v>39</v>
      </c>
      <c r="O24" s="79">
        <f>INDEX(等级时间!$U$3:$AU$203,MATCH($N24,等级时间!$U$3:$U$203,0),MATCH(O$4,等级时间!$U$3:$AU$3,0))</f>
        <v>5.32</v>
      </c>
      <c r="P24" s="79">
        <f t="shared" si="3"/>
        <v>0.45999999999999996</v>
      </c>
      <c r="Q24" s="79">
        <f>VLOOKUP($N24,$B:$E,2,0)*P24*IF($N24&gt;=$L$6,2,1)</f>
        <v>358800</v>
      </c>
      <c r="R24" s="79">
        <f>SUM($Q$5:$Q24)</f>
        <v>3399400.0000000005</v>
      </c>
    </row>
    <row r="25" spans="2:18" x14ac:dyDescent="0.15">
      <c r="B25" s="79">
        <v>21</v>
      </c>
      <c r="C25" s="79">
        <f t="shared" si="0"/>
        <v>210000</v>
      </c>
      <c r="D25" s="79">
        <f t="shared" si="1"/>
        <v>4100000</v>
      </c>
      <c r="E25" s="92">
        <f t="shared" si="2"/>
        <v>42000</v>
      </c>
      <c r="F25" s="79">
        <f t="array" ref="F25">MIN(IF(树木!$N$5:$N$85&gt;=旅店!$E25,树木!$K$5:$K$85))</f>
        <v>8.69</v>
      </c>
      <c r="G25" s="79">
        <f t="array" ref="G25">MIN(IF(树木!$N$5:$N$85&gt;=旅店!$E25,树木!$J$5:$J$85))</f>
        <v>45</v>
      </c>
      <c r="H25" s="79">
        <f t="array" ref="H25">MIN(IF(树木!$S$5:$S$85&gt;=旅店!$E25,树木!$P$5:$P$85))</f>
        <v>6.05</v>
      </c>
      <c r="I25" s="79">
        <f t="array" ref="I25">MIN(IF(树木!$S$5:$S$85&gt;=旅店!$E25,树木!$J$5:$J$85))</f>
        <v>52</v>
      </c>
      <c r="N25" s="79">
        <v>40</v>
      </c>
      <c r="O25" s="79">
        <f>INDEX(等级时间!$U$3:$AU$203,MATCH($N25,等级时间!$U$3:$U$203,0),MATCH(O$4,等级时间!$U$3:$AU$3,0))</f>
        <v>5.8</v>
      </c>
      <c r="P25" s="79">
        <f t="shared" si="3"/>
        <v>0.47999999999999954</v>
      </c>
      <c r="Q25" s="79">
        <f>VLOOKUP($N25,$B:$E,2,0)*P25*IF($N25&gt;=$L$6,2,1)</f>
        <v>383999.99999999965</v>
      </c>
      <c r="R25" s="79">
        <f>SUM($Q$5:$Q25)</f>
        <v>3783400</v>
      </c>
    </row>
    <row r="26" spans="2:18" x14ac:dyDescent="0.15">
      <c r="B26" s="79">
        <v>22</v>
      </c>
      <c r="C26" s="79">
        <f t="shared" si="0"/>
        <v>220000</v>
      </c>
      <c r="D26" s="79">
        <f t="shared" si="1"/>
        <v>5200000</v>
      </c>
      <c r="E26" s="92">
        <f t="shared" si="2"/>
        <v>50000</v>
      </c>
      <c r="F26" s="79">
        <f t="array" ref="F26">MIN(IF(树木!$N$5:$N$85&gt;=旅店!$E26,树木!$K$5:$K$85))</f>
        <v>9.3800000000000008</v>
      </c>
      <c r="G26" s="79">
        <f t="array" ref="G26">MIN(IF(树木!$N$5:$N$85&gt;=旅店!$E26,树木!$J$5:$J$85))</f>
        <v>46</v>
      </c>
      <c r="H26" s="79">
        <f t="array" ref="H26">MIN(IF(树木!$S$5:$S$85&gt;=旅店!$E26,树木!$P$5:$P$85))</f>
        <v>6.93</v>
      </c>
      <c r="I26" s="79">
        <f t="array" ref="I26">MIN(IF(树木!$S$5:$S$85&gt;=旅店!$E26,树木!$J$5:$J$85))</f>
        <v>54</v>
      </c>
      <c r="N26" s="79">
        <v>41</v>
      </c>
      <c r="O26" s="79">
        <f>INDEX(等级时间!$U$3:$AU$203,MATCH($N26,等级时间!$U$3:$U$203,0),MATCH(O$4,等级时间!$U$3:$AU$3,0))</f>
        <v>6.32</v>
      </c>
      <c r="P26" s="79">
        <f t="shared" si="3"/>
        <v>0.52000000000000046</v>
      </c>
      <c r="Q26" s="79">
        <f>VLOOKUP($N26,$B:$E,2,0)*P26*IF($N26&gt;=$L$6,2,1)</f>
        <v>426400.00000000041</v>
      </c>
      <c r="R26" s="79">
        <f>SUM($Q$5:$Q26)</f>
        <v>4209800</v>
      </c>
    </row>
    <row r="27" spans="2:18" x14ac:dyDescent="0.15">
      <c r="B27" s="79">
        <v>23</v>
      </c>
      <c r="C27" s="79">
        <f t="shared" si="0"/>
        <v>230000</v>
      </c>
      <c r="D27" s="79">
        <f t="shared" si="1"/>
        <v>6400000</v>
      </c>
      <c r="E27" s="92">
        <f t="shared" si="2"/>
        <v>58000</v>
      </c>
      <c r="F27" s="79">
        <f t="array" ref="F27">MIN(IF(树木!$N$5:$N$85&gt;=旅店!$E27,树木!$K$5:$K$85))</f>
        <v>10.1</v>
      </c>
      <c r="G27" s="79">
        <f t="array" ref="G27">MIN(IF(树木!$N$5:$N$85&gt;=旅店!$E27,树木!$J$5:$J$85))</f>
        <v>47</v>
      </c>
      <c r="H27" s="79">
        <f t="array" ref="H27">MIN(IF(树木!$S$5:$S$85&gt;=旅店!$E27,树木!$P$5:$P$85))</f>
        <v>7.91</v>
      </c>
      <c r="I27" s="79">
        <f t="array" ref="I27">MIN(IF(树木!$S$5:$S$85&gt;=旅店!$E27,树木!$J$5:$J$85))</f>
        <v>56</v>
      </c>
      <c r="N27" s="79">
        <v>42</v>
      </c>
      <c r="O27" s="79">
        <f>INDEX(等级时间!$U$3:$AU$203,MATCH($N27,等级时间!$U$3:$U$203,0),MATCH(O$4,等级时间!$U$3:$AU$3,0))</f>
        <v>6.86</v>
      </c>
      <c r="P27" s="79">
        <f t="shared" si="3"/>
        <v>0.54</v>
      </c>
      <c r="Q27" s="79">
        <f>VLOOKUP($N27,$B:$E,2,0)*P27*IF($N27&gt;=$L$6,2,1)</f>
        <v>453600.00000000006</v>
      </c>
      <c r="R27" s="79">
        <f>SUM($Q$5:$Q27)</f>
        <v>4663400</v>
      </c>
    </row>
    <row r="28" spans="2:18" x14ac:dyDescent="0.15">
      <c r="B28" s="79">
        <v>24</v>
      </c>
      <c r="C28" s="79">
        <f t="shared" si="0"/>
        <v>240000</v>
      </c>
      <c r="D28" s="79">
        <f t="shared" si="1"/>
        <v>8000000</v>
      </c>
      <c r="E28" s="92">
        <f t="shared" si="2"/>
        <v>68000</v>
      </c>
      <c r="F28" s="79">
        <f t="array" ref="F28">MIN(IF(树木!$N$5:$N$85&gt;=旅店!$E28,树木!$K$5:$K$85))</f>
        <v>11.68</v>
      </c>
      <c r="G28" s="79">
        <f t="array" ref="G28">MIN(IF(树木!$N$5:$N$85&gt;=旅店!$E28,树木!$J$5:$J$85))</f>
        <v>49</v>
      </c>
      <c r="H28" s="79">
        <f t="array" ref="H28">MIN(IF(树木!$S$5:$S$85&gt;=旅店!$E28,树木!$P$5:$P$85))</f>
        <v>8.44</v>
      </c>
      <c r="I28" s="79">
        <f t="array" ref="I28">MIN(IF(树木!$S$5:$S$85&gt;=旅店!$E28,树木!$J$5:$J$85))</f>
        <v>57</v>
      </c>
      <c r="N28" s="79">
        <v>43</v>
      </c>
      <c r="O28" s="79">
        <f>INDEX(等级时间!$U$3:$AU$203,MATCH($N28,等级时间!$U$3:$U$203,0),MATCH(O$4,等级时间!$U$3:$AU$3,0))</f>
        <v>7.43</v>
      </c>
      <c r="P28" s="79">
        <f t="shared" si="3"/>
        <v>0.5699999999999994</v>
      </c>
      <c r="Q28" s="79">
        <f>VLOOKUP($N28,$B:$E,2,0)*P28*IF($N28&gt;=$L$6,2,1)</f>
        <v>490199.99999999948</v>
      </c>
      <c r="R28" s="79">
        <f>SUM($Q$5:$Q28)</f>
        <v>5153599.9999999991</v>
      </c>
    </row>
    <row r="29" spans="2:18" x14ac:dyDescent="0.15">
      <c r="B29" s="79">
        <v>25</v>
      </c>
      <c r="C29" s="79">
        <f t="shared" si="0"/>
        <v>250000</v>
      </c>
      <c r="D29" s="79">
        <f t="shared" si="1"/>
        <v>9800000</v>
      </c>
      <c r="E29" s="92">
        <f t="shared" si="2"/>
        <v>78000</v>
      </c>
      <c r="F29" s="79">
        <f t="array" ref="F29">MIN(IF(树木!$N$5:$N$85&gt;=旅店!$E29,树木!$K$5:$K$85))</f>
        <v>12.54</v>
      </c>
      <c r="G29" s="79">
        <f t="array" ref="G29">MIN(IF(树木!$N$5:$N$85&gt;=旅店!$E29,树木!$J$5:$J$85))</f>
        <v>50</v>
      </c>
      <c r="H29" s="79">
        <f t="array" ref="H29">MIN(IF(树木!$S$5:$S$85&gt;=旅店!$E29,树木!$P$5:$P$85))</f>
        <v>9.58</v>
      </c>
      <c r="I29" s="79">
        <f t="array" ref="I29">MIN(IF(树木!$S$5:$S$85&gt;=旅店!$E29,树木!$J$5:$J$85))</f>
        <v>59</v>
      </c>
      <c r="N29" s="79">
        <v>44</v>
      </c>
      <c r="O29" s="79">
        <f>INDEX(等级时间!$U$3:$AU$203,MATCH($N29,等级时间!$U$3:$U$203,0),MATCH(O$4,等级时间!$U$3:$AU$3,0))</f>
        <v>8.0399999999999991</v>
      </c>
      <c r="P29" s="79">
        <f t="shared" si="3"/>
        <v>0.60999999999999943</v>
      </c>
      <c r="Q29" s="79">
        <f>VLOOKUP($N29,$B:$E,2,0)*P29*IF($N29&gt;=$L$6,2,1)</f>
        <v>536799.99999999953</v>
      </c>
      <c r="R29" s="79">
        <f>SUM($Q$5:$Q29)</f>
        <v>5690399.9999999981</v>
      </c>
    </row>
    <row r="30" spans="2:18" x14ac:dyDescent="0.15">
      <c r="B30" s="79">
        <v>26</v>
      </c>
      <c r="C30" s="79">
        <f t="shared" si="0"/>
        <v>260000</v>
      </c>
      <c r="D30" s="79">
        <f t="shared" si="1"/>
        <v>12000000</v>
      </c>
      <c r="E30" s="92">
        <f t="shared" si="2"/>
        <v>90000</v>
      </c>
      <c r="F30" s="79">
        <f t="array" ref="F30">MIN(IF(树木!$N$5:$N$85&gt;=旅店!$E30,树木!$K$5:$K$85))</f>
        <v>13.45</v>
      </c>
      <c r="G30" s="79">
        <f t="array" ref="G30">MIN(IF(树木!$N$5:$N$85&gt;=旅店!$E30,树木!$J$5:$J$85))</f>
        <v>51</v>
      </c>
      <c r="H30" s="79">
        <f t="array" ref="H30">MIN(IF(树木!$S$5:$S$85&gt;=旅店!$E30,树木!$P$5:$P$85))</f>
        <v>10.86</v>
      </c>
      <c r="I30" s="79">
        <f t="array" ref="I30">MIN(IF(树木!$S$5:$S$85&gt;=旅店!$E30,树木!$J$5:$J$85))</f>
        <v>61</v>
      </c>
      <c r="N30" s="79">
        <v>45</v>
      </c>
      <c r="O30" s="79">
        <f>INDEX(等级时间!$U$3:$AU$203,MATCH($N30,等级时间!$U$3:$U$203,0),MATCH(O$4,等级时间!$U$3:$AU$3,0))</f>
        <v>8.69</v>
      </c>
      <c r="P30" s="79">
        <f t="shared" si="3"/>
        <v>0.65000000000000036</v>
      </c>
      <c r="Q30" s="79">
        <f>VLOOKUP($N30,$B:$E,2,0)*P30*IF($N30&gt;=$L$6,2,1)</f>
        <v>585000.00000000035</v>
      </c>
      <c r="R30" s="79">
        <f>SUM($Q$5:$Q30)</f>
        <v>6275399.9999999981</v>
      </c>
    </row>
    <row r="31" spans="2:18" x14ac:dyDescent="0.15">
      <c r="B31" s="79">
        <v>27</v>
      </c>
      <c r="C31" s="79">
        <f t="shared" si="0"/>
        <v>270000</v>
      </c>
      <c r="D31" s="79">
        <f t="shared" si="1"/>
        <v>14000000</v>
      </c>
      <c r="E31" s="92">
        <f t="shared" si="2"/>
        <v>100000</v>
      </c>
      <c r="F31" s="79">
        <f t="array" ref="F31">MIN(IF(树木!$N$5:$N$85&gt;=旅店!$E31,树木!$K$5:$K$85))</f>
        <v>14.41</v>
      </c>
      <c r="G31" s="79">
        <f t="array" ref="G31">MIN(IF(树木!$N$5:$N$85&gt;=旅店!$E31,树木!$J$5:$J$85))</f>
        <v>52</v>
      </c>
      <c r="H31" s="79">
        <f t="array" ref="H31">MIN(IF(树木!$S$5:$S$85&gt;=旅店!$E31,树木!$P$5:$P$85))</f>
        <v>11.54</v>
      </c>
      <c r="I31" s="79">
        <f t="array" ref="I31">MIN(IF(树木!$S$5:$S$85&gt;=旅店!$E31,树木!$J$5:$J$85))</f>
        <v>62</v>
      </c>
      <c r="N31" s="79">
        <v>46</v>
      </c>
      <c r="O31" s="79">
        <f>INDEX(等级时间!$U$3:$AU$203,MATCH($N31,等级时间!$U$3:$U$203,0),MATCH(O$4,等级时间!$U$3:$AU$3,0))</f>
        <v>9.3800000000000008</v>
      </c>
      <c r="P31" s="79">
        <f t="shared" si="3"/>
        <v>0.69000000000000128</v>
      </c>
      <c r="Q31" s="79">
        <f>VLOOKUP($N31,$B:$E,2,0)*P31*IF($N31&gt;=$L$6,2,1)</f>
        <v>634800.00000000116</v>
      </c>
      <c r="R31" s="79">
        <f>SUM($Q$5:$Q31)</f>
        <v>6910199.9999999991</v>
      </c>
    </row>
    <row r="32" spans="2:18" x14ac:dyDescent="0.15">
      <c r="B32" s="79">
        <v>28</v>
      </c>
      <c r="C32" s="79">
        <f t="shared" si="0"/>
        <v>280000</v>
      </c>
      <c r="D32" s="79">
        <f t="shared" si="1"/>
        <v>17000000</v>
      </c>
      <c r="E32" s="92">
        <f t="shared" si="2"/>
        <v>120000</v>
      </c>
      <c r="F32" s="79">
        <f t="array" ref="F32">MIN(IF(树木!$N$5:$N$85&gt;=旅店!$E32,树木!$K$5:$K$85))</f>
        <v>16.489999999999998</v>
      </c>
      <c r="G32" s="79">
        <f t="array" ref="G32">MIN(IF(树木!$N$5:$N$85&gt;=旅店!$E32,树木!$J$5:$J$85))</f>
        <v>54</v>
      </c>
      <c r="H32" s="79">
        <f t="array" ref="H32">MIN(IF(树木!$S$5:$S$85&gt;=旅店!$E32,树木!$P$5:$P$85))</f>
        <v>13.02</v>
      </c>
      <c r="I32" s="79">
        <f t="array" ref="I32">MIN(IF(树木!$S$5:$S$85&gt;=旅店!$E32,树木!$J$5:$J$85))</f>
        <v>64</v>
      </c>
      <c r="N32" s="79">
        <v>47</v>
      </c>
      <c r="O32" s="79">
        <f>INDEX(等级时间!$U$3:$AU$203,MATCH($N32,等级时间!$U$3:$U$203,0),MATCH(O$4,等级时间!$U$3:$AU$3,0))</f>
        <v>10.1</v>
      </c>
      <c r="P32" s="79">
        <f t="shared" si="3"/>
        <v>0.71999999999999886</v>
      </c>
      <c r="Q32" s="79">
        <f>VLOOKUP($N32,$B:$E,2,0)*P32*IF($N32&gt;=$L$6,2,1)</f>
        <v>676799.99999999895</v>
      </c>
      <c r="R32" s="79">
        <f>SUM($Q$5:$Q32)</f>
        <v>7586999.9999999981</v>
      </c>
    </row>
    <row r="33" spans="2:18" x14ac:dyDescent="0.15">
      <c r="B33" s="79">
        <v>29</v>
      </c>
      <c r="C33" s="79">
        <f t="shared" si="0"/>
        <v>290000</v>
      </c>
      <c r="D33" s="79">
        <f t="shared" si="1"/>
        <v>21000000</v>
      </c>
      <c r="E33" s="92">
        <f t="shared" si="2"/>
        <v>130000</v>
      </c>
      <c r="F33" s="79">
        <f t="array" ref="F33">MIN(IF(树木!$N$5:$N$85&gt;=旅店!$E33,树木!$K$5:$K$85))</f>
        <v>17.63</v>
      </c>
      <c r="G33" s="79">
        <f t="array" ref="G33">MIN(IF(树木!$N$5:$N$85&gt;=旅店!$E33,树木!$J$5:$J$85))</f>
        <v>55</v>
      </c>
      <c r="H33" s="79">
        <f t="array" ref="H33">MIN(IF(树木!$S$5:$S$85&gt;=旅店!$E33,树木!$P$5:$P$85))</f>
        <v>13.82</v>
      </c>
      <c r="I33" s="79">
        <f t="array" ref="I33">MIN(IF(树木!$S$5:$S$85&gt;=旅店!$E33,树木!$J$5:$J$85))</f>
        <v>65</v>
      </c>
      <c r="N33" s="79">
        <v>48</v>
      </c>
      <c r="O33" s="79">
        <f>INDEX(等级时间!$U$3:$AU$203,MATCH($N33,等级时间!$U$3:$U$203,0),MATCH(O$4,等级时间!$U$3:$AU$3,0))</f>
        <v>10.86</v>
      </c>
      <c r="P33" s="79">
        <f t="shared" si="3"/>
        <v>0.75999999999999979</v>
      </c>
      <c r="Q33" s="79">
        <f>VLOOKUP($N33,$B:$E,2,0)*P33*IF($N33&gt;=$L$6,2,1)</f>
        <v>729599.99999999977</v>
      </c>
      <c r="R33" s="79">
        <f>SUM($Q$5:$Q33)</f>
        <v>8316599.9999999981</v>
      </c>
    </row>
    <row r="34" spans="2:18" x14ac:dyDescent="0.15">
      <c r="B34" s="79">
        <v>30</v>
      </c>
      <c r="C34" s="79">
        <f t="shared" si="0"/>
        <v>300000</v>
      </c>
      <c r="D34" s="79">
        <f t="shared" si="1"/>
        <v>24000000</v>
      </c>
      <c r="E34" s="92">
        <f t="shared" si="2"/>
        <v>150000</v>
      </c>
      <c r="F34" s="79">
        <f t="array" ref="F34">MIN(IF(树木!$N$5:$N$85&gt;=旅店!$E34,树木!$K$5:$K$85))</f>
        <v>18.82</v>
      </c>
      <c r="G34" s="79">
        <f t="array" ref="G34">MIN(IF(树木!$N$5:$N$85&gt;=旅店!$E34,树木!$J$5:$J$85))</f>
        <v>56</v>
      </c>
      <c r="H34" s="79">
        <f t="array" ref="H34">MIN(IF(树木!$S$5:$S$85&gt;=旅店!$E34,树木!$P$5:$P$85))</f>
        <v>15.54</v>
      </c>
      <c r="I34" s="79">
        <f t="array" ref="I34">MIN(IF(树木!$S$5:$S$85&gt;=旅店!$E34,树木!$J$5:$J$85))</f>
        <v>67</v>
      </c>
      <c r="N34" s="79">
        <v>49</v>
      </c>
      <c r="O34" s="79">
        <f>INDEX(等级时间!$U$3:$AU$203,MATCH($N34,等级时间!$U$3:$U$203,0),MATCH(O$4,等级时间!$U$3:$AU$3,0))</f>
        <v>11.68</v>
      </c>
      <c r="P34" s="79">
        <f t="shared" si="3"/>
        <v>0.82000000000000028</v>
      </c>
      <c r="Q34" s="79">
        <f>VLOOKUP($N34,$B:$E,2,0)*P34*IF($N34&gt;=$L$6,2,1)</f>
        <v>803600.00000000023</v>
      </c>
      <c r="R34" s="79">
        <f>SUM($Q$5:$Q34)</f>
        <v>9120199.9999999981</v>
      </c>
    </row>
    <row r="35" spans="2:18" x14ac:dyDescent="0.15">
      <c r="B35" s="79">
        <v>31</v>
      </c>
      <c r="C35" s="79">
        <f t="shared" si="0"/>
        <v>310000</v>
      </c>
      <c r="D35" s="79">
        <f t="shared" si="1"/>
        <v>29000000</v>
      </c>
      <c r="E35" s="92">
        <f t="shared" si="2"/>
        <v>170000</v>
      </c>
      <c r="F35" s="79">
        <f t="array" ref="F35">MIN(IF(树木!$N$5:$N$85&gt;=旅店!$E35,树木!$K$5:$K$85))</f>
        <v>21.41</v>
      </c>
      <c r="G35" s="79">
        <f t="array" ref="G35">MIN(IF(树木!$N$5:$N$85&gt;=旅店!$E35,树木!$J$5:$J$85))</f>
        <v>58</v>
      </c>
      <c r="H35" s="79">
        <f t="array" ref="H35">MIN(IF(树木!$S$5:$S$85&gt;=旅店!$E35,树木!$P$5:$P$85))</f>
        <v>16.46</v>
      </c>
      <c r="I35" s="79">
        <f t="array" ref="I35">MIN(IF(树木!$S$5:$S$85&gt;=旅店!$E35,树木!$J$5:$J$85))</f>
        <v>68</v>
      </c>
      <c r="N35" s="79">
        <v>50</v>
      </c>
      <c r="O35" s="79">
        <f>INDEX(等级时间!$U$3:$AU$203,MATCH($N35,等级时间!$U$3:$U$203,0),MATCH(O$4,等级时间!$U$3:$AU$3,0))</f>
        <v>12.54</v>
      </c>
      <c r="P35" s="79">
        <f t="shared" si="3"/>
        <v>0.85999999999999943</v>
      </c>
      <c r="Q35" s="79">
        <f>VLOOKUP($N35,$B:$E,2,0)*P35*IF($N35&gt;=$L$6,2,1)</f>
        <v>859999.99999999942</v>
      </c>
      <c r="R35" s="79">
        <f>SUM($Q$5:$Q35)</f>
        <v>9980199.9999999981</v>
      </c>
    </row>
    <row r="36" spans="2:18" x14ac:dyDescent="0.15">
      <c r="B36" s="79">
        <v>32</v>
      </c>
      <c r="C36" s="79">
        <f t="shared" si="0"/>
        <v>320000</v>
      </c>
      <c r="D36" s="79">
        <f t="shared" si="1"/>
        <v>34000000</v>
      </c>
      <c r="E36" s="92">
        <f t="shared" si="2"/>
        <v>190000</v>
      </c>
      <c r="F36" s="79">
        <f t="array" ref="F36">MIN(IF(树木!$N$5:$N$85&gt;=旅店!$E36,树木!$K$5:$K$85))</f>
        <v>22.81</v>
      </c>
      <c r="G36" s="79">
        <f t="array" ref="G36">MIN(IF(树木!$N$5:$N$85&gt;=旅店!$E36,树木!$J$5:$J$85))</f>
        <v>59</v>
      </c>
      <c r="H36" s="79">
        <f t="array" ref="H36">MIN(IF(树木!$S$5:$S$85&gt;=旅店!$E36,树木!$P$5:$P$85))</f>
        <v>18.440000000000001</v>
      </c>
      <c r="I36" s="79">
        <f t="array" ref="I36">MIN(IF(树木!$S$5:$S$85&gt;=旅店!$E36,树木!$J$5:$J$85))</f>
        <v>70</v>
      </c>
      <c r="N36" s="79">
        <v>51</v>
      </c>
      <c r="O36" s="79">
        <f>INDEX(等级时间!$U$3:$AU$203,MATCH($N36,等级时间!$U$3:$U$203,0),MATCH(O$4,等级时间!$U$3:$AU$3,0))</f>
        <v>13.45</v>
      </c>
      <c r="P36" s="79">
        <f t="shared" si="3"/>
        <v>0.91000000000000014</v>
      </c>
      <c r="Q36" s="79">
        <f>VLOOKUP($N36,$B:$E,2,0)*P36*IF($N36&gt;=$L$6,2,1)</f>
        <v>928200.00000000012</v>
      </c>
      <c r="R36" s="79">
        <f>SUM($Q$5:$Q36)</f>
        <v>10908399.999999998</v>
      </c>
    </row>
    <row r="37" spans="2:18" x14ac:dyDescent="0.15">
      <c r="B37" s="79">
        <v>33</v>
      </c>
      <c r="C37" s="79">
        <f t="shared" si="0"/>
        <v>330000</v>
      </c>
      <c r="D37" s="79">
        <f t="shared" si="1"/>
        <v>39000000</v>
      </c>
      <c r="E37" s="92">
        <f t="shared" si="2"/>
        <v>210000</v>
      </c>
      <c r="F37" s="79">
        <f t="array" ref="F37">MIN(IF(树木!$N$5:$N$85&gt;=旅店!$E37,树木!$K$5:$K$85))</f>
        <v>24.29</v>
      </c>
      <c r="G37" s="79">
        <f t="array" ref="G37">MIN(IF(树木!$N$5:$N$85&gt;=旅店!$E37,树木!$J$5:$J$85))</f>
        <v>60</v>
      </c>
      <c r="H37" s="79">
        <f t="array" ref="H37">MIN(IF(树木!$S$5:$S$85&gt;=旅店!$E37,树木!$P$5:$P$85))</f>
        <v>19.5</v>
      </c>
      <c r="I37" s="79">
        <f t="array" ref="I37">MIN(IF(树木!$S$5:$S$85&gt;=旅店!$E37,树木!$J$5:$J$85))</f>
        <v>71</v>
      </c>
      <c r="N37" s="79">
        <v>52</v>
      </c>
      <c r="O37" s="79">
        <f>INDEX(等级时间!$U$3:$AU$203,MATCH($N37,等级时间!$U$3:$U$203,0),MATCH(O$4,等级时间!$U$3:$AU$3,0))</f>
        <v>14.41</v>
      </c>
      <c r="P37" s="79">
        <f t="shared" si="3"/>
        <v>0.96000000000000085</v>
      </c>
      <c r="Q37" s="79">
        <f>VLOOKUP($N37,$B:$E,2,0)*P37*IF($N37&gt;=$L$6,2,1)</f>
        <v>998400.00000000093</v>
      </c>
      <c r="R37" s="79">
        <f>SUM($Q$5:$Q37)</f>
        <v>11906800</v>
      </c>
    </row>
    <row r="38" spans="2:18" x14ac:dyDescent="0.15">
      <c r="B38" s="79">
        <v>34</v>
      </c>
      <c r="C38" s="79">
        <f t="shared" si="0"/>
        <v>340000</v>
      </c>
      <c r="D38" s="79">
        <f t="shared" ref="D38:E69" si="4">ROUND($B38^D$1+D$2,2-LEN($B38^D$1+D$2))</f>
        <v>45000000</v>
      </c>
      <c r="E38" s="92">
        <f t="shared" si="2"/>
        <v>230000</v>
      </c>
      <c r="F38" s="79">
        <f t="array" ref="F38">MIN(IF(树木!$N$5:$N$85&gt;=旅店!$E38,树木!$K$5:$K$85))</f>
        <v>25.84</v>
      </c>
      <c r="G38" s="79">
        <f t="array" ref="G38">MIN(IF(树木!$N$5:$N$85&gt;=旅店!$E38,树木!$J$5:$J$85))</f>
        <v>61</v>
      </c>
      <c r="H38" s="79">
        <f t="array" ref="H38">MIN(IF(树木!$S$5:$S$85&gt;=旅店!$E38,树木!$P$5:$P$85))</f>
        <v>21.77</v>
      </c>
      <c r="I38" s="79">
        <f t="array" ref="I38">MIN(IF(树木!$S$5:$S$85&gt;=旅店!$E38,树木!$J$5:$J$85))</f>
        <v>73</v>
      </c>
      <c r="N38" s="79">
        <v>53</v>
      </c>
      <c r="O38" s="79">
        <f>INDEX(等级时间!$U$3:$AU$203,MATCH($N38,等级时间!$U$3:$U$203,0),MATCH(O$4,等级时间!$U$3:$AU$3,0))</f>
        <v>15.42</v>
      </c>
      <c r="P38" s="79">
        <f t="shared" si="3"/>
        <v>1.0099999999999998</v>
      </c>
      <c r="Q38" s="79">
        <f>VLOOKUP($N38,$B:$E,2,0)*P38*IF($N38&gt;=$L$6,2,1)</f>
        <v>1070599.9999999998</v>
      </c>
      <c r="R38" s="79">
        <f>SUM($Q$5:$Q38)</f>
        <v>12977400</v>
      </c>
    </row>
    <row r="39" spans="2:18" x14ac:dyDescent="0.15">
      <c r="B39" s="79">
        <v>35</v>
      </c>
      <c r="C39" s="79">
        <f t="shared" si="0"/>
        <v>350000</v>
      </c>
      <c r="D39" s="79">
        <f t="shared" si="4"/>
        <v>53000000</v>
      </c>
      <c r="E39" s="92">
        <f t="shared" si="2"/>
        <v>250000</v>
      </c>
      <c r="F39" s="79">
        <f t="array" ref="F39">MIN(IF(树木!$N$5:$N$85&gt;=旅店!$E39,树木!$K$5:$K$85))</f>
        <v>27.47</v>
      </c>
      <c r="G39" s="79">
        <f t="array" ref="G39">MIN(IF(树木!$N$5:$N$85&gt;=旅店!$E39,树木!$J$5:$J$85))</f>
        <v>62</v>
      </c>
      <c r="H39" s="79">
        <f t="array" ref="H39">MIN(IF(树木!$S$5:$S$85&gt;=旅店!$E39,树木!$P$5:$P$85))</f>
        <v>22.98</v>
      </c>
      <c r="I39" s="79">
        <f t="array" ref="I39">MIN(IF(树木!$S$5:$S$85&gt;=旅店!$E39,树木!$J$5:$J$85))</f>
        <v>74</v>
      </c>
      <c r="N39" s="79">
        <v>54</v>
      </c>
      <c r="O39" s="79">
        <f>INDEX(等级时间!$U$3:$AU$203,MATCH($N39,等级时间!$U$3:$U$203,0),MATCH(O$4,等级时间!$U$3:$AU$3,0))</f>
        <v>16.489999999999998</v>
      </c>
      <c r="P39" s="79">
        <f t="shared" si="3"/>
        <v>1.0699999999999985</v>
      </c>
      <c r="Q39" s="79">
        <f>VLOOKUP($N39,$B:$E,2,0)*P39*IF($N39&gt;=$L$6,2,1)</f>
        <v>1155599.9999999984</v>
      </c>
      <c r="R39" s="79">
        <f>SUM($Q$5:$Q39)</f>
        <v>14132999.999999998</v>
      </c>
    </row>
    <row r="40" spans="2:18" x14ac:dyDescent="0.15">
      <c r="B40" s="79">
        <v>36</v>
      </c>
      <c r="C40" s="79">
        <f t="shared" si="0"/>
        <v>360000</v>
      </c>
      <c r="D40" s="79">
        <f t="shared" si="4"/>
        <v>60000000</v>
      </c>
      <c r="E40" s="92">
        <f t="shared" si="2"/>
        <v>280000</v>
      </c>
      <c r="F40" s="79">
        <f t="array" ref="F40">MIN(IF(树木!$N$5:$N$85&gt;=旅店!$E40,树木!$K$5:$K$85))</f>
        <v>31</v>
      </c>
      <c r="G40" s="79">
        <f t="array" ref="G40">MIN(IF(树木!$N$5:$N$85&gt;=旅店!$E40,树木!$J$5:$J$85))</f>
        <v>64</v>
      </c>
      <c r="H40" s="79">
        <f t="array" ref="H40">MIN(IF(树木!$S$5:$S$85&gt;=旅店!$E40,树木!$P$5:$P$85))</f>
        <v>24.25</v>
      </c>
      <c r="I40" s="79">
        <f t="array" ref="I40">MIN(IF(树木!$S$5:$S$85&gt;=旅店!$E40,树木!$J$5:$J$85))</f>
        <v>75</v>
      </c>
      <c r="N40" s="79">
        <v>55</v>
      </c>
      <c r="O40" s="79">
        <f>INDEX(等级时间!$U$3:$AU$203,MATCH($N40,等级时间!$U$3:$U$203,0),MATCH(O$4,等级时间!$U$3:$AU$3,0))</f>
        <v>17.63</v>
      </c>
      <c r="P40" s="79">
        <f t="shared" si="3"/>
        <v>1.1400000000000006</v>
      </c>
      <c r="Q40" s="79">
        <f>VLOOKUP($N40,$B:$E,2,0)*P40*IF($N40&gt;=$L$6,2,1)</f>
        <v>1254000.0000000007</v>
      </c>
      <c r="R40" s="79">
        <f>SUM($Q$5:$Q40)</f>
        <v>15386999.999999998</v>
      </c>
    </row>
    <row r="41" spans="2:18" x14ac:dyDescent="0.15">
      <c r="B41" s="79">
        <v>37</v>
      </c>
      <c r="C41" s="79">
        <f t="shared" si="0"/>
        <v>370000</v>
      </c>
      <c r="D41" s="79">
        <f t="shared" si="4"/>
        <v>69000000</v>
      </c>
      <c r="E41" s="92">
        <f t="shared" si="2"/>
        <v>310000</v>
      </c>
      <c r="F41" s="79">
        <f t="array" ref="F41">MIN(IF(树木!$N$5:$N$85&gt;=旅店!$E41,树木!$K$5:$K$85))</f>
        <v>32.9</v>
      </c>
      <c r="G41" s="79">
        <f t="array" ref="G41">MIN(IF(树木!$N$5:$N$85&gt;=旅店!$E41,树木!$J$5:$J$85))</f>
        <v>65</v>
      </c>
      <c r="H41" s="79">
        <f t="array" ref="H41">MIN(IF(树木!$S$5:$S$85&gt;=旅店!$E41,树木!$P$5:$P$85))</f>
        <v>26.96</v>
      </c>
      <c r="I41" s="79">
        <f t="array" ref="I41">MIN(IF(树木!$S$5:$S$85&gt;=旅店!$E41,树木!$J$5:$J$85))</f>
        <v>77</v>
      </c>
      <c r="N41" s="79">
        <v>56</v>
      </c>
      <c r="O41" s="79">
        <f>INDEX(等级时间!$U$3:$AU$203,MATCH($N41,等级时间!$U$3:$U$203,0),MATCH(O$4,等级时间!$U$3:$AU$3,0))</f>
        <v>18.82</v>
      </c>
      <c r="P41" s="79">
        <f t="shared" si="3"/>
        <v>1.1900000000000013</v>
      </c>
      <c r="Q41" s="79">
        <f>VLOOKUP($N41,$B:$E,2,0)*P41*IF($N41&gt;=$L$6,2,1)</f>
        <v>1332800.0000000014</v>
      </c>
      <c r="R41" s="79">
        <f>SUM($Q$5:$Q41)</f>
        <v>16719800</v>
      </c>
    </row>
    <row r="42" spans="2:18" x14ac:dyDescent="0.15">
      <c r="B42" s="79">
        <v>38</v>
      </c>
      <c r="C42" s="79">
        <f t="shared" si="0"/>
        <v>380000</v>
      </c>
      <c r="D42" s="79">
        <f t="shared" si="4"/>
        <v>79000000</v>
      </c>
      <c r="E42" s="92">
        <f t="shared" si="2"/>
        <v>340000</v>
      </c>
      <c r="F42" s="79">
        <f t="array" ref="F42">MIN(IF(树木!$N$5:$N$85&gt;=旅店!$E42,树木!$K$5:$K$85))</f>
        <v>34.89</v>
      </c>
      <c r="G42" s="79">
        <f t="array" ref="G42">MIN(IF(树木!$N$5:$N$85&gt;=旅店!$E42,树木!$J$5:$J$85))</f>
        <v>66</v>
      </c>
      <c r="H42" s="79">
        <f t="array" ref="H42">MIN(IF(树木!$S$5:$S$85&gt;=旅店!$E42,树木!$P$5:$P$85))</f>
        <v>28.41</v>
      </c>
      <c r="I42" s="79">
        <f t="array" ref="I42">MIN(IF(树木!$S$5:$S$85&gt;=旅店!$E42,树木!$J$5:$J$85))</f>
        <v>78</v>
      </c>
      <c r="N42" s="79">
        <v>57</v>
      </c>
      <c r="O42" s="79">
        <f>INDEX(等级时间!$U$3:$AU$203,MATCH($N42,等级时间!$U$3:$U$203,0),MATCH(O$4,等级时间!$U$3:$AU$3,0))</f>
        <v>20.079999999999998</v>
      </c>
      <c r="P42" s="79">
        <f t="shared" si="3"/>
        <v>1.259999999999998</v>
      </c>
      <c r="Q42" s="79">
        <f>VLOOKUP($N42,$B:$E,2,0)*P42*IF($N42&gt;=$L$6,2,1)</f>
        <v>1436399.9999999977</v>
      </c>
      <c r="R42" s="79">
        <f>SUM($Q$5:$Q42)</f>
        <v>18156199.999999996</v>
      </c>
    </row>
    <row r="43" spans="2:18" x14ac:dyDescent="0.15">
      <c r="B43" s="79">
        <v>39</v>
      </c>
      <c r="C43" s="79">
        <f t="shared" si="0"/>
        <v>390000</v>
      </c>
      <c r="D43" s="79">
        <f t="shared" si="4"/>
        <v>90000000</v>
      </c>
      <c r="E43" s="92">
        <f t="shared" si="2"/>
        <v>370000</v>
      </c>
      <c r="F43" s="79">
        <f t="array" ref="F43">MIN(IF(树木!$N$5:$N$85&gt;=旅店!$E43,树木!$K$5:$K$85))</f>
        <v>36.979999999999997</v>
      </c>
      <c r="G43" s="79">
        <f t="array" ref="G43">MIN(IF(树木!$N$5:$N$85&gt;=旅店!$E43,树木!$J$5:$J$85))</f>
        <v>67</v>
      </c>
      <c r="H43" s="79">
        <f t="array" ref="H43">MIN(IF(树木!$S$5:$S$85&gt;=旅店!$E43,树木!$P$5:$P$85))</f>
        <v>29.92</v>
      </c>
      <c r="I43" s="79">
        <f t="array" ref="I43">MIN(IF(树木!$S$5:$S$85&gt;=旅店!$E43,树木!$J$5:$J$85))</f>
        <v>79</v>
      </c>
      <c r="N43" s="79">
        <v>58</v>
      </c>
      <c r="O43" s="79">
        <f>INDEX(等级时间!$U$3:$AU$203,MATCH($N43,等级时间!$U$3:$U$203,0),MATCH(O$4,等级时间!$U$3:$AU$3,0))</f>
        <v>21.41</v>
      </c>
      <c r="P43" s="79">
        <f t="shared" si="3"/>
        <v>1.3300000000000018</v>
      </c>
      <c r="Q43" s="79">
        <f>VLOOKUP($N43,$B:$E,2,0)*P43*IF($N43&gt;=$L$6,2,1)</f>
        <v>1542800.0000000021</v>
      </c>
      <c r="R43" s="79">
        <f>SUM($Q$5:$Q43)</f>
        <v>19699000</v>
      </c>
    </row>
    <row r="44" spans="2:18" x14ac:dyDescent="0.15">
      <c r="B44" s="79">
        <v>40</v>
      </c>
      <c r="C44" s="79">
        <f t="shared" si="0"/>
        <v>400000</v>
      </c>
      <c r="D44" s="79">
        <f t="shared" si="4"/>
        <v>100000000</v>
      </c>
      <c r="E44" s="92">
        <f t="shared" si="2"/>
        <v>400000</v>
      </c>
      <c r="F44" s="79">
        <f t="array" ref="F44">MIN(IF(树木!$N$5:$N$85&gt;=旅店!$E44,树木!$K$5:$K$85))</f>
        <v>39.17</v>
      </c>
      <c r="G44" s="79">
        <f t="array" ref="G44">MIN(IF(树木!$N$5:$N$85&gt;=旅店!$E44,树木!$J$5:$J$85))</f>
        <v>68</v>
      </c>
      <c r="H44" s="79">
        <f t="array" ref="H44">MIN(IF(树木!$S$5:$S$85&gt;=旅店!$E44,树木!$P$5:$P$85))</f>
        <v>33.130000000000003</v>
      </c>
      <c r="I44" s="79">
        <f t="array" ref="I44">MIN(IF(树木!$S$5:$S$85&gt;=旅店!$E44,树木!$J$5:$J$85))</f>
        <v>81</v>
      </c>
      <c r="N44" s="79">
        <v>59</v>
      </c>
      <c r="O44" s="79">
        <f>INDEX(等级时间!$U$3:$AU$203,MATCH($N44,等级时间!$U$3:$U$203,0),MATCH(O$4,等级时间!$U$3:$AU$3,0))</f>
        <v>22.81</v>
      </c>
      <c r="P44" s="79">
        <f t="shared" si="3"/>
        <v>1.3999999999999986</v>
      </c>
      <c r="Q44" s="79">
        <f>VLOOKUP($N44,$B:$E,2,0)*P44*IF($N44&gt;=$L$6,2,1)</f>
        <v>1651999.9999999984</v>
      </c>
      <c r="R44" s="79">
        <f>SUM($Q$5:$Q44)</f>
        <v>21351000</v>
      </c>
    </row>
    <row r="45" spans="2:18" x14ac:dyDescent="0.15">
      <c r="B45" s="79">
        <v>41</v>
      </c>
      <c r="C45" s="79">
        <f t="shared" si="0"/>
        <v>410000</v>
      </c>
      <c r="D45" s="79">
        <f t="shared" si="4"/>
        <v>120000000</v>
      </c>
      <c r="E45" s="92">
        <f t="shared" si="2"/>
        <v>440000</v>
      </c>
      <c r="F45" s="79">
        <f t="array" ref="F45">MIN(IF(树木!$N$5:$N$85&gt;=旅店!$E45,树木!$K$5:$K$85))</f>
        <v>43.88</v>
      </c>
      <c r="G45" s="79">
        <f t="array" ref="G45">MIN(IF(树木!$N$5:$N$85&gt;=旅店!$E45,树木!$J$5:$J$85))</f>
        <v>70</v>
      </c>
      <c r="H45" s="79">
        <f t="array" ref="H45">MIN(IF(树木!$S$5:$S$85&gt;=旅店!$E45,树木!$P$5:$P$85))</f>
        <v>34.840000000000003</v>
      </c>
      <c r="I45" s="79">
        <f t="array" ref="I45">MIN(IF(树木!$S$5:$S$85&gt;=旅店!$E45,树木!$J$5:$J$85))</f>
        <v>82</v>
      </c>
      <c r="N45" s="79">
        <v>60</v>
      </c>
      <c r="O45" s="79">
        <f>INDEX(等级时间!$U$3:$AU$203,MATCH($N45,等级时间!$U$3:$U$203,0),MATCH(O$4,等级时间!$U$3:$AU$3,0))</f>
        <v>24.29</v>
      </c>
      <c r="P45" s="79">
        <f t="shared" si="3"/>
        <v>1.4800000000000004</v>
      </c>
      <c r="Q45" s="79">
        <f>VLOOKUP($N45,$B:$E,2,0)*P45*IF($N45&gt;=$L$6,2,1)</f>
        <v>1776000.0000000005</v>
      </c>
      <c r="R45" s="79">
        <f>SUM($Q$5:$Q45)</f>
        <v>23127000</v>
      </c>
    </row>
    <row r="46" spans="2:18" x14ac:dyDescent="0.15">
      <c r="B46" s="79">
        <v>42</v>
      </c>
      <c r="C46" s="79">
        <f t="shared" si="0"/>
        <v>420000</v>
      </c>
      <c r="D46" s="79">
        <f t="shared" si="4"/>
        <v>130000000</v>
      </c>
      <c r="E46" s="92">
        <f t="shared" si="2"/>
        <v>480000</v>
      </c>
      <c r="F46" s="79">
        <f t="array" ref="F46">MIN(IF(树木!$N$5:$N$85&gt;=旅店!$E46,树木!$K$5:$K$85))</f>
        <v>46.4</v>
      </c>
      <c r="G46" s="79">
        <f t="array" ref="G46">MIN(IF(树木!$N$5:$N$85&gt;=旅店!$E46,树木!$J$5:$J$85))</f>
        <v>71</v>
      </c>
      <c r="H46" s="79">
        <f t="array" ref="H46">MIN(IF(树木!$S$5:$S$85&gt;=旅店!$E46,树木!$P$5:$P$85))</f>
        <v>36.619999999999997</v>
      </c>
      <c r="I46" s="79">
        <f t="array" ref="I46">MIN(IF(树木!$S$5:$S$85&gt;=旅店!$E46,树木!$J$5:$J$85))</f>
        <v>83</v>
      </c>
      <c r="N46" s="79">
        <v>61</v>
      </c>
      <c r="O46" s="79">
        <f>INDEX(等级时间!$U$3:$AU$203,MATCH($N46,等级时间!$U$3:$U$203,0),MATCH(O$4,等级时间!$U$3:$AU$3,0))</f>
        <v>25.84</v>
      </c>
      <c r="P46" s="79">
        <f t="shared" si="3"/>
        <v>1.5500000000000007</v>
      </c>
      <c r="Q46" s="79">
        <f>VLOOKUP($N46,$B:$E,2,0)*P46*IF($N46&gt;=$L$6,2,1)</f>
        <v>1891000.0000000009</v>
      </c>
      <c r="R46" s="79">
        <f>SUM($Q$5:$Q46)</f>
        <v>25018000</v>
      </c>
    </row>
    <row r="47" spans="2:18" x14ac:dyDescent="0.15">
      <c r="B47" s="79">
        <v>43</v>
      </c>
      <c r="C47" s="79">
        <f t="shared" si="0"/>
        <v>430000</v>
      </c>
      <c r="D47" s="79">
        <f t="shared" si="4"/>
        <v>150000000</v>
      </c>
      <c r="E47" s="92">
        <f t="shared" si="2"/>
        <v>520000</v>
      </c>
      <c r="F47" s="79">
        <f t="array" ref="F47">MIN(IF(树木!$N$5:$N$85&gt;=旅店!$E47,树木!$K$5:$K$85))</f>
        <v>49.05</v>
      </c>
      <c r="G47" s="79">
        <f t="array" ref="G47">MIN(IF(树木!$N$5:$N$85&gt;=旅店!$E47,树木!$J$5:$J$85))</f>
        <v>72</v>
      </c>
      <c r="H47" s="79">
        <f t="array" ref="H47">MIN(IF(树木!$S$5:$S$85&gt;=旅店!$E47,树木!$P$5:$P$85))</f>
        <v>40.4</v>
      </c>
      <c r="I47" s="79">
        <f t="array" ref="I47">MIN(IF(树木!$S$5:$S$85&gt;=旅店!$E47,树木!$J$5:$J$85))</f>
        <v>85</v>
      </c>
      <c r="N47" s="79">
        <v>62</v>
      </c>
      <c r="O47" s="79">
        <f>INDEX(等级时间!$U$3:$AU$203,MATCH($N47,等级时间!$U$3:$U$203,0),MATCH(O$4,等级时间!$U$3:$AU$3,0))</f>
        <v>27.47</v>
      </c>
      <c r="P47" s="79">
        <f t="shared" si="3"/>
        <v>1.629999999999999</v>
      </c>
      <c r="Q47" s="79">
        <f>VLOOKUP($N47,$B:$E,2,0)*P47*IF($N47&gt;=$L$6,2,1)</f>
        <v>2021199.9999999988</v>
      </c>
      <c r="R47" s="79">
        <f>SUM($Q$5:$Q47)</f>
        <v>27039200</v>
      </c>
    </row>
    <row r="48" spans="2:18" x14ac:dyDescent="0.15">
      <c r="B48" s="79">
        <v>44</v>
      </c>
      <c r="C48" s="79">
        <f t="shared" si="0"/>
        <v>440000</v>
      </c>
      <c r="D48" s="79">
        <f t="shared" si="4"/>
        <v>160000000</v>
      </c>
      <c r="E48" s="92">
        <f t="shared" si="2"/>
        <v>570000</v>
      </c>
      <c r="F48" s="79">
        <f t="array" ref="F48">MIN(IF(树木!$N$5:$N$85&gt;=旅店!$E48,树木!$K$5:$K$85))</f>
        <v>51.81</v>
      </c>
      <c r="G48" s="79">
        <f t="array" ref="G48">MIN(IF(树木!$N$5:$N$85&gt;=旅店!$E48,树木!$J$5:$J$85))</f>
        <v>73</v>
      </c>
      <c r="H48" s="79">
        <f t="array" ref="H48">MIN(IF(树木!$S$5:$S$85&gt;=旅店!$E48,树木!$P$5:$P$85))</f>
        <v>42.41</v>
      </c>
      <c r="I48" s="79">
        <f t="array" ref="I48">MIN(IF(树木!$S$5:$S$85&gt;=旅店!$E48,树木!$J$5:$J$85))</f>
        <v>86</v>
      </c>
      <c r="N48" s="79">
        <v>63</v>
      </c>
      <c r="O48" s="79">
        <f>INDEX(等级时间!$U$3:$AU$203,MATCH($N48,等级时间!$U$3:$U$203,0),MATCH(O$4,等级时间!$U$3:$AU$3,0))</f>
        <v>29.19</v>
      </c>
      <c r="P48" s="79">
        <f t="shared" si="3"/>
        <v>1.7200000000000024</v>
      </c>
      <c r="Q48" s="79">
        <f>VLOOKUP($N48,$B:$E,2,0)*P48*IF($N48&gt;=$L$6,2,1)</f>
        <v>2167200.0000000033</v>
      </c>
      <c r="R48" s="79">
        <f>SUM($Q$5:$Q48)</f>
        <v>29206400.000000004</v>
      </c>
    </row>
    <row r="49" spans="2:18" x14ac:dyDescent="0.15">
      <c r="B49" s="79">
        <v>45</v>
      </c>
      <c r="C49" s="79">
        <f t="shared" si="0"/>
        <v>450000</v>
      </c>
      <c r="D49" s="79">
        <f t="shared" si="4"/>
        <v>180000000</v>
      </c>
      <c r="E49" s="92">
        <f t="shared" si="2"/>
        <v>610000</v>
      </c>
      <c r="F49" s="79">
        <f t="array" ref="F49">MIN(IF(树木!$N$5:$N$85&gt;=旅店!$E49,树木!$K$5:$K$85))</f>
        <v>54.7</v>
      </c>
      <c r="G49" s="79">
        <f t="array" ref="G49">MIN(IF(树木!$N$5:$N$85&gt;=旅店!$E49,树木!$J$5:$J$85))</f>
        <v>74</v>
      </c>
      <c r="H49" s="79">
        <f t="array" ref="H49">MIN(IF(树木!$S$5:$S$85&gt;=旅店!$E49,树木!$P$5:$P$85))</f>
        <v>44.5</v>
      </c>
      <c r="I49" s="79">
        <f t="array" ref="I49">MIN(IF(树木!$S$5:$S$85&gt;=旅店!$E49,树木!$J$5:$J$85))</f>
        <v>87</v>
      </c>
      <c r="N49" s="79">
        <v>64</v>
      </c>
      <c r="O49" s="79">
        <f>INDEX(等级时间!$U$3:$AU$203,MATCH($N49,等级时间!$U$3:$U$203,0),MATCH(O$4,等级时间!$U$3:$AU$3,0))</f>
        <v>31</v>
      </c>
      <c r="P49" s="79">
        <f t="shared" si="3"/>
        <v>1.8099999999999987</v>
      </c>
      <c r="Q49" s="79">
        <f>VLOOKUP($N49,$B:$E,2,0)*P49*IF($N49&gt;=$L$6,2,1)</f>
        <v>2316799.9999999981</v>
      </c>
      <c r="R49" s="79">
        <f>SUM($Q$5:$Q49)</f>
        <v>31523200</v>
      </c>
    </row>
    <row r="50" spans="2:18" x14ac:dyDescent="0.15">
      <c r="B50" s="79">
        <v>46</v>
      </c>
      <c r="C50" s="79">
        <f t="shared" si="0"/>
        <v>460000</v>
      </c>
      <c r="D50" s="79">
        <f t="shared" si="4"/>
        <v>210000000</v>
      </c>
      <c r="E50" s="92">
        <f t="shared" si="2"/>
        <v>660000</v>
      </c>
      <c r="F50" s="79">
        <f t="array" ref="F50">MIN(IF(树木!$N$5:$N$85&gt;=旅店!$E50,树木!$K$5:$K$85))</f>
        <v>57.73</v>
      </c>
      <c r="G50" s="79">
        <f t="array" ref="G50">MIN(IF(树木!$N$5:$N$85&gt;=旅店!$E50,树木!$J$5:$J$85))</f>
        <v>75</v>
      </c>
      <c r="H50" s="79">
        <f t="array" ref="H50">MIN(IF(树木!$S$5:$S$85&gt;=旅店!$E50,树木!$P$5:$P$85))</f>
        <v>48.92</v>
      </c>
      <c r="I50" s="79">
        <f t="array" ref="I50">MIN(IF(树木!$S$5:$S$85&gt;=旅店!$E50,树木!$J$5:$J$85))</f>
        <v>89</v>
      </c>
      <c r="N50" s="79">
        <v>65</v>
      </c>
      <c r="O50" s="79">
        <f>INDEX(等级时间!$U$3:$AU$203,MATCH($N50,等级时间!$U$3:$U$203,0),MATCH(O$4,等级时间!$U$3:$AU$3,0))</f>
        <v>32.9</v>
      </c>
      <c r="P50" s="79">
        <f t="shared" si="3"/>
        <v>1.8999999999999986</v>
      </c>
      <c r="Q50" s="79">
        <f>VLOOKUP($N50,$B:$E,2,0)*P50*IF($N50&gt;=$L$6,2,1)</f>
        <v>2469999.9999999981</v>
      </c>
      <c r="R50" s="79">
        <f>SUM($Q$5:$Q50)</f>
        <v>33993200</v>
      </c>
    </row>
    <row r="51" spans="2:18" x14ac:dyDescent="0.15">
      <c r="B51" s="79">
        <v>47</v>
      </c>
      <c r="C51" s="79">
        <f t="shared" si="0"/>
        <v>470000</v>
      </c>
      <c r="D51" s="79">
        <f t="shared" si="4"/>
        <v>230000000</v>
      </c>
      <c r="E51" s="92">
        <f t="shared" si="2"/>
        <v>710000</v>
      </c>
      <c r="F51" s="79">
        <f t="array" ref="F51">MIN(IF(树木!$N$5:$N$85&gt;=旅店!$E51,树木!$K$5:$K$85))</f>
        <v>60.89</v>
      </c>
      <c r="G51" s="79">
        <f t="array" ref="G51">MIN(IF(树木!$N$5:$N$85&gt;=旅店!$E51,树木!$J$5:$J$85))</f>
        <v>76</v>
      </c>
      <c r="H51" s="79">
        <f t="array" ref="H51">MIN(IF(树木!$S$5:$S$85&gt;=旅店!$E51,树木!$P$5:$P$85))</f>
        <v>51.26</v>
      </c>
      <c r="I51" s="79">
        <f t="array" ref="I51">MIN(IF(树木!$S$5:$S$85&gt;=旅店!$E51,树木!$J$5:$J$85))</f>
        <v>90</v>
      </c>
      <c r="N51" s="79">
        <v>66</v>
      </c>
      <c r="O51" s="79">
        <f>INDEX(等级时间!$U$3:$AU$203,MATCH($N51,等级时间!$U$3:$U$203,0),MATCH(O$4,等级时间!$U$3:$AU$3,0))</f>
        <v>34.89</v>
      </c>
      <c r="P51" s="79">
        <f t="shared" si="3"/>
        <v>1.990000000000002</v>
      </c>
      <c r="Q51" s="79">
        <f>VLOOKUP($N51,$B:$E,2,0)*P51*IF($N51&gt;=$L$6,2,1)</f>
        <v>2626800.0000000028</v>
      </c>
      <c r="R51" s="79">
        <f>SUM($Q$5:$Q51)</f>
        <v>36620000</v>
      </c>
    </row>
    <row r="52" spans="2:18" x14ac:dyDescent="0.15">
      <c r="B52" s="79">
        <v>48</v>
      </c>
      <c r="C52" s="79">
        <f t="shared" si="0"/>
        <v>480000</v>
      </c>
      <c r="D52" s="79">
        <f t="shared" si="4"/>
        <v>250000000</v>
      </c>
      <c r="E52" s="92">
        <f t="shared" si="2"/>
        <v>770000</v>
      </c>
      <c r="F52" s="79">
        <f t="array" ref="F52">MIN(IF(树木!$N$5:$N$85&gt;=旅店!$E52,树木!$K$5:$K$85))</f>
        <v>64.180000000000007</v>
      </c>
      <c r="G52" s="79">
        <f t="array" ref="G52">MIN(IF(树木!$N$5:$N$85&gt;=旅店!$E52,树木!$J$5:$J$85))</f>
        <v>77</v>
      </c>
      <c r="H52" s="79">
        <f t="array" ref="H52">MIN(IF(树木!$S$5:$S$85&gt;=旅店!$E52,树木!$P$5:$P$85))</f>
        <v>53.69</v>
      </c>
      <c r="I52" s="79">
        <f t="array" ref="I52">MIN(IF(树木!$S$5:$S$85&gt;=旅店!$E52,树木!$J$5:$J$85))</f>
        <v>91</v>
      </c>
      <c r="N52" s="79">
        <v>67</v>
      </c>
      <c r="O52" s="79">
        <f>INDEX(等级时间!$U$3:$AU$203,MATCH($N52,等级时间!$U$3:$U$203,0),MATCH(O$4,等级时间!$U$3:$AU$3,0))</f>
        <v>36.979999999999997</v>
      </c>
      <c r="P52" s="79">
        <f t="shared" si="3"/>
        <v>2.0899999999999963</v>
      </c>
      <c r="Q52" s="79">
        <f>VLOOKUP($N52,$B:$E,2,0)*P52*IF($N52&gt;=$L$6,2,1)</f>
        <v>2800599.9999999949</v>
      </c>
      <c r="R52" s="79">
        <f>SUM($Q$5:$Q52)</f>
        <v>39420599.999999993</v>
      </c>
    </row>
    <row r="53" spans="2:18" x14ac:dyDescent="0.15">
      <c r="B53" s="79">
        <v>49</v>
      </c>
      <c r="C53" s="79">
        <f t="shared" si="0"/>
        <v>490000</v>
      </c>
      <c r="D53" s="79">
        <f t="shared" si="4"/>
        <v>280000000</v>
      </c>
      <c r="E53" s="92">
        <f t="shared" si="2"/>
        <v>820000</v>
      </c>
      <c r="F53" s="79">
        <f t="array" ref="F53">MIN(IF(树木!$N$5:$N$85&gt;=旅店!$E53,树木!$K$5:$K$85))</f>
        <v>67.63</v>
      </c>
      <c r="G53" s="79">
        <f t="array" ref="G53">MIN(IF(树木!$N$5:$N$85&gt;=旅店!$E53,树木!$J$5:$J$85))</f>
        <v>78</v>
      </c>
      <c r="H53" s="79">
        <f t="array" ref="H53">MIN(IF(树木!$S$5:$S$85&gt;=旅店!$E53,树木!$P$5:$P$85))</f>
        <v>56.21</v>
      </c>
      <c r="I53" s="79">
        <f t="array" ref="I53">MIN(IF(树木!$S$5:$S$85&gt;=旅店!$E53,树木!$J$5:$J$85))</f>
        <v>92</v>
      </c>
      <c r="N53" s="79">
        <v>68</v>
      </c>
      <c r="O53" s="79">
        <f>INDEX(等级时间!$U$3:$AU$203,MATCH($N53,等级时间!$U$3:$U$203,0),MATCH(O$4,等级时间!$U$3:$AU$3,0))</f>
        <v>39.17</v>
      </c>
      <c r="P53" s="79">
        <f t="shared" si="3"/>
        <v>2.1900000000000048</v>
      </c>
      <c r="Q53" s="79">
        <f>VLOOKUP($N53,$B:$E,2,0)*P53*IF($N53&gt;=$L$6,2,1)</f>
        <v>2978400.0000000065</v>
      </c>
      <c r="R53" s="79">
        <f>SUM($Q$5:$Q53)</f>
        <v>42399000</v>
      </c>
    </row>
    <row r="54" spans="2:18" x14ac:dyDescent="0.15">
      <c r="B54" s="79">
        <v>50</v>
      </c>
      <c r="C54" s="79">
        <f t="shared" si="0"/>
        <v>500000</v>
      </c>
      <c r="D54" s="79">
        <f t="shared" si="4"/>
        <v>310000000</v>
      </c>
      <c r="E54" s="92">
        <f t="shared" si="2"/>
        <v>880000</v>
      </c>
      <c r="F54" s="79">
        <f t="array" ref="F54">MIN(IF(树木!$N$5:$N$85&gt;=旅店!$E54,树木!$K$5:$K$85))</f>
        <v>71.22</v>
      </c>
      <c r="G54" s="79">
        <f t="array" ref="G54">MIN(IF(树木!$N$5:$N$85&gt;=旅店!$E54,树木!$J$5:$J$85))</f>
        <v>79</v>
      </c>
      <c r="H54" s="79">
        <f t="array" ref="H54">MIN(IF(树木!$S$5:$S$85&gt;=旅店!$E54,树木!$P$5:$P$85))</f>
        <v>61.54</v>
      </c>
      <c r="I54" s="79">
        <f t="array" ref="I54">MIN(IF(树木!$S$5:$S$85&gt;=旅店!$E54,树木!$J$5:$J$85))</f>
        <v>94</v>
      </c>
      <c r="N54" s="79">
        <v>69</v>
      </c>
      <c r="O54" s="79">
        <f>INDEX(等级时间!$U$3:$AU$203,MATCH($N54,等级时间!$U$3:$U$203,0),MATCH(O$4,等级时间!$U$3:$AU$3,0))</f>
        <v>41.47</v>
      </c>
      <c r="P54" s="79">
        <f t="shared" si="3"/>
        <v>2.2999999999999972</v>
      </c>
      <c r="Q54" s="79">
        <f>VLOOKUP($N54,$B:$E,2,0)*P54*IF($N54&gt;=$L$6,2,1)</f>
        <v>3173999.9999999963</v>
      </c>
      <c r="R54" s="79">
        <f>SUM($Q$5:$Q54)</f>
        <v>45573000</v>
      </c>
    </row>
    <row r="55" spans="2:18" x14ac:dyDescent="0.15">
      <c r="B55" s="79">
        <v>51</v>
      </c>
      <c r="C55" s="79">
        <f t="shared" si="0"/>
        <v>510000</v>
      </c>
      <c r="D55" s="79">
        <f t="shared" si="4"/>
        <v>350000000</v>
      </c>
      <c r="E55" s="92">
        <f t="shared" si="2"/>
        <v>950000</v>
      </c>
      <c r="F55" s="79">
        <f t="array" ref="F55">MIN(IF(树木!$N$5:$N$85&gt;=旅店!$E55,树木!$K$5:$K$85))</f>
        <v>78.86</v>
      </c>
      <c r="G55" s="79">
        <f t="array" ref="G55">MIN(IF(树木!$N$5:$N$85&gt;=旅店!$E55,树木!$J$5:$J$85))</f>
        <v>81</v>
      </c>
      <c r="H55" s="79">
        <f t="array" ref="H55">MIN(IF(树木!$S$5:$S$85&gt;=旅店!$E55,树木!$P$5:$P$85))</f>
        <v>64.36</v>
      </c>
      <c r="I55" s="79">
        <f t="array" ref="I55">MIN(IF(树木!$S$5:$S$85&gt;=旅店!$E55,树木!$J$5:$J$85))</f>
        <v>95</v>
      </c>
      <c r="N55" s="79">
        <v>70</v>
      </c>
      <c r="O55" s="79">
        <f>INDEX(等级时间!$U$3:$AU$203,MATCH($N55,等级时间!$U$3:$U$203,0),MATCH(O$4,等级时间!$U$3:$AU$3,0))</f>
        <v>43.88</v>
      </c>
      <c r="P55" s="79">
        <f t="shared" si="3"/>
        <v>2.4100000000000037</v>
      </c>
      <c r="Q55" s="79">
        <f>VLOOKUP($N55,$B:$E,2,0)*P55*IF($N55&gt;=$L$6,2,1)</f>
        <v>3374000.0000000051</v>
      </c>
      <c r="R55" s="79">
        <f>SUM($Q$5:$Q55)</f>
        <v>48947000.000000007</v>
      </c>
    </row>
    <row r="56" spans="2:18" x14ac:dyDescent="0.15">
      <c r="B56" s="79">
        <v>52</v>
      </c>
      <c r="C56" s="79">
        <f t="shared" si="0"/>
        <v>520000</v>
      </c>
      <c r="D56" s="79">
        <f t="shared" si="4"/>
        <v>380000000</v>
      </c>
      <c r="E56" s="92">
        <f t="shared" si="2"/>
        <v>1000000</v>
      </c>
      <c r="F56" s="79">
        <f t="array" ref="F56">MIN(IF(树木!$N$5:$N$85&gt;=旅店!$E56,树木!$K$5:$K$85))</f>
        <v>78.86</v>
      </c>
      <c r="G56" s="79">
        <f t="array" ref="G56">MIN(IF(树木!$N$5:$N$85&gt;=旅店!$E56,树木!$J$5:$J$85))</f>
        <v>81</v>
      </c>
      <c r="H56" s="79">
        <f t="array" ref="H56">MIN(IF(树木!$S$5:$S$85&gt;=旅店!$E56,树木!$P$5:$P$85))</f>
        <v>67.27</v>
      </c>
      <c r="I56" s="79">
        <f t="array" ref="I56">MIN(IF(树木!$S$5:$S$85&gt;=旅店!$E56,树木!$J$5:$J$85))</f>
        <v>96</v>
      </c>
      <c r="N56" s="79">
        <v>71</v>
      </c>
      <c r="O56" s="79">
        <f>INDEX(等级时间!$U$3:$AU$203,MATCH($N56,等级时间!$U$3:$U$203,0),MATCH(O$4,等级时间!$U$3:$AU$3,0))</f>
        <v>46.4</v>
      </c>
      <c r="P56" s="79">
        <f t="shared" si="3"/>
        <v>2.519999999999996</v>
      </c>
      <c r="Q56" s="79">
        <f>VLOOKUP($N56,$B:$E,2,0)*P56*IF($N56&gt;=$L$6,2,1)</f>
        <v>3578399.9999999944</v>
      </c>
      <c r="R56" s="79">
        <f>SUM($Q$5:$Q56)</f>
        <v>52525400</v>
      </c>
    </row>
    <row r="57" spans="2:18" x14ac:dyDescent="0.15">
      <c r="B57" s="79">
        <v>53</v>
      </c>
      <c r="C57" s="79">
        <f t="shared" si="0"/>
        <v>530000</v>
      </c>
      <c r="D57" s="79">
        <f t="shared" si="4"/>
        <v>420000000</v>
      </c>
      <c r="E57" s="92">
        <f t="shared" si="2"/>
        <v>1100000</v>
      </c>
      <c r="F57" s="79">
        <f t="array" ref="F57">MIN(IF(树木!$N$5:$N$85&gt;=旅店!$E57,树木!$K$5:$K$85))</f>
        <v>87.17</v>
      </c>
      <c r="G57" s="79">
        <f t="array" ref="G57">MIN(IF(树木!$N$5:$N$85&gt;=旅店!$E57,树木!$J$5:$J$85))</f>
        <v>83</v>
      </c>
      <c r="H57" s="79">
        <f t="array" ref="H57">MIN(IF(树木!$S$5:$S$85&gt;=旅店!$E57,树木!$P$5:$P$85))</f>
        <v>73.42</v>
      </c>
      <c r="I57" s="79">
        <f t="array" ref="I57">MIN(IF(树木!$S$5:$S$85&gt;=旅店!$E57,树木!$J$5:$J$85))</f>
        <v>98</v>
      </c>
      <c r="N57" s="79">
        <v>72</v>
      </c>
      <c r="O57" s="79">
        <f>INDEX(等级时间!$U$3:$AU$203,MATCH($N57,等级时间!$U$3:$U$203,0),MATCH(O$4,等级时间!$U$3:$AU$3,0))</f>
        <v>49.05</v>
      </c>
      <c r="P57" s="79">
        <f t="shared" si="3"/>
        <v>2.6499999999999986</v>
      </c>
      <c r="Q57" s="79">
        <f>VLOOKUP($N57,$B:$E,2,0)*P57*IF($N57&gt;=$L$6,2,1)</f>
        <v>3815999.9999999981</v>
      </c>
      <c r="R57" s="79">
        <f>SUM($Q$5:$Q57)</f>
        <v>56341400</v>
      </c>
    </row>
    <row r="58" spans="2:18" x14ac:dyDescent="0.15">
      <c r="B58" s="79">
        <v>54</v>
      </c>
      <c r="C58" s="79">
        <f t="shared" si="0"/>
        <v>540000</v>
      </c>
      <c r="D58" s="79">
        <f t="shared" si="4"/>
        <v>460000000</v>
      </c>
      <c r="E58" s="92">
        <f t="shared" si="2"/>
        <v>1200000</v>
      </c>
      <c r="F58" s="79">
        <f t="array" ref="F58">MIN(IF(树木!$N$5:$N$85&gt;=旅店!$E58,树木!$K$5:$K$85))</f>
        <v>91.58</v>
      </c>
      <c r="G58" s="79">
        <f t="array" ref="G58">MIN(IF(树木!$N$5:$N$85&gt;=旅店!$E58,树木!$J$5:$J$85))</f>
        <v>84</v>
      </c>
      <c r="H58" s="79">
        <f t="array" ref="H58">MIN(IF(树木!$S$5:$S$85&gt;=旅店!$E58,树木!$P$5:$P$85))</f>
        <v>76.66</v>
      </c>
      <c r="I58" s="79">
        <f t="array" ref="I58">MIN(IF(树木!$S$5:$S$85&gt;=旅店!$E58,树木!$J$5:$J$85))</f>
        <v>99</v>
      </c>
      <c r="N58" s="79">
        <v>73</v>
      </c>
      <c r="O58" s="79">
        <f>INDEX(等级时间!$U$3:$AU$203,MATCH($N58,等级时间!$U$3:$U$203,0),MATCH(O$4,等级时间!$U$3:$AU$3,0))</f>
        <v>51.81</v>
      </c>
      <c r="P58" s="79">
        <f t="shared" si="3"/>
        <v>2.7600000000000051</v>
      </c>
      <c r="Q58" s="79">
        <f>VLOOKUP($N58,$B:$E,2,0)*P58*IF($N58&gt;=$L$6,2,1)</f>
        <v>4029600.0000000075</v>
      </c>
      <c r="R58" s="79">
        <f>SUM($Q$5:$Q58)</f>
        <v>60371000.000000007</v>
      </c>
    </row>
    <row r="59" spans="2:18" x14ac:dyDescent="0.15">
      <c r="B59" s="79">
        <v>55</v>
      </c>
      <c r="C59" s="79">
        <f t="shared" si="0"/>
        <v>550000</v>
      </c>
      <c r="D59" s="79">
        <f t="shared" si="4"/>
        <v>500000000</v>
      </c>
      <c r="E59" s="92">
        <f t="shared" si="2"/>
        <v>1200000</v>
      </c>
      <c r="F59" s="79">
        <f t="array" ref="F59">MIN(IF(树木!$N$5:$N$85&gt;=旅店!$E59,树木!$K$5:$K$85))</f>
        <v>91.58</v>
      </c>
      <c r="G59" s="79">
        <f t="array" ref="G59">MIN(IF(树木!$N$5:$N$85&gt;=旅店!$E59,树木!$J$5:$J$85))</f>
        <v>84</v>
      </c>
      <c r="H59" s="79">
        <f t="array" ref="H59">MIN(IF(树木!$S$5:$S$85&gt;=旅店!$E59,树木!$P$5:$P$85))</f>
        <v>76.66</v>
      </c>
      <c r="I59" s="79">
        <f t="array" ref="I59">MIN(IF(树木!$S$5:$S$85&gt;=旅店!$E59,树木!$J$5:$J$85))</f>
        <v>99</v>
      </c>
      <c r="N59" s="79">
        <v>74</v>
      </c>
      <c r="O59" s="79">
        <f>INDEX(等级时间!$U$3:$AU$203,MATCH($N59,等级时间!$U$3:$U$203,0),MATCH(O$4,等级时间!$U$3:$AU$3,0))</f>
        <v>54.7</v>
      </c>
      <c r="P59" s="79">
        <f t="shared" si="3"/>
        <v>2.8900000000000006</v>
      </c>
      <c r="Q59" s="79">
        <f>VLOOKUP($N59,$B:$E,2,0)*P59*IF($N59&gt;=$L$6,2,1)</f>
        <v>4277200.0000000009</v>
      </c>
      <c r="R59" s="79">
        <f>SUM($Q$5:$Q59)</f>
        <v>64648200.000000007</v>
      </c>
    </row>
    <row r="60" spans="2:18" x14ac:dyDescent="0.15">
      <c r="B60" s="79">
        <v>56</v>
      </c>
      <c r="C60" s="79">
        <f t="shared" si="0"/>
        <v>560000</v>
      </c>
      <c r="D60" s="79">
        <f t="shared" si="4"/>
        <v>550000000</v>
      </c>
      <c r="E60" s="92">
        <f t="shared" si="2"/>
        <v>1300000</v>
      </c>
      <c r="F60" s="79">
        <f t="array" ref="F60">MIN(IF(树木!$N$5:$N$85&gt;=旅店!$E60,树木!$K$5:$K$85))</f>
        <v>100.95</v>
      </c>
      <c r="G60" s="79">
        <f t="array" ref="G60">MIN(IF(树木!$N$5:$N$85&gt;=旅店!$E60,树木!$J$5:$J$85))</f>
        <v>86</v>
      </c>
      <c r="H60" s="79">
        <f t="array" ref="H60">MIN(IF(树木!$S$5:$S$85&gt;=旅店!$E60,树木!$P$5:$P$85))</f>
        <v>0</v>
      </c>
      <c r="I60" s="79">
        <f t="array" ref="I60">MIN(IF(树木!$S$5:$S$85&gt;=旅店!$E60,树木!$J$5:$J$85))</f>
        <v>0</v>
      </c>
      <c r="N60" s="79">
        <v>75</v>
      </c>
      <c r="O60" s="79">
        <f>INDEX(等级时间!$U$3:$AU$203,MATCH($N60,等级时间!$U$3:$U$203,0),MATCH(O$4,等级时间!$U$3:$AU$3,0))</f>
        <v>57.73</v>
      </c>
      <c r="P60" s="79">
        <f t="shared" si="3"/>
        <v>3.029999999999994</v>
      </c>
      <c r="Q60" s="79">
        <f>VLOOKUP($N60,$B:$E,2,0)*P60*IF($N60&gt;=$L$6,2,1)</f>
        <v>4544999.9999999907</v>
      </c>
      <c r="R60" s="79">
        <f>SUM($Q$5:$Q60)</f>
        <v>69193200</v>
      </c>
    </row>
    <row r="61" spans="2:18" x14ac:dyDescent="0.15">
      <c r="B61" s="79">
        <v>57</v>
      </c>
      <c r="C61" s="79">
        <f t="shared" si="0"/>
        <v>570000</v>
      </c>
      <c r="D61" s="79">
        <f t="shared" si="4"/>
        <v>600000000</v>
      </c>
      <c r="E61" s="92">
        <f t="shared" si="2"/>
        <v>1400000</v>
      </c>
      <c r="F61" s="79">
        <f t="array" ref="F61">MIN(IF(树木!$N$5:$N$85&gt;=旅店!$E61,树木!$K$5:$K$85))</f>
        <v>105.91</v>
      </c>
      <c r="G61" s="79">
        <f t="array" ref="G61">MIN(IF(树木!$N$5:$N$85&gt;=旅店!$E61,树木!$J$5:$J$85))</f>
        <v>87</v>
      </c>
      <c r="H61" s="79">
        <f t="array" ref="H61">MIN(IF(树木!$S$5:$S$85&gt;=旅店!$E61,树木!$P$5:$P$85))</f>
        <v>0</v>
      </c>
      <c r="I61" s="79">
        <f t="array" ref="I61">MIN(IF(树木!$S$5:$S$85&gt;=旅店!$E61,树木!$J$5:$J$85))</f>
        <v>0</v>
      </c>
      <c r="N61" s="79">
        <v>76</v>
      </c>
      <c r="O61" s="79">
        <f>INDEX(等级时间!$U$3:$AU$203,MATCH($N61,等级时间!$U$3:$U$203,0),MATCH(O$4,等级时间!$U$3:$AU$3,0))</f>
        <v>60.89</v>
      </c>
      <c r="P61" s="79">
        <f t="shared" si="3"/>
        <v>3.1600000000000037</v>
      </c>
      <c r="Q61" s="79">
        <f>VLOOKUP($N61,$B:$E,2,0)*P61*IF($N61&gt;=$L$6,2,1)</f>
        <v>4803200.0000000056</v>
      </c>
      <c r="R61" s="79">
        <f>SUM($Q$5:$Q61)</f>
        <v>73996400</v>
      </c>
    </row>
    <row r="62" spans="2:18" x14ac:dyDescent="0.15">
      <c r="B62" s="79">
        <v>58</v>
      </c>
      <c r="C62" s="79">
        <f t="shared" si="0"/>
        <v>580000</v>
      </c>
      <c r="D62" s="79">
        <f t="shared" si="4"/>
        <v>660000000</v>
      </c>
      <c r="E62" s="92">
        <f t="shared" si="2"/>
        <v>1500000</v>
      </c>
      <c r="F62" s="79">
        <f t="array" ref="F62">MIN(IF(树木!$N$5:$N$85&gt;=旅店!$E62,树木!$K$5:$K$85))</f>
        <v>111.08</v>
      </c>
      <c r="G62" s="79">
        <f t="array" ref="G62">MIN(IF(树木!$N$5:$N$85&gt;=旅店!$E62,树木!$J$5:$J$85))</f>
        <v>88</v>
      </c>
      <c r="H62" s="79">
        <f t="array" ref="H62">MIN(IF(树木!$S$5:$S$85&gt;=旅店!$E62,树木!$P$5:$P$85))</f>
        <v>0</v>
      </c>
      <c r="I62" s="79">
        <f t="array" ref="I62">MIN(IF(树木!$S$5:$S$85&gt;=旅店!$E62,树木!$J$5:$J$85))</f>
        <v>0</v>
      </c>
      <c r="N62" s="79">
        <v>77</v>
      </c>
      <c r="O62" s="79">
        <f>INDEX(等级时间!$U$3:$AU$203,MATCH($N62,等级时间!$U$3:$U$203,0),MATCH(O$4,等级时间!$U$3:$AU$3,0))</f>
        <v>64.180000000000007</v>
      </c>
      <c r="P62" s="79">
        <f t="shared" si="3"/>
        <v>3.2900000000000063</v>
      </c>
      <c r="Q62" s="79">
        <f>VLOOKUP($N62,$B:$E,2,0)*P62*IF($N62&gt;=$L$6,2,1)</f>
        <v>5066600.0000000093</v>
      </c>
      <c r="R62" s="79">
        <f>SUM($Q$5:$Q62)</f>
        <v>79063000.000000015</v>
      </c>
    </row>
    <row r="63" spans="2:18" x14ac:dyDescent="0.15">
      <c r="B63" s="79">
        <v>59</v>
      </c>
      <c r="C63" s="79">
        <f t="shared" si="0"/>
        <v>590000</v>
      </c>
      <c r="D63" s="79">
        <f t="shared" si="4"/>
        <v>710000000</v>
      </c>
      <c r="E63" s="92">
        <f t="shared" si="2"/>
        <v>1600000</v>
      </c>
      <c r="F63" s="79">
        <f t="array" ref="F63">MIN(IF(树木!$N$5:$N$85&gt;=旅店!$E63,树木!$K$5:$K$85))</f>
        <v>116.44</v>
      </c>
      <c r="G63" s="79">
        <f t="array" ref="G63">MIN(IF(树木!$N$5:$N$85&gt;=旅店!$E63,树木!$J$5:$J$85))</f>
        <v>89</v>
      </c>
      <c r="H63" s="79">
        <f t="array" ref="H63">MIN(IF(树木!$S$5:$S$85&gt;=旅店!$E63,树木!$P$5:$P$85))</f>
        <v>0</v>
      </c>
      <c r="I63" s="79">
        <f t="array" ref="I63">MIN(IF(树木!$S$5:$S$85&gt;=旅店!$E63,树木!$J$5:$J$85))</f>
        <v>0</v>
      </c>
      <c r="N63" s="79">
        <v>78</v>
      </c>
      <c r="O63" s="79">
        <f>INDEX(等级时间!$U$3:$AU$203,MATCH($N63,等级时间!$U$3:$U$203,0),MATCH(O$4,等级时间!$U$3:$AU$3,0))</f>
        <v>67.63</v>
      </c>
      <c r="P63" s="79">
        <f t="shared" si="3"/>
        <v>3.4499999999999886</v>
      </c>
      <c r="Q63" s="79">
        <f>VLOOKUP($N63,$B:$E,2,0)*P63*IF($N63&gt;=$L$6,2,1)</f>
        <v>5381999.9999999823</v>
      </c>
      <c r="R63" s="79">
        <f>SUM($Q$5:$Q63)</f>
        <v>84445000</v>
      </c>
    </row>
    <row r="64" spans="2:18" x14ac:dyDescent="0.15">
      <c r="B64" s="79">
        <v>60</v>
      </c>
      <c r="C64" s="79">
        <f t="shared" si="0"/>
        <v>600000</v>
      </c>
      <c r="D64" s="79">
        <f t="shared" si="4"/>
        <v>780000000</v>
      </c>
      <c r="E64" s="92">
        <f t="shared" si="2"/>
        <v>1700000</v>
      </c>
      <c r="F64" s="79">
        <f t="array" ref="F64">MIN(IF(树木!$N$5:$N$85&gt;=旅店!$E64,树木!$K$5:$K$85))</f>
        <v>122.01</v>
      </c>
      <c r="G64" s="79">
        <f t="array" ref="G64">MIN(IF(树木!$N$5:$N$85&gt;=旅店!$E64,树木!$J$5:$J$85))</f>
        <v>90</v>
      </c>
      <c r="H64" s="79">
        <f t="array" ref="H64">MIN(IF(树木!$S$5:$S$85&gt;=旅店!$E64,树木!$P$5:$P$85))</f>
        <v>0</v>
      </c>
      <c r="I64" s="79">
        <f t="array" ref="I64">MIN(IF(树木!$S$5:$S$85&gt;=旅店!$E64,树木!$J$5:$J$85))</f>
        <v>0</v>
      </c>
      <c r="N64" s="79">
        <v>79</v>
      </c>
      <c r="O64" s="79">
        <f>INDEX(等级时间!$U$3:$AU$203,MATCH($N64,等级时间!$U$3:$U$203,0),MATCH(O$4,等级时间!$U$3:$AU$3,0))</f>
        <v>71.22</v>
      </c>
      <c r="P64" s="79">
        <f t="shared" si="3"/>
        <v>3.5900000000000034</v>
      </c>
      <c r="Q64" s="79">
        <f>VLOOKUP($N64,$B:$E,2,0)*P64*IF($N64&gt;=$L$6,2,1)</f>
        <v>5672200.0000000056</v>
      </c>
      <c r="R64" s="79">
        <f>SUM($Q$5:$Q64)</f>
        <v>90117200</v>
      </c>
    </row>
    <row r="65" spans="2:18" x14ac:dyDescent="0.15">
      <c r="B65" s="79">
        <v>61</v>
      </c>
      <c r="C65" s="79">
        <f t="shared" si="0"/>
        <v>610000</v>
      </c>
      <c r="D65" s="79">
        <f t="shared" si="4"/>
        <v>840000000</v>
      </c>
      <c r="E65" s="92">
        <f t="shared" si="2"/>
        <v>1800000</v>
      </c>
      <c r="F65" s="79">
        <f t="array" ref="F65">MIN(IF(树木!$N$5:$N$85&gt;=旅店!$E65,树木!$K$5:$K$85))</f>
        <v>127.79</v>
      </c>
      <c r="G65" s="79">
        <f t="array" ref="G65">MIN(IF(树木!$N$5:$N$85&gt;=旅店!$E65,树木!$J$5:$J$85))</f>
        <v>91</v>
      </c>
      <c r="H65" s="79">
        <f t="array" ref="H65">MIN(IF(树木!$S$5:$S$85&gt;=旅店!$E65,树木!$P$5:$P$85))</f>
        <v>0</v>
      </c>
      <c r="I65" s="79">
        <f t="array" ref="I65">MIN(IF(树木!$S$5:$S$85&gt;=旅店!$E65,树木!$J$5:$J$85))</f>
        <v>0</v>
      </c>
      <c r="N65" s="79">
        <v>80</v>
      </c>
      <c r="O65" s="79">
        <f>INDEX(等级时间!$U$3:$AU$203,MATCH($N65,等级时间!$U$3:$U$203,0),MATCH(O$4,等级时间!$U$3:$AU$3,0))</f>
        <v>74.959999999999994</v>
      </c>
      <c r="P65" s="79">
        <f t="shared" si="3"/>
        <v>3.7399999999999949</v>
      </c>
      <c r="Q65" s="79">
        <f>VLOOKUP($N65,$B:$E,2,0)*P65*IF($N65&gt;=$L$6,2,1)</f>
        <v>5983999.9999999916</v>
      </c>
      <c r="R65" s="79">
        <f>SUM($Q$5:$Q65)</f>
        <v>96101199.999999985</v>
      </c>
    </row>
    <row r="66" spans="2:18" x14ac:dyDescent="0.15">
      <c r="B66" s="79">
        <v>62</v>
      </c>
      <c r="C66" s="79">
        <f t="shared" si="0"/>
        <v>620000</v>
      </c>
      <c r="D66" s="79">
        <f t="shared" si="4"/>
        <v>920000000</v>
      </c>
      <c r="E66" s="92">
        <f t="shared" si="2"/>
        <v>1900000</v>
      </c>
      <c r="F66" s="79">
        <f t="array" ref="F66">MIN(IF(树木!$N$5:$N$85&gt;=旅店!$E66,树木!$K$5:$K$85))</f>
        <v>133.80000000000001</v>
      </c>
      <c r="G66" s="79">
        <f t="array" ref="G66">MIN(IF(树木!$N$5:$N$85&gt;=旅店!$E66,树木!$J$5:$J$85))</f>
        <v>92</v>
      </c>
      <c r="H66" s="79">
        <f t="array" ref="H66">MIN(IF(树木!$S$5:$S$85&gt;=旅店!$E66,树木!$P$5:$P$85))</f>
        <v>0</v>
      </c>
      <c r="I66" s="79">
        <f t="array" ref="I66">MIN(IF(树木!$S$5:$S$85&gt;=旅店!$E66,树木!$J$5:$J$85))</f>
        <v>0</v>
      </c>
      <c r="N66" s="79">
        <v>81</v>
      </c>
      <c r="O66" s="79">
        <f>INDEX(等级时间!$U$3:$AU$203,MATCH($N66,等级时间!$U$3:$U$203,0),MATCH(O$4,等级时间!$U$3:$AU$3,0))</f>
        <v>78.86</v>
      </c>
      <c r="P66" s="79">
        <f t="shared" si="3"/>
        <v>3.9000000000000057</v>
      </c>
      <c r="Q66" s="79">
        <f>VLOOKUP($N66,$B:$E,2,0)*P66*IF($N66&gt;=$L$6,2,1)</f>
        <v>6318000.0000000093</v>
      </c>
      <c r="R66" s="79">
        <f>SUM($Q$5:$Q66)</f>
        <v>102419200</v>
      </c>
    </row>
    <row r="67" spans="2:18" x14ac:dyDescent="0.15">
      <c r="B67" s="79">
        <v>63</v>
      </c>
      <c r="C67" s="79">
        <f t="shared" si="0"/>
        <v>630000</v>
      </c>
      <c r="D67" s="79">
        <f t="shared" si="4"/>
        <v>990000000</v>
      </c>
      <c r="E67" s="92">
        <f t="shared" si="2"/>
        <v>2000000</v>
      </c>
      <c r="F67" s="79">
        <f t="array" ref="F67">MIN(IF(树木!$N$5:$N$85&gt;=旅店!$E67,树木!$K$5:$K$85))</f>
        <v>140.03</v>
      </c>
      <c r="G67" s="79">
        <f t="array" ref="G67">MIN(IF(树木!$N$5:$N$85&gt;=旅店!$E67,树木!$J$5:$J$85))</f>
        <v>93</v>
      </c>
      <c r="H67" s="79">
        <f t="array" ref="H67">MIN(IF(树木!$S$5:$S$85&gt;=旅店!$E67,树木!$P$5:$P$85))</f>
        <v>0</v>
      </c>
      <c r="I67" s="79">
        <f t="array" ref="I67">MIN(IF(树木!$S$5:$S$85&gt;=旅店!$E67,树木!$J$5:$J$85))</f>
        <v>0</v>
      </c>
      <c r="N67" s="79">
        <v>82</v>
      </c>
      <c r="O67" s="79">
        <f>INDEX(等级时间!$U$3:$AU$203,MATCH($N67,等级时间!$U$3:$U$203,0),MATCH(O$4,等级时间!$U$3:$AU$3,0))</f>
        <v>82.93</v>
      </c>
      <c r="P67" s="79">
        <f t="shared" si="3"/>
        <v>4.0700000000000074</v>
      </c>
      <c r="Q67" s="79">
        <f>VLOOKUP($N67,$B:$E,2,0)*P67*IF($N67&gt;=$L$6,2,1)</f>
        <v>6674800.0000000121</v>
      </c>
      <c r="R67" s="79">
        <f>SUM($Q$5:$Q67)</f>
        <v>109094000.00000001</v>
      </c>
    </row>
    <row r="68" spans="2:18" x14ac:dyDescent="0.15">
      <c r="B68" s="79">
        <v>64</v>
      </c>
      <c r="C68" s="79">
        <f t="shared" si="0"/>
        <v>640000</v>
      </c>
      <c r="D68" s="79">
        <f t="shared" si="4"/>
        <v>1100000000</v>
      </c>
      <c r="E68" s="92">
        <f t="shared" si="2"/>
        <v>2100000</v>
      </c>
      <c r="F68" s="79">
        <f t="array" ref="F68">MIN(IF(树木!$N$5:$N$85&gt;=旅店!$E68,树木!$K$5:$K$85))</f>
        <v>146.47999999999999</v>
      </c>
      <c r="G68" s="79">
        <f t="array" ref="G68">MIN(IF(树木!$N$5:$N$85&gt;=旅店!$E68,树木!$J$5:$J$85))</f>
        <v>94</v>
      </c>
      <c r="H68" s="79">
        <f t="array" ref="H68">MIN(IF(树木!$S$5:$S$85&gt;=旅店!$E68,树木!$P$5:$P$85))</f>
        <v>0</v>
      </c>
      <c r="I68" s="79">
        <f t="array" ref="I68">MIN(IF(树木!$S$5:$S$85&gt;=旅店!$E68,树木!$J$5:$J$85))</f>
        <v>0</v>
      </c>
      <c r="N68" s="79">
        <v>83</v>
      </c>
      <c r="O68" s="79">
        <f>INDEX(等级时间!$U$3:$AU$203,MATCH($N68,等级时间!$U$3:$U$203,0),MATCH(O$4,等级时间!$U$3:$AU$3,0))</f>
        <v>87.17</v>
      </c>
      <c r="P68" s="79">
        <f t="shared" si="3"/>
        <v>4.2399999999999949</v>
      </c>
      <c r="Q68" s="79">
        <f>VLOOKUP($N68,$B:$E,2,0)*P68*IF($N68&gt;=$L$6,2,1)</f>
        <v>7038399.9999999916</v>
      </c>
      <c r="R68" s="79">
        <f>SUM($Q$5:$Q68)</f>
        <v>116132400</v>
      </c>
    </row>
    <row r="69" spans="2:18" x14ac:dyDescent="0.15">
      <c r="B69" s="79">
        <v>65</v>
      </c>
      <c r="C69" s="79">
        <f t="shared" si="0"/>
        <v>650000</v>
      </c>
      <c r="D69" s="79">
        <f t="shared" si="4"/>
        <v>1200000000</v>
      </c>
      <c r="E69" s="92">
        <f t="shared" si="2"/>
        <v>2200000</v>
      </c>
      <c r="F69" s="79">
        <f t="array" ref="F69">MIN(IF(树木!$N$5:$N$85&gt;=旅店!$E69,树木!$K$5:$K$85))</f>
        <v>146.47999999999999</v>
      </c>
      <c r="G69" s="79">
        <f t="array" ref="G69">MIN(IF(树木!$N$5:$N$85&gt;=旅店!$E69,树木!$J$5:$J$85))</f>
        <v>94</v>
      </c>
      <c r="H69" s="79">
        <f t="array" ref="H69">MIN(IF(树木!$S$5:$S$85&gt;=旅店!$E69,树木!$P$5:$P$85))</f>
        <v>0</v>
      </c>
      <c r="I69" s="79">
        <f t="array" ref="I69">MIN(IF(树木!$S$5:$S$85&gt;=旅店!$E69,树木!$J$5:$J$85))</f>
        <v>0</v>
      </c>
      <c r="N69" s="79">
        <v>84</v>
      </c>
      <c r="O69" s="79">
        <f>INDEX(等级时间!$U$3:$AU$203,MATCH($N69,等级时间!$U$3:$U$203,0),MATCH(O$4,等级时间!$U$3:$AU$3,0))</f>
        <v>91.58</v>
      </c>
      <c r="P69" s="79">
        <f t="shared" si="3"/>
        <v>4.4099999999999966</v>
      </c>
      <c r="Q69" s="79">
        <f>VLOOKUP($N69,$B:$E,2,0)*P69*IF($N69&gt;=$L$6,2,1)</f>
        <v>7408799.9999999944</v>
      </c>
      <c r="R69" s="79">
        <f>SUM($Q$5:$Q69)</f>
        <v>123541200</v>
      </c>
    </row>
    <row r="70" spans="2:18" x14ac:dyDescent="0.15">
      <c r="B70" s="79">
        <v>66</v>
      </c>
      <c r="C70" s="79">
        <f t="shared" ref="C70:C104" si="5">$C$1*B70+$C$2</f>
        <v>660000</v>
      </c>
      <c r="D70" s="79">
        <f t="shared" ref="D70:E104" si="6">ROUND($B70^D$1+D$2,2-LEN($B70^D$1+D$2))</f>
        <v>1300000000</v>
      </c>
      <c r="E70" s="92">
        <f t="shared" ref="E70:E104" si="7">ROUND(B70^E$1+E$2,IF(LEN(INT(B70^E$1+E$2))&lt;3,1-LEN(INT(B70^E$1+E$2)),2-LEN(INT(B70^E$1+E$2))))</f>
        <v>2300000</v>
      </c>
      <c r="F70" s="79">
        <f t="array" ref="F70">MIN(IF(树木!$N$5:$N$85&gt;=旅店!$E70,树木!$K$5:$K$85))</f>
        <v>153.18</v>
      </c>
      <c r="G70" s="79">
        <f t="array" ref="G70">MIN(IF(树木!$N$5:$N$85&gt;=旅店!$E70,树木!$J$5:$J$85))</f>
        <v>95</v>
      </c>
      <c r="H70" s="79">
        <f t="array" ref="H70">MIN(IF(树木!$S$5:$S$85&gt;=旅店!$E70,树木!$P$5:$P$85))</f>
        <v>0</v>
      </c>
      <c r="I70" s="79">
        <f t="array" ref="I70">MIN(IF(树木!$S$5:$S$85&gt;=旅店!$E70,树木!$J$5:$J$85))</f>
        <v>0</v>
      </c>
      <c r="N70" s="79">
        <v>85</v>
      </c>
      <c r="O70" s="79">
        <f>INDEX(等级时间!$U$3:$AU$203,MATCH($N70,等级时间!$U$3:$U$203,0),MATCH(O$4,等级时间!$U$3:$AU$3,0))</f>
        <v>96.17</v>
      </c>
      <c r="P70" s="79">
        <f t="shared" si="3"/>
        <v>4.5900000000000034</v>
      </c>
      <c r="Q70" s="79">
        <f>VLOOKUP($N70,$B:$E,2,0)*P70*IF($N70&gt;=$L$6,2,1)</f>
        <v>7803000.0000000056</v>
      </c>
      <c r="R70" s="79">
        <f>SUM($Q$5:$Q70)</f>
        <v>131344200</v>
      </c>
    </row>
    <row r="71" spans="2:18" x14ac:dyDescent="0.15">
      <c r="B71" s="79">
        <v>67</v>
      </c>
      <c r="C71" s="79">
        <f t="shared" si="5"/>
        <v>670000</v>
      </c>
      <c r="D71" s="79">
        <f t="shared" si="6"/>
        <v>1400000000</v>
      </c>
      <c r="E71" s="92">
        <f t="shared" si="7"/>
        <v>2500000</v>
      </c>
      <c r="F71" s="79">
        <f t="array" ref="F71">MIN(IF(树木!$N$5:$N$85&gt;=旅店!$E71,树木!$K$5:$K$85))</f>
        <v>167.31</v>
      </c>
      <c r="G71" s="79">
        <f t="array" ref="G71">MIN(IF(树木!$N$5:$N$85&gt;=旅店!$E71,树木!$J$5:$J$85))</f>
        <v>97</v>
      </c>
      <c r="H71" s="79">
        <f t="array" ref="H71">MIN(IF(树木!$S$5:$S$85&gt;=旅店!$E71,树木!$P$5:$P$85))</f>
        <v>0</v>
      </c>
      <c r="I71" s="79">
        <f t="array" ref="I71">MIN(IF(树木!$S$5:$S$85&gt;=旅店!$E71,树木!$J$5:$J$85))</f>
        <v>0</v>
      </c>
      <c r="N71" s="79">
        <v>86</v>
      </c>
      <c r="O71" s="79">
        <f>INDEX(等级时间!$U$3:$AU$203,MATCH($N71,等级时间!$U$3:$U$203,0),MATCH(O$4,等级时间!$U$3:$AU$3,0))</f>
        <v>100.95</v>
      </c>
      <c r="P71" s="79">
        <f t="shared" ref="P71:P85" si="8">O71-O70</f>
        <v>4.7800000000000011</v>
      </c>
      <c r="Q71" s="79">
        <f>VLOOKUP($N71,$B:$E,2,0)*P71*IF($N71&gt;=$L$6,2,1)</f>
        <v>8221600.0000000019</v>
      </c>
      <c r="R71" s="79">
        <f>SUM($Q$5:$Q71)</f>
        <v>139565800</v>
      </c>
    </row>
    <row r="72" spans="2:18" x14ac:dyDescent="0.15">
      <c r="B72" s="79">
        <v>68</v>
      </c>
      <c r="C72" s="79">
        <f t="shared" si="5"/>
        <v>680000</v>
      </c>
      <c r="D72" s="79">
        <f t="shared" si="6"/>
        <v>1500000000</v>
      </c>
      <c r="E72" s="92">
        <f t="shared" si="7"/>
        <v>2600000</v>
      </c>
      <c r="F72" s="79">
        <f t="array" ref="F72">MIN(IF(树木!$N$5:$N$85&gt;=旅店!$E72,树木!$K$5:$K$85))</f>
        <v>167.31</v>
      </c>
      <c r="G72" s="79">
        <f t="array" ref="G72">MIN(IF(树木!$N$5:$N$85&gt;=旅店!$E72,树木!$J$5:$J$85))</f>
        <v>97</v>
      </c>
      <c r="H72" s="79">
        <f t="array" ref="H72">MIN(IF(树木!$S$5:$S$85&gt;=旅店!$E72,树木!$P$5:$P$85))</f>
        <v>0</v>
      </c>
      <c r="I72" s="79">
        <f t="array" ref="I72">MIN(IF(树木!$S$5:$S$85&gt;=旅店!$E72,树木!$J$5:$J$85))</f>
        <v>0</v>
      </c>
      <c r="N72" s="79">
        <v>87</v>
      </c>
      <c r="O72" s="79">
        <f>INDEX(等级时间!$U$3:$AU$203,MATCH($N72,等级时间!$U$3:$U$203,0),MATCH(O$4,等级时间!$U$3:$AU$3,0))</f>
        <v>105.91</v>
      </c>
      <c r="P72" s="79">
        <f t="shared" si="8"/>
        <v>4.9599999999999937</v>
      </c>
      <c r="Q72" s="79">
        <f>VLOOKUP($N72,$B:$E,2,0)*P72*IF($N72&gt;=$L$6,2,1)</f>
        <v>8630399.9999999888</v>
      </c>
      <c r="R72" s="79">
        <f>SUM($Q$5:$Q72)</f>
        <v>148196200</v>
      </c>
    </row>
    <row r="73" spans="2:18" x14ac:dyDescent="0.15">
      <c r="B73" s="79">
        <v>69</v>
      </c>
      <c r="C73" s="79">
        <f t="shared" si="5"/>
        <v>690000</v>
      </c>
      <c r="D73" s="79">
        <f t="shared" si="6"/>
        <v>1600000000</v>
      </c>
      <c r="E73" s="92">
        <f t="shared" si="7"/>
        <v>2700000</v>
      </c>
      <c r="F73" s="79">
        <f t="array" ref="F73">MIN(IF(树木!$N$5:$N$85&gt;=旅店!$E73,树木!$K$5:$K$85))</f>
        <v>174.76</v>
      </c>
      <c r="G73" s="79">
        <f t="array" ref="G73">MIN(IF(树木!$N$5:$N$85&gt;=旅店!$E73,树木!$J$5:$J$85))</f>
        <v>98</v>
      </c>
      <c r="H73" s="79">
        <f t="array" ref="H73">MIN(IF(树木!$S$5:$S$85&gt;=旅店!$E73,树木!$P$5:$P$85))</f>
        <v>0</v>
      </c>
      <c r="I73" s="79">
        <f t="array" ref="I73">MIN(IF(树木!$S$5:$S$85&gt;=旅店!$E73,树木!$J$5:$J$85))</f>
        <v>0</v>
      </c>
      <c r="N73" s="79">
        <v>88</v>
      </c>
      <c r="O73" s="79">
        <f>INDEX(等级时间!$U$3:$AU$203,MATCH($N73,等级时间!$U$3:$U$203,0),MATCH(O$4,等级时间!$U$3:$AU$3,0))</f>
        <v>111.08</v>
      </c>
      <c r="P73" s="79">
        <f t="shared" si="8"/>
        <v>5.1700000000000017</v>
      </c>
      <c r="Q73" s="79">
        <f>VLOOKUP($N73,$B:$E,2,0)*P73*IF($N73&gt;=$L$6,2,1)</f>
        <v>9099200.0000000037</v>
      </c>
      <c r="R73" s="79">
        <f>SUM($Q$5:$Q73)</f>
        <v>157295400</v>
      </c>
    </row>
    <row r="74" spans="2:18" x14ac:dyDescent="0.15">
      <c r="B74" s="79">
        <v>70</v>
      </c>
      <c r="C74" s="79">
        <f t="shared" si="5"/>
        <v>700000</v>
      </c>
      <c r="D74" s="79">
        <f t="shared" si="6"/>
        <v>1700000000</v>
      </c>
      <c r="E74" s="92">
        <f t="shared" si="7"/>
        <v>2900000</v>
      </c>
      <c r="F74" s="79">
        <f t="array" ref="F74">MIN(IF(树木!$N$5:$N$85&gt;=旅店!$E74,树木!$K$5:$K$85))</f>
        <v>182.47</v>
      </c>
      <c r="G74" s="79">
        <f t="array" ref="G74">MIN(IF(树木!$N$5:$N$85&gt;=旅店!$E74,树木!$J$5:$J$85))</f>
        <v>99</v>
      </c>
      <c r="H74" s="79">
        <f t="array" ref="H74">MIN(IF(树木!$S$5:$S$85&gt;=旅店!$E74,树木!$P$5:$P$85))</f>
        <v>0</v>
      </c>
      <c r="I74" s="79">
        <f t="array" ref="I74">MIN(IF(树木!$S$5:$S$85&gt;=旅店!$E74,树木!$J$5:$J$85))</f>
        <v>0</v>
      </c>
      <c r="N74" s="79">
        <v>89</v>
      </c>
      <c r="O74" s="79">
        <f>INDEX(等级时间!$U$3:$AU$203,MATCH($N74,等级时间!$U$3:$U$203,0),MATCH(O$4,等级时间!$U$3:$AU$3,0))</f>
        <v>116.44</v>
      </c>
      <c r="P74" s="79">
        <f t="shared" si="8"/>
        <v>5.3599999999999994</v>
      </c>
      <c r="Q74" s="79">
        <f>VLOOKUP($N74,$B:$E,2,0)*P74*IF($N74&gt;=$L$6,2,1)</f>
        <v>9540799.9999999981</v>
      </c>
      <c r="R74" s="79">
        <f>SUM($Q$5:$Q74)</f>
        <v>166836200</v>
      </c>
    </row>
    <row r="75" spans="2:18" x14ac:dyDescent="0.15">
      <c r="B75" s="79">
        <v>71</v>
      </c>
      <c r="C75" s="79">
        <f t="shared" si="5"/>
        <v>710000</v>
      </c>
      <c r="D75" s="79">
        <f t="shared" si="6"/>
        <v>1800000000</v>
      </c>
      <c r="E75" s="92">
        <f t="shared" si="7"/>
        <v>3000000</v>
      </c>
      <c r="F75" s="79">
        <f t="array" ref="F75">MIN(IF(树木!$N$5:$N$85&gt;=旅店!$E75,树木!$K$5:$K$85))</f>
        <v>190.45</v>
      </c>
      <c r="G75" s="79">
        <f t="array" ref="G75">MIN(IF(树木!$N$5:$N$85&gt;=旅店!$E75,树木!$J$5:$J$85))</f>
        <v>100</v>
      </c>
      <c r="H75" s="79">
        <f t="array" ref="H75">MIN(IF(树木!$S$5:$S$85&gt;=旅店!$E75,树木!$P$5:$P$85))</f>
        <v>0</v>
      </c>
      <c r="I75" s="79">
        <f t="array" ref="I75">MIN(IF(树木!$S$5:$S$85&gt;=旅店!$E75,树木!$J$5:$J$85))</f>
        <v>0</v>
      </c>
      <c r="N75" s="79">
        <v>90</v>
      </c>
      <c r="O75" s="79">
        <f>INDEX(等级时间!$U$3:$AU$203,MATCH($N75,等级时间!$U$3:$U$203,0),MATCH(O$4,等级时间!$U$3:$AU$3,0))</f>
        <v>122.01</v>
      </c>
      <c r="P75" s="79">
        <f t="shared" si="8"/>
        <v>5.5700000000000074</v>
      </c>
      <c r="Q75" s="79">
        <f>VLOOKUP($N75,$B:$E,2,0)*P75*IF($N75&gt;=$L$6,2,1)</f>
        <v>10026000.000000013</v>
      </c>
      <c r="R75" s="79">
        <f>SUM($Q$5:$Q75)</f>
        <v>176862200</v>
      </c>
    </row>
    <row r="76" spans="2:18" x14ac:dyDescent="0.15">
      <c r="B76" s="79">
        <v>72</v>
      </c>
      <c r="C76" s="79">
        <f t="shared" si="5"/>
        <v>720000</v>
      </c>
      <c r="D76" s="79">
        <f t="shared" si="6"/>
        <v>1900000000</v>
      </c>
      <c r="E76" s="92">
        <f t="shared" si="7"/>
        <v>3200000</v>
      </c>
      <c r="F76" s="79">
        <f t="array" ref="F76">MIN(IF(树木!$N$5:$N$85&gt;=旅店!$E76,树木!$K$5:$K$85))</f>
        <v>0</v>
      </c>
      <c r="G76" s="79">
        <f t="array" ref="G76">MIN(IF(树木!$N$5:$N$85&gt;=旅店!$E76,树木!$J$5:$J$85))</f>
        <v>0</v>
      </c>
      <c r="H76" s="79">
        <f t="array" ref="H76">MIN(IF(树木!$S$5:$S$85&gt;=旅店!$E76,树木!$P$5:$P$85))</f>
        <v>0</v>
      </c>
      <c r="I76" s="79">
        <f t="array" ref="I76">MIN(IF(树木!$S$5:$S$85&gt;=旅店!$E76,树木!$J$5:$J$85))</f>
        <v>0</v>
      </c>
      <c r="N76" s="79">
        <v>91</v>
      </c>
      <c r="O76" s="79">
        <f>INDEX(等级时间!$U$3:$AU$203,MATCH($N76,等级时间!$U$3:$U$203,0),MATCH(O$4,等级时间!$U$3:$AU$3,0))</f>
        <v>127.79</v>
      </c>
      <c r="P76" s="79">
        <f t="shared" si="8"/>
        <v>5.7800000000000011</v>
      </c>
      <c r="Q76" s="79">
        <f>VLOOKUP($N76,$B:$E,2,0)*P76*IF($N76&gt;=$L$6,2,1)</f>
        <v>10519600.000000002</v>
      </c>
      <c r="R76" s="79">
        <f>SUM($Q$5:$Q76)</f>
        <v>187381800</v>
      </c>
    </row>
    <row r="77" spans="2:18" x14ac:dyDescent="0.15">
      <c r="B77" s="79">
        <v>73</v>
      </c>
      <c r="C77" s="79">
        <f t="shared" si="5"/>
        <v>730000</v>
      </c>
      <c r="D77" s="79">
        <f t="shared" si="6"/>
        <v>2100000000</v>
      </c>
      <c r="E77" s="92">
        <f t="shared" si="7"/>
        <v>3300000</v>
      </c>
      <c r="F77" s="79">
        <f t="array" ref="F77">MIN(IF(树木!$N$5:$N$85&gt;=旅店!$E77,树木!$K$5:$K$85))</f>
        <v>0</v>
      </c>
      <c r="G77" s="79">
        <f t="array" ref="G77">MIN(IF(树木!$N$5:$N$85&gt;=旅店!$E77,树木!$J$5:$J$85))</f>
        <v>0</v>
      </c>
      <c r="H77" s="79">
        <f t="array" ref="H77">MIN(IF(树木!$S$5:$S$85&gt;=旅店!$E77,树木!$P$5:$P$85))</f>
        <v>0</v>
      </c>
      <c r="I77" s="79">
        <f t="array" ref="I77">MIN(IF(树木!$S$5:$S$85&gt;=旅店!$E77,树木!$J$5:$J$85))</f>
        <v>0</v>
      </c>
      <c r="N77" s="79">
        <v>92</v>
      </c>
      <c r="O77" s="79">
        <f>INDEX(等级时间!$U$3:$AU$203,MATCH($N77,等级时间!$U$3:$U$203,0),MATCH(O$4,等级时间!$U$3:$AU$3,0))</f>
        <v>133.80000000000001</v>
      </c>
      <c r="P77" s="79">
        <f t="shared" si="8"/>
        <v>6.0100000000000051</v>
      </c>
      <c r="Q77" s="79">
        <f>VLOOKUP($N77,$B:$E,2,0)*P77*IF($N77&gt;=$L$6,2,1)</f>
        <v>11058400.000000009</v>
      </c>
      <c r="R77" s="79">
        <f>SUM($Q$5:$Q77)</f>
        <v>198440200</v>
      </c>
    </row>
    <row r="78" spans="2:18" x14ac:dyDescent="0.15">
      <c r="B78" s="79">
        <v>74</v>
      </c>
      <c r="C78" s="79">
        <f t="shared" si="5"/>
        <v>740000</v>
      </c>
      <c r="D78" s="79">
        <f t="shared" si="6"/>
        <v>2200000000</v>
      </c>
      <c r="E78" s="92">
        <f t="shared" si="7"/>
        <v>3500000</v>
      </c>
      <c r="F78" s="79">
        <f t="array" ref="F78">MIN(IF(树木!$N$5:$N$85&gt;=旅店!$E78,树木!$K$5:$K$85))</f>
        <v>0</v>
      </c>
      <c r="G78" s="79">
        <f t="array" ref="G78">MIN(IF(树木!$N$5:$N$85&gt;=旅店!$E78,树木!$J$5:$J$85))</f>
        <v>0</v>
      </c>
      <c r="H78" s="79">
        <f t="array" ref="H78">MIN(IF(树木!$S$5:$S$85&gt;=旅店!$E78,树木!$P$5:$P$85))</f>
        <v>0</v>
      </c>
      <c r="I78" s="79">
        <f t="array" ref="I78">MIN(IF(树木!$S$5:$S$85&gt;=旅店!$E78,树木!$J$5:$J$85))</f>
        <v>0</v>
      </c>
      <c r="N78" s="79">
        <v>93</v>
      </c>
      <c r="O78" s="79">
        <f>INDEX(等级时间!$U$3:$AU$203,MATCH($N78,等级时间!$U$3:$U$203,0),MATCH(O$4,等级时间!$U$3:$AU$3,0))</f>
        <v>140.03</v>
      </c>
      <c r="P78" s="79">
        <f t="shared" si="8"/>
        <v>6.2299999999999898</v>
      </c>
      <c r="Q78" s="79">
        <f>VLOOKUP($N78,$B:$E,2,0)*P78*IF($N78&gt;=$L$6,2,1)</f>
        <v>11587799.999999981</v>
      </c>
      <c r="R78" s="79">
        <f>SUM($Q$5:$Q78)</f>
        <v>210027999.99999997</v>
      </c>
    </row>
    <row r="79" spans="2:18" x14ac:dyDescent="0.15">
      <c r="B79" s="79">
        <v>75</v>
      </c>
      <c r="C79" s="79">
        <f t="shared" si="5"/>
        <v>750000</v>
      </c>
      <c r="D79" s="79">
        <f t="shared" si="6"/>
        <v>2400000000</v>
      </c>
      <c r="E79" s="92">
        <f t="shared" si="7"/>
        <v>3700000</v>
      </c>
      <c r="F79" s="79">
        <f t="array" ref="F79">MIN(IF(树木!$N$5:$N$85&gt;=旅店!$E79,树木!$K$5:$K$85))</f>
        <v>0</v>
      </c>
      <c r="G79" s="79">
        <f t="array" ref="G79">MIN(IF(树木!$N$5:$N$85&gt;=旅店!$E79,树木!$J$5:$J$85))</f>
        <v>0</v>
      </c>
      <c r="H79" s="79">
        <f t="array" ref="H79">MIN(IF(树木!$S$5:$S$85&gt;=旅店!$E79,树木!$P$5:$P$85))</f>
        <v>0</v>
      </c>
      <c r="I79" s="79">
        <f t="array" ref="I79">MIN(IF(树木!$S$5:$S$85&gt;=旅店!$E79,树木!$J$5:$J$85))</f>
        <v>0</v>
      </c>
      <c r="N79" s="79">
        <v>94</v>
      </c>
      <c r="O79" s="79">
        <f>INDEX(等级时间!$U$3:$AU$203,MATCH($N79,等级时间!$U$3:$U$203,0),MATCH(O$4,等级时间!$U$3:$AU$3,0))</f>
        <v>146.47999999999999</v>
      </c>
      <c r="P79" s="79">
        <f t="shared" si="8"/>
        <v>6.4499999999999886</v>
      </c>
      <c r="Q79" s="79">
        <f>VLOOKUP($N79,$B:$E,2,0)*P79*IF($N79&gt;=$L$6,2,1)</f>
        <v>12125999.99999998</v>
      </c>
      <c r="R79" s="79">
        <f>SUM($Q$5:$Q79)</f>
        <v>222153999.99999994</v>
      </c>
    </row>
    <row r="80" spans="2:18" x14ac:dyDescent="0.15">
      <c r="B80" s="79">
        <v>76</v>
      </c>
      <c r="C80" s="79">
        <f t="shared" si="5"/>
        <v>760000</v>
      </c>
      <c r="D80" s="79">
        <f t="shared" si="6"/>
        <v>2500000000</v>
      </c>
      <c r="E80" s="92">
        <f t="shared" si="7"/>
        <v>3800000</v>
      </c>
      <c r="F80" s="79">
        <f t="array" ref="F80">MIN(IF(树木!$N$5:$N$85&gt;=旅店!$E80,树木!$K$5:$K$85))</f>
        <v>0</v>
      </c>
      <c r="G80" s="79">
        <f t="array" ref="G80">MIN(IF(树木!$N$5:$N$85&gt;=旅店!$E80,树木!$J$5:$J$85))</f>
        <v>0</v>
      </c>
      <c r="H80" s="79">
        <f t="array" ref="H80">MIN(IF(树木!$S$5:$S$85&gt;=旅店!$E80,树木!$P$5:$P$85))</f>
        <v>0</v>
      </c>
      <c r="I80" s="79">
        <f t="array" ref="I80">MIN(IF(树木!$S$5:$S$85&gt;=旅店!$E80,树木!$J$5:$J$85))</f>
        <v>0</v>
      </c>
      <c r="N80" s="79">
        <v>95</v>
      </c>
      <c r="O80" s="79">
        <f>INDEX(等级时间!$U$3:$AU$203,MATCH($N80,等级时间!$U$3:$U$203,0),MATCH(O$4,等级时间!$U$3:$AU$3,0))</f>
        <v>153.18</v>
      </c>
      <c r="P80" s="79">
        <f t="shared" si="8"/>
        <v>6.7000000000000171</v>
      </c>
      <c r="Q80" s="79">
        <f>VLOOKUP($N80,$B:$E,2,0)*P80*IF($N80&gt;=$L$6,2,1)</f>
        <v>12730000.000000032</v>
      </c>
      <c r="R80" s="79">
        <f>SUM($Q$5:$Q80)</f>
        <v>234883999.99999997</v>
      </c>
    </row>
    <row r="81" spans="2:18" x14ac:dyDescent="0.15">
      <c r="B81" s="79">
        <v>77</v>
      </c>
      <c r="C81" s="79">
        <f t="shared" si="5"/>
        <v>770000</v>
      </c>
      <c r="D81" s="79">
        <f t="shared" si="6"/>
        <v>2700000000</v>
      </c>
      <c r="E81" s="92">
        <f t="shared" si="7"/>
        <v>4000000</v>
      </c>
      <c r="F81" s="79">
        <f t="array" ref="F81">MIN(IF(树木!$N$5:$N$85&gt;=旅店!$E81,树木!$K$5:$K$85))</f>
        <v>0</v>
      </c>
      <c r="G81" s="79">
        <f t="array" ref="G81">MIN(IF(树木!$N$5:$N$85&gt;=旅店!$E81,树木!$J$5:$J$85))</f>
        <v>0</v>
      </c>
      <c r="H81" s="79">
        <f t="array" ref="H81">MIN(IF(树木!$S$5:$S$85&gt;=旅店!$E81,树木!$P$5:$P$85))</f>
        <v>0</v>
      </c>
      <c r="I81" s="79">
        <f t="array" ref="I81">MIN(IF(树木!$S$5:$S$85&gt;=旅店!$E81,树木!$J$5:$J$85))</f>
        <v>0</v>
      </c>
      <c r="N81" s="79">
        <v>96</v>
      </c>
      <c r="O81" s="79">
        <f>INDEX(等级时间!$U$3:$AU$203,MATCH($N81,等级时间!$U$3:$U$203,0),MATCH(O$4,等级时间!$U$3:$AU$3,0))</f>
        <v>160.12</v>
      </c>
      <c r="P81" s="79">
        <f t="shared" si="8"/>
        <v>6.9399999999999977</v>
      </c>
      <c r="Q81" s="79">
        <f>VLOOKUP($N81,$B:$E,2,0)*P81*IF($N81&gt;=$L$6,2,1)</f>
        <v>13324799.999999996</v>
      </c>
      <c r="R81" s="79">
        <f>SUM($Q$5:$Q81)</f>
        <v>248208799.99999997</v>
      </c>
    </row>
    <row r="82" spans="2:18" x14ac:dyDescent="0.15">
      <c r="B82" s="79">
        <v>78</v>
      </c>
      <c r="C82" s="79">
        <f t="shared" si="5"/>
        <v>780000</v>
      </c>
      <c r="D82" s="79">
        <f t="shared" si="6"/>
        <v>2900000000</v>
      </c>
      <c r="E82" s="92">
        <f t="shared" si="7"/>
        <v>4200000</v>
      </c>
      <c r="F82" s="79">
        <f t="array" ref="F82">MIN(IF(树木!$N$5:$N$85&gt;=旅店!$E82,树木!$K$5:$K$85))</f>
        <v>0</v>
      </c>
      <c r="G82" s="79">
        <f t="array" ref="G82">MIN(IF(树木!$N$5:$N$85&gt;=旅店!$E82,树木!$J$5:$J$85))</f>
        <v>0</v>
      </c>
      <c r="H82" s="79">
        <f t="array" ref="H82">MIN(IF(树木!$S$5:$S$85&gt;=旅店!$E82,树木!$P$5:$P$85))</f>
        <v>0</v>
      </c>
      <c r="I82" s="79">
        <f t="array" ref="I82">MIN(IF(树木!$S$5:$S$85&gt;=旅店!$E82,树木!$J$5:$J$85))</f>
        <v>0</v>
      </c>
      <c r="N82" s="79">
        <v>97</v>
      </c>
      <c r="O82" s="79">
        <f>INDEX(等级时间!$U$3:$AU$203,MATCH($N82,等级时间!$U$3:$U$203,0),MATCH(O$4,等级时间!$U$3:$AU$3,0))</f>
        <v>167.31</v>
      </c>
      <c r="P82" s="79">
        <f t="shared" si="8"/>
        <v>7.1899999999999977</v>
      </c>
      <c r="Q82" s="79">
        <f>VLOOKUP($N82,$B:$E,2,0)*P82*IF($N82&gt;=$L$6,2,1)</f>
        <v>13948599.999999996</v>
      </c>
      <c r="R82" s="79">
        <f>SUM($Q$5:$Q82)</f>
        <v>262157399.99999997</v>
      </c>
    </row>
    <row r="83" spans="2:18" x14ac:dyDescent="0.15">
      <c r="B83" s="79">
        <v>79</v>
      </c>
      <c r="C83" s="79">
        <f t="shared" si="5"/>
        <v>790000</v>
      </c>
      <c r="D83" s="79">
        <f t="shared" si="6"/>
        <v>3100000000</v>
      </c>
      <c r="E83" s="92">
        <f t="shared" si="7"/>
        <v>4400000</v>
      </c>
      <c r="F83" s="79">
        <f t="array" ref="F83">MIN(IF(树木!$N$5:$N$85&gt;=旅店!$E83,树木!$K$5:$K$85))</f>
        <v>0</v>
      </c>
      <c r="G83" s="79">
        <f t="array" ref="G83">MIN(IF(树木!$N$5:$N$85&gt;=旅店!$E83,树木!$J$5:$J$85))</f>
        <v>0</v>
      </c>
      <c r="H83" s="79">
        <f t="array" ref="H83">MIN(IF(树木!$S$5:$S$85&gt;=旅店!$E83,树木!$P$5:$P$85))</f>
        <v>0</v>
      </c>
      <c r="I83" s="79">
        <f t="array" ref="I83">MIN(IF(树木!$S$5:$S$85&gt;=旅店!$E83,树木!$J$5:$J$85))</f>
        <v>0</v>
      </c>
      <c r="N83" s="79">
        <v>98</v>
      </c>
      <c r="O83" s="79">
        <f>INDEX(等级时间!$U$3:$AU$203,MATCH($N83,等级时间!$U$3:$U$203,0),MATCH(O$4,等级时间!$U$3:$AU$3,0))</f>
        <v>174.76</v>
      </c>
      <c r="P83" s="79">
        <f t="shared" si="8"/>
        <v>7.4499999999999886</v>
      </c>
      <c r="Q83" s="79">
        <f>VLOOKUP($N83,$B:$E,2,0)*P83*IF($N83&gt;=$L$6,2,1)</f>
        <v>14601999.999999978</v>
      </c>
      <c r="R83" s="79">
        <f>SUM($Q$5:$Q83)</f>
        <v>276759399.99999994</v>
      </c>
    </row>
    <row r="84" spans="2:18" x14ac:dyDescent="0.15">
      <c r="B84" s="79">
        <v>80</v>
      </c>
      <c r="C84" s="79">
        <f t="shared" si="5"/>
        <v>800000</v>
      </c>
      <c r="D84" s="79">
        <f t="shared" si="6"/>
        <v>3300000000</v>
      </c>
      <c r="E84" s="92">
        <f t="shared" si="7"/>
        <v>4600000</v>
      </c>
      <c r="F84" s="79">
        <f t="array" ref="F84">MIN(IF(树木!$N$5:$N$85&gt;=旅店!$E84,树木!$K$5:$K$85))</f>
        <v>0</v>
      </c>
      <c r="G84" s="79">
        <f t="array" ref="G84">MIN(IF(树木!$N$5:$N$85&gt;=旅店!$E84,树木!$J$5:$J$85))</f>
        <v>0</v>
      </c>
      <c r="H84" s="79">
        <f t="array" ref="H84">MIN(IF(树木!$S$5:$S$85&gt;=旅店!$E84,树木!$P$5:$P$85))</f>
        <v>0</v>
      </c>
      <c r="I84" s="79">
        <f t="array" ref="I84">MIN(IF(树木!$S$5:$S$85&gt;=旅店!$E84,树木!$J$5:$J$85))</f>
        <v>0</v>
      </c>
      <c r="N84" s="79">
        <v>99</v>
      </c>
      <c r="O84" s="79">
        <f>INDEX(等级时间!$U$3:$AU$203,MATCH($N84,等级时间!$U$3:$U$203,0),MATCH(O$4,等级时间!$U$3:$AU$3,0))</f>
        <v>182.47</v>
      </c>
      <c r="P84" s="79">
        <f t="shared" si="8"/>
        <v>7.710000000000008</v>
      </c>
      <c r="Q84" s="79">
        <f>VLOOKUP($N84,$B:$E,2,0)*P84*IF($N84&gt;=$L$6,2,1)</f>
        <v>15265800.000000015</v>
      </c>
      <c r="R84" s="79">
        <f>SUM($Q$5:$Q84)</f>
        <v>292025199.99999994</v>
      </c>
    </row>
    <row r="85" spans="2:18" x14ac:dyDescent="0.15">
      <c r="B85" s="79">
        <v>81</v>
      </c>
      <c r="C85" s="79">
        <f t="shared" si="5"/>
        <v>810000</v>
      </c>
      <c r="D85" s="79">
        <f t="shared" si="6"/>
        <v>3500000000</v>
      </c>
      <c r="E85" s="92">
        <f t="shared" si="7"/>
        <v>4800000</v>
      </c>
      <c r="F85" s="79">
        <f t="array" ref="F85">MIN(IF(树木!$N$5:$N$85&gt;=旅店!$E85,树木!$K$5:$K$85))</f>
        <v>0</v>
      </c>
      <c r="G85" s="79">
        <f t="array" ref="G85">MIN(IF(树木!$N$5:$N$85&gt;=旅店!$E85,树木!$J$5:$J$85))</f>
        <v>0</v>
      </c>
      <c r="H85" s="79">
        <f t="array" ref="H85">MIN(IF(树木!$S$5:$S$85&gt;=旅店!$E85,树木!$P$5:$P$85))</f>
        <v>0</v>
      </c>
      <c r="I85" s="79">
        <f t="array" ref="I85">MIN(IF(树木!$S$5:$S$85&gt;=旅店!$E85,树木!$J$5:$J$85))</f>
        <v>0</v>
      </c>
      <c r="N85" s="79">
        <v>100</v>
      </c>
      <c r="O85" s="79">
        <f>INDEX(等级时间!$U$3:$AU$203,MATCH($N85,等级时间!$U$3:$U$203,0),MATCH(O$4,等级时间!$U$3:$AU$3,0))</f>
        <v>190.45</v>
      </c>
      <c r="P85" s="79">
        <f t="shared" si="8"/>
        <v>7.9799999999999898</v>
      </c>
      <c r="Q85" s="79">
        <f>VLOOKUP($N85,$B:$E,2,0)*P85*IF($N85&gt;=$L$6,2,1)</f>
        <v>15959999.99999998</v>
      </c>
      <c r="R85" s="79">
        <f>SUM($Q$5:$Q85)</f>
        <v>307985199.99999994</v>
      </c>
    </row>
    <row r="86" spans="2:18" x14ac:dyDescent="0.15">
      <c r="B86" s="79">
        <v>82</v>
      </c>
      <c r="C86" s="79">
        <f t="shared" si="5"/>
        <v>820000</v>
      </c>
      <c r="D86" s="79">
        <f t="shared" si="6"/>
        <v>3700000000</v>
      </c>
      <c r="E86" s="92">
        <f t="shared" si="7"/>
        <v>5000000</v>
      </c>
      <c r="F86" s="79">
        <f t="array" ref="F86">MIN(IF(树木!$N$5:$N$85&gt;=旅店!$E86,树木!$K$5:$K$85))</f>
        <v>0</v>
      </c>
      <c r="G86" s="79">
        <f t="array" ref="G86">MIN(IF(树木!$N$5:$N$85&gt;=旅店!$E86,树木!$J$5:$J$85))</f>
        <v>0</v>
      </c>
      <c r="H86" s="79">
        <f t="array" ref="H86">MIN(IF(树木!$S$5:$S$85&gt;=旅店!$E86,树木!$P$5:$P$85))</f>
        <v>0</v>
      </c>
      <c r="I86" s="79">
        <f t="array" ref="I86">MIN(IF(树木!$S$5:$S$85&gt;=旅店!$E86,树木!$J$5:$J$85))</f>
        <v>0</v>
      </c>
    </row>
    <row r="87" spans="2:18" x14ac:dyDescent="0.15">
      <c r="B87" s="79">
        <v>83</v>
      </c>
      <c r="C87" s="79">
        <f t="shared" si="5"/>
        <v>830000</v>
      </c>
      <c r="D87" s="79">
        <f t="shared" si="6"/>
        <v>3900000000</v>
      </c>
      <c r="E87" s="92">
        <f t="shared" si="7"/>
        <v>5200000</v>
      </c>
      <c r="F87" s="79">
        <f t="array" ref="F87">MIN(IF(树木!$N$5:$N$85&gt;=旅店!$E87,树木!$K$5:$K$85))</f>
        <v>0</v>
      </c>
      <c r="G87" s="79">
        <f t="array" ref="G87">MIN(IF(树木!$N$5:$N$85&gt;=旅店!$E87,树木!$J$5:$J$85))</f>
        <v>0</v>
      </c>
      <c r="H87" s="79">
        <f t="array" ref="H87">MIN(IF(树木!$S$5:$S$85&gt;=旅店!$E87,树木!$P$5:$P$85))</f>
        <v>0</v>
      </c>
      <c r="I87" s="79">
        <f t="array" ref="I87">MIN(IF(树木!$S$5:$S$85&gt;=旅店!$E87,树木!$J$5:$J$85))</f>
        <v>0</v>
      </c>
    </row>
    <row r="88" spans="2:18" x14ac:dyDescent="0.15">
      <c r="B88" s="79">
        <v>84</v>
      </c>
      <c r="C88" s="79">
        <f t="shared" si="5"/>
        <v>840000</v>
      </c>
      <c r="D88" s="79">
        <f t="shared" si="6"/>
        <v>4200000000</v>
      </c>
      <c r="E88" s="92">
        <f t="shared" si="7"/>
        <v>5400000</v>
      </c>
      <c r="F88" s="79">
        <f t="array" ref="F88">MIN(IF(树木!$N$5:$N$85&gt;=旅店!$E88,树木!$K$5:$K$85))</f>
        <v>0</v>
      </c>
      <c r="G88" s="79">
        <f t="array" ref="G88">MIN(IF(树木!$N$5:$N$85&gt;=旅店!$E88,树木!$J$5:$J$85))</f>
        <v>0</v>
      </c>
      <c r="H88" s="79">
        <f t="array" ref="H88">MIN(IF(树木!$S$5:$S$85&gt;=旅店!$E88,树木!$P$5:$P$85))</f>
        <v>0</v>
      </c>
      <c r="I88" s="79">
        <f t="array" ref="I88">MIN(IF(树木!$S$5:$S$85&gt;=旅店!$E88,树木!$J$5:$J$85))</f>
        <v>0</v>
      </c>
    </row>
    <row r="89" spans="2:18" x14ac:dyDescent="0.15">
      <c r="B89" s="79">
        <v>85</v>
      </c>
      <c r="C89" s="79">
        <f t="shared" si="5"/>
        <v>850000</v>
      </c>
      <c r="D89" s="79">
        <f t="shared" si="6"/>
        <v>4400000000</v>
      </c>
      <c r="E89" s="92">
        <f t="shared" si="7"/>
        <v>5700000</v>
      </c>
      <c r="F89" s="79">
        <f t="array" ref="F89">MIN(IF(树木!$N$5:$N$85&gt;=旅店!$E89,树木!$K$5:$K$85))</f>
        <v>0</v>
      </c>
      <c r="G89" s="79">
        <f t="array" ref="G89">MIN(IF(树木!$N$5:$N$85&gt;=旅店!$E89,树木!$J$5:$J$85))</f>
        <v>0</v>
      </c>
      <c r="H89" s="79">
        <f t="array" ref="H89">MIN(IF(树木!$S$5:$S$85&gt;=旅店!$E89,树木!$P$5:$P$85))</f>
        <v>0</v>
      </c>
      <c r="I89" s="79">
        <f t="array" ref="I89">MIN(IF(树木!$S$5:$S$85&gt;=旅店!$E89,树木!$J$5:$J$85))</f>
        <v>0</v>
      </c>
    </row>
    <row r="90" spans="2:18" x14ac:dyDescent="0.15">
      <c r="B90" s="79">
        <v>86</v>
      </c>
      <c r="C90" s="79">
        <f t="shared" si="5"/>
        <v>860000</v>
      </c>
      <c r="D90" s="79">
        <f t="shared" si="6"/>
        <v>4700000000</v>
      </c>
      <c r="E90" s="92">
        <f t="shared" si="7"/>
        <v>5900000</v>
      </c>
      <c r="F90" s="79">
        <f t="array" ref="F90">MIN(IF(树木!$N$5:$N$85&gt;=旅店!$E90,树木!$K$5:$K$85))</f>
        <v>0</v>
      </c>
      <c r="G90" s="79">
        <f t="array" ref="G90">MIN(IF(树木!$N$5:$N$85&gt;=旅店!$E90,树木!$J$5:$J$85))</f>
        <v>0</v>
      </c>
      <c r="H90" s="79">
        <f t="array" ref="H90">MIN(IF(树木!$S$5:$S$85&gt;=旅店!$E90,树木!$P$5:$P$85))</f>
        <v>0</v>
      </c>
      <c r="I90" s="79">
        <f t="array" ref="I90">MIN(IF(树木!$S$5:$S$85&gt;=旅店!$E90,树木!$J$5:$J$85))</f>
        <v>0</v>
      </c>
    </row>
    <row r="91" spans="2:18" x14ac:dyDescent="0.15">
      <c r="B91" s="79">
        <v>87</v>
      </c>
      <c r="C91" s="79">
        <f t="shared" si="5"/>
        <v>870000</v>
      </c>
      <c r="D91" s="79">
        <f t="shared" si="6"/>
        <v>5000000000</v>
      </c>
      <c r="E91" s="92">
        <f t="shared" si="7"/>
        <v>6100000</v>
      </c>
      <c r="F91" s="79">
        <f t="array" ref="F91">MIN(IF(树木!$N$5:$N$85&gt;=旅店!$E91,树木!$K$5:$K$85))</f>
        <v>0</v>
      </c>
      <c r="G91" s="79">
        <f t="array" ref="G91">MIN(IF(树木!$N$5:$N$85&gt;=旅店!$E91,树木!$J$5:$J$85))</f>
        <v>0</v>
      </c>
      <c r="H91" s="79">
        <f t="array" ref="H91">MIN(IF(树木!$S$5:$S$85&gt;=旅店!$E91,树木!$P$5:$P$85))</f>
        <v>0</v>
      </c>
      <c r="I91" s="79">
        <f t="array" ref="I91">MIN(IF(树木!$S$5:$S$85&gt;=旅店!$E91,树木!$J$5:$J$85))</f>
        <v>0</v>
      </c>
    </row>
    <row r="92" spans="2:18" x14ac:dyDescent="0.15">
      <c r="B92" s="79">
        <v>88</v>
      </c>
      <c r="C92" s="79">
        <f t="shared" si="5"/>
        <v>880000</v>
      </c>
      <c r="D92" s="79">
        <f t="shared" si="6"/>
        <v>5300000000</v>
      </c>
      <c r="E92" s="92">
        <f t="shared" si="7"/>
        <v>6400000</v>
      </c>
      <c r="F92" s="79">
        <f t="array" ref="F92">MIN(IF(树木!$N$5:$N$85&gt;=旅店!$E92,树木!$K$5:$K$85))</f>
        <v>0</v>
      </c>
      <c r="G92" s="79">
        <f t="array" ref="G92">MIN(IF(树木!$N$5:$N$85&gt;=旅店!$E92,树木!$J$5:$J$85))</f>
        <v>0</v>
      </c>
      <c r="H92" s="79">
        <f t="array" ref="H92">MIN(IF(树木!$S$5:$S$85&gt;=旅店!$E92,树木!$P$5:$P$85))</f>
        <v>0</v>
      </c>
      <c r="I92" s="79">
        <f t="array" ref="I92">MIN(IF(树木!$S$5:$S$85&gt;=旅店!$E92,树木!$J$5:$J$85))</f>
        <v>0</v>
      </c>
    </row>
    <row r="93" spans="2:18" x14ac:dyDescent="0.15">
      <c r="B93" s="79">
        <v>89</v>
      </c>
      <c r="C93" s="79">
        <f t="shared" si="5"/>
        <v>890000</v>
      </c>
      <c r="D93" s="79">
        <f t="shared" si="6"/>
        <v>5600000000</v>
      </c>
      <c r="E93" s="92">
        <f t="shared" si="7"/>
        <v>6700000</v>
      </c>
      <c r="F93" s="79">
        <f t="array" ref="F93">MIN(IF(树木!$N$5:$N$85&gt;=旅店!$E93,树木!$K$5:$K$85))</f>
        <v>0</v>
      </c>
      <c r="G93" s="79">
        <f t="array" ref="G93">MIN(IF(树木!$N$5:$N$85&gt;=旅店!$E93,树木!$J$5:$J$85))</f>
        <v>0</v>
      </c>
      <c r="H93" s="79">
        <f t="array" ref="H93">MIN(IF(树木!$S$5:$S$85&gt;=旅店!$E93,树木!$P$5:$P$85))</f>
        <v>0</v>
      </c>
      <c r="I93" s="79">
        <f t="array" ref="I93">MIN(IF(树木!$S$5:$S$85&gt;=旅店!$E93,树木!$J$5:$J$85))</f>
        <v>0</v>
      </c>
    </row>
    <row r="94" spans="2:18" x14ac:dyDescent="0.15">
      <c r="B94" s="79">
        <v>90</v>
      </c>
      <c r="C94" s="79">
        <f t="shared" si="5"/>
        <v>900000</v>
      </c>
      <c r="D94" s="79">
        <f t="shared" si="6"/>
        <v>5900000000</v>
      </c>
      <c r="E94" s="92">
        <f t="shared" si="7"/>
        <v>6900000</v>
      </c>
      <c r="F94" s="79">
        <f t="array" ref="F94">MIN(IF(树木!$N$5:$N$85&gt;=旅店!$E94,树木!$K$5:$K$85))</f>
        <v>0</v>
      </c>
      <c r="G94" s="79">
        <f t="array" ref="G94">MIN(IF(树木!$N$5:$N$85&gt;=旅店!$E94,树木!$J$5:$J$85))</f>
        <v>0</v>
      </c>
      <c r="H94" s="79">
        <f t="array" ref="H94">MIN(IF(树木!$S$5:$S$85&gt;=旅店!$E94,树木!$P$5:$P$85))</f>
        <v>0</v>
      </c>
      <c r="I94" s="79">
        <f t="array" ref="I94">MIN(IF(树木!$S$5:$S$85&gt;=旅店!$E94,树木!$J$5:$J$85))</f>
        <v>0</v>
      </c>
    </row>
    <row r="95" spans="2:18" x14ac:dyDescent="0.15">
      <c r="B95" s="79">
        <v>91</v>
      </c>
      <c r="C95" s="79">
        <f t="shared" si="5"/>
        <v>910000</v>
      </c>
      <c r="D95" s="79">
        <f t="shared" si="6"/>
        <v>6200000000</v>
      </c>
      <c r="E95" s="92">
        <f t="shared" si="7"/>
        <v>7200000</v>
      </c>
      <c r="F95" s="79">
        <f t="array" ref="F95">MIN(IF(树木!$N$5:$N$85&gt;=旅店!$E95,树木!$K$5:$K$85))</f>
        <v>0</v>
      </c>
      <c r="G95" s="79">
        <f t="array" ref="G95">MIN(IF(树木!$N$5:$N$85&gt;=旅店!$E95,树木!$J$5:$J$85))</f>
        <v>0</v>
      </c>
      <c r="H95" s="79">
        <f t="array" ref="H95">MIN(IF(树木!$S$5:$S$85&gt;=旅店!$E95,树木!$P$5:$P$85))</f>
        <v>0</v>
      </c>
      <c r="I95" s="79">
        <f t="array" ref="I95">MIN(IF(树木!$S$5:$S$85&gt;=旅店!$E95,树木!$J$5:$J$85))</f>
        <v>0</v>
      </c>
    </row>
    <row r="96" spans="2:18" x14ac:dyDescent="0.15">
      <c r="B96" s="79">
        <v>92</v>
      </c>
      <c r="C96" s="79">
        <f t="shared" si="5"/>
        <v>920000</v>
      </c>
      <c r="D96" s="79">
        <f t="shared" si="6"/>
        <v>6600000000</v>
      </c>
      <c r="E96" s="92">
        <f t="shared" si="7"/>
        <v>7500000</v>
      </c>
      <c r="F96" s="79">
        <f t="array" ref="F96">MIN(IF(树木!$N$5:$N$85&gt;=旅店!$E96,树木!$K$5:$K$85))</f>
        <v>0</v>
      </c>
      <c r="G96" s="79">
        <f t="array" ref="G96">MIN(IF(树木!$N$5:$N$85&gt;=旅店!$E96,树木!$J$5:$J$85))</f>
        <v>0</v>
      </c>
      <c r="H96" s="79">
        <f t="array" ref="H96">MIN(IF(树木!$S$5:$S$85&gt;=旅店!$E96,树木!$P$5:$P$85))</f>
        <v>0</v>
      </c>
      <c r="I96" s="79">
        <f t="array" ref="I96">MIN(IF(树木!$S$5:$S$85&gt;=旅店!$E96,树木!$J$5:$J$85))</f>
        <v>0</v>
      </c>
    </row>
    <row r="97" spans="2:9" x14ac:dyDescent="0.15">
      <c r="B97" s="79">
        <v>93</v>
      </c>
      <c r="C97" s="79">
        <f t="shared" si="5"/>
        <v>930000</v>
      </c>
      <c r="D97" s="79">
        <f t="shared" si="6"/>
        <v>7000000000</v>
      </c>
      <c r="E97" s="92">
        <f t="shared" si="7"/>
        <v>7800000</v>
      </c>
      <c r="F97" s="79">
        <f t="array" ref="F97">MIN(IF(树木!$N$5:$N$85&gt;=旅店!$E97,树木!$K$5:$K$85))</f>
        <v>0</v>
      </c>
      <c r="G97" s="79">
        <f t="array" ref="G97">MIN(IF(树木!$N$5:$N$85&gt;=旅店!$E97,树木!$J$5:$J$85))</f>
        <v>0</v>
      </c>
      <c r="H97" s="79">
        <f t="array" ref="H97">MIN(IF(树木!$S$5:$S$85&gt;=旅店!$E97,树木!$P$5:$P$85))</f>
        <v>0</v>
      </c>
      <c r="I97" s="79">
        <f t="array" ref="I97">MIN(IF(树木!$S$5:$S$85&gt;=旅店!$E97,树木!$J$5:$J$85))</f>
        <v>0</v>
      </c>
    </row>
    <row r="98" spans="2:9" x14ac:dyDescent="0.15">
      <c r="B98" s="79">
        <v>94</v>
      </c>
      <c r="C98" s="79">
        <f t="shared" si="5"/>
        <v>940000</v>
      </c>
      <c r="D98" s="79">
        <f t="shared" si="6"/>
        <v>7300000000</v>
      </c>
      <c r="E98" s="92">
        <f t="shared" si="7"/>
        <v>8100000</v>
      </c>
      <c r="F98" s="79">
        <f t="array" ref="F98">MIN(IF(树木!$N$5:$N$85&gt;=旅店!$E98,树木!$K$5:$K$85))</f>
        <v>0</v>
      </c>
      <c r="G98" s="79">
        <f t="array" ref="G98">MIN(IF(树木!$N$5:$N$85&gt;=旅店!$E98,树木!$J$5:$J$85))</f>
        <v>0</v>
      </c>
      <c r="H98" s="79">
        <f t="array" ref="H98">MIN(IF(树木!$S$5:$S$85&gt;=旅店!$E98,树木!$P$5:$P$85))</f>
        <v>0</v>
      </c>
      <c r="I98" s="79">
        <f t="array" ref="I98">MIN(IF(树木!$S$5:$S$85&gt;=旅店!$E98,树木!$J$5:$J$85))</f>
        <v>0</v>
      </c>
    </row>
    <row r="99" spans="2:9" x14ac:dyDescent="0.15">
      <c r="B99" s="79">
        <v>95</v>
      </c>
      <c r="C99" s="79">
        <f t="shared" si="5"/>
        <v>950000</v>
      </c>
      <c r="D99" s="79">
        <f t="shared" si="6"/>
        <v>7700000000</v>
      </c>
      <c r="E99" s="92">
        <f t="shared" si="7"/>
        <v>8400000</v>
      </c>
      <c r="F99" s="79">
        <f t="array" ref="F99">MIN(IF(树木!$N$5:$N$85&gt;=旅店!$E99,树木!$K$5:$K$85))</f>
        <v>0</v>
      </c>
      <c r="G99" s="79">
        <f t="array" ref="G99">MIN(IF(树木!$N$5:$N$85&gt;=旅店!$E99,树木!$J$5:$J$85))</f>
        <v>0</v>
      </c>
      <c r="H99" s="79">
        <f t="array" ref="H99">MIN(IF(树木!$S$5:$S$85&gt;=旅店!$E99,树木!$P$5:$P$85))</f>
        <v>0</v>
      </c>
      <c r="I99" s="79">
        <f t="array" ref="I99">MIN(IF(树木!$S$5:$S$85&gt;=旅店!$E99,树木!$J$5:$J$85))</f>
        <v>0</v>
      </c>
    </row>
    <row r="100" spans="2:9" x14ac:dyDescent="0.15">
      <c r="B100" s="79">
        <v>96</v>
      </c>
      <c r="C100" s="79">
        <f t="shared" si="5"/>
        <v>960000</v>
      </c>
      <c r="D100" s="79">
        <f t="shared" si="6"/>
        <v>8200000000</v>
      </c>
      <c r="E100" s="92">
        <f t="shared" si="7"/>
        <v>8700000</v>
      </c>
      <c r="F100" s="79">
        <f t="array" ref="F100">MIN(IF(树木!$N$5:$N$85&gt;=旅店!$E100,树木!$K$5:$K$85))</f>
        <v>0</v>
      </c>
      <c r="G100" s="79">
        <f t="array" ref="G100">MIN(IF(树木!$N$5:$N$85&gt;=旅店!$E100,树木!$J$5:$J$85))</f>
        <v>0</v>
      </c>
      <c r="H100" s="79">
        <f t="array" ref="H100">MIN(IF(树木!$S$5:$S$85&gt;=旅店!$E100,树木!$P$5:$P$85))</f>
        <v>0</v>
      </c>
      <c r="I100" s="79">
        <f t="array" ref="I100">MIN(IF(树木!$S$5:$S$85&gt;=旅店!$E100,树木!$J$5:$J$85))</f>
        <v>0</v>
      </c>
    </row>
    <row r="101" spans="2:9" x14ac:dyDescent="0.15">
      <c r="B101" s="79">
        <v>97</v>
      </c>
      <c r="C101" s="79">
        <f t="shared" si="5"/>
        <v>970000</v>
      </c>
      <c r="D101" s="79">
        <f t="shared" si="6"/>
        <v>8600000000</v>
      </c>
      <c r="E101" s="92">
        <f t="shared" si="7"/>
        <v>9000000</v>
      </c>
      <c r="F101" s="79">
        <f t="array" ref="F101">MIN(IF(树木!$N$5:$N$85&gt;=旅店!$E101,树木!$K$5:$K$85))</f>
        <v>0</v>
      </c>
      <c r="G101" s="79">
        <f t="array" ref="G101">MIN(IF(树木!$N$5:$N$85&gt;=旅店!$E101,树木!$J$5:$J$85))</f>
        <v>0</v>
      </c>
      <c r="H101" s="79">
        <f t="array" ref="H101">MIN(IF(树木!$S$5:$S$85&gt;=旅店!$E101,树木!$P$5:$P$85))</f>
        <v>0</v>
      </c>
      <c r="I101" s="79">
        <f t="array" ref="I101">MIN(IF(树木!$S$5:$S$85&gt;=旅店!$E101,树木!$J$5:$J$85))</f>
        <v>0</v>
      </c>
    </row>
    <row r="102" spans="2:9" x14ac:dyDescent="0.15">
      <c r="B102" s="79">
        <v>98</v>
      </c>
      <c r="C102" s="79">
        <f t="shared" si="5"/>
        <v>980000</v>
      </c>
      <c r="D102" s="79">
        <f t="shared" si="6"/>
        <v>9000000000</v>
      </c>
      <c r="E102" s="92">
        <f t="shared" si="7"/>
        <v>9300000</v>
      </c>
      <c r="F102" s="79">
        <f t="array" ref="F102">MIN(IF(树木!$N$5:$N$85&gt;=旅店!$E102,树木!$K$5:$K$85))</f>
        <v>0</v>
      </c>
      <c r="G102" s="79">
        <f t="array" ref="G102">MIN(IF(树木!$N$5:$N$85&gt;=旅店!$E102,树木!$J$5:$J$85))</f>
        <v>0</v>
      </c>
      <c r="H102" s="79">
        <f t="array" ref="H102">MIN(IF(树木!$S$5:$S$85&gt;=旅店!$E102,树木!$P$5:$P$85))</f>
        <v>0</v>
      </c>
      <c r="I102" s="79">
        <f t="array" ref="I102">MIN(IF(树木!$S$5:$S$85&gt;=旅店!$E102,树木!$J$5:$J$85))</f>
        <v>0</v>
      </c>
    </row>
    <row r="103" spans="2:9" x14ac:dyDescent="0.15">
      <c r="B103" s="79">
        <v>99</v>
      </c>
      <c r="C103" s="79">
        <f t="shared" si="5"/>
        <v>990000</v>
      </c>
      <c r="D103" s="79">
        <f t="shared" si="6"/>
        <v>9500000000</v>
      </c>
      <c r="E103" s="92">
        <f t="shared" si="7"/>
        <v>9700000</v>
      </c>
      <c r="F103" s="79">
        <f t="array" ref="F103">MIN(IF(树木!$N$5:$N$85&gt;=旅店!$E103,树木!$K$5:$K$85))</f>
        <v>0</v>
      </c>
      <c r="G103" s="79">
        <f t="array" ref="G103">MIN(IF(树木!$N$5:$N$85&gt;=旅店!$E103,树木!$J$5:$J$85))</f>
        <v>0</v>
      </c>
      <c r="H103" s="79">
        <f t="array" ref="H103">MIN(IF(树木!$S$5:$S$85&gt;=旅店!$E103,树木!$P$5:$P$85))</f>
        <v>0</v>
      </c>
      <c r="I103" s="79">
        <f t="array" ref="I103">MIN(IF(树木!$S$5:$S$85&gt;=旅店!$E103,树木!$J$5:$J$85))</f>
        <v>0</v>
      </c>
    </row>
    <row r="104" spans="2:9" x14ac:dyDescent="0.15">
      <c r="B104" s="79">
        <v>100</v>
      </c>
      <c r="C104" s="79">
        <f t="shared" si="5"/>
        <v>1000000</v>
      </c>
      <c r="D104" s="79">
        <f t="shared" si="6"/>
        <v>10000000000</v>
      </c>
      <c r="E104" s="92">
        <f t="shared" si="7"/>
        <v>10000000</v>
      </c>
      <c r="F104" s="79">
        <f t="array" ref="F104">MIN(IF(树木!$N$5:$N$85&gt;=旅店!$E104,树木!$K$5:$K$85))</f>
        <v>0</v>
      </c>
      <c r="G104" s="79">
        <f t="array" ref="G104">MIN(IF(树木!$N$5:$N$85&gt;=旅店!$E104,树木!$J$5:$J$85))</f>
        <v>0</v>
      </c>
      <c r="H104" s="79">
        <f t="array" ref="H104">MIN(IF(树木!$S$5:$S$85&gt;=旅店!$E104,树木!$P$5:$P$85))</f>
        <v>0</v>
      </c>
      <c r="I104" s="79">
        <f t="array" ref="I104">MIN(IF(树木!$S$5:$S$85&gt;=旅店!$E104,树木!$J$5:$J$85))</f>
        <v>0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"/>
  <sheetViews>
    <sheetView workbookViewId="0">
      <selection activeCell="Q21" sqref="Q21"/>
    </sheetView>
  </sheetViews>
  <sheetFormatPr defaultRowHeight="16.5" x14ac:dyDescent="0.15"/>
  <cols>
    <col min="1" max="4" width="9" style="72"/>
    <col min="5" max="14" width="3.25" style="72" customWidth="1"/>
    <col min="15" max="16384" width="9" style="72"/>
  </cols>
  <sheetData>
    <row r="5" spans="1:14" x14ac:dyDescent="0.15">
      <c r="E5" s="72">
        <v>1</v>
      </c>
      <c r="F5" s="72">
        <v>2</v>
      </c>
      <c r="G5" s="72">
        <v>3</v>
      </c>
      <c r="H5" s="72">
        <v>4</v>
      </c>
      <c r="I5" s="72">
        <v>5</v>
      </c>
      <c r="J5" s="72">
        <v>6</v>
      </c>
      <c r="K5" s="72">
        <v>7</v>
      </c>
      <c r="L5" s="72">
        <v>8</v>
      </c>
      <c r="M5" s="72">
        <v>9</v>
      </c>
      <c r="N5" s="72">
        <v>10</v>
      </c>
    </row>
    <row r="6" spans="1:14" ht="18" customHeight="1" x14ac:dyDescent="0.15">
      <c r="A6" s="79" t="s">
        <v>298</v>
      </c>
      <c r="B6" s="79" t="s">
        <v>302</v>
      </c>
      <c r="D6" s="72">
        <v>1</v>
      </c>
      <c r="E6" s="79"/>
      <c r="F6" s="79"/>
      <c r="G6" s="79"/>
      <c r="H6" s="79"/>
      <c r="I6" s="79"/>
      <c r="J6" s="79"/>
      <c r="K6" s="79"/>
      <c r="L6" s="79"/>
      <c r="M6" s="79"/>
      <c r="N6" s="79"/>
    </row>
    <row r="7" spans="1:14" ht="18" customHeight="1" x14ac:dyDescent="0.15">
      <c r="A7" s="79">
        <v>3</v>
      </c>
      <c r="B7" s="79" t="s">
        <v>285</v>
      </c>
      <c r="D7" s="72">
        <v>2</v>
      </c>
      <c r="E7" s="79"/>
      <c r="F7" s="80" t="s">
        <v>285</v>
      </c>
      <c r="G7" s="79"/>
      <c r="H7" s="79"/>
      <c r="I7" s="80" t="s">
        <v>285</v>
      </c>
      <c r="J7" s="79"/>
      <c r="K7" s="79"/>
      <c r="L7" s="80" t="s">
        <v>301</v>
      </c>
      <c r="M7" s="79"/>
      <c r="N7" s="79"/>
    </row>
    <row r="8" spans="1:14" ht="18" customHeight="1" x14ac:dyDescent="0.15">
      <c r="A8" s="79">
        <v>6</v>
      </c>
      <c r="B8" s="79" t="s">
        <v>286</v>
      </c>
      <c r="D8" s="72">
        <v>3</v>
      </c>
      <c r="E8" s="79"/>
      <c r="F8" s="79"/>
      <c r="G8" s="79"/>
      <c r="H8" s="79"/>
      <c r="I8" s="79"/>
      <c r="J8" s="79"/>
      <c r="K8" s="79"/>
      <c r="L8" s="79"/>
      <c r="M8" s="79"/>
      <c r="N8" s="79"/>
    </row>
    <row r="9" spans="1:14" ht="18" customHeight="1" x14ac:dyDescent="0.15">
      <c r="A9" s="79">
        <v>8</v>
      </c>
      <c r="B9" s="79" t="s">
        <v>301</v>
      </c>
      <c r="D9" s="72">
        <v>4</v>
      </c>
      <c r="E9" s="79"/>
      <c r="F9" s="79"/>
      <c r="G9" s="79"/>
      <c r="H9" s="79"/>
      <c r="I9" s="79"/>
      <c r="J9" s="79"/>
      <c r="K9" s="79"/>
      <c r="L9" s="79"/>
      <c r="M9" s="79"/>
      <c r="N9" s="79"/>
    </row>
    <row r="10" spans="1:14" ht="18" customHeight="1" x14ac:dyDescent="0.15">
      <c r="A10" s="79">
        <v>10</v>
      </c>
      <c r="B10" s="79" t="s">
        <v>13</v>
      </c>
      <c r="D10" s="72">
        <v>5</v>
      </c>
      <c r="E10" s="79"/>
      <c r="F10" s="80" t="s">
        <v>299</v>
      </c>
      <c r="G10" s="79"/>
      <c r="H10" s="79"/>
      <c r="I10" s="80" t="s">
        <v>300</v>
      </c>
      <c r="J10" s="79"/>
      <c r="K10" s="79"/>
      <c r="L10" s="80" t="s">
        <v>301</v>
      </c>
      <c r="M10" s="79"/>
      <c r="N10" s="79"/>
    </row>
    <row r="11" spans="1:14" ht="18" customHeight="1" x14ac:dyDescent="0.15">
      <c r="A11" s="79">
        <v>20</v>
      </c>
      <c r="B11" s="79" t="s">
        <v>285</v>
      </c>
      <c r="D11" s="72">
        <v>6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spans="1:14" ht="18" customHeight="1" x14ac:dyDescent="0.15">
      <c r="A12" s="79">
        <v>30</v>
      </c>
      <c r="B12" s="79" t="s">
        <v>301</v>
      </c>
      <c r="D12" s="72">
        <v>7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</row>
    <row r="13" spans="1:14" ht="18" customHeight="1" x14ac:dyDescent="0.15">
      <c r="A13" s="79">
        <v>40</v>
      </c>
      <c r="B13" s="79" t="s">
        <v>286</v>
      </c>
      <c r="D13" s="72">
        <v>8</v>
      </c>
      <c r="E13" s="79"/>
      <c r="F13" s="80" t="s">
        <v>299</v>
      </c>
      <c r="G13" s="79"/>
      <c r="H13" s="79"/>
      <c r="I13" s="80" t="s">
        <v>300</v>
      </c>
      <c r="J13" s="79"/>
      <c r="K13" s="79"/>
      <c r="L13" s="80" t="s">
        <v>285</v>
      </c>
      <c r="M13" s="79"/>
      <c r="N13" s="79"/>
    </row>
    <row r="14" spans="1:14" ht="18" customHeight="1" x14ac:dyDescent="0.15">
      <c r="A14" s="79">
        <v>50</v>
      </c>
      <c r="B14" s="79" t="s">
        <v>13</v>
      </c>
      <c r="D14" s="72">
        <v>9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</row>
    <row r="15" spans="1:14" ht="18" customHeight="1" x14ac:dyDescent="0.15">
      <c r="A15" s="79">
        <v>60</v>
      </c>
      <c r="B15" s="79" t="s">
        <v>285</v>
      </c>
      <c r="D15" s="72">
        <v>10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综合</vt:lpstr>
      <vt:lpstr>物品定价</vt:lpstr>
      <vt:lpstr>等级时间</vt:lpstr>
      <vt:lpstr>体力抽奖</vt:lpstr>
      <vt:lpstr>Sheet1</vt:lpstr>
      <vt:lpstr>树木</vt:lpstr>
      <vt:lpstr>矿山</vt:lpstr>
      <vt:lpstr>旅店</vt:lpstr>
      <vt:lpstr>圣池</vt:lpstr>
      <vt:lpstr>土地规划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2018-06-22T15:09:31Z</dcterms:modified>
</cp:coreProperties>
</file>