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2"/>
  </bookViews>
  <sheets>
    <sheet name="综合" sheetId="1" r:id="rId1"/>
    <sheet name="物品定价" sheetId="4" r:id="rId2"/>
    <sheet name="等级时间" sheetId="2" r:id="rId3"/>
    <sheet name="体力抽奖" sheetId="3" r:id="rId4"/>
    <sheet name="猫咪" sheetId="11" r:id="rId5"/>
    <sheet name="树木" sheetId="6" r:id="rId6"/>
    <sheet name="矿山" sheetId="7" r:id="rId7"/>
    <sheet name="旅店" sheetId="8" r:id="rId8"/>
    <sheet name="圣池" sheetId="9" r:id="rId9"/>
    <sheet name="土地规划" sheetId="10" r:id="rId10"/>
    <sheet name="商店" sheetId="12" r:id="rId11"/>
    <sheet name="Sheet1" sheetId="5" r:id="rId12"/>
  </sheets>
  <externalReferences>
    <externalReference r:id="rId13"/>
  </externalReferences>
  <calcPr calcId="152511"/>
</workbook>
</file>

<file path=xl/calcChain.xml><?xml version="1.0" encoding="utf-8"?>
<calcChain xmlns="http://schemas.openxmlformats.org/spreadsheetml/2006/main">
  <c r="AL17" i="3" l="1"/>
  <c r="AL18" i="3"/>
  <c r="AL19" i="3"/>
  <c r="AL20" i="3"/>
  <c r="AL21" i="3"/>
  <c r="AL22" i="3"/>
  <c r="AL23" i="3"/>
  <c r="AL24" i="3"/>
  <c r="AL16" i="3"/>
  <c r="AH18" i="3"/>
  <c r="AH19" i="3"/>
  <c r="AH20" i="3"/>
  <c r="AH21" i="3"/>
  <c r="AH22" i="3"/>
  <c r="AH23" i="3"/>
  <c r="AH24" i="3"/>
  <c r="AH17" i="3"/>
  <c r="AH16" i="3"/>
  <c r="U24" i="3"/>
  <c r="V24" i="3"/>
  <c r="W24" i="3"/>
  <c r="X24" i="3"/>
  <c r="Y24" i="3"/>
  <c r="Z24" i="3"/>
  <c r="AA24" i="3"/>
  <c r="AB24" i="3"/>
  <c r="AC24" i="3"/>
  <c r="AD24" i="3"/>
  <c r="AE24" i="3"/>
  <c r="U17" i="3"/>
  <c r="V17" i="3"/>
  <c r="W17" i="3"/>
  <c r="X17" i="3"/>
  <c r="Y17" i="3"/>
  <c r="Z17" i="3"/>
  <c r="AA17" i="3"/>
  <c r="AB17" i="3"/>
  <c r="AC17" i="3"/>
  <c r="AD17" i="3"/>
  <c r="AE17" i="3"/>
  <c r="U18" i="3"/>
  <c r="V18" i="3"/>
  <c r="W18" i="3"/>
  <c r="X18" i="3"/>
  <c r="Y18" i="3"/>
  <c r="Z18" i="3"/>
  <c r="AA18" i="3"/>
  <c r="AB18" i="3"/>
  <c r="AC18" i="3"/>
  <c r="AD18" i="3"/>
  <c r="AE18" i="3"/>
  <c r="U19" i="3"/>
  <c r="V19" i="3"/>
  <c r="W19" i="3"/>
  <c r="X19" i="3"/>
  <c r="Y19" i="3"/>
  <c r="Z19" i="3"/>
  <c r="AA19" i="3"/>
  <c r="AB19" i="3"/>
  <c r="AC19" i="3"/>
  <c r="AD19" i="3"/>
  <c r="AE19" i="3"/>
  <c r="U20" i="3"/>
  <c r="V20" i="3"/>
  <c r="W20" i="3"/>
  <c r="X20" i="3"/>
  <c r="Y20" i="3"/>
  <c r="Z20" i="3"/>
  <c r="AA20" i="3"/>
  <c r="AB20" i="3"/>
  <c r="AC20" i="3"/>
  <c r="AD20" i="3"/>
  <c r="AE20" i="3"/>
  <c r="U21" i="3"/>
  <c r="V21" i="3"/>
  <c r="W21" i="3"/>
  <c r="X21" i="3"/>
  <c r="Y21" i="3"/>
  <c r="Z21" i="3"/>
  <c r="AA21" i="3"/>
  <c r="AB21" i="3"/>
  <c r="AC21" i="3"/>
  <c r="AD21" i="3"/>
  <c r="AE21" i="3"/>
  <c r="U22" i="3"/>
  <c r="V22" i="3"/>
  <c r="W22" i="3"/>
  <c r="X22" i="3"/>
  <c r="Y22" i="3"/>
  <c r="Z22" i="3"/>
  <c r="AA22" i="3"/>
  <c r="AB22" i="3"/>
  <c r="AC22" i="3"/>
  <c r="AD22" i="3"/>
  <c r="AE22" i="3"/>
  <c r="U23" i="3"/>
  <c r="V23" i="3"/>
  <c r="W23" i="3"/>
  <c r="X23" i="3"/>
  <c r="Y23" i="3"/>
  <c r="Z23" i="3"/>
  <c r="AA23" i="3"/>
  <c r="AB23" i="3"/>
  <c r="AC23" i="3"/>
  <c r="AD23" i="3"/>
  <c r="AE23" i="3"/>
  <c r="Z16" i="3"/>
  <c r="AA16" i="3"/>
  <c r="AB16" i="3"/>
  <c r="AC16" i="3"/>
  <c r="AD16" i="3"/>
  <c r="AE16" i="3"/>
  <c r="V16" i="3"/>
  <c r="W16" i="3"/>
  <c r="X16" i="3"/>
  <c r="Y16" i="3"/>
  <c r="U16" i="3"/>
  <c r="AF46" i="12"/>
  <c r="AE46" i="12"/>
  <c r="AD46" i="12"/>
  <c r="AC46" i="12"/>
  <c r="AB46" i="12"/>
  <c r="AA46" i="12"/>
  <c r="Z46" i="12"/>
  <c r="Y46" i="12"/>
  <c r="X46" i="12"/>
  <c r="AF45" i="12"/>
  <c r="AE45" i="12"/>
  <c r="AD45" i="12"/>
  <c r="AC45" i="12"/>
  <c r="AB45" i="12"/>
  <c r="AA45" i="12"/>
  <c r="Z45" i="12"/>
  <c r="Y45" i="12"/>
  <c r="X45" i="12"/>
  <c r="AF44" i="12"/>
  <c r="AE44" i="12"/>
  <c r="AD44" i="12"/>
  <c r="AC44" i="12"/>
  <c r="AB44" i="12"/>
  <c r="AA44" i="12"/>
  <c r="Z44" i="12"/>
  <c r="Y44" i="12"/>
  <c r="X44" i="12"/>
  <c r="AF43" i="12"/>
  <c r="AE43" i="12"/>
  <c r="AD43" i="12"/>
  <c r="AC43" i="12"/>
  <c r="AB43" i="12"/>
  <c r="AA43" i="12"/>
  <c r="Z43" i="12"/>
  <c r="Y43" i="12"/>
  <c r="X43" i="12"/>
  <c r="AH43" i="12" s="1"/>
  <c r="AH44" i="12" s="1"/>
  <c r="AH45" i="12" s="1"/>
  <c r="AH46" i="12" s="1"/>
  <c r="AF42" i="12"/>
  <c r="AE42" i="12"/>
  <c r="AD42" i="12"/>
  <c r="AN42" i="12" s="1"/>
  <c r="AN43" i="12" s="1"/>
  <c r="AN44" i="12" s="1"/>
  <c r="AN45" i="12" s="1"/>
  <c r="AN46" i="12" s="1"/>
  <c r="AC42" i="12"/>
  <c r="AM42" i="12" s="1"/>
  <c r="AM43" i="12" s="1"/>
  <c r="AM44" i="12" s="1"/>
  <c r="AM45" i="12" s="1"/>
  <c r="AM46" i="12" s="1"/>
  <c r="AB42" i="12"/>
  <c r="AA42" i="12"/>
  <c r="AK42" i="12" s="1"/>
  <c r="AK43" i="12" s="1"/>
  <c r="AK44" i="12" s="1"/>
  <c r="AK45" i="12" s="1"/>
  <c r="AK46" i="12" s="1"/>
  <c r="Z42" i="12"/>
  <c r="AJ42" i="12" s="1"/>
  <c r="AJ43" i="12" s="1"/>
  <c r="AJ44" i="12" s="1"/>
  <c r="AJ45" i="12" s="1"/>
  <c r="AJ46" i="12" s="1"/>
  <c r="Y42" i="12"/>
  <c r="AI42" i="12" s="1"/>
  <c r="AI43" i="12" s="1"/>
  <c r="AI44" i="12" s="1"/>
  <c r="AI45" i="12" s="1"/>
  <c r="AI46" i="12" s="1"/>
  <c r="X42" i="12"/>
  <c r="AF37" i="12"/>
  <c r="AE37" i="12"/>
  <c r="AD37" i="12"/>
  <c r="AC37" i="12"/>
  <c r="AB37" i="12"/>
  <c r="AA37" i="12"/>
  <c r="Z37" i="12"/>
  <c r="Y37" i="12"/>
  <c r="X37" i="12"/>
  <c r="AF36" i="12"/>
  <c r="AE36" i="12"/>
  <c r="AD36" i="12"/>
  <c r="AC36" i="12"/>
  <c r="AB36" i="12"/>
  <c r="AA36" i="12"/>
  <c r="Z36" i="12"/>
  <c r="Y36" i="12"/>
  <c r="X36" i="12"/>
  <c r="AF35" i="12"/>
  <c r="AE35" i="12"/>
  <c r="AD35" i="12"/>
  <c r="AC35" i="12"/>
  <c r="AB35" i="12"/>
  <c r="AA35" i="12"/>
  <c r="Z35" i="12"/>
  <c r="Y35" i="12"/>
  <c r="X35" i="12"/>
  <c r="AF34" i="12"/>
  <c r="AE34" i="12"/>
  <c r="AD34" i="12"/>
  <c r="AC34" i="12"/>
  <c r="AB34" i="12"/>
  <c r="AA34" i="12"/>
  <c r="Z34" i="12"/>
  <c r="Y34" i="12"/>
  <c r="X34" i="12"/>
  <c r="AF33" i="12"/>
  <c r="AE33" i="12"/>
  <c r="AO33" i="12" s="1"/>
  <c r="AO34" i="12" s="1"/>
  <c r="AO35" i="12" s="1"/>
  <c r="AO36" i="12" s="1"/>
  <c r="AO37" i="12" s="1"/>
  <c r="AD33" i="12"/>
  <c r="AN33" i="12" s="1"/>
  <c r="AN34" i="12" s="1"/>
  <c r="AN35" i="12" s="1"/>
  <c r="AN36" i="12" s="1"/>
  <c r="AN37" i="12" s="1"/>
  <c r="AC33" i="12"/>
  <c r="AM33" i="12" s="1"/>
  <c r="AM34" i="12" s="1"/>
  <c r="AM35" i="12" s="1"/>
  <c r="AM36" i="12" s="1"/>
  <c r="AM37" i="12" s="1"/>
  <c r="AB33" i="12"/>
  <c r="AL33" i="12" s="1"/>
  <c r="AL34" i="12" s="1"/>
  <c r="AL35" i="12" s="1"/>
  <c r="AL36" i="12" s="1"/>
  <c r="AL37" i="12" s="1"/>
  <c r="AA33" i="12"/>
  <c r="Z33" i="12"/>
  <c r="Y33" i="12"/>
  <c r="X33" i="12"/>
  <c r="AH33" i="12" s="1"/>
  <c r="AH34" i="12" s="1"/>
  <c r="AH35" i="12" s="1"/>
  <c r="AH36" i="12" s="1"/>
  <c r="AH37" i="12" s="1"/>
  <c r="AF28" i="12"/>
  <c r="AE28" i="12"/>
  <c r="AD28" i="12"/>
  <c r="AC28" i="12"/>
  <c r="AB28" i="12"/>
  <c r="AA28" i="12"/>
  <c r="Z28" i="12"/>
  <c r="Y28" i="12"/>
  <c r="X28" i="12"/>
  <c r="AF27" i="12"/>
  <c r="AE27" i="12"/>
  <c r="AD27" i="12"/>
  <c r="AC27" i="12"/>
  <c r="AB27" i="12"/>
  <c r="AA27" i="12"/>
  <c r="Z27" i="12"/>
  <c r="Y27" i="12"/>
  <c r="X27" i="12"/>
  <c r="AF26" i="12"/>
  <c r="AE26" i="12"/>
  <c r="AD26" i="12"/>
  <c r="AC26" i="12"/>
  <c r="AB26" i="12"/>
  <c r="AA26" i="12"/>
  <c r="Z26" i="12"/>
  <c r="Y26" i="12"/>
  <c r="X26" i="12"/>
  <c r="AF25" i="12"/>
  <c r="AE25" i="12"/>
  <c r="AD25" i="12"/>
  <c r="AC25" i="12"/>
  <c r="AB25" i="12"/>
  <c r="AA25" i="12"/>
  <c r="Z25" i="12"/>
  <c r="Y25" i="12"/>
  <c r="X25" i="12"/>
  <c r="AF24" i="12"/>
  <c r="AE24" i="12"/>
  <c r="AO24" i="12" s="1"/>
  <c r="AO25" i="12" s="1"/>
  <c r="AO26" i="12" s="1"/>
  <c r="AO27" i="12" s="1"/>
  <c r="AO28" i="12" s="1"/>
  <c r="AD24" i="12"/>
  <c r="AN24" i="12" s="1"/>
  <c r="AN25" i="12" s="1"/>
  <c r="AN26" i="12" s="1"/>
  <c r="AN27" i="12" s="1"/>
  <c r="AN28" i="12" s="1"/>
  <c r="AC24" i="12"/>
  <c r="AM24" i="12" s="1"/>
  <c r="AM25" i="12" s="1"/>
  <c r="AM26" i="12" s="1"/>
  <c r="AM27" i="12" s="1"/>
  <c r="AM28" i="12" s="1"/>
  <c r="AB24" i="12"/>
  <c r="AA24" i="12"/>
  <c r="AK24" i="12" s="1"/>
  <c r="AK25" i="12" s="1"/>
  <c r="AK26" i="12" s="1"/>
  <c r="AK27" i="12" s="1"/>
  <c r="AK28" i="12" s="1"/>
  <c r="Z24" i="12"/>
  <c r="AJ24" i="12" s="1"/>
  <c r="AJ25" i="12" s="1"/>
  <c r="AJ26" i="12" s="1"/>
  <c r="AJ27" i="12" s="1"/>
  <c r="AJ28" i="12" s="1"/>
  <c r="Y24" i="12"/>
  <c r="X24" i="12"/>
  <c r="AP43" i="12"/>
  <c r="AP44" i="12" s="1"/>
  <c r="AP45" i="12" s="1"/>
  <c r="AP46" i="12" s="1"/>
  <c r="AP42" i="12"/>
  <c r="AH42" i="12"/>
  <c r="AO42" i="12"/>
  <c r="AO43" i="12" s="1"/>
  <c r="AL42" i="12"/>
  <c r="AL43" i="12" s="1"/>
  <c r="AL44" i="12" s="1"/>
  <c r="AL45" i="12" s="1"/>
  <c r="AL46" i="12" s="1"/>
  <c r="AP33" i="12"/>
  <c r="AP34" i="12" s="1"/>
  <c r="AP35" i="12" s="1"/>
  <c r="AP36" i="12" s="1"/>
  <c r="AP37" i="12" s="1"/>
  <c r="AI33" i="12"/>
  <c r="AI34" i="12" s="1"/>
  <c r="AI35" i="12" s="1"/>
  <c r="AI36" i="12" s="1"/>
  <c r="AI37" i="12" s="1"/>
  <c r="AK33" i="12"/>
  <c r="AK34" i="12" s="1"/>
  <c r="AJ33" i="12"/>
  <c r="AJ34" i="12" s="1"/>
  <c r="AJ35" i="12" s="1"/>
  <c r="AP25" i="12"/>
  <c r="AP26" i="12" s="1"/>
  <c r="AP27" i="12" s="1"/>
  <c r="AP28" i="12" s="1"/>
  <c r="AP24" i="12"/>
  <c r="AI24" i="12"/>
  <c r="AI25" i="12" s="1"/>
  <c r="AI26" i="12" s="1"/>
  <c r="AI27" i="12" s="1"/>
  <c r="AI28" i="12" s="1"/>
  <c r="AH24" i="12"/>
  <c r="AH25" i="12" s="1"/>
  <c r="AH26" i="12" s="1"/>
  <c r="AH27" i="12" s="1"/>
  <c r="AH28" i="12" s="1"/>
  <c r="AL24" i="12"/>
  <c r="AL25" i="12" s="1"/>
  <c r="AL26" i="12" s="1"/>
  <c r="AL27" i="12" s="1"/>
  <c r="AL28" i="12" s="1"/>
  <c r="AI15" i="12"/>
  <c r="AI16" i="12" s="1"/>
  <c r="AI17" i="12" s="1"/>
  <c r="AI18" i="12" s="1"/>
  <c r="AI19" i="12" s="1"/>
  <c r="AJ15" i="12"/>
  <c r="AJ16" i="12" s="1"/>
  <c r="AJ17" i="12" s="1"/>
  <c r="AJ18" i="12" s="1"/>
  <c r="AJ19" i="12" s="1"/>
  <c r="AP15" i="12"/>
  <c r="AP16" i="12" s="1"/>
  <c r="AP17" i="12" s="1"/>
  <c r="AP18" i="12" s="1"/>
  <c r="AP19" i="12" s="1"/>
  <c r="Y15" i="12"/>
  <c r="Z15" i="12"/>
  <c r="AA15" i="12"/>
  <c r="AK15" i="12" s="1"/>
  <c r="AK16" i="12" s="1"/>
  <c r="AK17" i="12" s="1"/>
  <c r="AK18" i="12" s="1"/>
  <c r="AK19" i="12" s="1"/>
  <c r="AB15" i="12"/>
  <c r="AL15" i="12" s="1"/>
  <c r="AL16" i="12" s="1"/>
  <c r="AL17" i="12" s="1"/>
  <c r="AL18" i="12" s="1"/>
  <c r="AL19" i="12" s="1"/>
  <c r="AC15" i="12"/>
  <c r="AM15" i="12" s="1"/>
  <c r="AM16" i="12" s="1"/>
  <c r="AM17" i="12" s="1"/>
  <c r="AM18" i="12" s="1"/>
  <c r="AM19" i="12" s="1"/>
  <c r="AD15" i="12"/>
  <c r="AN15" i="12" s="1"/>
  <c r="AN16" i="12" s="1"/>
  <c r="AN17" i="12" s="1"/>
  <c r="AN18" i="12" s="1"/>
  <c r="AN19" i="12" s="1"/>
  <c r="AE15" i="12"/>
  <c r="AO15" i="12" s="1"/>
  <c r="AO16" i="12" s="1"/>
  <c r="AO17" i="12" s="1"/>
  <c r="AO18" i="12" s="1"/>
  <c r="AO19" i="12" s="1"/>
  <c r="AF15" i="12"/>
  <c r="Y16" i="12"/>
  <c r="Z16" i="12"/>
  <c r="AA16" i="12"/>
  <c r="AB16" i="12"/>
  <c r="AC16" i="12"/>
  <c r="AD16" i="12"/>
  <c r="AE16" i="12"/>
  <c r="AF16" i="12"/>
  <c r="Y17" i="12"/>
  <c r="Z17" i="12"/>
  <c r="AA17" i="12"/>
  <c r="AB17" i="12"/>
  <c r="AC17" i="12"/>
  <c r="AD17" i="12"/>
  <c r="AE17" i="12"/>
  <c r="AF17" i="12"/>
  <c r="Y18" i="12"/>
  <c r="Z18" i="12"/>
  <c r="AA18" i="12"/>
  <c r="AB18" i="12"/>
  <c r="AC18" i="12"/>
  <c r="AD18" i="12"/>
  <c r="AE18" i="12"/>
  <c r="AF18" i="12"/>
  <c r="Y19" i="12"/>
  <c r="Z19" i="12"/>
  <c r="AA19" i="12"/>
  <c r="AB19" i="12"/>
  <c r="AC19" i="12"/>
  <c r="AD19" i="12"/>
  <c r="AE19" i="12"/>
  <c r="AF19" i="12"/>
  <c r="X16" i="12"/>
  <c r="X17" i="12"/>
  <c r="X18" i="12"/>
  <c r="X19" i="12"/>
  <c r="X15" i="12"/>
  <c r="AH15" i="12" s="1"/>
  <c r="AH16" i="12" s="1"/>
  <c r="AH17" i="12" s="1"/>
  <c r="AH18" i="12" s="1"/>
  <c r="AH19" i="12" s="1"/>
  <c r="Q12" i="12"/>
  <c r="AF12" i="12" s="1"/>
  <c r="AO44" i="12" l="1"/>
  <c r="AO45" i="12" s="1"/>
  <c r="AO46" i="12" s="1"/>
  <c r="AJ36" i="12"/>
  <c r="AJ37" i="12" s="1"/>
  <c r="AK35" i="12"/>
  <c r="AK36" i="12" s="1"/>
  <c r="AK37" i="12" s="1"/>
  <c r="J12" i="12"/>
  <c r="Y12" i="12" s="1"/>
  <c r="K12" i="12"/>
  <c r="Z12" i="12" s="1"/>
  <c r="L12" i="12"/>
  <c r="AA12" i="12" s="1"/>
  <c r="M12" i="12"/>
  <c r="AB12" i="12" s="1"/>
  <c r="N12" i="12"/>
  <c r="AC12" i="12" s="1"/>
  <c r="O12" i="12"/>
  <c r="AD12" i="12" s="1"/>
  <c r="P12" i="12"/>
  <c r="AE12" i="12" s="1"/>
  <c r="I12" i="12"/>
  <c r="X12" i="12" s="1"/>
  <c r="H5" i="11" l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E104" i="9" l="1"/>
  <c r="J42" i="12" l="1"/>
  <c r="K42" i="12"/>
  <c r="L42" i="12"/>
  <c r="M42" i="12"/>
  <c r="N42" i="12"/>
  <c r="O42" i="12"/>
  <c r="P42" i="12"/>
  <c r="Q42" i="12"/>
  <c r="R42" i="12"/>
  <c r="S42" i="12"/>
  <c r="T42" i="12"/>
  <c r="U42" i="12"/>
  <c r="V42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I43" i="12"/>
  <c r="I44" i="12"/>
  <c r="I45" i="12"/>
  <c r="I46" i="12"/>
  <c r="I42" i="12"/>
  <c r="AC18" i="9"/>
  <c r="AC17" i="9"/>
  <c r="AC16" i="9"/>
  <c r="AC15" i="9"/>
  <c r="AC14" i="9"/>
  <c r="AC13" i="9"/>
  <c r="AC12" i="9"/>
  <c r="AC11" i="9"/>
  <c r="AC10" i="9"/>
  <c r="AC9" i="9"/>
  <c r="AC8" i="9"/>
  <c r="AC7" i="9"/>
  <c r="AC6" i="9"/>
  <c r="AC5" i="9"/>
  <c r="H46" i="12"/>
  <c r="H45" i="12"/>
  <c r="H44" i="12"/>
  <c r="H40" i="12" s="1"/>
  <c r="H43" i="12"/>
  <c r="H42" i="12"/>
  <c r="G40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I34" i="12"/>
  <c r="I35" i="12"/>
  <c r="I36" i="12"/>
  <c r="I37" i="12"/>
  <c r="I33" i="12"/>
  <c r="I25" i="12"/>
  <c r="I26" i="12"/>
  <c r="I27" i="12"/>
  <c r="I28" i="12"/>
  <c r="I24" i="12"/>
  <c r="K105" i="3"/>
  <c r="K104" i="3"/>
  <c r="K103" i="3"/>
  <c r="K102" i="3"/>
  <c r="K101" i="3"/>
  <c r="K100" i="3"/>
  <c r="K99" i="3"/>
  <c r="K98" i="3"/>
  <c r="K93" i="3"/>
  <c r="K92" i="3"/>
  <c r="K91" i="3"/>
  <c r="K90" i="3"/>
  <c r="K89" i="3"/>
  <c r="K88" i="3"/>
  <c r="K87" i="3"/>
  <c r="K86" i="3"/>
  <c r="K74" i="3"/>
  <c r="K76" i="3"/>
  <c r="K77" i="3"/>
  <c r="K79" i="3"/>
  <c r="K80" i="3"/>
  <c r="C99" i="3"/>
  <c r="C100" i="3" s="1"/>
  <c r="B99" i="3"/>
  <c r="B88" i="3"/>
  <c r="C87" i="3"/>
  <c r="C88" i="3" s="1"/>
  <c r="B87" i="3"/>
  <c r="C75" i="3"/>
  <c r="C76" i="3" s="1"/>
  <c r="C74" i="3"/>
  <c r="B75" i="3" s="1"/>
  <c r="B74" i="3"/>
  <c r="AB6" i="7"/>
  <c r="AB5" i="7"/>
  <c r="AB6" i="6"/>
  <c r="AB5" i="6"/>
  <c r="AC7" i="8"/>
  <c r="AC8" i="8"/>
  <c r="AC9" i="8"/>
  <c r="AC10" i="8"/>
  <c r="AC11" i="8"/>
  <c r="AC12" i="8" s="1"/>
  <c r="AC13" i="8" s="1"/>
  <c r="AC14" i="8" s="1"/>
  <c r="AC15" i="8" s="1"/>
  <c r="AC16" i="8" s="1"/>
  <c r="AC17" i="8" s="1"/>
  <c r="AC18" i="8" s="1"/>
  <c r="AD18" i="8" s="1"/>
  <c r="AC6" i="8"/>
  <c r="AD5" i="8"/>
  <c r="AD6" i="8"/>
  <c r="P14" i="8"/>
  <c r="P24" i="8"/>
  <c r="P34" i="8"/>
  <c r="P44" i="8"/>
  <c r="P54" i="8"/>
  <c r="P64" i="8"/>
  <c r="P74" i="8"/>
  <c r="P84" i="8"/>
  <c r="P94" i="8"/>
  <c r="O14" i="8"/>
  <c r="O24" i="8"/>
  <c r="O34" i="8"/>
  <c r="O44" i="8"/>
  <c r="O54" i="8"/>
  <c r="O64" i="8"/>
  <c r="O74" i="8"/>
  <c r="O84" i="8"/>
  <c r="O94" i="8"/>
  <c r="E5" i="8"/>
  <c r="M5" i="8" s="1"/>
  <c r="E6" i="8"/>
  <c r="M6" i="8" s="1"/>
  <c r="E7" i="8"/>
  <c r="M7" i="8" s="1"/>
  <c r="E8" i="8"/>
  <c r="M8" i="8" s="1"/>
  <c r="E9" i="8"/>
  <c r="M9" i="8" s="1"/>
  <c r="E10" i="8"/>
  <c r="M10" i="8" s="1"/>
  <c r="E11" i="8"/>
  <c r="M11" i="8" s="1"/>
  <c r="E12" i="8"/>
  <c r="M12" i="8" s="1"/>
  <c r="E13" i="8"/>
  <c r="E14" i="8"/>
  <c r="M14" i="8" s="1"/>
  <c r="E15" i="8"/>
  <c r="M15" i="8" s="1"/>
  <c r="E16" i="8"/>
  <c r="M16" i="8" s="1"/>
  <c r="E17" i="8"/>
  <c r="M17" i="8" s="1"/>
  <c r="G5" i="9"/>
  <c r="H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5" i="9"/>
  <c r="E18" i="8"/>
  <c r="M18" i="8" s="1"/>
  <c r="E19" i="8"/>
  <c r="M19" i="8" s="1"/>
  <c r="E20" i="8"/>
  <c r="M20" i="8" s="1"/>
  <c r="E21" i="8"/>
  <c r="M21" i="8" s="1"/>
  <c r="E22" i="8"/>
  <c r="M22" i="8" s="1"/>
  <c r="E23" i="8"/>
  <c r="M23" i="8" s="1"/>
  <c r="E24" i="8"/>
  <c r="M24" i="8" s="1"/>
  <c r="E25" i="8"/>
  <c r="M25" i="8" s="1"/>
  <c r="E26" i="8"/>
  <c r="M26" i="8" s="1"/>
  <c r="E27" i="8"/>
  <c r="M27" i="8" s="1"/>
  <c r="E28" i="8"/>
  <c r="M28" i="8" s="1"/>
  <c r="E29" i="8"/>
  <c r="M29" i="8" s="1"/>
  <c r="E30" i="8"/>
  <c r="M30" i="8" s="1"/>
  <c r="E31" i="8"/>
  <c r="M31" i="8" s="1"/>
  <c r="E32" i="8"/>
  <c r="M32" i="8" s="1"/>
  <c r="E33" i="8"/>
  <c r="M33" i="8" s="1"/>
  <c r="E34" i="8"/>
  <c r="M34" i="8" s="1"/>
  <c r="E35" i="8"/>
  <c r="M35" i="8" s="1"/>
  <c r="E36" i="8"/>
  <c r="M36" i="8" s="1"/>
  <c r="E37" i="8"/>
  <c r="M37" i="8" s="1"/>
  <c r="E38" i="8"/>
  <c r="M38" i="8" s="1"/>
  <c r="E39" i="8"/>
  <c r="M39" i="8" s="1"/>
  <c r="E40" i="8"/>
  <c r="M40" i="8" s="1"/>
  <c r="E41" i="8"/>
  <c r="M41" i="8" s="1"/>
  <c r="E42" i="8"/>
  <c r="M42" i="8" s="1"/>
  <c r="E43" i="8"/>
  <c r="M43" i="8" s="1"/>
  <c r="E44" i="8"/>
  <c r="M44" i="8" s="1"/>
  <c r="E45" i="8"/>
  <c r="M45" i="8" s="1"/>
  <c r="E46" i="8"/>
  <c r="M46" i="8" s="1"/>
  <c r="E47" i="8"/>
  <c r="M47" i="8" s="1"/>
  <c r="E48" i="8"/>
  <c r="M48" i="8" s="1"/>
  <c r="E49" i="8"/>
  <c r="M49" i="8" s="1"/>
  <c r="E50" i="8"/>
  <c r="M50" i="8" s="1"/>
  <c r="E51" i="8"/>
  <c r="M51" i="8" s="1"/>
  <c r="E52" i="8"/>
  <c r="M52" i="8" s="1"/>
  <c r="E53" i="8"/>
  <c r="M53" i="8" s="1"/>
  <c r="E54" i="8"/>
  <c r="M54" i="8" s="1"/>
  <c r="E55" i="8"/>
  <c r="M55" i="8" s="1"/>
  <c r="E56" i="8"/>
  <c r="M56" i="8" s="1"/>
  <c r="E57" i="8"/>
  <c r="M57" i="8" s="1"/>
  <c r="E58" i="8"/>
  <c r="M58" i="8" s="1"/>
  <c r="E59" i="8"/>
  <c r="M59" i="8" s="1"/>
  <c r="E60" i="8"/>
  <c r="M60" i="8" s="1"/>
  <c r="E61" i="8"/>
  <c r="M61" i="8" s="1"/>
  <c r="E62" i="8"/>
  <c r="M62" i="8" s="1"/>
  <c r="E63" i="8"/>
  <c r="M63" i="8" s="1"/>
  <c r="E64" i="8"/>
  <c r="M64" i="8" s="1"/>
  <c r="E65" i="8"/>
  <c r="M65" i="8" s="1"/>
  <c r="E66" i="8"/>
  <c r="M66" i="8" s="1"/>
  <c r="E67" i="8"/>
  <c r="M67" i="8" s="1"/>
  <c r="E68" i="8"/>
  <c r="M68" i="8" s="1"/>
  <c r="E69" i="8"/>
  <c r="M69" i="8" s="1"/>
  <c r="E70" i="8"/>
  <c r="M70" i="8" s="1"/>
  <c r="E71" i="8"/>
  <c r="M71" i="8" s="1"/>
  <c r="E72" i="8"/>
  <c r="M72" i="8" s="1"/>
  <c r="E73" i="8"/>
  <c r="M73" i="8" s="1"/>
  <c r="E74" i="8"/>
  <c r="M74" i="8" s="1"/>
  <c r="E75" i="8"/>
  <c r="M75" i="8" s="1"/>
  <c r="E76" i="8"/>
  <c r="M76" i="8" s="1"/>
  <c r="E77" i="8"/>
  <c r="M77" i="8" s="1"/>
  <c r="E78" i="8"/>
  <c r="M78" i="8" s="1"/>
  <c r="E79" i="8"/>
  <c r="M79" i="8" s="1"/>
  <c r="E80" i="8"/>
  <c r="M80" i="8" s="1"/>
  <c r="E81" i="8"/>
  <c r="M81" i="8" s="1"/>
  <c r="E82" i="8"/>
  <c r="M82" i="8" s="1"/>
  <c r="E83" i="8"/>
  <c r="M83" i="8" s="1"/>
  <c r="E84" i="8"/>
  <c r="M84" i="8" s="1"/>
  <c r="E85" i="8"/>
  <c r="M85" i="8" s="1"/>
  <c r="E86" i="8"/>
  <c r="M86" i="8" s="1"/>
  <c r="E87" i="8"/>
  <c r="M87" i="8" s="1"/>
  <c r="E88" i="8"/>
  <c r="M88" i="8" s="1"/>
  <c r="E89" i="8"/>
  <c r="M89" i="8" s="1"/>
  <c r="E90" i="8"/>
  <c r="M90" i="8" s="1"/>
  <c r="E91" i="8"/>
  <c r="M91" i="8" s="1"/>
  <c r="E92" i="8"/>
  <c r="M92" i="8" s="1"/>
  <c r="E93" i="8"/>
  <c r="M93" i="8" s="1"/>
  <c r="E94" i="8"/>
  <c r="M94" i="8" s="1"/>
  <c r="E95" i="8"/>
  <c r="M95" i="8" s="1"/>
  <c r="E96" i="8"/>
  <c r="M96" i="8" s="1"/>
  <c r="E97" i="8"/>
  <c r="M97" i="8" s="1"/>
  <c r="E98" i="8"/>
  <c r="M98" i="8" s="1"/>
  <c r="E99" i="8"/>
  <c r="M99" i="8" s="1"/>
  <c r="E100" i="8"/>
  <c r="M100" i="8" s="1"/>
  <c r="E101" i="8"/>
  <c r="M101" i="8" s="1"/>
  <c r="E102" i="8"/>
  <c r="M102" i="8" s="1"/>
  <c r="E103" i="8"/>
  <c r="M103" i="8" s="1"/>
  <c r="E104" i="8"/>
  <c r="M104" i="8" s="1"/>
  <c r="C104" i="7" a="1"/>
  <c r="C104" i="7" s="1"/>
  <c r="C103" i="7" a="1"/>
  <c r="C103" i="7" s="1"/>
  <c r="C102" i="7" a="1"/>
  <c r="C102" i="7" s="1"/>
  <c r="C101" i="7" a="1"/>
  <c r="C101" i="7" s="1"/>
  <c r="C100" i="7" a="1"/>
  <c r="C100" i="7" s="1"/>
  <c r="C99" i="7" a="1"/>
  <c r="C99" i="7" s="1"/>
  <c r="C98" i="7" a="1"/>
  <c r="C98" i="7" s="1"/>
  <c r="C97" i="7" a="1"/>
  <c r="C97" i="7" s="1"/>
  <c r="C96" i="7" a="1"/>
  <c r="C96" i="7" s="1"/>
  <c r="C95" i="7" a="1"/>
  <c r="C95" i="7" s="1"/>
  <c r="C94" i="7" a="1"/>
  <c r="C94" i="7" s="1"/>
  <c r="C93" i="7" a="1"/>
  <c r="C93" i="7" s="1"/>
  <c r="C92" i="7" a="1"/>
  <c r="C92" i="7" s="1"/>
  <c r="C91" i="7" a="1"/>
  <c r="C91" i="7" s="1"/>
  <c r="C90" i="7" a="1"/>
  <c r="C90" i="7" s="1"/>
  <c r="C89" i="7" a="1"/>
  <c r="C89" i="7" s="1"/>
  <c r="C88" i="7" a="1"/>
  <c r="C88" i="7" s="1"/>
  <c r="C87" i="7" a="1"/>
  <c r="C87" i="7" s="1"/>
  <c r="C86" i="7" a="1"/>
  <c r="C86" i="7" s="1"/>
  <c r="C85" i="7" a="1"/>
  <c r="C85" i="7" s="1"/>
  <c r="C84" i="7" a="1"/>
  <c r="C84" i="7" s="1"/>
  <c r="C83" i="7" a="1"/>
  <c r="C83" i="7" s="1"/>
  <c r="C82" i="7" a="1"/>
  <c r="C82" i="7" s="1"/>
  <c r="C81" i="7" a="1"/>
  <c r="C81" i="7" s="1"/>
  <c r="C80" i="7" a="1"/>
  <c r="C80" i="7" s="1"/>
  <c r="C79" i="7" a="1"/>
  <c r="C79" i="7" s="1"/>
  <c r="C78" i="7" a="1"/>
  <c r="C78" i="7" s="1"/>
  <c r="C77" i="7" a="1"/>
  <c r="C77" i="7" s="1"/>
  <c r="C76" i="7" a="1"/>
  <c r="C76" i="7" s="1"/>
  <c r="C75" i="7" a="1"/>
  <c r="C75" i="7" s="1"/>
  <c r="C74" i="7" a="1"/>
  <c r="C74" i="7" s="1"/>
  <c r="C73" i="7" a="1"/>
  <c r="C73" i="7" s="1"/>
  <c r="C72" i="7" a="1"/>
  <c r="C72" i="7" s="1"/>
  <c r="C71" i="7" a="1"/>
  <c r="C71" i="7" s="1"/>
  <c r="C70" i="7" a="1"/>
  <c r="C70" i="7" s="1"/>
  <c r="C69" i="7" a="1"/>
  <c r="C69" i="7" s="1"/>
  <c r="C68" i="7" a="1"/>
  <c r="C68" i="7" s="1"/>
  <c r="C67" i="7" a="1"/>
  <c r="C67" i="7" s="1"/>
  <c r="C66" i="7" a="1"/>
  <c r="C66" i="7" s="1"/>
  <c r="C65" i="7" a="1"/>
  <c r="C65" i="7" s="1"/>
  <c r="C64" i="7" a="1"/>
  <c r="C64" i="7" s="1"/>
  <c r="C63" i="7" a="1"/>
  <c r="C63" i="7" s="1"/>
  <c r="C62" i="7" a="1"/>
  <c r="C62" i="7" s="1"/>
  <c r="C61" i="7" a="1"/>
  <c r="C61" i="7" s="1"/>
  <c r="C60" i="7" a="1"/>
  <c r="C60" i="7" s="1"/>
  <c r="C59" i="7" a="1"/>
  <c r="C59" i="7" s="1"/>
  <c r="C58" i="7" a="1"/>
  <c r="C58" i="7" s="1"/>
  <c r="C57" i="7" a="1"/>
  <c r="C57" i="7" s="1"/>
  <c r="C56" i="7" a="1"/>
  <c r="C56" i="7" s="1"/>
  <c r="C55" i="7" a="1"/>
  <c r="C55" i="7" s="1"/>
  <c r="C54" i="7" a="1"/>
  <c r="C54" i="7" s="1"/>
  <c r="C53" i="7" a="1"/>
  <c r="C53" i="7" s="1"/>
  <c r="C52" i="7" a="1"/>
  <c r="C52" i="7" s="1"/>
  <c r="C51" i="7" a="1"/>
  <c r="C51" i="7" s="1"/>
  <c r="C50" i="7" a="1"/>
  <c r="C50" i="7" s="1"/>
  <c r="C49" i="7" a="1"/>
  <c r="C49" i="7" s="1"/>
  <c r="C48" i="7" a="1"/>
  <c r="C48" i="7" s="1"/>
  <c r="C47" i="7" a="1"/>
  <c r="C47" i="7" s="1"/>
  <c r="C46" i="7" a="1"/>
  <c r="C46" i="7" s="1"/>
  <c r="C45" i="7" a="1"/>
  <c r="C45" i="7" s="1"/>
  <c r="C44" i="7" a="1"/>
  <c r="C44" i="7" s="1"/>
  <c r="C43" i="7" a="1"/>
  <c r="C43" i="7" s="1"/>
  <c r="C42" i="7" a="1"/>
  <c r="C42" i="7" s="1"/>
  <c r="C41" i="7" a="1"/>
  <c r="C41" i="7" s="1"/>
  <c r="C40" i="7" a="1"/>
  <c r="C40" i="7" s="1"/>
  <c r="C39" i="7" a="1"/>
  <c r="C39" i="7" s="1"/>
  <c r="C38" i="7" a="1"/>
  <c r="C38" i="7" s="1"/>
  <c r="C37" i="7" a="1"/>
  <c r="C37" i="7" s="1"/>
  <c r="C36" i="7" a="1"/>
  <c r="C36" i="7" s="1"/>
  <c r="C35" i="7" a="1"/>
  <c r="C35" i="7" s="1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5" i="7" a="1"/>
  <c r="C5" i="7" s="1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G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5" i="6"/>
  <c r="AB7" i="7" l="1"/>
  <c r="C101" i="3"/>
  <c r="B101" i="3"/>
  <c r="B100" i="3"/>
  <c r="B89" i="3"/>
  <c r="C89" i="3"/>
  <c r="B77" i="3"/>
  <c r="C77" i="3"/>
  <c r="B76" i="3"/>
  <c r="AB8" i="6"/>
  <c r="AB7" i="6"/>
  <c r="AD13" i="8"/>
  <c r="R94" i="8"/>
  <c r="AD11" i="8"/>
  <c r="AD9" i="8"/>
  <c r="AD16" i="8"/>
  <c r="AD8" i="8"/>
  <c r="AD12" i="8"/>
  <c r="AD17" i="8"/>
  <c r="AD15" i="8"/>
  <c r="AD7" i="8"/>
  <c r="AD10" i="8"/>
  <c r="AD14" i="8"/>
  <c r="M13" i="8"/>
  <c r="M48" i="3"/>
  <c r="L49" i="3"/>
  <c r="L50" i="3"/>
  <c r="L51" i="3"/>
  <c r="L52" i="3"/>
  <c r="L53" i="3"/>
  <c r="L54" i="3"/>
  <c r="L55" i="3"/>
  <c r="L56" i="3"/>
  <c r="L57" i="3"/>
  <c r="L58" i="3"/>
  <c r="L59" i="3"/>
  <c r="L60" i="3"/>
  <c r="L48" i="3"/>
  <c r="H48" i="3"/>
  <c r="D64" i="3"/>
  <c r="H37" i="12"/>
  <c r="H36" i="12"/>
  <c r="H35" i="12"/>
  <c r="H34" i="12"/>
  <c r="H33" i="12"/>
  <c r="G31" i="12"/>
  <c r="C102" i="3" l="1"/>
  <c r="B102" i="3"/>
  <c r="C90" i="3"/>
  <c r="B90" i="3"/>
  <c r="C78" i="3"/>
  <c r="B78" i="3"/>
  <c r="AB8" i="7"/>
  <c r="AB9" i="6"/>
  <c r="N48" i="3"/>
  <c r="Q48" i="3" s="1"/>
  <c r="H31" i="12"/>
  <c r="X4" i="11"/>
  <c r="Y4" i="11"/>
  <c r="F4" i="11"/>
  <c r="V85" i="9"/>
  <c r="V84" i="9"/>
  <c r="V83" i="9"/>
  <c r="V82" i="9"/>
  <c r="V81" i="9"/>
  <c r="V80" i="9"/>
  <c r="V79" i="9"/>
  <c r="V78" i="9"/>
  <c r="V77" i="9"/>
  <c r="V76" i="9"/>
  <c r="V75" i="9"/>
  <c r="V74" i="9"/>
  <c r="V73" i="9"/>
  <c r="V72" i="9"/>
  <c r="V71" i="9"/>
  <c r="V70" i="9"/>
  <c r="V69" i="9"/>
  <c r="V68" i="9"/>
  <c r="V67" i="9"/>
  <c r="V66" i="9"/>
  <c r="V65" i="9"/>
  <c r="V64" i="9"/>
  <c r="V63" i="9"/>
  <c r="V62" i="9"/>
  <c r="V61" i="9"/>
  <c r="V60" i="9"/>
  <c r="V59" i="9"/>
  <c r="W59" i="9" s="1"/>
  <c r="V58" i="9"/>
  <c r="V57" i="9"/>
  <c r="V56" i="9"/>
  <c r="V55" i="9"/>
  <c r="V54" i="9"/>
  <c r="V53" i="9"/>
  <c r="V52" i="9"/>
  <c r="V51" i="9"/>
  <c r="V50" i="9"/>
  <c r="V49" i="9"/>
  <c r="V48" i="9"/>
  <c r="V47" i="9"/>
  <c r="V46" i="9"/>
  <c r="V45" i="9"/>
  <c r="V44" i="9"/>
  <c r="V43" i="9"/>
  <c r="V42" i="9"/>
  <c r="V41" i="9"/>
  <c r="V40" i="9"/>
  <c r="V39" i="9"/>
  <c r="V38" i="9"/>
  <c r="V37" i="9"/>
  <c r="V36" i="9"/>
  <c r="V35" i="9"/>
  <c r="W35" i="9" s="1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V13" i="9"/>
  <c r="V12" i="9"/>
  <c r="V11" i="9"/>
  <c r="W11" i="9" s="1"/>
  <c r="V10" i="9"/>
  <c r="V9" i="9"/>
  <c r="V8" i="9"/>
  <c r="V7" i="9"/>
  <c r="V6" i="9"/>
  <c r="V5" i="9"/>
  <c r="W5" i="9" s="1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W71" i="8"/>
  <c r="W70" i="8"/>
  <c r="W69" i="8"/>
  <c r="W68" i="8"/>
  <c r="W67" i="8"/>
  <c r="W66" i="8"/>
  <c r="W65" i="8"/>
  <c r="W64" i="8"/>
  <c r="W63" i="8"/>
  <c r="W62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20" i="8"/>
  <c r="W19" i="8"/>
  <c r="W18" i="8"/>
  <c r="W17" i="8"/>
  <c r="W16" i="8"/>
  <c r="W15" i="8"/>
  <c r="W14" i="8"/>
  <c r="W13" i="8"/>
  <c r="W12" i="8"/>
  <c r="W11" i="8"/>
  <c r="W10" i="8"/>
  <c r="W9" i="8"/>
  <c r="W8" i="8"/>
  <c r="W7" i="8"/>
  <c r="W6" i="8"/>
  <c r="W5" i="8"/>
  <c r="X5" i="8" s="1"/>
  <c r="H9" i="7"/>
  <c r="I9" i="7" s="1"/>
  <c r="H5" i="7"/>
  <c r="I5" i="7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R5" i="8"/>
  <c r="S5" i="8" s="1"/>
  <c r="R6" i="8"/>
  <c r="S6" i="8" s="1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A4" i="11"/>
  <c r="H28" i="12"/>
  <c r="H27" i="12"/>
  <c r="H26" i="12"/>
  <c r="H25" i="12"/>
  <c r="H24" i="12"/>
  <c r="G22" i="12"/>
  <c r="H16" i="12"/>
  <c r="H17" i="12"/>
  <c r="H18" i="12"/>
  <c r="H19" i="12"/>
  <c r="H15" i="12"/>
  <c r="G13" i="12"/>
  <c r="D48" i="3"/>
  <c r="E48" i="3" s="1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Q85" i="9"/>
  <c r="G85" i="9"/>
  <c r="Q84" i="9"/>
  <c r="G84" i="9"/>
  <c r="Q83" i="9"/>
  <c r="G83" i="9"/>
  <c r="Q82" i="9"/>
  <c r="G82" i="9"/>
  <c r="Q81" i="9"/>
  <c r="G81" i="9"/>
  <c r="Q80" i="9"/>
  <c r="G80" i="9"/>
  <c r="Q79" i="9"/>
  <c r="G79" i="9"/>
  <c r="Q78" i="9"/>
  <c r="G78" i="9"/>
  <c r="Q77" i="9"/>
  <c r="G77" i="9"/>
  <c r="Q76" i="9"/>
  <c r="G76" i="9"/>
  <c r="Q75" i="9"/>
  <c r="G75" i="9"/>
  <c r="Q74" i="9"/>
  <c r="G74" i="9"/>
  <c r="Q73" i="9"/>
  <c r="G73" i="9"/>
  <c r="Q72" i="9"/>
  <c r="G72" i="9"/>
  <c r="Q71" i="9"/>
  <c r="G71" i="9"/>
  <c r="Q70" i="9"/>
  <c r="G70" i="9"/>
  <c r="Q69" i="9"/>
  <c r="G69" i="9"/>
  <c r="Q68" i="9"/>
  <c r="G68" i="9"/>
  <c r="Q67" i="9"/>
  <c r="G67" i="9"/>
  <c r="Q66" i="9"/>
  <c r="G66" i="9"/>
  <c r="Q65" i="9"/>
  <c r="G65" i="9"/>
  <c r="Q64" i="9"/>
  <c r="G64" i="9"/>
  <c r="Q63" i="9"/>
  <c r="G63" i="9"/>
  <c r="Q62" i="9"/>
  <c r="G62" i="9"/>
  <c r="Q61" i="9"/>
  <c r="G61" i="9"/>
  <c r="Q60" i="9"/>
  <c r="G60" i="9"/>
  <c r="Q59" i="9"/>
  <c r="G59" i="9"/>
  <c r="Q58" i="9"/>
  <c r="G58" i="9"/>
  <c r="Q57" i="9"/>
  <c r="G57" i="9"/>
  <c r="Q56" i="9"/>
  <c r="G56" i="9"/>
  <c r="Q55" i="9"/>
  <c r="G55" i="9"/>
  <c r="Q54" i="9"/>
  <c r="G54" i="9"/>
  <c r="Q53" i="9"/>
  <c r="G53" i="9"/>
  <c r="Q52" i="9"/>
  <c r="G52" i="9"/>
  <c r="Q51" i="9"/>
  <c r="G51" i="9"/>
  <c r="Q50" i="9"/>
  <c r="G50" i="9"/>
  <c r="Q49" i="9"/>
  <c r="G49" i="9"/>
  <c r="Q48" i="9"/>
  <c r="G48" i="9"/>
  <c r="Q47" i="9"/>
  <c r="G47" i="9"/>
  <c r="Q46" i="9"/>
  <c r="G46" i="9"/>
  <c r="Q45" i="9"/>
  <c r="G45" i="9"/>
  <c r="Q44" i="9"/>
  <c r="G44" i="9"/>
  <c r="Q43" i="9"/>
  <c r="G43" i="9"/>
  <c r="Q42" i="9"/>
  <c r="G42" i="9"/>
  <c r="Q41" i="9"/>
  <c r="G41" i="9"/>
  <c r="Q40" i="9"/>
  <c r="G40" i="9"/>
  <c r="Q39" i="9"/>
  <c r="G39" i="9"/>
  <c r="Q38" i="9"/>
  <c r="G38" i="9"/>
  <c r="Q37" i="9"/>
  <c r="G37" i="9"/>
  <c r="Q36" i="9"/>
  <c r="G36" i="9"/>
  <c r="Q35" i="9"/>
  <c r="G35" i="9"/>
  <c r="Q34" i="9"/>
  <c r="G34" i="9"/>
  <c r="Q33" i="9"/>
  <c r="G33" i="9"/>
  <c r="Q32" i="9"/>
  <c r="G32" i="9"/>
  <c r="Q31" i="9"/>
  <c r="G31" i="9"/>
  <c r="Q30" i="9"/>
  <c r="G30" i="9"/>
  <c r="Q29" i="9"/>
  <c r="G29" i="9"/>
  <c r="Q28" i="9"/>
  <c r="G28" i="9"/>
  <c r="Q27" i="9"/>
  <c r="G27" i="9"/>
  <c r="Q26" i="9"/>
  <c r="G26" i="9"/>
  <c r="Q25" i="9"/>
  <c r="G25" i="9"/>
  <c r="Q24" i="9"/>
  <c r="G24" i="9"/>
  <c r="Q23" i="9"/>
  <c r="G23" i="9"/>
  <c r="Q22" i="9"/>
  <c r="G22" i="9"/>
  <c r="Q21" i="9"/>
  <c r="G21" i="9"/>
  <c r="Q20" i="9"/>
  <c r="G20" i="9"/>
  <c r="Q19" i="9"/>
  <c r="G19" i="9"/>
  <c r="Q18" i="9"/>
  <c r="G18" i="9"/>
  <c r="Q17" i="9"/>
  <c r="G17" i="9"/>
  <c r="Q16" i="9"/>
  <c r="G16" i="9"/>
  <c r="Q15" i="9"/>
  <c r="G15" i="9"/>
  <c r="Q14" i="9"/>
  <c r="G14" i="9"/>
  <c r="Q13" i="9"/>
  <c r="G13" i="9"/>
  <c r="Q12" i="9"/>
  <c r="G12" i="9"/>
  <c r="Q11" i="9"/>
  <c r="G11" i="9"/>
  <c r="Q10" i="9"/>
  <c r="G10" i="9"/>
  <c r="Q9" i="9"/>
  <c r="G9" i="9"/>
  <c r="Q8" i="9"/>
  <c r="G8" i="9"/>
  <c r="Q7" i="9"/>
  <c r="G7" i="9"/>
  <c r="Q6" i="9"/>
  <c r="G6" i="9"/>
  <c r="Q5" i="9"/>
  <c r="R5" i="9" s="1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U85" i="7"/>
  <c r="P85" i="7"/>
  <c r="G85" i="7"/>
  <c r="U84" i="7"/>
  <c r="P84" i="7"/>
  <c r="G84" i="7"/>
  <c r="U83" i="7"/>
  <c r="P83" i="7"/>
  <c r="G83" i="7"/>
  <c r="U82" i="7"/>
  <c r="P82" i="7"/>
  <c r="G82" i="7"/>
  <c r="U81" i="7"/>
  <c r="P81" i="7"/>
  <c r="G81" i="7"/>
  <c r="U80" i="7"/>
  <c r="P80" i="7"/>
  <c r="G80" i="7"/>
  <c r="U79" i="7"/>
  <c r="P79" i="7"/>
  <c r="G79" i="7"/>
  <c r="U78" i="7"/>
  <c r="P78" i="7"/>
  <c r="G78" i="7"/>
  <c r="U77" i="7"/>
  <c r="P77" i="7"/>
  <c r="G77" i="7"/>
  <c r="U76" i="7"/>
  <c r="P76" i="7"/>
  <c r="G76" i="7"/>
  <c r="U75" i="7"/>
  <c r="P75" i="7"/>
  <c r="G75" i="7"/>
  <c r="U74" i="7"/>
  <c r="P74" i="7"/>
  <c r="G74" i="7"/>
  <c r="U73" i="7"/>
  <c r="P73" i="7"/>
  <c r="G73" i="7"/>
  <c r="U72" i="7"/>
  <c r="P72" i="7"/>
  <c r="G72" i="7"/>
  <c r="U71" i="7"/>
  <c r="P71" i="7"/>
  <c r="G71" i="7"/>
  <c r="U70" i="7"/>
  <c r="P70" i="7"/>
  <c r="G70" i="7"/>
  <c r="U69" i="7"/>
  <c r="P69" i="7"/>
  <c r="G69" i="7"/>
  <c r="U68" i="7"/>
  <c r="P68" i="7"/>
  <c r="G68" i="7"/>
  <c r="U67" i="7"/>
  <c r="P67" i="7"/>
  <c r="G67" i="7"/>
  <c r="U66" i="7"/>
  <c r="P66" i="7"/>
  <c r="G66" i="7"/>
  <c r="U65" i="7"/>
  <c r="P65" i="7"/>
  <c r="G65" i="7"/>
  <c r="U64" i="7"/>
  <c r="P64" i="7"/>
  <c r="G64" i="7"/>
  <c r="U63" i="7"/>
  <c r="P63" i="7"/>
  <c r="G63" i="7"/>
  <c r="U62" i="7"/>
  <c r="P62" i="7"/>
  <c r="G62" i="7"/>
  <c r="U61" i="7"/>
  <c r="P61" i="7"/>
  <c r="G61" i="7"/>
  <c r="U60" i="7"/>
  <c r="P60" i="7"/>
  <c r="G60" i="7"/>
  <c r="U59" i="7"/>
  <c r="P59" i="7"/>
  <c r="G59" i="7"/>
  <c r="U58" i="7"/>
  <c r="P58" i="7"/>
  <c r="G58" i="7"/>
  <c r="U57" i="7"/>
  <c r="P57" i="7"/>
  <c r="G57" i="7"/>
  <c r="U56" i="7"/>
  <c r="P56" i="7"/>
  <c r="G56" i="7"/>
  <c r="U55" i="7"/>
  <c r="P55" i="7"/>
  <c r="G55" i="7"/>
  <c r="U54" i="7"/>
  <c r="P54" i="7"/>
  <c r="G54" i="7"/>
  <c r="U53" i="7"/>
  <c r="P53" i="7"/>
  <c r="G53" i="7"/>
  <c r="U52" i="7"/>
  <c r="P52" i="7"/>
  <c r="G52" i="7"/>
  <c r="U51" i="7"/>
  <c r="P51" i="7"/>
  <c r="G51" i="7"/>
  <c r="U50" i="7"/>
  <c r="P50" i="7"/>
  <c r="G50" i="7"/>
  <c r="U49" i="7"/>
  <c r="P49" i="7"/>
  <c r="G49" i="7"/>
  <c r="U48" i="7"/>
  <c r="P48" i="7"/>
  <c r="G48" i="7"/>
  <c r="U47" i="7"/>
  <c r="P47" i="7"/>
  <c r="G47" i="7"/>
  <c r="U46" i="7"/>
  <c r="P46" i="7"/>
  <c r="G46" i="7"/>
  <c r="U45" i="7"/>
  <c r="P45" i="7"/>
  <c r="G45" i="7"/>
  <c r="U44" i="7"/>
  <c r="P44" i="7"/>
  <c r="G44" i="7"/>
  <c r="U43" i="7"/>
  <c r="P43" i="7"/>
  <c r="G43" i="7"/>
  <c r="U42" i="7"/>
  <c r="P42" i="7"/>
  <c r="G42" i="7"/>
  <c r="U41" i="7"/>
  <c r="P41" i="7"/>
  <c r="G41" i="7"/>
  <c r="U40" i="7"/>
  <c r="P40" i="7"/>
  <c r="G40" i="7"/>
  <c r="U39" i="7"/>
  <c r="P39" i="7"/>
  <c r="G39" i="7"/>
  <c r="U38" i="7"/>
  <c r="P38" i="7"/>
  <c r="G38" i="7"/>
  <c r="U37" i="7"/>
  <c r="P37" i="7"/>
  <c r="G37" i="7"/>
  <c r="U36" i="7"/>
  <c r="P36" i="7"/>
  <c r="G36" i="7"/>
  <c r="U35" i="7"/>
  <c r="P35" i="7"/>
  <c r="G35" i="7"/>
  <c r="U34" i="7"/>
  <c r="P34" i="7"/>
  <c r="G34" i="7"/>
  <c r="U33" i="7"/>
  <c r="P33" i="7"/>
  <c r="G33" i="7"/>
  <c r="U32" i="7"/>
  <c r="P32" i="7"/>
  <c r="G32" i="7"/>
  <c r="U31" i="7"/>
  <c r="P31" i="7"/>
  <c r="G31" i="7"/>
  <c r="U30" i="7"/>
  <c r="P30" i="7"/>
  <c r="G30" i="7"/>
  <c r="U29" i="7"/>
  <c r="P29" i="7"/>
  <c r="G29" i="7"/>
  <c r="U28" i="7"/>
  <c r="P28" i="7"/>
  <c r="G28" i="7"/>
  <c r="U27" i="7"/>
  <c r="P27" i="7"/>
  <c r="G27" i="7"/>
  <c r="U26" i="7"/>
  <c r="P26" i="7"/>
  <c r="G26" i="7"/>
  <c r="U25" i="7"/>
  <c r="P25" i="7"/>
  <c r="G25" i="7"/>
  <c r="U24" i="7"/>
  <c r="P24" i="7"/>
  <c r="G24" i="7"/>
  <c r="U23" i="7"/>
  <c r="P23" i="7"/>
  <c r="G23" i="7"/>
  <c r="U22" i="7"/>
  <c r="P22" i="7"/>
  <c r="G22" i="7"/>
  <c r="U21" i="7"/>
  <c r="P21" i="7"/>
  <c r="G21" i="7"/>
  <c r="U20" i="7"/>
  <c r="P20" i="7"/>
  <c r="G20" i="7"/>
  <c r="U19" i="7"/>
  <c r="P19" i="7"/>
  <c r="G19" i="7"/>
  <c r="U18" i="7"/>
  <c r="P18" i="7"/>
  <c r="G18" i="7"/>
  <c r="U17" i="7"/>
  <c r="P17" i="7"/>
  <c r="G17" i="7"/>
  <c r="U16" i="7"/>
  <c r="P16" i="7"/>
  <c r="G16" i="7"/>
  <c r="U15" i="7"/>
  <c r="P15" i="7"/>
  <c r="G15" i="7"/>
  <c r="U14" i="7"/>
  <c r="P14" i="7"/>
  <c r="G14" i="7"/>
  <c r="U13" i="7"/>
  <c r="P13" i="7"/>
  <c r="G13" i="7"/>
  <c r="U12" i="7"/>
  <c r="P12" i="7"/>
  <c r="G12" i="7"/>
  <c r="H29" i="7" s="1"/>
  <c r="I29" i="7" s="1"/>
  <c r="U11" i="7"/>
  <c r="P11" i="7"/>
  <c r="G11" i="7"/>
  <c r="U10" i="7"/>
  <c r="P10" i="7"/>
  <c r="G10" i="7"/>
  <c r="U9" i="7"/>
  <c r="P9" i="7"/>
  <c r="G9" i="7"/>
  <c r="U8" i="7"/>
  <c r="P8" i="7"/>
  <c r="G8" i="7"/>
  <c r="U7" i="7"/>
  <c r="P7" i="7"/>
  <c r="G7" i="7"/>
  <c r="H16" i="7" s="1"/>
  <c r="I16" i="7" s="1"/>
  <c r="U6" i="7"/>
  <c r="P6" i="7"/>
  <c r="G6" i="7"/>
  <c r="H8" i="7" s="1"/>
  <c r="I8" i="7" s="1"/>
  <c r="U5" i="7"/>
  <c r="V5" i="7" s="1"/>
  <c r="P5" i="7"/>
  <c r="Q5" i="7" s="1"/>
  <c r="G5" i="7"/>
  <c r="H14" i="7" s="1"/>
  <c r="I14" i="7" s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4" i="11"/>
  <c r="E5" i="11"/>
  <c r="E6" i="11" s="1"/>
  <c r="E7" i="11" s="1"/>
  <c r="E8" i="11" s="1"/>
  <c r="E9" i="11" s="1"/>
  <c r="E10" i="11" s="1"/>
  <c r="E11" i="11" s="1"/>
  <c r="G5" i="1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F53" i="11" s="1"/>
  <c r="B49" i="3"/>
  <c r="G48" i="3"/>
  <c r="C49" i="3"/>
  <c r="D49" i="3" s="1"/>
  <c r="C33" i="3"/>
  <c r="B34" i="3" s="1"/>
  <c r="B33" i="3"/>
  <c r="D28" i="3"/>
  <c r="D27" i="3"/>
  <c r="D26" i="3"/>
  <c r="D25" i="3"/>
  <c r="D17" i="3"/>
  <c r="D18" i="3"/>
  <c r="D19" i="3"/>
  <c r="D20" i="3"/>
  <c r="D21" i="3"/>
  <c r="D22" i="3"/>
  <c r="D23" i="3"/>
  <c r="D24" i="3"/>
  <c r="D16" i="3"/>
  <c r="C17" i="3"/>
  <c r="B18" i="3" s="1"/>
  <c r="B17" i="3"/>
  <c r="D5" i="3"/>
  <c r="S11" i="8" l="1"/>
  <c r="S10" i="8"/>
  <c r="S74" i="8"/>
  <c r="S58" i="8"/>
  <c r="S38" i="8"/>
  <c r="R17" i="9"/>
  <c r="S81" i="8"/>
  <c r="S51" i="8"/>
  <c r="S43" i="8"/>
  <c r="S75" i="8"/>
  <c r="S44" i="8"/>
  <c r="V48" i="7"/>
  <c r="Q59" i="7"/>
  <c r="S24" i="8"/>
  <c r="S80" i="8"/>
  <c r="S64" i="8"/>
  <c r="S48" i="8"/>
  <c r="S40" i="8"/>
  <c r="S32" i="8"/>
  <c r="S17" i="8"/>
  <c r="S16" i="8"/>
  <c r="S42" i="8"/>
  <c r="S26" i="8"/>
  <c r="S19" i="8"/>
  <c r="S12" i="8"/>
  <c r="W15" i="9"/>
  <c r="W39" i="9"/>
  <c r="W55" i="9"/>
  <c r="W63" i="9"/>
  <c r="W79" i="9"/>
  <c r="S56" i="8"/>
  <c r="S70" i="8"/>
  <c r="S62" i="8"/>
  <c r="S54" i="8"/>
  <c r="V53" i="7"/>
  <c r="V61" i="7"/>
  <c r="Q64" i="7"/>
  <c r="Q72" i="7"/>
  <c r="Q80" i="7"/>
  <c r="V85" i="7"/>
  <c r="R27" i="9"/>
  <c r="R31" i="9"/>
  <c r="R39" i="9"/>
  <c r="R47" i="9"/>
  <c r="R55" i="9"/>
  <c r="R59" i="9"/>
  <c r="R67" i="9"/>
  <c r="S83" i="8"/>
  <c r="S76" i="8"/>
  <c r="S69" i="8"/>
  <c r="S30" i="8"/>
  <c r="S49" i="8"/>
  <c r="X74" i="8"/>
  <c r="X82" i="8"/>
  <c r="S72" i="8"/>
  <c r="S37" i="8"/>
  <c r="S22" i="8"/>
  <c r="S8" i="8"/>
  <c r="X64" i="8"/>
  <c r="R61" i="9"/>
  <c r="R69" i="9"/>
  <c r="R81" i="9"/>
  <c r="R85" i="9"/>
  <c r="S67" i="8"/>
  <c r="S60" i="8"/>
  <c r="S35" i="8"/>
  <c r="S28" i="8"/>
  <c r="X9" i="8"/>
  <c r="X17" i="8"/>
  <c r="X25" i="8"/>
  <c r="X73" i="8"/>
  <c r="X79" i="8"/>
  <c r="X40" i="8"/>
  <c r="X56" i="8"/>
  <c r="Q71" i="7"/>
  <c r="S59" i="8"/>
  <c r="S27" i="8"/>
  <c r="S85" i="8"/>
  <c r="S78" i="8"/>
  <c r="S65" i="8"/>
  <c r="S53" i="8"/>
  <c r="S46" i="8"/>
  <c r="S33" i="8"/>
  <c r="S21" i="8"/>
  <c r="S14" i="8"/>
  <c r="X28" i="8"/>
  <c r="X44" i="8"/>
  <c r="X68" i="8"/>
  <c r="X76" i="8"/>
  <c r="R20" i="9"/>
  <c r="R32" i="9"/>
  <c r="R36" i="9"/>
  <c r="R56" i="9"/>
  <c r="R84" i="9"/>
  <c r="W6" i="9"/>
  <c r="R42" i="9"/>
  <c r="R46" i="9"/>
  <c r="R54" i="9"/>
  <c r="W28" i="9"/>
  <c r="W49" i="9"/>
  <c r="W57" i="9"/>
  <c r="W65" i="9"/>
  <c r="W73" i="9"/>
  <c r="W81" i="9"/>
  <c r="R66" i="9"/>
  <c r="W82" i="9"/>
  <c r="H103" i="7"/>
  <c r="I103" i="7" s="1"/>
  <c r="H68" i="7"/>
  <c r="I68" i="7" s="1"/>
  <c r="H39" i="7"/>
  <c r="I39" i="7" s="1"/>
  <c r="H24" i="7"/>
  <c r="I24" i="7" s="1"/>
  <c r="H102" i="7"/>
  <c r="I102" i="7" s="1"/>
  <c r="H97" i="7"/>
  <c r="I97" i="7" s="1"/>
  <c r="H92" i="7"/>
  <c r="I92" i="7" s="1"/>
  <c r="H82" i="7"/>
  <c r="I82" i="7" s="1"/>
  <c r="H77" i="7"/>
  <c r="I77" i="7" s="1"/>
  <c r="H63" i="7"/>
  <c r="I63" i="7" s="1"/>
  <c r="H53" i="7"/>
  <c r="I53" i="7" s="1"/>
  <c r="H48" i="7"/>
  <c r="I48" i="7" s="1"/>
  <c r="H43" i="7"/>
  <c r="I43" i="7" s="1"/>
  <c r="H38" i="7"/>
  <c r="I38" i="7" s="1"/>
  <c r="H33" i="7"/>
  <c r="I33" i="7" s="1"/>
  <c r="H19" i="7"/>
  <c r="I19" i="7" s="1"/>
  <c r="H13" i="7"/>
  <c r="I13" i="7" s="1"/>
  <c r="H96" i="7"/>
  <c r="I96" i="7" s="1"/>
  <c r="H87" i="7"/>
  <c r="I87" i="7" s="1"/>
  <c r="H72" i="7"/>
  <c r="I72" i="7" s="1"/>
  <c r="H67" i="7"/>
  <c r="I67" i="7" s="1"/>
  <c r="H62" i="7"/>
  <c r="I62" i="7" s="1"/>
  <c r="H57" i="7"/>
  <c r="I57" i="7" s="1"/>
  <c r="H47" i="7"/>
  <c r="I47" i="7" s="1"/>
  <c r="H42" i="7"/>
  <c r="I42" i="7" s="1"/>
  <c r="H28" i="7"/>
  <c r="I28" i="7" s="1"/>
  <c r="H23" i="7"/>
  <c r="I23" i="7" s="1"/>
  <c r="H18" i="7"/>
  <c r="I18" i="7" s="1"/>
  <c r="Q66" i="7"/>
  <c r="H101" i="7"/>
  <c r="I101" i="7" s="1"/>
  <c r="H91" i="7"/>
  <c r="I91" i="7" s="1"/>
  <c r="H86" i="7"/>
  <c r="I86" i="7" s="1"/>
  <c r="H81" i="7"/>
  <c r="I81" i="7" s="1"/>
  <c r="H76" i="7"/>
  <c r="I76" i="7" s="1"/>
  <c r="H66" i="7"/>
  <c r="I66" i="7" s="1"/>
  <c r="H52" i="7"/>
  <c r="I52" i="7" s="1"/>
  <c r="H46" i="7"/>
  <c r="I46" i="7" s="1"/>
  <c r="H37" i="7"/>
  <c r="I37" i="7" s="1"/>
  <c r="H32" i="7"/>
  <c r="I32" i="7" s="1"/>
  <c r="H27" i="7"/>
  <c r="I27" i="7" s="1"/>
  <c r="H22" i="7"/>
  <c r="I22" i="7" s="1"/>
  <c r="H12" i="7"/>
  <c r="I12" i="7" s="1"/>
  <c r="H88" i="7"/>
  <c r="I88" i="7" s="1"/>
  <c r="H49" i="7"/>
  <c r="I49" i="7" s="1"/>
  <c r="V34" i="7"/>
  <c r="Q24" i="7"/>
  <c r="H100" i="7"/>
  <c r="I100" i="7" s="1"/>
  <c r="H80" i="7"/>
  <c r="I80" i="7" s="1"/>
  <c r="H70" i="7"/>
  <c r="I70" i="7" s="1"/>
  <c r="H51" i="7"/>
  <c r="I51" i="7" s="1"/>
  <c r="H31" i="7"/>
  <c r="I31" i="7" s="1"/>
  <c r="H11" i="7"/>
  <c r="I11" i="7" s="1"/>
  <c r="V25" i="7"/>
  <c r="V57" i="7"/>
  <c r="H104" i="7"/>
  <c r="I104" i="7" s="1"/>
  <c r="H99" i="7"/>
  <c r="I99" i="7" s="1"/>
  <c r="H89" i="7"/>
  <c r="I89" i="7" s="1"/>
  <c r="H79" i="7"/>
  <c r="I79" i="7" s="1"/>
  <c r="H74" i="7"/>
  <c r="I74" i="7" s="1"/>
  <c r="H60" i="7"/>
  <c r="I60" i="7" s="1"/>
  <c r="H55" i="7"/>
  <c r="I55" i="7" s="1"/>
  <c r="H50" i="7"/>
  <c r="I50" i="7" s="1"/>
  <c r="H40" i="7"/>
  <c r="I40" i="7" s="1"/>
  <c r="H35" i="7"/>
  <c r="I35" i="7" s="1"/>
  <c r="H30" i="7"/>
  <c r="I30" i="7" s="1"/>
  <c r="H25" i="7"/>
  <c r="I25" i="7" s="1"/>
  <c r="H15" i="7"/>
  <c r="I15" i="7" s="1"/>
  <c r="H10" i="7"/>
  <c r="I10" i="7" s="1"/>
  <c r="H6" i="7"/>
  <c r="I6" i="7" s="1"/>
  <c r="H83" i="7"/>
  <c r="I83" i="7" s="1"/>
  <c r="H73" i="7"/>
  <c r="I73" i="7" s="1"/>
  <c r="H58" i="7"/>
  <c r="I58" i="7" s="1"/>
  <c r="Q85" i="7"/>
  <c r="H95" i="7"/>
  <c r="I95" i="7" s="1"/>
  <c r="H90" i="7"/>
  <c r="I90" i="7" s="1"/>
  <c r="H71" i="7"/>
  <c r="I71" i="7" s="1"/>
  <c r="H61" i="7"/>
  <c r="I61" i="7" s="1"/>
  <c r="H56" i="7"/>
  <c r="I56" i="7" s="1"/>
  <c r="H41" i="7"/>
  <c r="I41" i="7" s="1"/>
  <c r="H36" i="7"/>
  <c r="I36" i="7" s="1"/>
  <c r="H26" i="7"/>
  <c r="I26" i="7" s="1"/>
  <c r="H17" i="7"/>
  <c r="I17" i="7" s="1"/>
  <c r="H7" i="7"/>
  <c r="I7" i="7" s="1"/>
  <c r="Q8" i="7"/>
  <c r="H94" i="7"/>
  <c r="I94" i="7" s="1"/>
  <c r="H85" i="7"/>
  <c r="I85" i="7" s="1"/>
  <c r="H75" i="7"/>
  <c r="I75" i="7" s="1"/>
  <c r="H65" i="7"/>
  <c r="I65" i="7" s="1"/>
  <c r="H45" i="7"/>
  <c r="I45" i="7" s="1"/>
  <c r="H21" i="7"/>
  <c r="I21" i="7" s="1"/>
  <c r="H98" i="7"/>
  <c r="I98" i="7" s="1"/>
  <c r="H93" i="7"/>
  <c r="I93" i="7" s="1"/>
  <c r="H84" i="7"/>
  <c r="I84" i="7" s="1"/>
  <c r="H78" i="7"/>
  <c r="I78" i="7" s="1"/>
  <c r="H69" i="7"/>
  <c r="I69" i="7" s="1"/>
  <c r="H64" i="7"/>
  <c r="I64" i="7" s="1"/>
  <c r="H59" i="7"/>
  <c r="I59" i="7" s="1"/>
  <c r="H54" i="7"/>
  <c r="I54" i="7" s="1"/>
  <c r="H44" i="7"/>
  <c r="I44" i="7" s="1"/>
  <c r="H34" i="7"/>
  <c r="I34" i="7" s="1"/>
  <c r="H20" i="7"/>
  <c r="I20" i="7" s="1"/>
  <c r="C103" i="3"/>
  <c r="B103" i="3"/>
  <c r="B91" i="3"/>
  <c r="C91" i="3"/>
  <c r="C79" i="3"/>
  <c r="B79" i="3"/>
  <c r="AB9" i="7"/>
  <c r="AB10" i="6"/>
  <c r="W45" i="9"/>
  <c r="W68" i="9"/>
  <c r="R78" i="9"/>
  <c r="R64" i="9"/>
  <c r="W85" i="9"/>
  <c r="R26" i="9"/>
  <c r="R75" i="9"/>
  <c r="R38" i="9"/>
  <c r="R50" i="9"/>
  <c r="W33" i="9"/>
  <c r="W41" i="9"/>
  <c r="W64" i="9"/>
  <c r="W21" i="9"/>
  <c r="W52" i="9"/>
  <c r="W75" i="9"/>
  <c r="R82" i="9"/>
  <c r="W61" i="9"/>
  <c r="R29" i="9"/>
  <c r="R10" i="9"/>
  <c r="W16" i="9"/>
  <c r="W40" i="9"/>
  <c r="R7" i="9"/>
  <c r="R15" i="9"/>
  <c r="R23" i="9"/>
  <c r="R65" i="9"/>
  <c r="R68" i="9"/>
  <c r="R77" i="9"/>
  <c r="R80" i="9"/>
  <c r="W18" i="9"/>
  <c r="W42" i="9"/>
  <c r="R74" i="9"/>
  <c r="R18" i="9"/>
  <c r="R83" i="9"/>
  <c r="R62" i="9"/>
  <c r="W50" i="9"/>
  <c r="W66" i="9"/>
  <c r="W19" i="9"/>
  <c r="W26" i="9"/>
  <c r="W48" i="9"/>
  <c r="W69" i="9"/>
  <c r="W76" i="9"/>
  <c r="W83" i="9"/>
  <c r="R21" i="9"/>
  <c r="R45" i="9"/>
  <c r="R49" i="9"/>
  <c r="W7" i="9"/>
  <c r="W13" i="9"/>
  <c r="W27" i="9"/>
  <c r="W34" i="9"/>
  <c r="W56" i="9"/>
  <c r="W71" i="9"/>
  <c r="W77" i="9"/>
  <c r="W84" i="9"/>
  <c r="R11" i="9"/>
  <c r="R60" i="9"/>
  <c r="W14" i="9"/>
  <c r="W23" i="9"/>
  <c r="W29" i="9"/>
  <c r="W36" i="9"/>
  <c r="W43" i="9"/>
  <c r="W72" i="9"/>
  <c r="W8" i="9"/>
  <c r="W22" i="9"/>
  <c r="W31" i="9"/>
  <c r="W37" i="9"/>
  <c r="W44" i="9"/>
  <c r="W51" i="9"/>
  <c r="W58" i="9"/>
  <c r="W80" i="9"/>
  <c r="H13" i="9"/>
  <c r="H25" i="9"/>
  <c r="H35" i="9"/>
  <c r="H45" i="9"/>
  <c r="H57" i="9"/>
  <c r="H67" i="9"/>
  <c r="H77" i="9"/>
  <c r="H89" i="9"/>
  <c r="H99" i="9"/>
  <c r="H27" i="9"/>
  <c r="H49" i="9"/>
  <c r="H69" i="9"/>
  <c r="H91" i="9"/>
  <c r="H18" i="9"/>
  <c r="H40" i="9"/>
  <c r="H60" i="9"/>
  <c r="H82" i="9"/>
  <c r="H29" i="9"/>
  <c r="H51" i="9"/>
  <c r="H83" i="9"/>
  <c r="H16" i="9"/>
  <c r="H26" i="9"/>
  <c r="H36" i="9"/>
  <c r="H48" i="9"/>
  <c r="H58" i="9"/>
  <c r="H68" i="9"/>
  <c r="H80" i="9"/>
  <c r="H90" i="9"/>
  <c r="H100" i="9"/>
  <c r="H17" i="9"/>
  <c r="H37" i="9"/>
  <c r="H59" i="9"/>
  <c r="H81" i="9"/>
  <c r="H101" i="9"/>
  <c r="H8" i="9"/>
  <c r="H28" i="9"/>
  <c r="H50" i="9"/>
  <c r="H72" i="9"/>
  <c r="H92" i="9"/>
  <c r="H19" i="9"/>
  <c r="H41" i="9"/>
  <c r="H61" i="9"/>
  <c r="H93" i="9"/>
  <c r="H10" i="9"/>
  <c r="H20" i="9"/>
  <c r="H32" i="9"/>
  <c r="H42" i="9"/>
  <c r="H52" i="9"/>
  <c r="H64" i="9"/>
  <c r="H74" i="9"/>
  <c r="H84" i="9"/>
  <c r="H96" i="9"/>
  <c r="H11" i="9"/>
  <c r="H21" i="9"/>
  <c r="H33" i="9"/>
  <c r="H43" i="9"/>
  <c r="H53" i="9"/>
  <c r="H65" i="9"/>
  <c r="H75" i="9"/>
  <c r="H85" i="9"/>
  <c r="H97" i="9"/>
  <c r="H12" i="9"/>
  <c r="H24" i="9"/>
  <c r="H34" i="9"/>
  <c r="H44" i="9"/>
  <c r="H56" i="9"/>
  <c r="H66" i="9"/>
  <c r="H76" i="9"/>
  <c r="H88" i="9"/>
  <c r="H98" i="9"/>
  <c r="H9" i="9"/>
  <c r="H73" i="9"/>
  <c r="H6" i="9"/>
  <c r="H47" i="9"/>
  <c r="H86" i="9"/>
  <c r="H22" i="9"/>
  <c r="H54" i="9"/>
  <c r="H103" i="9"/>
  <c r="H39" i="9"/>
  <c r="H78" i="9"/>
  <c r="H14" i="9"/>
  <c r="H95" i="9"/>
  <c r="H31" i="9"/>
  <c r="H70" i="9"/>
  <c r="H87" i="9"/>
  <c r="H23" i="9"/>
  <c r="H62" i="9"/>
  <c r="H15" i="9"/>
  <c r="H71" i="9"/>
  <c r="H7" i="9"/>
  <c r="H46" i="9"/>
  <c r="H63" i="9"/>
  <c r="H102" i="9"/>
  <c r="H38" i="9"/>
  <c r="H55" i="9"/>
  <c r="H94" i="9"/>
  <c r="H30" i="9"/>
  <c r="H79" i="9"/>
  <c r="R19" i="9"/>
  <c r="R33" i="9"/>
  <c r="R70" i="9"/>
  <c r="R6" i="9"/>
  <c r="R16" i="9"/>
  <c r="R30" i="9"/>
  <c r="R51" i="9"/>
  <c r="W10" i="9"/>
  <c r="W24" i="9"/>
  <c r="W32" i="9"/>
  <c r="W47" i="9"/>
  <c r="W53" i="9"/>
  <c r="W60" i="9"/>
  <c r="W67" i="9"/>
  <c r="W74" i="9"/>
  <c r="X6" i="8"/>
  <c r="S82" i="8"/>
  <c r="S77" i="8"/>
  <c r="S66" i="8"/>
  <c r="S61" i="8"/>
  <c r="S50" i="8"/>
  <c r="S45" i="8"/>
  <c r="S34" i="8"/>
  <c r="S29" i="8"/>
  <c r="S18" i="8"/>
  <c r="S13" i="8"/>
  <c r="X18" i="8"/>
  <c r="X33" i="8"/>
  <c r="X41" i="8"/>
  <c r="X49" i="8"/>
  <c r="X57" i="8"/>
  <c r="X65" i="8"/>
  <c r="S71" i="8"/>
  <c r="S55" i="8"/>
  <c r="S39" i="8"/>
  <c r="S23" i="8"/>
  <c r="S7" i="8"/>
  <c r="X26" i="8"/>
  <c r="X34" i="8"/>
  <c r="X58" i="8"/>
  <c r="X66" i="8"/>
  <c r="X81" i="8"/>
  <c r="X29" i="8"/>
  <c r="X45" i="8"/>
  <c r="S84" i="8"/>
  <c r="S79" i="8"/>
  <c r="S68" i="8"/>
  <c r="S63" i="8"/>
  <c r="S52" i="8"/>
  <c r="S47" i="8"/>
  <c r="S36" i="8"/>
  <c r="S31" i="8"/>
  <c r="S20" i="8"/>
  <c r="S15" i="8"/>
  <c r="X23" i="8"/>
  <c r="X30" i="8"/>
  <c r="X62" i="8"/>
  <c r="X70" i="8"/>
  <c r="X77" i="8"/>
  <c r="X85" i="8"/>
  <c r="X22" i="8"/>
  <c r="X37" i="8"/>
  <c r="S73" i="8"/>
  <c r="S57" i="8"/>
  <c r="S41" i="8"/>
  <c r="S25" i="8"/>
  <c r="S9" i="8"/>
  <c r="X16" i="8"/>
  <c r="X47" i="8"/>
  <c r="X55" i="8"/>
  <c r="X71" i="8"/>
  <c r="Y6" i="11"/>
  <c r="M49" i="3"/>
  <c r="N49" i="3" s="1"/>
  <c r="Q49" i="3" s="1"/>
  <c r="X5" i="11"/>
  <c r="J18" i="12" s="1"/>
  <c r="E12" i="11"/>
  <c r="E13" i="11" s="1"/>
  <c r="D22" i="7"/>
  <c r="F22" i="7" s="1"/>
  <c r="D20" i="7"/>
  <c r="F20" i="7" s="1"/>
  <c r="D14" i="7"/>
  <c r="F14" i="7" s="1"/>
  <c r="D18" i="7"/>
  <c r="F18" i="7" s="1"/>
  <c r="D10" i="7"/>
  <c r="F10" i="7" s="1"/>
  <c r="D16" i="7"/>
  <c r="F16" i="7" s="1"/>
  <c r="D7" i="7"/>
  <c r="F7" i="7" s="1"/>
  <c r="D8" i="7"/>
  <c r="F8" i="7" s="1"/>
  <c r="D21" i="7"/>
  <c r="F21" i="7" s="1"/>
  <c r="D11" i="7"/>
  <c r="F11" i="7" s="1"/>
  <c r="D32" i="7"/>
  <c r="F32" i="7" s="1"/>
  <c r="D26" i="7"/>
  <c r="F26" i="7" s="1"/>
  <c r="D27" i="7"/>
  <c r="F27" i="7" s="1"/>
  <c r="R8" i="7" s="1"/>
  <c r="D17" i="7"/>
  <c r="F17" i="7" s="1"/>
  <c r="D5" i="7"/>
  <c r="F5" i="7" s="1"/>
  <c r="D33" i="7"/>
  <c r="F33" i="7" s="1"/>
  <c r="D23" i="7"/>
  <c r="F23" i="7" s="1"/>
  <c r="D12" i="7"/>
  <c r="F12" i="7" s="1"/>
  <c r="D29" i="7"/>
  <c r="F29" i="7" s="1"/>
  <c r="D6" i="7"/>
  <c r="F6" i="7" s="1"/>
  <c r="D24" i="7"/>
  <c r="F24" i="7" s="1"/>
  <c r="R5" i="7" s="1"/>
  <c r="D15" i="7"/>
  <c r="F15" i="7" s="1"/>
  <c r="D13" i="7"/>
  <c r="F13" i="7" s="1"/>
  <c r="D28" i="7"/>
  <c r="F28" i="7" s="1"/>
  <c r="D30" i="7"/>
  <c r="F30" i="7" s="1"/>
  <c r="D31" i="7"/>
  <c r="F31" i="7" s="1"/>
  <c r="D19" i="7"/>
  <c r="F19" i="7" s="1"/>
  <c r="D25" i="7"/>
  <c r="F25" i="7" s="1"/>
  <c r="D9" i="7"/>
  <c r="F9" i="7" s="1"/>
  <c r="H22" i="12"/>
  <c r="Y5" i="11"/>
  <c r="I16" i="12"/>
  <c r="F36" i="11"/>
  <c r="F21" i="11"/>
  <c r="F20" i="11"/>
  <c r="F44" i="11"/>
  <c r="F13" i="11"/>
  <c r="I15" i="12"/>
  <c r="F52" i="11"/>
  <c r="F12" i="11"/>
  <c r="I17" i="12"/>
  <c r="F45" i="11"/>
  <c r="F37" i="11"/>
  <c r="F5" i="11"/>
  <c r="I19" i="12"/>
  <c r="F29" i="11"/>
  <c r="I18" i="12"/>
  <c r="F28" i="11"/>
  <c r="F51" i="11"/>
  <c r="F43" i="11"/>
  <c r="F35" i="11"/>
  <c r="F27" i="11"/>
  <c r="F19" i="11"/>
  <c r="F11" i="11"/>
  <c r="F50" i="11"/>
  <c r="F42" i="11"/>
  <c r="F34" i="11"/>
  <c r="F26" i="11"/>
  <c r="F18" i="11"/>
  <c r="F10" i="11"/>
  <c r="F49" i="11"/>
  <c r="F41" i="11"/>
  <c r="F33" i="11"/>
  <c r="F25" i="11"/>
  <c r="F17" i="11"/>
  <c r="F9" i="11"/>
  <c r="F48" i="11"/>
  <c r="F40" i="11"/>
  <c r="F32" i="11"/>
  <c r="F24" i="11"/>
  <c r="F16" i="11"/>
  <c r="F8" i="11"/>
  <c r="F47" i="11"/>
  <c r="F39" i="11"/>
  <c r="F31" i="11"/>
  <c r="F23" i="11"/>
  <c r="F15" i="11"/>
  <c r="F7" i="11"/>
  <c r="F46" i="11"/>
  <c r="F38" i="11"/>
  <c r="F30" i="11"/>
  <c r="F22" i="11"/>
  <c r="F14" i="11"/>
  <c r="F6" i="11"/>
  <c r="W38" i="9"/>
  <c r="W62" i="9"/>
  <c r="W70" i="9"/>
  <c r="W20" i="9"/>
  <c r="W17" i="9"/>
  <c r="W30" i="9"/>
  <c r="W46" i="9"/>
  <c r="W54" i="9"/>
  <c r="W12" i="9"/>
  <c r="W78" i="9"/>
  <c r="W9" i="9"/>
  <c r="W25" i="9"/>
  <c r="X13" i="8"/>
  <c r="X24" i="8"/>
  <c r="X31" i="8"/>
  <c r="X38" i="8"/>
  <c r="X53" i="8"/>
  <c r="X72" i="8"/>
  <c r="X83" i="8"/>
  <c r="X36" i="8"/>
  <c r="X42" i="8"/>
  <c r="X46" i="8"/>
  <c r="X61" i="8"/>
  <c r="X80" i="8"/>
  <c r="X10" i="8"/>
  <c r="X14" i="8"/>
  <c r="X21" i="8"/>
  <c r="X32" i="8"/>
  <c r="X50" i="8"/>
  <c r="X54" i="8"/>
  <c r="X69" i="8"/>
  <c r="X84" i="8"/>
  <c r="X12" i="8"/>
  <c r="X52" i="8"/>
  <c r="X8" i="8"/>
  <c r="X20" i="8"/>
  <c r="X48" i="8"/>
  <c r="X60" i="8"/>
  <c r="X63" i="8"/>
  <c r="X78" i="8"/>
  <c r="X15" i="8"/>
  <c r="X39" i="8"/>
  <c r="X7" i="8"/>
  <c r="X27" i="8"/>
  <c r="X35" i="8"/>
  <c r="X43" i="8"/>
  <c r="X51" i="8"/>
  <c r="X59" i="8"/>
  <c r="X67" i="8"/>
  <c r="X11" i="8"/>
  <c r="X19" i="8"/>
  <c r="X75" i="8"/>
  <c r="Q6" i="7"/>
  <c r="Q23" i="7"/>
  <c r="Q46" i="7"/>
  <c r="V51" i="7"/>
  <c r="V6" i="7"/>
  <c r="V14" i="7"/>
  <c r="V22" i="7"/>
  <c r="Q25" i="7"/>
  <c r="Q41" i="7"/>
  <c r="Q12" i="7"/>
  <c r="V18" i="7"/>
  <c r="Q20" i="7"/>
  <c r="Q44" i="7"/>
  <c r="Q68" i="7"/>
  <c r="Q19" i="7"/>
  <c r="V21" i="7"/>
  <c r="V75" i="7"/>
  <c r="Q78" i="7"/>
  <c r="V7" i="7"/>
  <c r="V15" i="7"/>
  <c r="Q31" i="7"/>
  <c r="Q39" i="7"/>
  <c r="V49" i="7"/>
  <c r="Q52" i="7"/>
  <c r="V65" i="7"/>
  <c r="Q73" i="7"/>
  <c r="Q16" i="7"/>
  <c r="Q29" i="7"/>
  <c r="Q57" i="7"/>
  <c r="Q70" i="7"/>
  <c r="V10" i="7"/>
  <c r="Q13" i="7"/>
  <c r="V39" i="7"/>
  <c r="Q47" i="7"/>
  <c r="Q56" i="7"/>
  <c r="V60" i="7"/>
  <c r="Q63" i="7"/>
  <c r="V74" i="7"/>
  <c r="Q76" i="7"/>
  <c r="V68" i="7"/>
  <c r="V8" i="7"/>
  <c r="V30" i="7"/>
  <c r="Q32" i="7"/>
  <c r="Q40" i="7"/>
  <c r="V58" i="7"/>
  <c r="V66" i="7"/>
  <c r="V11" i="7"/>
  <c r="Q30" i="7"/>
  <c r="V35" i="7"/>
  <c r="Q38" i="7"/>
  <c r="Q45" i="7"/>
  <c r="V64" i="7"/>
  <c r="Q69" i="7"/>
  <c r="V78" i="7"/>
  <c r="V83" i="7"/>
  <c r="V29" i="7"/>
  <c r="Q14" i="7"/>
  <c r="Q33" i="7"/>
  <c r="V46" i="7"/>
  <c r="Q60" i="7"/>
  <c r="V9" i="7"/>
  <c r="Q21" i="7"/>
  <c r="V43" i="7"/>
  <c r="V50" i="7"/>
  <c r="V81" i="7"/>
  <c r="Q84" i="7"/>
  <c r="Q9" i="7"/>
  <c r="Q50" i="7"/>
  <c r="V52" i="7"/>
  <c r="Q67" i="7"/>
  <c r="V76" i="7"/>
  <c r="V17" i="7"/>
  <c r="V23" i="7"/>
  <c r="V33" i="7"/>
  <c r="Q48" i="7"/>
  <c r="V55" i="7"/>
  <c r="Q58" i="7"/>
  <c r="Q65" i="7"/>
  <c r="Q79" i="7"/>
  <c r="Q10" i="7"/>
  <c r="V12" i="7"/>
  <c r="Q17" i="7"/>
  <c r="V19" i="7"/>
  <c r="V26" i="7"/>
  <c r="V31" i="7"/>
  <c r="V70" i="7"/>
  <c r="V77" i="7"/>
  <c r="H13" i="12"/>
  <c r="C50" i="3"/>
  <c r="D50" i="3" s="1"/>
  <c r="R9" i="9"/>
  <c r="R8" i="9"/>
  <c r="R41" i="9"/>
  <c r="R40" i="9"/>
  <c r="R25" i="9"/>
  <c r="R24" i="9"/>
  <c r="R13" i="9"/>
  <c r="R12" i="9"/>
  <c r="R43" i="9"/>
  <c r="R44" i="9"/>
  <c r="R28" i="9"/>
  <c r="R76" i="9"/>
  <c r="R14" i="9"/>
  <c r="R37" i="9"/>
  <c r="R53" i="9"/>
  <c r="R34" i="9"/>
  <c r="H104" i="9"/>
  <c r="R22" i="9"/>
  <c r="R52" i="9"/>
  <c r="R35" i="9"/>
  <c r="R58" i="9"/>
  <c r="R57" i="9"/>
  <c r="R48" i="9"/>
  <c r="R72" i="9"/>
  <c r="R73" i="9"/>
  <c r="R71" i="9"/>
  <c r="R63" i="9"/>
  <c r="R79" i="9"/>
  <c r="V45" i="7"/>
  <c r="Q7" i="7"/>
  <c r="Q34" i="7"/>
  <c r="Q35" i="7"/>
  <c r="V56" i="7"/>
  <c r="V16" i="7"/>
  <c r="Q22" i="7"/>
  <c r="V24" i="7"/>
  <c r="Q28" i="7"/>
  <c r="V13" i="7"/>
  <c r="Q53" i="7"/>
  <c r="Q54" i="7"/>
  <c r="V38" i="7"/>
  <c r="V37" i="7"/>
  <c r="Q26" i="7"/>
  <c r="Q27" i="7"/>
  <c r="Q42" i="7"/>
  <c r="Q43" i="7"/>
  <c r="Q15" i="7"/>
  <c r="V27" i="7"/>
  <c r="Q74" i="7"/>
  <c r="V71" i="7"/>
  <c r="V72" i="7"/>
  <c r="Q82" i="7"/>
  <c r="Q83" i="7"/>
  <c r="Q18" i="7"/>
  <c r="V20" i="7"/>
  <c r="Q11" i="7"/>
  <c r="V42" i="7"/>
  <c r="V41" i="7"/>
  <c r="V80" i="7"/>
  <c r="Q37" i="7"/>
  <c r="Q36" i="7"/>
  <c r="V79" i="7"/>
  <c r="Q61" i="7"/>
  <c r="V28" i="7"/>
  <c r="V47" i="7"/>
  <c r="Q55" i="7"/>
  <c r="V59" i="7"/>
  <c r="Q62" i="7"/>
  <c r="V73" i="7"/>
  <c r="Q75" i="7"/>
  <c r="V82" i="7"/>
  <c r="V32" i="7"/>
  <c r="V44" i="7"/>
  <c r="V54" i="7"/>
  <c r="V36" i="7"/>
  <c r="Q51" i="7"/>
  <c r="V40" i="7"/>
  <c r="V62" i="7"/>
  <c r="V69" i="7"/>
  <c r="V84" i="7"/>
  <c r="V63" i="7"/>
  <c r="Q77" i="7"/>
  <c r="Q49" i="7"/>
  <c r="V67" i="7"/>
  <c r="Q81" i="7"/>
  <c r="I5" i="1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J5" i="1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G49" i="3"/>
  <c r="B50" i="3"/>
  <c r="C34" i="3"/>
  <c r="C18" i="3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5" i="6"/>
  <c r="V5" i="6" s="1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5" i="8"/>
  <c r="R9" i="7" l="1"/>
  <c r="V79" i="6"/>
  <c r="V71" i="6"/>
  <c r="V63" i="6"/>
  <c r="V55" i="6"/>
  <c r="V47" i="6"/>
  <c r="V39" i="6"/>
  <c r="V31" i="6"/>
  <c r="V23" i="6"/>
  <c r="V15" i="6"/>
  <c r="V7" i="6"/>
  <c r="R7" i="7"/>
  <c r="R6" i="7"/>
  <c r="R10" i="7"/>
  <c r="R13" i="7"/>
  <c r="R12" i="7"/>
  <c r="R11" i="7"/>
  <c r="R14" i="7"/>
  <c r="V83" i="6"/>
  <c r="V75" i="6"/>
  <c r="V67" i="6"/>
  <c r="V59" i="6"/>
  <c r="V51" i="6"/>
  <c r="V43" i="6"/>
  <c r="V35" i="6"/>
  <c r="V27" i="6"/>
  <c r="V19" i="6"/>
  <c r="V11" i="6"/>
  <c r="C104" i="3"/>
  <c r="B104" i="3"/>
  <c r="B92" i="3"/>
  <c r="C92" i="3"/>
  <c r="C80" i="3"/>
  <c r="B80" i="3"/>
  <c r="AB10" i="7"/>
  <c r="AB11" i="6"/>
  <c r="J15" i="12"/>
  <c r="E14" i="11"/>
  <c r="E15" i="11" s="1"/>
  <c r="D34" i="7"/>
  <c r="F34" i="7" s="1"/>
  <c r="R15" i="7" s="1"/>
  <c r="D42" i="7"/>
  <c r="F42" i="7" s="1"/>
  <c r="R23" i="7" s="1"/>
  <c r="D38" i="7"/>
  <c r="F38" i="7" s="1"/>
  <c r="R19" i="7" s="1"/>
  <c r="D41" i="7"/>
  <c r="F41" i="7" s="1"/>
  <c r="R22" i="7" s="1"/>
  <c r="D37" i="7"/>
  <c r="F37" i="7" s="1"/>
  <c r="R18" i="7" s="1"/>
  <c r="D43" i="7"/>
  <c r="F43" i="7" s="1"/>
  <c r="R24" i="7" s="1"/>
  <c r="D39" i="7"/>
  <c r="F39" i="7" s="1"/>
  <c r="R20" i="7" s="1"/>
  <c r="D35" i="7"/>
  <c r="F35" i="7" s="1"/>
  <c r="R16" i="7" s="1"/>
  <c r="D40" i="7"/>
  <c r="F40" i="7" s="1"/>
  <c r="R21" i="7" s="1"/>
  <c r="D36" i="7"/>
  <c r="F36" i="7" s="1"/>
  <c r="R17" i="7" s="1"/>
  <c r="M50" i="3"/>
  <c r="N50" i="3" s="1"/>
  <c r="Q50" i="3" s="1"/>
  <c r="X6" i="11"/>
  <c r="K19" i="12" s="1"/>
  <c r="J19" i="12"/>
  <c r="J17" i="12"/>
  <c r="J16" i="12"/>
  <c r="V80" i="6"/>
  <c r="V72" i="6"/>
  <c r="V64" i="6"/>
  <c r="V56" i="6"/>
  <c r="V48" i="6"/>
  <c r="V40" i="6"/>
  <c r="V32" i="6"/>
  <c r="V24" i="6"/>
  <c r="V16" i="6"/>
  <c r="V8" i="6"/>
  <c r="V6" i="6"/>
  <c r="V84" i="6"/>
  <c r="V76" i="6"/>
  <c r="V68" i="6"/>
  <c r="V60" i="6"/>
  <c r="V52" i="6"/>
  <c r="V44" i="6"/>
  <c r="V36" i="6"/>
  <c r="V28" i="6"/>
  <c r="G50" i="3"/>
  <c r="C51" i="3"/>
  <c r="D51" i="3" s="1"/>
  <c r="B51" i="3"/>
  <c r="H9" i="8"/>
  <c r="H17" i="8"/>
  <c r="H25" i="8"/>
  <c r="H33" i="8"/>
  <c r="H41" i="8"/>
  <c r="H49" i="8"/>
  <c r="H57" i="8"/>
  <c r="H65" i="8"/>
  <c r="H73" i="8"/>
  <c r="H81" i="8"/>
  <c r="H89" i="8"/>
  <c r="H97" i="8"/>
  <c r="H5" i="8"/>
  <c r="H91" i="8"/>
  <c r="H14" i="8"/>
  <c r="H30" i="8"/>
  <c r="H46" i="8"/>
  <c r="H62" i="8"/>
  <c r="H78" i="8"/>
  <c r="H94" i="8"/>
  <c r="H15" i="8"/>
  <c r="H39" i="8"/>
  <c r="H63" i="8"/>
  <c r="H79" i="8"/>
  <c r="H16" i="8"/>
  <c r="H40" i="8"/>
  <c r="H10" i="8"/>
  <c r="H18" i="8"/>
  <c r="H26" i="8"/>
  <c r="H34" i="8"/>
  <c r="H42" i="8"/>
  <c r="H50" i="8"/>
  <c r="H58" i="8"/>
  <c r="H66" i="8"/>
  <c r="H74" i="8"/>
  <c r="H82" i="8"/>
  <c r="H90" i="8"/>
  <c r="H98" i="8"/>
  <c r="H11" i="8"/>
  <c r="H19" i="8"/>
  <c r="H27" i="8"/>
  <c r="H35" i="8"/>
  <c r="H43" i="8"/>
  <c r="H51" i="8"/>
  <c r="H59" i="8"/>
  <c r="H67" i="8"/>
  <c r="H75" i="8"/>
  <c r="H83" i="8"/>
  <c r="H99" i="8"/>
  <c r="H6" i="8"/>
  <c r="H22" i="8"/>
  <c r="H38" i="8"/>
  <c r="H54" i="8"/>
  <c r="H70" i="8"/>
  <c r="H86" i="8"/>
  <c r="H102" i="8"/>
  <c r="H7" i="8"/>
  <c r="H23" i="8"/>
  <c r="H31" i="8"/>
  <c r="H47" i="8"/>
  <c r="H71" i="8"/>
  <c r="H87" i="8"/>
  <c r="H103" i="8"/>
  <c r="H24" i="8"/>
  <c r="H48" i="8"/>
  <c r="H12" i="8"/>
  <c r="H20" i="8"/>
  <c r="H28" i="8"/>
  <c r="H36" i="8"/>
  <c r="H44" i="8"/>
  <c r="H52" i="8"/>
  <c r="H60" i="8"/>
  <c r="H68" i="8"/>
  <c r="H76" i="8"/>
  <c r="H84" i="8"/>
  <c r="H92" i="8"/>
  <c r="H100" i="8"/>
  <c r="H13" i="8"/>
  <c r="H21" i="8"/>
  <c r="H29" i="8"/>
  <c r="H37" i="8"/>
  <c r="H45" i="8"/>
  <c r="H53" i="8"/>
  <c r="H61" i="8"/>
  <c r="H69" i="8"/>
  <c r="H77" i="8"/>
  <c r="H85" i="8"/>
  <c r="H93" i="8"/>
  <c r="H101" i="8"/>
  <c r="H55" i="8"/>
  <c r="H95" i="8"/>
  <c r="H8" i="8"/>
  <c r="H32" i="8"/>
  <c r="H56" i="8"/>
  <c r="H72" i="8"/>
  <c r="H80" i="8"/>
  <c r="H64" i="8"/>
  <c r="H88" i="8"/>
  <c r="H96" i="8"/>
  <c r="H104" i="8"/>
  <c r="V20" i="6"/>
  <c r="V12" i="6"/>
  <c r="V81" i="6"/>
  <c r="V74" i="6"/>
  <c r="V65" i="6"/>
  <c r="V58" i="6"/>
  <c r="V49" i="6"/>
  <c r="V42" i="6"/>
  <c r="V33" i="6"/>
  <c r="V26" i="6"/>
  <c r="V17" i="6"/>
  <c r="V10" i="6"/>
  <c r="V85" i="6"/>
  <c r="V77" i="6"/>
  <c r="V69" i="6"/>
  <c r="V61" i="6"/>
  <c r="V53" i="6"/>
  <c r="V45" i="6"/>
  <c r="V37" i="6"/>
  <c r="V29" i="6"/>
  <c r="V21" i="6"/>
  <c r="V13" i="6"/>
  <c r="V78" i="6"/>
  <c r="V70" i="6"/>
  <c r="V62" i="6"/>
  <c r="V54" i="6"/>
  <c r="V46" i="6"/>
  <c r="V38" i="6"/>
  <c r="V30" i="6"/>
  <c r="V22" i="6"/>
  <c r="V14" i="6"/>
  <c r="V82" i="6"/>
  <c r="V66" i="6"/>
  <c r="V50" i="6"/>
  <c r="V34" i="6"/>
  <c r="V18" i="6"/>
  <c r="V73" i="6"/>
  <c r="V57" i="6"/>
  <c r="V41" i="6"/>
  <c r="V25" i="6"/>
  <c r="V9" i="6"/>
  <c r="C35" i="3"/>
  <c r="B35" i="3"/>
  <c r="C19" i="3"/>
  <c r="B19" i="3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5" i="6"/>
  <c r="Q5" i="6" s="1"/>
  <c r="Q84" i="6" l="1"/>
  <c r="Q76" i="6"/>
  <c r="Q68" i="6"/>
  <c r="Q60" i="6"/>
  <c r="Q52" i="6"/>
  <c r="Q44" i="6"/>
  <c r="Q36" i="6"/>
  <c r="Q28" i="6"/>
  <c r="Q20" i="6"/>
  <c r="Q12" i="6"/>
  <c r="C105" i="3"/>
  <c r="B105" i="3"/>
  <c r="C93" i="3"/>
  <c r="B93" i="3"/>
  <c r="AB11" i="7"/>
  <c r="AB12" i="6"/>
  <c r="K16" i="12"/>
  <c r="K18" i="12"/>
  <c r="K15" i="12"/>
  <c r="Y7" i="11"/>
  <c r="M51" i="3"/>
  <c r="N51" i="3" s="1"/>
  <c r="Q51" i="3" s="1"/>
  <c r="X7" i="11"/>
  <c r="K5" i="1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17" i="12"/>
  <c r="D52" i="7"/>
  <c r="F52" i="7" s="1"/>
  <c r="R33" i="7" s="1"/>
  <c r="D48" i="7"/>
  <c r="F48" i="7" s="1"/>
  <c r="R29" i="7" s="1"/>
  <c r="D44" i="7"/>
  <c r="F44" i="7" s="1"/>
  <c r="R25" i="7" s="1"/>
  <c r="D49" i="7"/>
  <c r="F49" i="7" s="1"/>
  <c r="R30" i="7" s="1"/>
  <c r="D45" i="7"/>
  <c r="F45" i="7" s="1"/>
  <c r="R26" i="7" s="1"/>
  <c r="D51" i="7"/>
  <c r="F51" i="7" s="1"/>
  <c r="R32" i="7" s="1"/>
  <c r="D47" i="7"/>
  <c r="F47" i="7" s="1"/>
  <c r="R28" i="7" s="1"/>
  <c r="D50" i="7"/>
  <c r="F50" i="7" s="1"/>
  <c r="R31" i="7" s="1"/>
  <c r="D53" i="7"/>
  <c r="F53" i="7" s="1"/>
  <c r="R34" i="7" s="1"/>
  <c r="D46" i="7"/>
  <c r="F46" i="7" s="1"/>
  <c r="R27" i="7" s="1"/>
  <c r="E16" i="11"/>
  <c r="H11" i="6"/>
  <c r="I11" i="6" s="1"/>
  <c r="H19" i="6"/>
  <c r="I19" i="6" s="1"/>
  <c r="H27" i="6"/>
  <c r="I27" i="6" s="1"/>
  <c r="H35" i="6"/>
  <c r="I35" i="6" s="1"/>
  <c r="H43" i="6"/>
  <c r="I43" i="6" s="1"/>
  <c r="H51" i="6"/>
  <c r="I51" i="6" s="1"/>
  <c r="H59" i="6"/>
  <c r="I59" i="6" s="1"/>
  <c r="H67" i="6"/>
  <c r="I67" i="6" s="1"/>
  <c r="H75" i="6"/>
  <c r="I75" i="6" s="1"/>
  <c r="H83" i="6"/>
  <c r="I83" i="6" s="1"/>
  <c r="H91" i="6"/>
  <c r="I91" i="6" s="1"/>
  <c r="H99" i="6"/>
  <c r="I99" i="6" s="1"/>
  <c r="H21" i="6"/>
  <c r="I21" i="6" s="1"/>
  <c r="H37" i="6"/>
  <c r="I37" i="6" s="1"/>
  <c r="H53" i="6"/>
  <c r="I53" i="6" s="1"/>
  <c r="H61" i="6"/>
  <c r="I61" i="6" s="1"/>
  <c r="H77" i="6"/>
  <c r="I77" i="6" s="1"/>
  <c r="H93" i="6"/>
  <c r="I93" i="6" s="1"/>
  <c r="H12" i="6"/>
  <c r="I12" i="6" s="1"/>
  <c r="H20" i="6"/>
  <c r="I20" i="6" s="1"/>
  <c r="H28" i="6"/>
  <c r="I28" i="6" s="1"/>
  <c r="H36" i="6"/>
  <c r="I36" i="6" s="1"/>
  <c r="H44" i="6"/>
  <c r="I44" i="6" s="1"/>
  <c r="H52" i="6"/>
  <c r="I52" i="6" s="1"/>
  <c r="H60" i="6"/>
  <c r="I60" i="6" s="1"/>
  <c r="H68" i="6"/>
  <c r="I68" i="6" s="1"/>
  <c r="H76" i="6"/>
  <c r="I76" i="6" s="1"/>
  <c r="H84" i="6"/>
  <c r="I84" i="6" s="1"/>
  <c r="H92" i="6"/>
  <c r="I92" i="6" s="1"/>
  <c r="H100" i="6"/>
  <c r="I100" i="6" s="1"/>
  <c r="H13" i="6"/>
  <c r="I13" i="6" s="1"/>
  <c r="H29" i="6"/>
  <c r="I29" i="6" s="1"/>
  <c r="H45" i="6"/>
  <c r="I45" i="6" s="1"/>
  <c r="H69" i="6"/>
  <c r="I69" i="6" s="1"/>
  <c r="H85" i="6"/>
  <c r="I85" i="6" s="1"/>
  <c r="H101" i="6"/>
  <c r="I101" i="6" s="1"/>
  <c r="H6" i="6"/>
  <c r="I6" i="6" s="1"/>
  <c r="H14" i="6"/>
  <c r="I14" i="6" s="1"/>
  <c r="H22" i="6"/>
  <c r="I22" i="6" s="1"/>
  <c r="H30" i="6"/>
  <c r="I30" i="6" s="1"/>
  <c r="H38" i="6"/>
  <c r="I38" i="6" s="1"/>
  <c r="H46" i="6"/>
  <c r="I46" i="6" s="1"/>
  <c r="H54" i="6"/>
  <c r="I54" i="6" s="1"/>
  <c r="H62" i="6"/>
  <c r="I62" i="6" s="1"/>
  <c r="H70" i="6"/>
  <c r="I70" i="6" s="1"/>
  <c r="H78" i="6"/>
  <c r="I78" i="6" s="1"/>
  <c r="H86" i="6"/>
  <c r="I86" i="6" s="1"/>
  <c r="H94" i="6"/>
  <c r="I94" i="6" s="1"/>
  <c r="H102" i="6"/>
  <c r="I102" i="6" s="1"/>
  <c r="H8" i="6"/>
  <c r="I8" i="6" s="1"/>
  <c r="H24" i="6"/>
  <c r="I24" i="6" s="1"/>
  <c r="H40" i="6"/>
  <c r="I40" i="6" s="1"/>
  <c r="H56" i="6"/>
  <c r="I56" i="6" s="1"/>
  <c r="H72" i="6"/>
  <c r="I72" i="6" s="1"/>
  <c r="H88" i="6"/>
  <c r="I88" i="6" s="1"/>
  <c r="H104" i="6"/>
  <c r="I104" i="6" s="1"/>
  <c r="H9" i="6"/>
  <c r="I9" i="6" s="1"/>
  <c r="H10" i="6"/>
  <c r="I10" i="6" s="1"/>
  <c r="H26" i="6"/>
  <c r="I26" i="6" s="1"/>
  <c r="H42" i="6"/>
  <c r="I42" i="6" s="1"/>
  <c r="H58" i="6"/>
  <c r="I58" i="6" s="1"/>
  <c r="H74" i="6"/>
  <c r="I74" i="6" s="1"/>
  <c r="H90" i="6"/>
  <c r="I90" i="6" s="1"/>
  <c r="H25" i="6"/>
  <c r="I25" i="6" s="1"/>
  <c r="H41" i="6"/>
  <c r="I41" i="6" s="1"/>
  <c r="H57" i="6"/>
  <c r="I57" i="6" s="1"/>
  <c r="H73" i="6"/>
  <c r="I73" i="6" s="1"/>
  <c r="H89" i="6"/>
  <c r="I89" i="6" s="1"/>
  <c r="H5" i="6"/>
  <c r="I5" i="6" s="1"/>
  <c r="H15" i="6"/>
  <c r="I15" i="6" s="1"/>
  <c r="H31" i="6"/>
  <c r="I31" i="6" s="1"/>
  <c r="H47" i="6"/>
  <c r="I47" i="6" s="1"/>
  <c r="H63" i="6"/>
  <c r="I63" i="6" s="1"/>
  <c r="H79" i="6"/>
  <c r="I79" i="6" s="1"/>
  <c r="H95" i="6"/>
  <c r="I95" i="6" s="1"/>
  <c r="H17" i="6"/>
  <c r="I17" i="6" s="1"/>
  <c r="H33" i="6"/>
  <c r="I33" i="6" s="1"/>
  <c r="H49" i="6"/>
  <c r="I49" i="6" s="1"/>
  <c r="H65" i="6"/>
  <c r="I65" i="6" s="1"/>
  <c r="H81" i="6"/>
  <c r="I81" i="6" s="1"/>
  <c r="H97" i="6"/>
  <c r="I97" i="6" s="1"/>
  <c r="H7" i="6"/>
  <c r="I7" i="6" s="1"/>
  <c r="H23" i="6"/>
  <c r="I23" i="6" s="1"/>
  <c r="H39" i="6"/>
  <c r="I39" i="6" s="1"/>
  <c r="H55" i="6"/>
  <c r="I55" i="6" s="1"/>
  <c r="H71" i="6"/>
  <c r="I71" i="6" s="1"/>
  <c r="H87" i="6"/>
  <c r="I87" i="6" s="1"/>
  <c r="H103" i="6"/>
  <c r="I103" i="6" s="1"/>
  <c r="H16" i="6"/>
  <c r="I16" i="6" s="1"/>
  <c r="H32" i="6"/>
  <c r="I32" i="6" s="1"/>
  <c r="H48" i="6"/>
  <c r="I48" i="6" s="1"/>
  <c r="H64" i="6"/>
  <c r="I64" i="6" s="1"/>
  <c r="H80" i="6"/>
  <c r="I80" i="6" s="1"/>
  <c r="H96" i="6"/>
  <c r="I96" i="6" s="1"/>
  <c r="H18" i="6"/>
  <c r="I18" i="6" s="1"/>
  <c r="H34" i="6"/>
  <c r="I34" i="6" s="1"/>
  <c r="H50" i="6"/>
  <c r="I50" i="6" s="1"/>
  <c r="H66" i="6"/>
  <c r="I66" i="6" s="1"/>
  <c r="H82" i="6"/>
  <c r="I82" i="6" s="1"/>
  <c r="H98" i="6"/>
  <c r="I98" i="6" s="1"/>
  <c r="Q55" i="6"/>
  <c r="Q23" i="6"/>
  <c r="Q7" i="6"/>
  <c r="Q71" i="6"/>
  <c r="Q39" i="6"/>
  <c r="Q6" i="6"/>
  <c r="C52" i="3"/>
  <c r="D52" i="3" s="1"/>
  <c r="B52" i="3"/>
  <c r="G51" i="3"/>
  <c r="Q54" i="6"/>
  <c r="Q22" i="6"/>
  <c r="Q83" i="6"/>
  <c r="Q75" i="6"/>
  <c r="Q67" i="6"/>
  <c r="Q59" i="6"/>
  <c r="Q51" i="6"/>
  <c r="Q43" i="6"/>
  <c r="Q35" i="6"/>
  <c r="Q27" i="6"/>
  <c r="Q19" i="6"/>
  <c r="Q11" i="6"/>
  <c r="Q70" i="6"/>
  <c r="Q80" i="6"/>
  <c r="Q72" i="6"/>
  <c r="Q64" i="6"/>
  <c r="Q56" i="6"/>
  <c r="Q48" i="6"/>
  <c r="Q40" i="6"/>
  <c r="Q32" i="6"/>
  <c r="Q24" i="6"/>
  <c r="Q16" i="6"/>
  <c r="Q8" i="6"/>
  <c r="Q38" i="6"/>
  <c r="Q79" i="6"/>
  <c r="Q63" i="6"/>
  <c r="Q47" i="6"/>
  <c r="Q31" i="6"/>
  <c r="Q15" i="6"/>
  <c r="Q81" i="6"/>
  <c r="Q73" i="6"/>
  <c r="Q65" i="6"/>
  <c r="Q57" i="6"/>
  <c r="Q49" i="6"/>
  <c r="Q41" i="6"/>
  <c r="Q33" i="6"/>
  <c r="Q25" i="6"/>
  <c r="Q17" i="6"/>
  <c r="Q9" i="6"/>
  <c r="Q85" i="6"/>
  <c r="Q77" i="6"/>
  <c r="Q61" i="6"/>
  <c r="Q45" i="6"/>
  <c r="Q29" i="6"/>
  <c r="Q13" i="6"/>
  <c r="Q82" i="6"/>
  <c r="Q74" i="6"/>
  <c r="Q66" i="6"/>
  <c r="Q58" i="6"/>
  <c r="Q50" i="6"/>
  <c r="Q42" i="6"/>
  <c r="Q34" i="6"/>
  <c r="Q26" i="6"/>
  <c r="Q18" i="6"/>
  <c r="Q10" i="6"/>
  <c r="Q78" i="6"/>
  <c r="Q62" i="6"/>
  <c r="Q46" i="6"/>
  <c r="Q30" i="6"/>
  <c r="Q14" i="6"/>
  <c r="Q69" i="6"/>
  <c r="Q53" i="6"/>
  <c r="Q37" i="6"/>
  <c r="Q21" i="6"/>
  <c r="C36" i="3"/>
  <c r="B36" i="3"/>
  <c r="B20" i="3"/>
  <c r="C20" i="3"/>
  <c r="AB12" i="7" l="1"/>
  <c r="AB13" i="6"/>
  <c r="M52" i="3"/>
  <c r="N52" i="3" s="1"/>
  <c r="Q52" i="3" s="1"/>
  <c r="X8" i="11"/>
  <c r="M16" i="12" s="1"/>
  <c r="Y8" i="11"/>
  <c r="Y9" i="11"/>
  <c r="L5" i="1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E17" i="11"/>
  <c r="E18" i="11" s="1"/>
  <c r="D56" i="7"/>
  <c r="F56" i="7" s="1"/>
  <c r="R37" i="7" s="1"/>
  <c r="D60" i="7"/>
  <c r="F60" i="7" s="1"/>
  <c r="R41" i="7" s="1"/>
  <c r="D58" i="7"/>
  <c r="F58" i="7" s="1"/>
  <c r="R39" i="7" s="1"/>
  <c r="D61" i="7"/>
  <c r="F61" i="7" s="1"/>
  <c r="R42" i="7" s="1"/>
  <c r="D55" i="7"/>
  <c r="F55" i="7" s="1"/>
  <c r="R36" i="7" s="1"/>
  <c r="D62" i="7"/>
  <c r="F62" i="7" s="1"/>
  <c r="R43" i="7" s="1"/>
  <c r="D54" i="7"/>
  <c r="F54" i="7" s="1"/>
  <c r="R35" i="7" s="1"/>
  <c r="D59" i="7"/>
  <c r="F59" i="7" s="1"/>
  <c r="R40" i="7" s="1"/>
  <c r="D57" i="7"/>
  <c r="F57" i="7" s="1"/>
  <c r="R38" i="7" s="1"/>
  <c r="D63" i="7"/>
  <c r="F63" i="7" s="1"/>
  <c r="R44" i="7" s="1"/>
  <c r="L15" i="12"/>
  <c r="L19" i="12"/>
  <c r="L17" i="12"/>
  <c r="L16" i="12"/>
  <c r="L18" i="12"/>
  <c r="C53" i="3"/>
  <c r="D53" i="3" s="1"/>
  <c r="B53" i="3"/>
  <c r="G52" i="3"/>
  <c r="C37" i="3"/>
  <c r="B37" i="3"/>
  <c r="C21" i="3"/>
  <c r="B21" i="3"/>
  <c r="D53" i="4"/>
  <c r="D54" i="4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AB13" i="7" l="1"/>
  <c r="AB14" i="6"/>
  <c r="M17" i="12"/>
  <c r="M15" i="12"/>
  <c r="M19" i="12"/>
  <c r="M18" i="12"/>
  <c r="E19" i="11"/>
  <c r="E20" i="11" s="1"/>
  <c r="D71" i="7"/>
  <c r="F71" i="7" s="1"/>
  <c r="R52" i="7" s="1"/>
  <c r="D67" i="7"/>
  <c r="F67" i="7" s="1"/>
  <c r="R48" i="7" s="1"/>
  <c r="D66" i="7"/>
  <c r="F66" i="7" s="1"/>
  <c r="R47" i="7" s="1"/>
  <c r="D65" i="7"/>
  <c r="F65" i="7" s="1"/>
  <c r="R46" i="7" s="1"/>
  <c r="D73" i="7"/>
  <c r="F73" i="7" s="1"/>
  <c r="R54" i="7" s="1"/>
  <c r="D70" i="7"/>
  <c r="F70" i="7" s="1"/>
  <c r="R51" i="7" s="1"/>
  <c r="D64" i="7"/>
  <c r="F64" i="7" s="1"/>
  <c r="R45" i="7" s="1"/>
  <c r="D72" i="7"/>
  <c r="F72" i="7" s="1"/>
  <c r="R53" i="7" s="1"/>
  <c r="D69" i="7"/>
  <c r="F69" i="7" s="1"/>
  <c r="R50" i="7" s="1"/>
  <c r="D68" i="7"/>
  <c r="F68" i="7" s="1"/>
  <c r="R49" i="7" s="1"/>
  <c r="M53" i="3"/>
  <c r="N53" i="3" s="1"/>
  <c r="Q53" i="3" s="1"/>
  <c r="X9" i="11"/>
  <c r="N16" i="12" s="1"/>
  <c r="M5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C54" i="3"/>
  <c r="D54" i="3" s="1"/>
  <c r="B54" i="3"/>
  <c r="G53" i="3"/>
  <c r="C38" i="3"/>
  <c r="B38" i="3"/>
  <c r="B22" i="3"/>
  <c r="C22" i="3"/>
  <c r="D4" i="3"/>
  <c r="D43" i="4"/>
  <c r="D42" i="4"/>
  <c r="D31" i="4"/>
  <c r="D32" i="4" s="1"/>
  <c r="D33" i="4" s="1"/>
  <c r="D34" i="4" s="1"/>
  <c r="D35" i="4" s="1"/>
  <c r="D36" i="4" s="1"/>
  <c r="D37" i="4" s="1"/>
  <c r="D38" i="4" s="1"/>
  <c r="D39" i="4" s="1"/>
  <c r="D21" i="4"/>
  <c r="D22" i="4" s="1"/>
  <c r="D23" i="4" s="1"/>
  <c r="D24" i="4" s="1"/>
  <c r="D25" i="4" s="1"/>
  <c r="D26" i="4" s="1"/>
  <c r="D27" i="4" s="1"/>
  <c r="D28" i="4" s="1"/>
  <c r="D29" i="4" s="1"/>
  <c r="D12" i="4"/>
  <c r="D13" i="4" s="1"/>
  <c r="D14" i="4" s="1"/>
  <c r="D15" i="4" s="1"/>
  <c r="D16" i="4" s="1"/>
  <c r="D17" i="4" s="1"/>
  <c r="D18" i="4" s="1"/>
  <c r="D19" i="4" s="1"/>
  <c r="D45" i="4"/>
  <c r="AB14" i="7" l="1"/>
  <c r="AB15" i="6"/>
  <c r="N18" i="12"/>
  <c r="N19" i="12"/>
  <c r="N17" i="12"/>
  <c r="M54" i="3"/>
  <c r="N54" i="3" s="1"/>
  <c r="Q54" i="3" s="1"/>
  <c r="X10" i="11"/>
  <c r="Y10" i="11"/>
  <c r="N5" i="1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15" i="12"/>
  <c r="E21" i="11"/>
  <c r="D82" i="7"/>
  <c r="F82" i="7" s="1"/>
  <c r="R63" i="7" s="1"/>
  <c r="D75" i="7"/>
  <c r="F75" i="7" s="1"/>
  <c r="R56" i="7" s="1"/>
  <c r="D80" i="7"/>
  <c r="F80" i="7" s="1"/>
  <c r="R61" i="7" s="1"/>
  <c r="D79" i="7"/>
  <c r="F79" i="7" s="1"/>
  <c r="R60" i="7" s="1"/>
  <c r="D77" i="7"/>
  <c r="F77" i="7" s="1"/>
  <c r="R58" i="7" s="1"/>
  <c r="D83" i="7"/>
  <c r="F83" i="7" s="1"/>
  <c r="R64" i="7" s="1"/>
  <c r="D74" i="7"/>
  <c r="F74" i="7" s="1"/>
  <c r="R55" i="7" s="1"/>
  <c r="D76" i="7"/>
  <c r="F76" i="7" s="1"/>
  <c r="R57" i="7" s="1"/>
  <c r="D78" i="7"/>
  <c r="F78" i="7" s="1"/>
  <c r="R59" i="7" s="1"/>
  <c r="D81" i="7"/>
  <c r="F81" i="7" s="1"/>
  <c r="R62" i="7" s="1"/>
  <c r="C55" i="3"/>
  <c r="D55" i="3" s="1"/>
  <c r="B55" i="3"/>
  <c r="G54" i="3"/>
  <c r="I37" i="3"/>
  <c r="E32" i="3"/>
  <c r="K37" i="3"/>
  <c r="L37" i="3"/>
  <c r="Q37" i="3"/>
  <c r="N37" i="3"/>
  <c r="M32" i="3"/>
  <c r="F32" i="3"/>
  <c r="N32" i="3"/>
  <c r="G32" i="3"/>
  <c r="O32" i="3"/>
  <c r="I32" i="3"/>
  <c r="N33" i="3"/>
  <c r="H32" i="3"/>
  <c r="P32" i="3"/>
  <c r="Q32" i="3"/>
  <c r="F33" i="3"/>
  <c r="H34" i="3"/>
  <c r="E33" i="3"/>
  <c r="J32" i="3"/>
  <c r="R32" i="3"/>
  <c r="K32" i="3"/>
  <c r="S32" i="3"/>
  <c r="L32" i="3"/>
  <c r="P34" i="3"/>
  <c r="I34" i="3"/>
  <c r="L33" i="3"/>
  <c r="O33" i="3"/>
  <c r="Q33" i="3"/>
  <c r="H33" i="3"/>
  <c r="E34" i="3"/>
  <c r="F34" i="3"/>
  <c r="G33" i="3"/>
  <c r="S33" i="3"/>
  <c r="O34" i="3"/>
  <c r="M34" i="3"/>
  <c r="K33" i="3"/>
  <c r="R34" i="3"/>
  <c r="N34" i="3"/>
  <c r="I33" i="3"/>
  <c r="G34" i="3"/>
  <c r="L34" i="3"/>
  <c r="S34" i="3"/>
  <c r="J34" i="3"/>
  <c r="M33" i="3"/>
  <c r="R33" i="3"/>
  <c r="K34" i="3"/>
  <c r="P33" i="3"/>
  <c r="J33" i="3"/>
  <c r="Q34" i="3"/>
  <c r="K35" i="3"/>
  <c r="R35" i="3"/>
  <c r="S35" i="3"/>
  <c r="F35" i="3"/>
  <c r="L35" i="3"/>
  <c r="O35" i="3"/>
  <c r="E35" i="3"/>
  <c r="H35" i="3"/>
  <c r="M35" i="3"/>
  <c r="P35" i="3"/>
  <c r="N35" i="3"/>
  <c r="I35" i="3"/>
  <c r="G35" i="3"/>
  <c r="Q35" i="3"/>
  <c r="J35" i="3"/>
  <c r="M36" i="3"/>
  <c r="H36" i="3"/>
  <c r="N36" i="3"/>
  <c r="Q36" i="3"/>
  <c r="S36" i="3"/>
  <c r="F36" i="3"/>
  <c r="P36" i="3"/>
  <c r="G36" i="3"/>
  <c r="J36" i="3"/>
  <c r="K36" i="3"/>
  <c r="O36" i="3"/>
  <c r="R36" i="3"/>
  <c r="E36" i="3"/>
  <c r="I36" i="3"/>
  <c r="L36" i="3"/>
  <c r="S37" i="3"/>
  <c r="R37" i="3"/>
  <c r="H37" i="3"/>
  <c r="E37" i="3"/>
  <c r="P37" i="3"/>
  <c r="J37" i="3"/>
  <c r="O37" i="3"/>
  <c r="M37" i="3"/>
  <c r="I38" i="3"/>
  <c r="Q38" i="3"/>
  <c r="J38" i="3"/>
  <c r="R38" i="3"/>
  <c r="K38" i="3"/>
  <c r="S38" i="3"/>
  <c r="M38" i="3"/>
  <c r="E38" i="3"/>
  <c r="H38" i="3"/>
  <c r="P38" i="3"/>
  <c r="L38" i="3"/>
  <c r="F38" i="3"/>
  <c r="N38" i="3"/>
  <c r="G38" i="3"/>
  <c r="O38" i="3"/>
  <c r="F37" i="3"/>
  <c r="G37" i="3"/>
  <c r="C39" i="3"/>
  <c r="B39" i="3"/>
  <c r="B23" i="3"/>
  <c r="C23" i="3"/>
  <c r="G11" i="3"/>
  <c r="G9" i="3"/>
  <c r="G8" i="3"/>
  <c r="G10" i="3"/>
  <c r="G7" i="3"/>
  <c r="D66" i="3" s="1"/>
  <c r="D68" i="3" s="1"/>
  <c r="D46" i="4"/>
  <c r="D47" i="4" s="1"/>
  <c r="D48" i="4" s="1"/>
  <c r="D49" i="4" s="1"/>
  <c r="D50" i="4" s="1"/>
  <c r="D51" i="4" s="1"/>
  <c r="D52" i="4" s="1"/>
  <c r="AB15" i="7" l="1"/>
  <c r="AB16" i="6"/>
  <c r="M55" i="3"/>
  <c r="N55" i="3" s="1"/>
  <c r="Q55" i="3" s="1"/>
  <c r="X11" i="11"/>
  <c r="O5" i="1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Y11" i="11"/>
  <c r="O18" i="12"/>
  <c r="O17" i="12"/>
  <c r="O16" i="12"/>
  <c r="O15" i="12"/>
  <c r="O19" i="12"/>
  <c r="E22" i="11"/>
  <c r="E23" i="11" s="1"/>
  <c r="D92" i="7"/>
  <c r="F92" i="7" s="1"/>
  <c r="R73" i="7" s="1"/>
  <c r="D86" i="7"/>
  <c r="F86" i="7" s="1"/>
  <c r="R67" i="7" s="1"/>
  <c r="D84" i="7"/>
  <c r="F84" i="7" s="1"/>
  <c r="R65" i="7" s="1"/>
  <c r="D88" i="7"/>
  <c r="F88" i="7" s="1"/>
  <c r="R69" i="7" s="1"/>
  <c r="D91" i="7"/>
  <c r="F91" i="7" s="1"/>
  <c r="R72" i="7" s="1"/>
  <c r="D93" i="7"/>
  <c r="F93" i="7" s="1"/>
  <c r="R74" i="7" s="1"/>
  <c r="D85" i="7"/>
  <c r="F85" i="7" s="1"/>
  <c r="R66" i="7" s="1"/>
  <c r="D90" i="7"/>
  <c r="F90" i="7" s="1"/>
  <c r="R71" i="7" s="1"/>
  <c r="D87" i="7"/>
  <c r="F87" i="7" s="1"/>
  <c r="R68" i="7" s="1"/>
  <c r="D89" i="7"/>
  <c r="F89" i="7" s="1"/>
  <c r="R70" i="7" s="1"/>
  <c r="D32" i="3"/>
  <c r="C56" i="3"/>
  <c r="D56" i="3" s="1"/>
  <c r="B56" i="3"/>
  <c r="G55" i="3"/>
  <c r="D33" i="3"/>
  <c r="D35" i="3"/>
  <c r="D34" i="3"/>
  <c r="D36" i="3"/>
  <c r="D37" i="3"/>
  <c r="D38" i="3"/>
  <c r="K39" i="3"/>
  <c r="S39" i="3"/>
  <c r="L39" i="3"/>
  <c r="M39" i="3"/>
  <c r="O39" i="3"/>
  <c r="R39" i="3"/>
  <c r="F39" i="3"/>
  <c r="N39" i="3"/>
  <c r="G39" i="3"/>
  <c r="J39" i="3"/>
  <c r="H39" i="3"/>
  <c r="P39" i="3"/>
  <c r="E39" i="3"/>
  <c r="I39" i="3"/>
  <c r="Q39" i="3"/>
  <c r="C40" i="3"/>
  <c r="B40" i="3"/>
  <c r="B24" i="3"/>
  <c r="C24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AB16" i="7" l="1"/>
  <c r="AB18" i="6"/>
  <c r="AB17" i="6"/>
  <c r="E24" i="11"/>
  <c r="D103" i="7"/>
  <c r="F103" i="7" s="1"/>
  <c r="R84" i="7" s="1"/>
  <c r="D98" i="7"/>
  <c r="F98" i="7" s="1"/>
  <c r="R79" i="7" s="1"/>
  <c r="D96" i="7"/>
  <c r="F96" i="7" s="1"/>
  <c r="R77" i="7" s="1"/>
  <c r="D102" i="7"/>
  <c r="F102" i="7" s="1"/>
  <c r="R83" i="7" s="1"/>
  <c r="D100" i="7"/>
  <c r="F100" i="7" s="1"/>
  <c r="R81" i="7" s="1"/>
  <c r="D94" i="7"/>
  <c r="F94" i="7" s="1"/>
  <c r="R75" i="7" s="1"/>
  <c r="D101" i="7"/>
  <c r="F101" i="7" s="1"/>
  <c r="R82" i="7" s="1"/>
  <c r="D97" i="7"/>
  <c r="F97" i="7" s="1"/>
  <c r="R78" i="7" s="1"/>
  <c r="D99" i="7"/>
  <c r="F99" i="7" s="1"/>
  <c r="R80" i="7" s="1"/>
  <c r="D95" i="7"/>
  <c r="F95" i="7" s="1"/>
  <c r="R76" i="7" s="1"/>
  <c r="M56" i="3"/>
  <c r="N56" i="3" s="1"/>
  <c r="Q56" i="3" s="1"/>
  <c r="X12" i="11"/>
  <c r="Y12" i="11"/>
  <c r="P5" i="1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19" i="12"/>
  <c r="P18" i="12"/>
  <c r="P15" i="12"/>
  <c r="P16" i="12"/>
  <c r="P17" i="12"/>
  <c r="H49" i="3"/>
  <c r="E49" i="3" s="1"/>
  <c r="F48" i="3"/>
  <c r="K48" i="3" s="1"/>
  <c r="H53" i="3"/>
  <c r="E53" i="3" s="1"/>
  <c r="H51" i="3"/>
  <c r="E51" i="3" s="1"/>
  <c r="H54" i="3"/>
  <c r="E54" i="3" s="1"/>
  <c r="H52" i="3"/>
  <c r="E52" i="3" s="1"/>
  <c r="H50" i="3"/>
  <c r="E50" i="3" s="1"/>
  <c r="C57" i="3"/>
  <c r="D57" i="3" s="1"/>
  <c r="G56" i="3"/>
  <c r="B57" i="3"/>
  <c r="M40" i="3"/>
  <c r="F40" i="3"/>
  <c r="N40" i="3"/>
  <c r="G40" i="3"/>
  <c r="O40" i="3"/>
  <c r="P40" i="3"/>
  <c r="Q40" i="3"/>
  <c r="L40" i="3"/>
  <c r="H40" i="3"/>
  <c r="I40" i="3"/>
  <c r="J40" i="3"/>
  <c r="R40" i="3"/>
  <c r="K40" i="3"/>
  <c r="S40" i="3"/>
  <c r="E40" i="3"/>
  <c r="D39" i="3"/>
  <c r="B25" i="3"/>
  <c r="C25" i="3"/>
  <c r="C41" i="3"/>
  <c r="B41" i="3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AB18" i="7" l="1"/>
  <c r="AB17" i="7"/>
  <c r="Y13" i="11"/>
  <c r="M57" i="3"/>
  <c r="N57" i="3" s="1"/>
  <c r="X13" i="11"/>
  <c r="Q5" i="1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16" i="12"/>
  <c r="Q19" i="12"/>
  <c r="Q17" i="12"/>
  <c r="Q15" i="12"/>
  <c r="Q18" i="12"/>
  <c r="E25" i="1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D104" i="7"/>
  <c r="F104" i="7" s="1"/>
  <c r="R85" i="7" s="1"/>
  <c r="F52" i="3"/>
  <c r="K52" i="3" s="1"/>
  <c r="F49" i="3"/>
  <c r="K49" i="3" s="1"/>
  <c r="F51" i="3"/>
  <c r="K51" i="3" s="1"/>
  <c r="F54" i="3"/>
  <c r="K54" i="3" s="1"/>
  <c r="F50" i="3"/>
  <c r="K50" i="3" s="1"/>
  <c r="F53" i="3"/>
  <c r="K53" i="3" s="1"/>
  <c r="H55" i="3"/>
  <c r="E55" i="3" s="1"/>
  <c r="F55" i="3" s="1"/>
  <c r="K55" i="3" s="1"/>
  <c r="C58" i="3"/>
  <c r="D58" i="3" s="1"/>
  <c r="B58" i="3"/>
  <c r="G57" i="3"/>
  <c r="D40" i="3"/>
  <c r="G41" i="3"/>
  <c r="O41" i="3"/>
  <c r="H41" i="3"/>
  <c r="P41" i="3"/>
  <c r="I41" i="3"/>
  <c r="Q41" i="3"/>
  <c r="R41" i="3"/>
  <c r="S41" i="3"/>
  <c r="N41" i="3"/>
  <c r="E41" i="3"/>
  <c r="J41" i="3"/>
  <c r="K41" i="3"/>
  <c r="F41" i="3"/>
  <c r="L41" i="3"/>
  <c r="M41" i="3"/>
  <c r="B26" i="3"/>
  <c r="C26" i="3"/>
  <c r="B42" i="3"/>
  <c r="C42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R15" i="12" l="1"/>
  <c r="R18" i="12"/>
  <c r="R19" i="12"/>
  <c r="R16" i="12"/>
  <c r="R17" i="12"/>
  <c r="Y14" i="11"/>
  <c r="M58" i="3"/>
  <c r="N58" i="3" s="1"/>
  <c r="X14" i="11"/>
  <c r="R5" i="1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C59" i="3"/>
  <c r="D59" i="3" s="1"/>
  <c r="G58" i="3"/>
  <c r="B59" i="3"/>
  <c r="C27" i="3"/>
  <c r="B27" i="3"/>
  <c r="D41" i="3"/>
  <c r="I42" i="3"/>
  <c r="Q42" i="3"/>
  <c r="E42" i="3"/>
  <c r="J42" i="3"/>
  <c r="R42" i="3"/>
  <c r="K42" i="3"/>
  <c r="S42" i="3"/>
  <c r="G42" i="3"/>
  <c r="L42" i="3"/>
  <c r="M42" i="3"/>
  <c r="O42" i="3"/>
  <c r="H42" i="3"/>
  <c r="F42" i="3"/>
  <c r="N42" i="3"/>
  <c r="P42" i="3"/>
  <c r="H56" i="3"/>
  <c r="E56" i="3" s="1"/>
  <c r="C43" i="3"/>
  <c r="B43" i="3"/>
  <c r="AE7" i="2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M59" i="3" l="1"/>
  <c r="N59" i="3" s="1"/>
  <c r="Y15" i="11"/>
  <c r="X15" i="11"/>
  <c r="S5" i="1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17" i="12"/>
  <c r="S19" i="12"/>
  <c r="S18" i="12"/>
  <c r="S15" i="12"/>
  <c r="S16" i="12"/>
  <c r="F56" i="3"/>
  <c r="K56" i="3" s="1"/>
  <c r="C60" i="3"/>
  <c r="D60" i="3" s="1"/>
  <c r="B60" i="3"/>
  <c r="G59" i="3"/>
  <c r="C41" i="6" a="1"/>
  <c r="C41" i="6" s="1"/>
  <c r="C24" i="6" a="1"/>
  <c r="C24" i="6" s="1"/>
  <c r="D24" i="6" s="1"/>
  <c r="F24" i="6" s="1"/>
  <c r="C49" i="6" a="1"/>
  <c r="C49" i="6" s="1"/>
  <c r="D49" i="6" s="1"/>
  <c r="F49" i="6" s="1"/>
  <c r="C15" i="6" a="1"/>
  <c r="C15" i="6" s="1"/>
  <c r="D15" i="6" s="1"/>
  <c r="F15" i="6" s="1"/>
  <c r="C21" i="6" a="1"/>
  <c r="C21" i="6" s="1"/>
  <c r="D21" i="6" s="1"/>
  <c r="F21" i="6" s="1"/>
  <c r="C71" i="6" a="1"/>
  <c r="C71" i="6" s="1"/>
  <c r="D71" i="6" s="1"/>
  <c r="F71" i="6" s="1"/>
  <c r="C95" i="6" a="1"/>
  <c r="C95" i="6" s="1"/>
  <c r="D95" i="6" s="1"/>
  <c r="F95" i="6" s="1"/>
  <c r="C90" i="6" a="1"/>
  <c r="C90" i="6" s="1"/>
  <c r="D90" i="6" s="1"/>
  <c r="F90" i="6" s="1"/>
  <c r="H57" i="3"/>
  <c r="E57" i="3" s="1"/>
  <c r="F57" i="3" s="1"/>
  <c r="K57" i="3" s="1"/>
  <c r="K43" i="3"/>
  <c r="S43" i="3"/>
  <c r="L43" i="3"/>
  <c r="E43" i="3"/>
  <c r="M43" i="3"/>
  <c r="F43" i="3"/>
  <c r="N43" i="3"/>
  <c r="O43" i="3"/>
  <c r="J43" i="3"/>
  <c r="G43" i="3"/>
  <c r="R43" i="3"/>
  <c r="H43" i="3"/>
  <c r="P43" i="3"/>
  <c r="I43" i="3"/>
  <c r="Q43" i="3"/>
  <c r="C28" i="3"/>
  <c r="B28" i="3"/>
  <c r="D42" i="3"/>
  <c r="C44" i="3"/>
  <c r="B44" i="3"/>
  <c r="AU12" i="2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D41" i="6" l="1"/>
  <c r="F41" i="6" s="1"/>
  <c r="R22" i="6" s="1"/>
  <c r="M60" i="3"/>
  <c r="N60" i="3" s="1"/>
  <c r="Y16" i="11"/>
  <c r="X16" i="11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18" i="12"/>
  <c r="T17" i="12"/>
  <c r="T16" i="12"/>
  <c r="T15" i="12"/>
  <c r="T19" i="12"/>
  <c r="C5" i="6" a="1"/>
  <c r="C5" i="6" s="1"/>
  <c r="D5" i="6" s="1"/>
  <c r="F5" i="6" s="1"/>
  <c r="C58" i="6" a="1"/>
  <c r="C58" i="6" s="1"/>
  <c r="C39" i="6" a="1"/>
  <c r="C39" i="6" s="1"/>
  <c r="C98" i="6" a="1"/>
  <c r="C98" i="6" s="1"/>
  <c r="C101" i="6" a="1"/>
  <c r="C101" i="6" s="1"/>
  <c r="D101" i="6" s="1"/>
  <c r="F101" i="6" s="1"/>
  <c r="W82" i="6" s="1"/>
  <c r="C94" i="6" a="1"/>
  <c r="C94" i="6" s="1"/>
  <c r="W33" i="7"/>
  <c r="C13" i="6" a="1"/>
  <c r="C13" i="6" s="1"/>
  <c r="D13" i="6" s="1"/>
  <c r="F13" i="6" s="1"/>
  <c r="C62" i="6" a="1"/>
  <c r="C62" i="6" s="1"/>
  <c r="C54" i="6" a="1"/>
  <c r="C54" i="6" s="1"/>
  <c r="C72" i="6" a="1"/>
  <c r="C72" i="6" s="1"/>
  <c r="C20" i="6" a="1"/>
  <c r="C20" i="6" s="1"/>
  <c r="D20" i="6" s="1"/>
  <c r="F20" i="6" s="1"/>
  <c r="W77" i="7"/>
  <c r="C37" i="6" a="1"/>
  <c r="C37" i="6" s="1"/>
  <c r="C56" i="6" a="1"/>
  <c r="C56" i="6" s="1"/>
  <c r="C61" i="6" a="1"/>
  <c r="C61" i="6" s="1"/>
  <c r="D61" i="6" s="1"/>
  <c r="F61" i="6" s="1"/>
  <c r="W42" i="6" s="1"/>
  <c r="C76" i="6" a="1"/>
  <c r="C76" i="6" s="1"/>
  <c r="C12" i="6" a="1"/>
  <c r="C12" i="6" s="1"/>
  <c r="D12" i="6" s="1"/>
  <c r="F12" i="6" s="1"/>
  <c r="C96" i="6" a="1"/>
  <c r="C96" i="6" s="1"/>
  <c r="C44" i="6" a="1"/>
  <c r="C44" i="6" s="1"/>
  <c r="C40" i="6" a="1"/>
  <c r="C40" i="6" s="1"/>
  <c r="C97" i="6" a="1"/>
  <c r="C97" i="6" s="1"/>
  <c r="C17" i="6" a="1"/>
  <c r="C17" i="6" s="1"/>
  <c r="D17" i="6" s="1"/>
  <c r="F17" i="6" s="1"/>
  <c r="W30" i="6"/>
  <c r="R30" i="6"/>
  <c r="W22" i="6"/>
  <c r="G60" i="3"/>
  <c r="C86" i="6" a="1"/>
  <c r="C86" i="6" s="1"/>
  <c r="D86" i="6" s="1"/>
  <c r="F86" i="6" s="1"/>
  <c r="C11" i="6" a="1"/>
  <c r="C11" i="6" s="1"/>
  <c r="D11" i="6" s="1"/>
  <c r="F11" i="6" s="1"/>
  <c r="C60" i="6" a="1"/>
  <c r="C60" i="6" s="1"/>
  <c r="D60" i="6" s="1"/>
  <c r="F60" i="6" s="1"/>
  <c r="C14" i="6" a="1"/>
  <c r="C14" i="6" s="1"/>
  <c r="D14" i="6" s="1"/>
  <c r="F14" i="6" s="1"/>
  <c r="C32" i="6" a="1"/>
  <c r="C32" i="6" s="1"/>
  <c r="D32" i="6" s="1"/>
  <c r="F32" i="6" s="1"/>
  <c r="C28" i="6" a="1"/>
  <c r="C28" i="6" s="1"/>
  <c r="D28" i="6" s="1"/>
  <c r="F28" i="6" s="1"/>
  <c r="C102" i="6" a="1"/>
  <c r="C102" i="6" s="1"/>
  <c r="D102" i="6" s="1"/>
  <c r="F102" i="6" s="1"/>
  <c r="C53" i="6" a="1"/>
  <c r="C53" i="6" s="1"/>
  <c r="D53" i="6" s="1"/>
  <c r="F53" i="6" s="1"/>
  <c r="C80" i="6" a="1"/>
  <c r="C80" i="6" s="1"/>
  <c r="D80" i="6" s="1"/>
  <c r="F80" i="6" s="1"/>
  <c r="C38" i="6" a="1"/>
  <c r="C38" i="6" s="1"/>
  <c r="D38" i="6" s="1"/>
  <c r="F38" i="6" s="1"/>
  <c r="C77" i="6" a="1"/>
  <c r="C77" i="6" s="1"/>
  <c r="D77" i="6" s="1"/>
  <c r="F77" i="6" s="1"/>
  <c r="C10" i="6" a="1"/>
  <c r="C10" i="6" s="1"/>
  <c r="D10" i="6" s="1"/>
  <c r="F10" i="6" s="1"/>
  <c r="C99" i="6" a="1"/>
  <c r="C99" i="6" s="1"/>
  <c r="D99" i="6" s="1"/>
  <c r="F99" i="6" s="1"/>
  <c r="C73" i="6" a="1"/>
  <c r="C73" i="6" s="1"/>
  <c r="D73" i="6" s="1"/>
  <c r="F73" i="6" s="1"/>
  <c r="C81" i="6" a="1"/>
  <c r="C81" i="6" s="1"/>
  <c r="D81" i="6" s="1"/>
  <c r="F81" i="6" s="1"/>
  <c r="C103" i="6" a="1"/>
  <c r="C103" i="6" s="1"/>
  <c r="D103" i="6" s="1"/>
  <c r="F103" i="6" s="1"/>
  <c r="C92" i="6" a="1"/>
  <c r="C92" i="6" s="1"/>
  <c r="D92" i="6" s="1"/>
  <c r="F92" i="6" s="1"/>
  <c r="C16" i="6" a="1"/>
  <c r="C16" i="6" s="1"/>
  <c r="D16" i="6" s="1"/>
  <c r="F16" i="6" s="1"/>
  <c r="C69" i="6" a="1"/>
  <c r="C69" i="6" s="1"/>
  <c r="D69" i="6" s="1"/>
  <c r="F69" i="6" s="1"/>
  <c r="C42" i="6" a="1"/>
  <c r="C42" i="6" s="1"/>
  <c r="D42" i="6" s="1"/>
  <c r="F42" i="6" s="1"/>
  <c r="C47" i="6" a="1"/>
  <c r="C47" i="6" s="1"/>
  <c r="D47" i="6" s="1"/>
  <c r="F47" i="6" s="1"/>
  <c r="C82" i="6" a="1"/>
  <c r="C82" i="6" s="1"/>
  <c r="D82" i="6" s="1"/>
  <c r="F82" i="6" s="1"/>
  <c r="C29" i="6" a="1"/>
  <c r="C29" i="6" s="1"/>
  <c r="D29" i="6" s="1"/>
  <c r="F29" i="6" s="1"/>
  <c r="C6" i="6" a="1"/>
  <c r="C6" i="6" s="1"/>
  <c r="D6" i="6" s="1"/>
  <c r="F6" i="6" s="1"/>
  <c r="C66" i="6" a="1"/>
  <c r="C66" i="6" s="1"/>
  <c r="D66" i="6" s="1"/>
  <c r="F66" i="6" s="1"/>
  <c r="C87" i="6" a="1"/>
  <c r="C87" i="6" s="1"/>
  <c r="D87" i="6" s="1"/>
  <c r="F87" i="6" s="1"/>
  <c r="C100" i="6" a="1"/>
  <c r="C100" i="6" s="1"/>
  <c r="D100" i="6" s="1"/>
  <c r="F100" i="6" s="1"/>
  <c r="C22" i="6" a="1"/>
  <c r="C22" i="6" s="1"/>
  <c r="D22" i="6" s="1"/>
  <c r="F22" i="6" s="1"/>
  <c r="C8" i="6" a="1"/>
  <c r="C8" i="6" s="1"/>
  <c r="D8" i="6" s="1"/>
  <c r="F8" i="6" s="1"/>
  <c r="C33" i="6" a="1"/>
  <c r="C33" i="6" s="1"/>
  <c r="D33" i="6" s="1"/>
  <c r="F33" i="6" s="1"/>
  <c r="C51" i="6" a="1"/>
  <c r="C51" i="6" s="1"/>
  <c r="D51" i="6" s="1"/>
  <c r="F51" i="6" s="1"/>
  <c r="C31" i="6" a="1"/>
  <c r="C31" i="6" s="1"/>
  <c r="D31" i="6" s="1"/>
  <c r="F31" i="6" s="1"/>
  <c r="C46" i="6" a="1"/>
  <c r="C46" i="6" s="1"/>
  <c r="D46" i="6" s="1"/>
  <c r="F46" i="6" s="1"/>
  <c r="C57" i="6" a="1"/>
  <c r="C57" i="6" s="1"/>
  <c r="D57" i="6" s="1"/>
  <c r="F57" i="6" s="1"/>
  <c r="C83" i="6" a="1"/>
  <c r="C83" i="6" s="1"/>
  <c r="D83" i="6" s="1"/>
  <c r="F83" i="6" s="1"/>
  <c r="C75" i="6" a="1"/>
  <c r="C75" i="6" s="1"/>
  <c r="D75" i="6" s="1"/>
  <c r="F75" i="6" s="1"/>
  <c r="W75" i="7"/>
  <c r="W74" i="7"/>
  <c r="R71" i="6"/>
  <c r="W71" i="6"/>
  <c r="W52" i="6"/>
  <c r="R52" i="6"/>
  <c r="C52" i="6" a="1"/>
  <c r="C52" i="6" s="1"/>
  <c r="D52" i="6" s="1"/>
  <c r="F52" i="6" s="1"/>
  <c r="C26" i="6" a="1"/>
  <c r="C26" i="6" s="1"/>
  <c r="D26" i="6" s="1"/>
  <c r="F26" i="6" s="1"/>
  <c r="C91" i="6" a="1"/>
  <c r="C91" i="6" s="1"/>
  <c r="D91" i="6" s="1"/>
  <c r="F91" i="6" s="1"/>
  <c r="C19" i="6" a="1"/>
  <c r="C19" i="6" s="1"/>
  <c r="D19" i="6" s="1"/>
  <c r="F19" i="6" s="1"/>
  <c r="C74" i="6" a="1"/>
  <c r="C74" i="6" s="1"/>
  <c r="D74" i="6" s="1"/>
  <c r="F74" i="6" s="1"/>
  <c r="C67" i="6" a="1"/>
  <c r="C67" i="6" s="1"/>
  <c r="D67" i="6" s="1"/>
  <c r="F67" i="6" s="1"/>
  <c r="C59" i="6" a="1"/>
  <c r="C59" i="6" s="1"/>
  <c r="D59" i="6" s="1"/>
  <c r="F59" i="6" s="1"/>
  <c r="C85" i="6" a="1"/>
  <c r="C85" i="6" s="1"/>
  <c r="D85" i="6" s="1"/>
  <c r="F85" i="6" s="1"/>
  <c r="C65" i="6" a="1"/>
  <c r="C65" i="6" s="1"/>
  <c r="D65" i="6" s="1"/>
  <c r="F65" i="6" s="1"/>
  <c r="C88" i="6" a="1"/>
  <c r="C88" i="6" s="1"/>
  <c r="D88" i="6" s="1"/>
  <c r="F88" i="6" s="1"/>
  <c r="C23" i="6" a="1"/>
  <c r="C23" i="6" s="1"/>
  <c r="D23" i="6" s="1"/>
  <c r="F23" i="6" s="1"/>
  <c r="C84" i="6" a="1"/>
  <c r="C84" i="6" s="1"/>
  <c r="D84" i="6" s="1"/>
  <c r="F84" i="6" s="1"/>
  <c r="C30" i="6" a="1"/>
  <c r="C30" i="6" s="1"/>
  <c r="D30" i="6" s="1"/>
  <c r="F30" i="6" s="1"/>
  <c r="C89" i="6" a="1"/>
  <c r="C89" i="6" s="1"/>
  <c r="D89" i="6" s="1"/>
  <c r="F89" i="6" s="1"/>
  <c r="C48" i="6" a="1"/>
  <c r="C48" i="6" s="1"/>
  <c r="D48" i="6" s="1"/>
  <c r="F48" i="6" s="1"/>
  <c r="W27" i="7"/>
  <c r="W22" i="7"/>
  <c r="W81" i="7"/>
  <c r="W34" i="7"/>
  <c r="R5" i="6"/>
  <c r="W5" i="6"/>
  <c r="W76" i="7"/>
  <c r="C79" i="6" a="1"/>
  <c r="C79" i="6" s="1"/>
  <c r="D79" i="6" s="1"/>
  <c r="F79" i="6" s="1"/>
  <c r="C64" i="6" a="1"/>
  <c r="C64" i="6" s="1"/>
  <c r="D64" i="6" s="1"/>
  <c r="F64" i="6" s="1"/>
  <c r="C25" i="6" a="1"/>
  <c r="C25" i="6" s="1"/>
  <c r="D25" i="6" s="1"/>
  <c r="F25" i="6" s="1"/>
  <c r="C78" i="6" a="1"/>
  <c r="C78" i="6" s="1"/>
  <c r="D78" i="6" s="1"/>
  <c r="F78" i="6" s="1"/>
  <c r="C93" i="6" a="1"/>
  <c r="C93" i="6" s="1"/>
  <c r="D93" i="6" s="1"/>
  <c r="F93" i="6" s="1"/>
  <c r="C27" i="6" a="1"/>
  <c r="C27" i="6" s="1"/>
  <c r="D27" i="6" s="1"/>
  <c r="F27" i="6" s="1"/>
  <c r="R76" i="6"/>
  <c r="W76" i="6"/>
  <c r="W72" i="7"/>
  <c r="W8" i="7"/>
  <c r="W83" i="7"/>
  <c r="W79" i="7"/>
  <c r="H58" i="3"/>
  <c r="C50" i="6" a="1"/>
  <c r="C50" i="6" s="1"/>
  <c r="D50" i="6" s="1"/>
  <c r="F50" i="6" s="1"/>
  <c r="C104" i="6" a="1"/>
  <c r="C104" i="6" s="1"/>
  <c r="D104" i="6" s="1"/>
  <c r="F104" i="6" s="1"/>
  <c r="C70" i="6" a="1"/>
  <c r="C70" i="6" s="1"/>
  <c r="D70" i="6" s="1"/>
  <c r="F70" i="6" s="1"/>
  <c r="C43" i="6" a="1"/>
  <c r="C43" i="6" s="1"/>
  <c r="D43" i="6" s="1"/>
  <c r="F43" i="6" s="1"/>
  <c r="C7" i="6" a="1"/>
  <c r="C7" i="6" s="1"/>
  <c r="D7" i="6" s="1"/>
  <c r="F7" i="6" s="1"/>
  <c r="C35" i="6" a="1"/>
  <c r="C35" i="6" s="1"/>
  <c r="D35" i="6" s="1"/>
  <c r="F35" i="6" s="1"/>
  <c r="C45" i="6" a="1"/>
  <c r="C45" i="6" s="1"/>
  <c r="D45" i="6" s="1"/>
  <c r="F45" i="6" s="1"/>
  <c r="C68" i="6" a="1"/>
  <c r="C68" i="6" s="1"/>
  <c r="D68" i="6" s="1"/>
  <c r="F68" i="6" s="1"/>
  <c r="C63" i="6" a="1"/>
  <c r="C63" i="6" s="1"/>
  <c r="D63" i="6" s="1"/>
  <c r="F63" i="6" s="1"/>
  <c r="C18" i="6" a="1"/>
  <c r="C18" i="6" s="1"/>
  <c r="D18" i="6" s="1"/>
  <c r="F18" i="6" s="1"/>
  <c r="C9" i="6" a="1"/>
  <c r="C9" i="6" s="1"/>
  <c r="D9" i="6" s="1"/>
  <c r="F9" i="6" s="1"/>
  <c r="C34" i="6" a="1"/>
  <c r="C34" i="6" s="1"/>
  <c r="D34" i="6" s="1"/>
  <c r="F34" i="6" s="1"/>
  <c r="C55" i="6" a="1"/>
  <c r="C55" i="6" s="1"/>
  <c r="D55" i="6" s="1"/>
  <c r="F55" i="6" s="1"/>
  <c r="C36" i="6" a="1"/>
  <c r="C36" i="6" s="1"/>
  <c r="D36" i="6" s="1"/>
  <c r="F36" i="6" s="1"/>
  <c r="D43" i="3"/>
  <c r="M44" i="3"/>
  <c r="F44" i="3"/>
  <c r="N44" i="3"/>
  <c r="G44" i="3"/>
  <c r="O44" i="3"/>
  <c r="E44" i="3"/>
  <c r="P44" i="3"/>
  <c r="Q44" i="3"/>
  <c r="L44" i="3"/>
  <c r="H44" i="3"/>
  <c r="I44" i="3"/>
  <c r="J44" i="3"/>
  <c r="R44" i="3"/>
  <c r="K44" i="3"/>
  <c r="S44" i="3"/>
  <c r="AU13" i="2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R82" i="6" l="1"/>
  <c r="R42" i="6"/>
  <c r="D96" i="6"/>
  <c r="F96" i="6" s="1"/>
  <c r="R77" i="6" s="1"/>
  <c r="D72" i="6"/>
  <c r="F72" i="6" s="1"/>
  <c r="W53" i="6" s="1"/>
  <c r="D39" i="6"/>
  <c r="F39" i="6" s="1"/>
  <c r="R20" i="6" s="1"/>
  <c r="D54" i="6"/>
  <c r="F54" i="6" s="1"/>
  <c r="W35" i="6" s="1"/>
  <c r="D58" i="6"/>
  <c r="F58" i="6" s="1"/>
  <c r="W39" i="6" s="1"/>
  <c r="D62" i="6"/>
  <c r="F62" i="6" s="1"/>
  <c r="R43" i="6" s="1"/>
  <c r="D56" i="6"/>
  <c r="F56" i="6" s="1"/>
  <c r="R37" i="6" s="1"/>
  <c r="D97" i="6"/>
  <c r="F97" i="6" s="1"/>
  <c r="W78" i="6" s="1"/>
  <c r="D37" i="6"/>
  <c r="F37" i="6" s="1"/>
  <c r="R18" i="6" s="1"/>
  <c r="D94" i="6"/>
  <c r="F94" i="6" s="1"/>
  <c r="R75" i="6" s="1"/>
  <c r="D76" i="6"/>
  <c r="F76" i="6" s="1"/>
  <c r="W57" i="6" s="1"/>
  <c r="D40" i="6"/>
  <c r="F40" i="6" s="1"/>
  <c r="W21" i="6" s="1"/>
  <c r="D44" i="6"/>
  <c r="F44" i="6" s="1"/>
  <c r="W25" i="6" s="1"/>
  <c r="D98" i="6"/>
  <c r="F98" i="6" s="1"/>
  <c r="R79" i="6" s="1"/>
  <c r="U16" i="12"/>
  <c r="U19" i="12"/>
  <c r="U15" i="12"/>
  <c r="U18" i="12"/>
  <c r="U17" i="12"/>
  <c r="Y17" i="11"/>
  <c r="X17" i="11"/>
  <c r="U5" i="1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W32" i="7"/>
  <c r="W38" i="7"/>
  <c r="E58" i="3"/>
  <c r="F58" i="3" s="1"/>
  <c r="K58" i="3" s="1"/>
  <c r="H59" i="3"/>
  <c r="E59" i="3" s="1"/>
  <c r="W42" i="7"/>
  <c r="R81" i="6"/>
  <c r="W81" i="6"/>
  <c r="W48" i="7"/>
  <c r="W59" i="6"/>
  <c r="R59" i="6"/>
  <c r="W15" i="7"/>
  <c r="W59" i="7"/>
  <c r="R58" i="6"/>
  <c r="W58" i="6"/>
  <c r="R16" i="6"/>
  <c r="W16" i="6"/>
  <c r="W24" i="7"/>
  <c r="W55" i="6"/>
  <c r="R55" i="6"/>
  <c r="W69" i="7"/>
  <c r="W40" i="7"/>
  <c r="W17" i="7"/>
  <c r="W61" i="7"/>
  <c r="R23" i="6"/>
  <c r="W23" i="6"/>
  <c r="W35" i="7"/>
  <c r="W31" i="7"/>
  <c r="W13" i="6"/>
  <c r="R13" i="6"/>
  <c r="R36" i="6"/>
  <c r="W36" i="6"/>
  <c r="W66" i="7"/>
  <c r="W31" i="6"/>
  <c r="R31" i="6"/>
  <c r="W13" i="7"/>
  <c r="W63" i="7"/>
  <c r="W70" i="6"/>
  <c r="R70" i="6"/>
  <c r="W69" i="6"/>
  <c r="R69" i="6"/>
  <c r="W64" i="6"/>
  <c r="R64" i="6"/>
  <c r="R14" i="6"/>
  <c r="W14" i="6"/>
  <c r="W41" i="7"/>
  <c r="R47" i="6"/>
  <c r="W47" i="6"/>
  <c r="R50" i="6"/>
  <c r="W50" i="6"/>
  <c r="R62" i="6"/>
  <c r="W62" i="6"/>
  <c r="W19" i="6"/>
  <c r="R19" i="6"/>
  <c r="W20" i="7"/>
  <c r="W57" i="7"/>
  <c r="X5" i="6"/>
  <c r="W21" i="7"/>
  <c r="W50" i="7"/>
  <c r="W85" i="6"/>
  <c r="R85" i="6"/>
  <c r="S5" i="6"/>
  <c r="R7" i="6"/>
  <c r="W7" i="6"/>
  <c r="R84" i="6"/>
  <c r="W84" i="6"/>
  <c r="W26" i="7"/>
  <c r="W58" i="7"/>
  <c r="W29" i="7"/>
  <c r="W56" i="7"/>
  <c r="W54" i="6"/>
  <c r="R54" i="6"/>
  <c r="W44" i="7"/>
  <c r="R24" i="6"/>
  <c r="W24" i="6"/>
  <c r="W70" i="7"/>
  <c r="W36" i="7"/>
  <c r="W39" i="7"/>
  <c r="W66" i="6"/>
  <c r="R66" i="6"/>
  <c r="W25" i="7"/>
  <c r="W46" i="7"/>
  <c r="W27" i="6"/>
  <c r="R27" i="6"/>
  <c r="W80" i="7"/>
  <c r="W16" i="7"/>
  <c r="W10" i="6"/>
  <c r="R10" i="6"/>
  <c r="W7" i="7"/>
  <c r="R80" i="6"/>
  <c r="W80" i="6"/>
  <c r="W34" i="6"/>
  <c r="R34" i="6"/>
  <c r="R41" i="6"/>
  <c r="W41" i="6"/>
  <c r="R51" i="6"/>
  <c r="W51" i="6"/>
  <c r="W64" i="7"/>
  <c r="W45" i="7"/>
  <c r="R32" i="6"/>
  <c r="W32" i="6"/>
  <c r="R28" i="6"/>
  <c r="W28" i="6"/>
  <c r="W43" i="7"/>
  <c r="W71" i="7"/>
  <c r="W52" i="7"/>
  <c r="W67" i="7"/>
  <c r="W12" i="7"/>
  <c r="R17" i="6"/>
  <c r="W17" i="6"/>
  <c r="W5" i="7"/>
  <c r="W49" i="7"/>
  <c r="W10" i="7"/>
  <c r="W60" i="7"/>
  <c r="W61" i="6"/>
  <c r="R61" i="6"/>
  <c r="R44" i="6"/>
  <c r="W44" i="6"/>
  <c r="W55" i="7"/>
  <c r="R8" i="6"/>
  <c r="W8" i="6"/>
  <c r="W47" i="7"/>
  <c r="R60" i="6"/>
  <c r="W60" i="6"/>
  <c r="R11" i="6"/>
  <c r="W11" i="6"/>
  <c r="R40" i="6"/>
  <c r="W40" i="6"/>
  <c r="R72" i="6"/>
  <c r="W72" i="6"/>
  <c r="R33" i="6"/>
  <c r="W33" i="6"/>
  <c r="W18" i="7"/>
  <c r="W65" i="7"/>
  <c r="W78" i="7"/>
  <c r="R63" i="6"/>
  <c r="W63" i="6"/>
  <c r="W62" i="7"/>
  <c r="W68" i="7"/>
  <c r="W84" i="7"/>
  <c r="W11" i="7"/>
  <c r="W54" i="7"/>
  <c r="W23" i="7"/>
  <c r="W26" i="6"/>
  <c r="R26" i="6"/>
  <c r="R6" i="6"/>
  <c r="W6" i="6"/>
  <c r="R48" i="6"/>
  <c r="W48" i="6"/>
  <c r="W6" i="7"/>
  <c r="R9" i="6"/>
  <c r="W9" i="6"/>
  <c r="W15" i="6"/>
  <c r="R15" i="6"/>
  <c r="W14" i="7"/>
  <c r="W29" i="6"/>
  <c r="R29" i="6"/>
  <c r="W9" i="7"/>
  <c r="W45" i="6"/>
  <c r="R45" i="6"/>
  <c r="R46" i="6"/>
  <c r="W46" i="6"/>
  <c r="W38" i="6"/>
  <c r="R38" i="6"/>
  <c r="W53" i="7"/>
  <c r="W82" i="7"/>
  <c r="W28" i="7"/>
  <c r="R49" i="6"/>
  <c r="W49" i="6"/>
  <c r="W51" i="7"/>
  <c r="W74" i="6"/>
  <c r="R74" i="6"/>
  <c r="W85" i="7"/>
  <c r="R65" i="6"/>
  <c r="W65" i="6"/>
  <c r="W30" i="7"/>
  <c r="W37" i="7"/>
  <c r="W56" i="6"/>
  <c r="R56" i="6"/>
  <c r="R12" i="6"/>
  <c r="W12" i="6"/>
  <c r="W68" i="6"/>
  <c r="R68" i="6"/>
  <c r="W19" i="7"/>
  <c r="W73" i="7"/>
  <c r="W73" i="6"/>
  <c r="R73" i="6"/>
  <c r="R83" i="6"/>
  <c r="W83" i="6"/>
  <c r="R67" i="6"/>
  <c r="W67" i="6"/>
  <c r="D44" i="3"/>
  <c r="AU14" i="2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W20" i="6" l="1"/>
  <c r="R25" i="6"/>
  <c r="W37" i="6"/>
  <c r="W77" i="6"/>
  <c r="R78" i="6"/>
  <c r="R21" i="6"/>
  <c r="S27" i="6" s="1"/>
  <c r="W18" i="6"/>
  <c r="R35" i="6"/>
  <c r="R39" i="6"/>
  <c r="R57" i="6"/>
  <c r="W43" i="6"/>
  <c r="R53" i="6"/>
  <c r="W75" i="6"/>
  <c r="W79" i="6"/>
  <c r="V17" i="12"/>
  <c r="V18" i="12"/>
  <c r="V15" i="12"/>
  <c r="V16" i="12"/>
  <c r="V19" i="12"/>
  <c r="F59" i="3"/>
  <c r="K59" i="3" s="1"/>
  <c r="X7" i="7"/>
  <c r="X7" i="6"/>
  <c r="S12" i="6"/>
  <c r="S6" i="6"/>
  <c r="S14" i="6"/>
  <c r="X8" i="6"/>
  <c r="X6" i="6"/>
  <c r="X17" i="6"/>
  <c r="S18" i="6"/>
  <c r="S17" i="6"/>
  <c r="S15" i="6"/>
  <c r="S8" i="6"/>
  <c r="S7" i="6"/>
  <c r="X10" i="6"/>
  <c r="X16" i="6"/>
  <c r="X11" i="6"/>
  <c r="S11" i="6"/>
  <c r="S35" i="7"/>
  <c r="X14" i="6"/>
  <c r="X25" i="7"/>
  <c r="S20" i="6"/>
  <c r="X12" i="6"/>
  <c r="X13" i="6"/>
  <c r="S69" i="7"/>
  <c r="S5" i="7"/>
  <c r="S57" i="7"/>
  <c r="S58" i="7"/>
  <c r="S21" i="7"/>
  <c r="S30" i="7"/>
  <c r="S18" i="7"/>
  <c r="S71" i="7"/>
  <c r="S32" i="7"/>
  <c r="S34" i="7"/>
  <c r="S72" i="7"/>
  <c r="S27" i="7"/>
  <c r="S84" i="7"/>
  <c r="S80" i="7"/>
  <c r="S11" i="7"/>
  <c r="S22" i="7"/>
  <c r="S31" i="7"/>
  <c r="S59" i="7"/>
  <c r="S79" i="7"/>
  <c r="S55" i="7"/>
  <c r="S40" i="7"/>
  <c r="S29" i="7"/>
  <c r="S25" i="7"/>
  <c r="S7" i="7"/>
  <c r="S70" i="7"/>
  <c r="S12" i="7"/>
  <c r="S49" i="7"/>
  <c r="S39" i="7"/>
  <c r="S51" i="7"/>
  <c r="S52" i="7"/>
  <c r="S10" i="7"/>
  <c r="S64" i="7"/>
  <c r="S47" i="7"/>
  <c r="S53" i="7"/>
  <c r="S13" i="7"/>
  <c r="S78" i="7"/>
  <c r="S73" i="7"/>
  <c r="S23" i="7"/>
  <c r="S20" i="7"/>
  <c r="S33" i="7"/>
  <c r="S63" i="7"/>
  <c r="S37" i="7"/>
  <c r="S16" i="7"/>
  <c r="S41" i="7"/>
  <c r="S50" i="7"/>
  <c r="S44" i="7"/>
  <c r="S85" i="7"/>
  <c r="S82" i="7"/>
  <c r="S74" i="7"/>
  <c r="S68" i="7"/>
  <c r="S67" i="7"/>
  <c r="S17" i="7"/>
  <c r="S43" i="7"/>
  <c r="S36" i="7"/>
  <c r="S19" i="7"/>
  <c r="S76" i="7"/>
  <c r="S38" i="7"/>
  <c r="S42" i="7"/>
  <c r="S60" i="7"/>
  <c r="S83" i="7"/>
  <c r="S48" i="7"/>
  <c r="S54" i="7"/>
  <c r="S26" i="7"/>
  <c r="S14" i="7"/>
  <c r="S56" i="7"/>
  <c r="S8" i="7"/>
  <c r="S45" i="7"/>
  <c r="S46" i="7"/>
  <c r="S61" i="7"/>
  <c r="S9" i="7"/>
  <c r="S81" i="7"/>
  <c r="S77" i="7"/>
  <c r="S24" i="7"/>
  <c r="S15" i="7"/>
  <c r="S6" i="7"/>
  <c r="S66" i="7"/>
  <c r="S65" i="7"/>
  <c r="S62" i="7"/>
  <c r="S28" i="7"/>
  <c r="S75" i="7"/>
  <c r="S10" i="6"/>
  <c r="S19" i="6"/>
  <c r="S13" i="6"/>
  <c r="S16" i="6"/>
  <c r="X15" i="6"/>
  <c r="S9" i="6"/>
  <c r="X5" i="7"/>
  <c r="X82" i="7"/>
  <c r="X8" i="7"/>
  <c r="X9" i="7"/>
  <c r="X12" i="7"/>
  <c r="X74" i="7"/>
  <c r="X48" i="7"/>
  <c r="X40" i="7"/>
  <c r="X76" i="7"/>
  <c r="X70" i="7"/>
  <c r="X45" i="7"/>
  <c r="X59" i="7"/>
  <c r="X73" i="7"/>
  <c r="X24" i="7"/>
  <c r="X23" i="7"/>
  <c r="X11" i="7"/>
  <c r="X52" i="7"/>
  <c r="X85" i="7"/>
  <c r="X41" i="7"/>
  <c r="X15" i="7"/>
  <c r="X46" i="7"/>
  <c r="X37" i="7"/>
  <c r="X38" i="7"/>
  <c r="X54" i="7"/>
  <c r="X57" i="7"/>
  <c r="X60" i="7"/>
  <c r="X43" i="7"/>
  <c r="X55" i="7"/>
  <c r="X65" i="7"/>
  <c r="X18" i="7"/>
  <c r="X6" i="7"/>
  <c r="X31" i="7"/>
  <c r="X64" i="7"/>
  <c r="X30" i="7"/>
  <c r="X17" i="7"/>
  <c r="X69" i="7"/>
  <c r="X75" i="7"/>
  <c r="X21" i="7"/>
  <c r="X68" i="7"/>
  <c r="X34" i="7"/>
  <c r="X66" i="7"/>
  <c r="X20" i="7"/>
  <c r="X36" i="7"/>
  <c r="X61" i="7"/>
  <c r="X49" i="7"/>
  <c r="X26" i="7"/>
  <c r="X84" i="7"/>
  <c r="X71" i="7"/>
  <c r="X39" i="7"/>
  <c r="X14" i="7"/>
  <c r="X67" i="7"/>
  <c r="X19" i="7"/>
  <c r="X77" i="7"/>
  <c r="X13" i="7"/>
  <c r="X80" i="7"/>
  <c r="X53" i="7"/>
  <c r="X63" i="7"/>
  <c r="X27" i="7"/>
  <c r="X44" i="7"/>
  <c r="X35" i="7"/>
  <c r="X58" i="7"/>
  <c r="X47" i="7"/>
  <c r="X78" i="7"/>
  <c r="X51" i="7"/>
  <c r="X42" i="7"/>
  <c r="X29" i="7"/>
  <c r="X16" i="7"/>
  <c r="X28" i="7"/>
  <c r="X56" i="7"/>
  <c r="X72" i="7"/>
  <c r="X79" i="7"/>
  <c r="X10" i="7"/>
  <c r="X32" i="7"/>
  <c r="X62" i="7"/>
  <c r="X33" i="7"/>
  <c r="X50" i="7"/>
  <c r="X83" i="7"/>
  <c r="X81" i="7"/>
  <c r="X22" i="7"/>
  <c r="X9" i="6"/>
  <c r="H60" i="3"/>
  <c r="E60" i="3" s="1"/>
  <c r="F60" i="3" s="1"/>
  <c r="K60" i="3" s="1"/>
  <c r="AU15" i="2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X20" i="6" l="1"/>
  <c r="X21" i="6"/>
  <c r="X51" i="6"/>
  <c r="S29" i="6"/>
  <c r="X39" i="6"/>
  <c r="X27" i="6"/>
  <c r="X33" i="6"/>
  <c r="X36" i="6"/>
  <c r="X31" i="6"/>
  <c r="X41" i="6"/>
  <c r="X24" i="6"/>
  <c r="X30" i="6"/>
  <c r="X69" i="6"/>
  <c r="X32" i="6"/>
  <c r="X28" i="6"/>
  <c r="X25" i="6"/>
  <c r="X35" i="6"/>
  <c r="X23" i="6"/>
  <c r="X18" i="6"/>
  <c r="X40" i="6"/>
  <c r="S25" i="6"/>
  <c r="S28" i="6"/>
  <c r="S37" i="6"/>
  <c r="S32" i="6"/>
  <c r="S34" i="6"/>
  <c r="S31" i="6"/>
  <c r="S33" i="6"/>
  <c r="S23" i="6"/>
  <c r="S30" i="6"/>
  <c r="S24" i="6"/>
  <c r="S21" i="6"/>
  <c r="S26" i="6"/>
  <c r="X72" i="6"/>
  <c r="X78" i="6"/>
  <c r="S40" i="6"/>
  <c r="X47" i="6"/>
  <c r="S45" i="6"/>
  <c r="S80" i="6"/>
  <c r="X58" i="6"/>
  <c r="X50" i="6"/>
  <c r="X71" i="6"/>
  <c r="X84" i="6"/>
  <c r="X56" i="6"/>
  <c r="X55" i="6"/>
  <c r="S84" i="6"/>
  <c r="S78" i="6"/>
  <c r="X45" i="6"/>
  <c r="X60" i="6"/>
  <c r="X54" i="6"/>
  <c r="X62" i="6"/>
  <c r="X59" i="6"/>
  <c r="X61" i="6"/>
  <c r="X53" i="6"/>
  <c r="X67" i="6"/>
  <c r="X48" i="6"/>
  <c r="X43" i="6"/>
  <c r="X77" i="6"/>
  <c r="S53" i="6"/>
  <c r="X46" i="6"/>
  <c r="X73" i="6"/>
  <c r="X68" i="6"/>
  <c r="S69" i="6"/>
  <c r="X57" i="6"/>
  <c r="X37" i="6"/>
  <c r="X66" i="6"/>
  <c r="X76" i="6"/>
  <c r="S49" i="6"/>
  <c r="S46" i="6"/>
  <c r="S70" i="6"/>
  <c r="S76" i="6"/>
  <c r="S83" i="6"/>
  <c r="S60" i="6"/>
  <c r="S85" i="6"/>
  <c r="S35" i="6"/>
  <c r="S43" i="6"/>
  <c r="S54" i="6"/>
  <c r="X63" i="6"/>
  <c r="X34" i="6"/>
  <c r="X22" i="6"/>
  <c r="X49" i="6"/>
  <c r="S57" i="6"/>
  <c r="S52" i="6"/>
  <c r="X26" i="6"/>
  <c r="X29" i="6"/>
  <c r="X65" i="6"/>
  <c r="S22" i="6"/>
  <c r="X75" i="6"/>
  <c r="X74" i="6"/>
  <c r="S82" i="6"/>
  <c r="S81" i="6"/>
  <c r="S61" i="6"/>
  <c r="S75" i="6"/>
  <c r="S74" i="6"/>
  <c r="S66" i="6"/>
  <c r="S56" i="6"/>
  <c r="S51" i="6"/>
  <c r="S63" i="6"/>
  <c r="S41" i="6"/>
  <c r="S65" i="6"/>
  <c r="S44" i="6"/>
  <c r="S71" i="6"/>
  <c r="S73" i="6"/>
  <c r="S48" i="6"/>
  <c r="S42" i="6"/>
  <c r="S47" i="6"/>
  <c r="S77" i="6"/>
  <c r="S79" i="6"/>
  <c r="S55" i="6"/>
  <c r="X19" i="6"/>
  <c r="X52" i="6"/>
  <c r="X42" i="6"/>
  <c r="X70" i="6"/>
  <c r="X79" i="6"/>
  <c r="S67" i="6"/>
  <c r="S58" i="6"/>
  <c r="S50" i="6"/>
  <c r="S64" i="6"/>
  <c r="S68" i="6"/>
  <c r="S36" i="6"/>
  <c r="S38" i="6"/>
  <c r="S72" i="6"/>
  <c r="S62" i="6"/>
  <c r="X44" i="6"/>
  <c r="X38" i="6"/>
  <c r="S39" i="6"/>
  <c r="X83" i="6"/>
  <c r="X81" i="6"/>
  <c r="S59" i="6"/>
  <c r="X64" i="6"/>
  <c r="X82" i="6"/>
  <c r="X80" i="6"/>
  <c r="X85" i="6"/>
  <c r="I5" i="9" a="1"/>
  <c r="I5" i="9" s="1"/>
  <c r="J51" i="9" a="1"/>
  <c r="J51" i="9" s="1"/>
  <c r="C51" i="9" s="1" a="1"/>
  <c r="C51" i="9" s="1"/>
  <c r="D51" i="9" s="1"/>
  <c r="F51" i="9" s="1"/>
  <c r="M51" i="9" s="1"/>
  <c r="I37" i="9" a="1"/>
  <c r="I37" i="9" s="1"/>
  <c r="J43" i="9" a="1"/>
  <c r="J43" i="9" s="1"/>
  <c r="C43" i="9" s="1" a="1"/>
  <c r="C43" i="9" s="1"/>
  <c r="D43" i="9" s="1"/>
  <c r="F43" i="9" s="1"/>
  <c r="M43" i="9" s="1"/>
  <c r="J47" i="9" a="1"/>
  <c r="J47" i="9" s="1"/>
  <c r="C47" i="9" s="1" a="1"/>
  <c r="C47" i="9" s="1"/>
  <c r="D47" i="9" s="1"/>
  <c r="F47" i="9" s="1"/>
  <c r="M47" i="9" s="1"/>
  <c r="J11" i="9" a="1"/>
  <c r="J11" i="9" s="1"/>
  <c r="C11" i="9" s="1" a="1"/>
  <c r="C11" i="9" s="1"/>
  <c r="D11" i="9" s="1"/>
  <c r="F11" i="9" s="1"/>
  <c r="M11" i="9" s="1"/>
  <c r="I49" i="9" a="1"/>
  <c r="I49" i="9" s="1"/>
  <c r="I52" i="9" a="1"/>
  <c r="I52" i="9" s="1"/>
  <c r="J22" i="9" a="1"/>
  <c r="J22" i="9" s="1"/>
  <c r="C22" i="9" s="1" a="1"/>
  <c r="C22" i="9" s="1"/>
  <c r="D22" i="9" s="1"/>
  <c r="F22" i="9" s="1"/>
  <c r="M22" i="9" s="1"/>
  <c r="J85" i="9" a="1"/>
  <c r="J85" i="9" s="1"/>
  <c r="I66" i="9" a="1"/>
  <c r="I66" i="9" s="1"/>
  <c r="J72" i="9" a="1"/>
  <c r="J72" i="9" s="1"/>
  <c r="C72" i="9" s="1" a="1"/>
  <c r="C72" i="9" s="1"/>
  <c r="D72" i="9" s="1"/>
  <c r="F72" i="9" s="1"/>
  <c r="M72" i="9" s="1"/>
  <c r="J57" i="9" a="1"/>
  <c r="J57" i="9" s="1"/>
  <c r="C57" i="9" s="1" a="1"/>
  <c r="C57" i="9" s="1"/>
  <c r="D57" i="9" s="1"/>
  <c r="F57" i="9" s="1"/>
  <c r="M57" i="9" s="1"/>
  <c r="I59" i="9" a="1"/>
  <c r="I59" i="9" s="1"/>
  <c r="I89" i="9" a="1"/>
  <c r="I89" i="9" s="1"/>
  <c r="J95" i="9" a="1"/>
  <c r="J95" i="9" s="1"/>
  <c r="J48" i="9" a="1"/>
  <c r="J48" i="9" s="1"/>
  <c r="C48" i="9" s="1" a="1"/>
  <c r="C48" i="9" s="1"/>
  <c r="D48" i="9" s="1"/>
  <c r="F48" i="9" s="1"/>
  <c r="M48" i="9" s="1"/>
  <c r="J16" i="9" a="1"/>
  <c r="J16" i="9" s="1"/>
  <c r="C16" i="9" s="1" a="1"/>
  <c r="C16" i="9" s="1"/>
  <c r="D16" i="9" s="1"/>
  <c r="F16" i="9" s="1"/>
  <c r="M16" i="9" s="1"/>
  <c r="I79" i="9" a="1"/>
  <c r="I79" i="9" s="1"/>
  <c r="J92" i="9" a="1"/>
  <c r="J92" i="9" s="1"/>
  <c r="J52" i="9" a="1"/>
  <c r="J52" i="9" s="1"/>
  <c r="C52" i="9" s="1" a="1"/>
  <c r="C52" i="9" s="1"/>
  <c r="D52" i="9" s="1"/>
  <c r="F52" i="9" s="1"/>
  <c r="M52" i="9" s="1"/>
  <c r="J25" i="9" a="1"/>
  <c r="J25" i="9" s="1"/>
  <c r="C25" i="9" s="1" a="1"/>
  <c r="C25" i="9" s="1"/>
  <c r="D25" i="9" s="1"/>
  <c r="F25" i="9" s="1"/>
  <c r="M25" i="9" s="1"/>
  <c r="J78" i="9" a="1"/>
  <c r="J78" i="9" s="1"/>
  <c r="C78" i="9" s="1" a="1"/>
  <c r="C78" i="9" s="1"/>
  <c r="D78" i="9" s="1"/>
  <c r="F78" i="9" s="1"/>
  <c r="M78" i="9" s="1"/>
  <c r="J40" i="9" a="1"/>
  <c r="J40" i="9" s="1"/>
  <c r="C40" i="9" s="1" a="1"/>
  <c r="C40" i="9" s="1"/>
  <c r="D40" i="9" s="1"/>
  <c r="F40" i="9" s="1"/>
  <c r="M40" i="9" s="1"/>
  <c r="I81" i="9" a="1"/>
  <c r="I81" i="9" s="1"/>
  <c r="I56" i="9" a="1"/>
  <c r="I56" i="9" s="1"/>
  <c r="I98" i="9" a="1"/>
  <c r="I98" i="9" s="1"/>
  <c r="I24" i="9" a="1"/>
  <c r="I24" i="9" s="1"/>
  <c r="I38" i="9" a="1"/>
  <c r="I38" i="9" s="1"/>
  <c r="I6" i="9" a="1"/>
  <c r="I6" i="9" s="1"/>
  <c r="I33" i="9" a="1"/>
  <c r="I33" i="9" s="1"/>
  <c r="I36" i="9" a="1"/>
  <c r="I36" i="9" s="1"/>
  <c r="J58" i="9" a="1"/>
  <c r="J58" i="9" s="1"/>
  <c r="C58" i="9" s="1" a="1"/>
  <c r="C58" i="9" s="1"/>
  <c r="D58" i="9" s="1"/>
  <c r="F58" i="9" s="1"/>
  <c r="M58" i="9" s="1"/>
  <c r="I90" i="9" a="1"/>
  <c r="I90" i="9" s="1"/>
  <c r="I47" i="9" a="1"/>
  <c r="I47" i="9" s="1"/>
  <c r="I50" i="9" a="1"/>
  <c r="I50" i="9" s="1"/>
  <c r="J18" i="9" a="1"/>
  <c r="J18" i="9" s="1"/>
  <c r="C18" i="9" s="1" a="1"/>
  <c r="C18" i="9" s="1"/>
  <c r="D18" i="9" s="1"/>
  <c r="F18" i="9" s="1"/>
  <c r="M18" i="9" s="1"/>
  <c r="I11" i="9" a="1"/>
  <c r="I11" i="9" s="1"/>
  <c r="J64" i="9" a="1"/>
  <c r="J64" i="9" s="1"/>
  <c r="C64" i="9" s="1" a="1"/>
  <c r="C64" i="9" s="1"/>
  <c r="D64" i="9" s="1"/>
  <c r="F64" i="9" s="1"/>
  <c r="M64" i="9" s="1"/>
  <c r="I67" i="9" a="1"/>
  <c r="I67" i="9" s="1"/>
  <c r="J46" i="9" a="1"/>
  <c r="J46" i="9" s="1"/>
  <c r="C46" i="9" s="1" a="1"/>
  <c r="C46" i="9" s="1"/>
  <c r="D46" i="9" s="1"/>
  <c r="F46" i="9" s="1"/>
  <c r="M46" i="9" s="1"/>
  <c r="J87" i="9" a="1"/>
  <c r="J87" i="9" s="1"/>
  <c r="J8" i="9" a="1"/>
  <c r="J8" i="9" s="1"/>
  <c r="C8" i="9" s="1" a="1"/>
  <c r="C8" i="9" s="1"/>
  <c r="D8" i="9" s="1"/>
  <c r="F8" i="9" s="1"/>
  <c r="M8" i="9" s="1"/>
  <c r="J76" i="9" a="1"/>
  <c r="J76" i="9" s="1"/>
  <c r="C76" i="9" s="1" a="1"/>
  <c r="C76" i="9" s="1"/>
  <c r="D76" i="9" s="1"/>
  <c r="F76" i="9" s="1"/>
  <c r="M76" i="9" s="1"/>
  <c r="J19" i="9" a="1"/>
  <c r="J19" i="9" s="1"/>
  <c r="C19" i="9" s="1" a="1"/>
  <c r="C19" i="9" s="1"/>
  <c r="D19" i="9" s="1"/>
  <c r="F19" i="9" s="1"/>
  <c r="M19" i="9" s="1"/>
  <c r="J54" i="9" a="1"/>
  <c r="J54" i="9" s="1"/>
  <c r="C54" i="9" s="1" a="1"/>
  <c r="C54" i="9" s="1"/>
  <c r="D54" i="9" s="1"/>
  <c r="F54" i="9" s="1"/>
  <c r="M54" i="9" s="1"/>
  <c r="I85" i="9" a="1"/>
  <c r="I85" i="9" s="1"/>
  <c r="J24" i="9" a="1"/>
  <c r="J24" i="9" s="1"/>
  <c r="C24" i="9" s="1" a="1"/>
  <c r="C24" i="9" s="1"/>
  <c r="D24" i="9" s="1"/>
  <c r="F24" i="9" s="1"/>
  <c r="M24" i="9" s="1"/>
  <c r="J5" i="9" a="1"/>
  <c r="J5" i="9" s="1"/>
  <c r="J13" i="9" a="1"/>
  <c r="J13" i="9" s="1"/>
  <c r="C13" i="9" s="1" a="1"/>
  <c r="C13" i="9" s="1"/>
  <c r="D13" i="9" s="1"/>
  <c r="F13" i="9" s="1"/>
  <c r="M13" i="9" s="1"/>
  <c r="J70" i="9" a="1"/>
  <c r="J70" i="9" s="1"/>
  <c r="C70" i="9" s="1" a="1"/>
  <c r="C70" i="9" s="1"/>
  <c r="D70" i="9" s="1"/>
  <c r="F70" i="9" s="1"/>
  <c r="M70" i="9" s="1"/>
  <c r="J60" i="9" a="1"/>
  <c r="J60" i="9" s="1"/>
  <c r="C60" i="9" s="1" a="1"/>
  <c r="C60" i="9" s="1"/>
  <c r="D60" i="9" s="1"/>
  <c r="F60" i="9" s="1"/>
  <c r="M60" i="9" s="1"/>
  <c r="I71" i="9" a="1"/>
  <c r="I71" i="9" s="1"/>
  <c r="J12" i="9" a="1"/>
  <c r="J12" i="9" s="1"/>
  <c r="C12" i="9" s="1" a="1"/>
  <c r="C12" i="9" s="1"/>
  <c r="D12" i="9" s="1"/>
  <c r="F12" i="9" s="1"/>
  <c r="M12" i="9" s="1"/>
  <c r="J79" i="9" a="1"/>
  <c r="J79" i="9" s="1"/>
  <c r="C79" i="9" s="1" a="1"/>
  <c r="C79" i="9" s="1"/>
  <c r="D79" i="9" s="1"/>
  <c r="F79" i="9" s="1"/>
  <c r="M79" i="9" s="1"/>
  <c r="I17" i="9" a="1"/>
  <c r="I17" i="9" s="1"/>
  <c r="I20" i="9" a="1"/>
  <c r="I20" i="9" s="1"/>
  <c r="I70" i="9" a="1"/>
  <c r="I70" i="9" s="1"/>
  <c r="I30" i="9" a="1"/>
  <c r="I30" i="9" s="1"/>
  <c r="I31" i="9" a="1"/>
  <c r="I31" i="9" s="1"/>
  <c r="I34" i="9" a="1"/>
  <c r="I34" i="9" s="1"/>
  <c r="J75" i="9" a="1"/>
  <c r="J75" i="9" s="1"/>
  <c r="C75" i="9" s="1" a="1"/>
  <c r="C75" i="9" s="1"/>
  <c r="D75" i="9" s="1"/>
  <c r="F75" i="9" s="1"/>
  <c r="M75" i="9" s="1"/>
  <c r="J83" i="9" a="1"/>
  <c r="J83" i="9" s="1"/>
  <c r="I45" i="9" a="1"/>
  <c r="I45" i="9" s="1"/>
  <c r="I48" i="9" a="1"/>
  <c r="I48" i="9" s="1"/>
  <c r="J14" i="9" a="1"/>
  <c r="J14" i="9" s="1"/>
  <c r="C14" i="9" s="1" a="1"/>
  <c r="C14" i="9" s="1"/>
  <c r="D14" i="9" s="1"/>
  <c r="F14" i="9" s="1"/>
  <c r="M14" i="9" s="1"/>
  <c r="I27" i="9" a="1"/>
  <c r="I27" i="9" s="1"/>
  <c r="I82" i="9" a="1"/>
  <c r="I82" i="9" s="1"/>
  <c r="J88" i="9" a="1"/>
  <c r="J88" i="9" s="1"/>
  <c r="I68" i="9" a="1"/>
  <c r="I68" i="9" s="1"/>
  <c r="J91" i="9" a="1"/>
  <c r="J91" i="9" s="1"/>
  <c r="J67" i="9" a="1"/>
  <c r="J67" i="9" s="1"/>
  <c r="C67" i="9" s="1" a="1"/>
  <c r="C67" i="9" s="1"/>
  <c r="D67" i="9" s="1"/>
  <c r="F67" i="9" s="1"/>
  <c r="M67" i="9" s="1"/>
  <c r="J55" i="9" a="1"/>
  <c r="J55" i="9" s="1"/>
  <c r="C55" i="9" s="1" a="1"/>
  <c r="C55" i="9" s="1"/>
  <c r="D55" i="9" s="1"/>
  <c r="F55" i="9" s="1"/>
  <c r="M55" i="9" s="1"/>
  <c r="I53" i="9" a="1"/>
  <c r="I53" i="9" s="1"/>
  <c r="I75" i="9" a="1"/>
  <c r="I75" i="9" s="1"/>
  <c r="I54" i="9" a="1"/>
  <c r="I54" i="9" s="1"/>
  <c r="J68" i="9" a="1"/>
  <c r="J68" i="9" s="1"/>
  <c r="C68" i="9" s="1" a="1"/>
  <c r="C68" i="9" s="1"/>
  <c r="D68" i="9" s="1"/>
  <c r="F68" i="9" s="1"/>
  <c r="M68" i="9" s="1"/>
  <c r="J103" i="9" a="1"/>
  <c r="J103" i="9" s="1"/>
  <c r="I63" i="9" a="1"/>
  <c r="I63" i="9" s="1"/>
  <c r="J69" i="9" a="1"/>
  <c r="J69" i="9" s="1"/>
  <c r="C69" i="9" s="1" a="1"/>
  <c r="C69" i="9" s="1"/>
  <c r="D69" i="9" s="1"/>
  <c r="F69" i="9" s="1"/>
  <c r="M69" i="9" s="1"/>
  <c r="J62" i="9" a="1"/>
  <c r="J62" i="9" s="1"/>
  <c r="C62" i="9" s="1" a="1"/>
  <c r="C62" i="9" s="1"/>
  <c r="D62" i="9" s="1"/>
  <c r="F62" i="9" s="1"/>
  <c r="M62" i="9" s="1"/>
  <c r="J61" i="9" a="1"/>
  <c r="J61" i="9" s="1"/>
  <c r="C61" i="9" s="1" a="1"/>
  <c r="C61" i="9" s="1"/>
  <c r="D61" i="9" s="1"/>
  <c r="F61" i="9" s="1"/>
  <c r="M61" i="9" s="1"/>
  <c r="J41" i="9" a="1"/>
  <c r="J41" i="9" s="1"/>
  <c r="C41" i="9" s="1" a="1"/>
  <c r="C41" i="9" s="1"/>
  <c r="D41" i="9" s="1"/>
  <c r="F41" i="9" s="1"/>
  <c r="M41" i="9" s="1"/>
  <c r="J42" i="9" a="1"/>
  <c r="J42" i="9" s="1"/>
  <c r="C42" i="9" s="1" a="1"/>
  <c r="C42" i="9" s="1"/>
  <c r="D42" i="9" s="1"/>
  <c r="F42" i="9" s="1"/>
  <c r="M42" i="9" s="1"/>
  <c r="I96" i="9" a="1"/>
  <c r="I96" i="9" s="1"/>
  <c r="J102" i="9" a="1"/>
  <c r="J102" i="9" s="1"/>
  <c r="I93" i="9" a="1"/>
  <c r="I93" i="9" s="1"/>
  <c r="I88" i="9" a="1"/>
  <c r="I88" i="9" s="1"/>
  <c r="I13" i="9" a="1"/>
  <c r="I13" i="9" s="1"/>
  <c r="I16" i="9" a="1"/>
  <c r="I16" i="9" s="1"/>
  <c r="J50" i="9" a="1"/>
  <c r="J50" i="9" s="1"/>
  <c r="C50" i="9" s="1" a="1"/>
  <c r="C50" i="9" s="1"/>
  <c r="D50" i="9" s="1"/>
  <c r="F50" i="9" s="1"/>
  <c r="M50" i="9" s="1"/>
  <c r="I65" i="9" a="1"/>
  <c r="I65" i="9" s="1"/>
  <c r="I41" i="9" a="1"/>
  <c r="I41" i="9" s="1"/>
  <c r="I44" i="9" a="1"/>
  <c r="I44" i="9" s="1"/>
  <c r="J7" i="9" a="1"/>
  <c r="J7" i="9" s="1"/>
  <c r="C7" i="9" s="1" a="1"/>
  <c r="C7" i="9" s="1"/>
  <c r="D7" i="9" s="1"/>
  <c r="F7" i="9" s="1"/>
  <c r="M7" i="9" s="1"/>
  <c r="I55" i="9" a="1"/>
  <c r="I55" i="9" s="1"/>
  <c r="I58" i="9" a="1"/>
  <c r="I58" i="9" s="1"/>
  <c r="I51" i="9" a="1"/>
  <c r="I51" i="9" s="1"/>
  <c r="I77" i="9" a="1"/>
  <c r="I77" i="9" s="1"/>
  <c r="J39" i="9" a="1"/>
  <c r="J39" i="9" s="1"/>
  <c r="C39" i="9" s="1" a="1"/>
  <c r="C39" i="9" s="1"/>
  <c r="D39" i="9" s="1"/>
  <c r="F39" i="9" s="1"/>
  <c r="M39" i="9" s="1"/>
  <c r="I95" i="9" a="1"/>
  <c r="I95" i="9" s="1"/>
  <c r="J45" i="9" a="1"/>
  <c r="J45" i="9" s="1"/>
  <c r="C45" i="9" s="1" a="1"/>
  <c r="C45" i="9" s="1"/>
  <c r="D45" i="9" s="1"/>
  <c r="F45" i="9" s="1"/>
  <c r="M45" i="9" s="1"/>
  <c r="J17" i="9" a="1"/>
  <c r="J17" i="9" s="1"/>
  <c r="C17" i="9" s="1" a="1"/>
  <c r="C17" i="9" s="1"/>
  <c r="D17" i="9" s="1"/>
  <c r="F17" i="9" s="1"/>
  <c r="M17" i="9" s="1"/>
  <c r="J21" i="9" a="1"/>
  <c r="J21" i="9" s="1"/>
  <c r="C21" i="9" s="1" a="1"/>
  <c r="C21" i="9" s="1"/>
  <c r="D21" i="9" s="1"/>
  <c r="F21" i="9" s="1"/>
  <c r="M21" i="9" s="1"/>
  <c r="J35" i="9" a="1"/>
  <c r="J35" i="9" s="1"/>
  <c r="C35" i="9" s="1" a="1"/>
  <c r="C35" i="9" s="1"/>
  <c r="D35" i="9" s="1"/>
  <c r="F35" i="9" s="1"/>
  <c r="M35" i="9" s="1"/>
  <c r="J6" i="9" a="1"/>
  <c r="J6" i="9" s="1"/>
  <c r="C6" i="9" s="1" a="1"/>
  <c r="C6" i="9" s="1"/>
  <c r="D6" i="9" s="1"/>
  <c r="F6" i="9" s="1"/>
  <c r="M6" i="9" s="1"/>
  <c r="J100" i="9" a="1"/>
  <c r="J100" i="9" s="1"/>
  <c r="J82" i="9" a="1"/>
  <c r="J82" i="9" s="1"/>
  <c r="J93" i="9" a="1"/>
  <c r="J93" i="9" s="1"/>
  <c r="I14" i="9" a="1"/>
  <c r="I14" i="9" s="1"/>
  <c r="I28" i="9" a="1"/>
  <c r="I28" i="9" s="1"/>
  <c r="I39" i="9" a="1"/>
  <c r="I39" i="9" s="1"/>
  <c r="J26" i="9" a="1"/>
  <c r="J26" i="9" s="1"/>
  <c r="C26" i="9" s="1" a="1"/>
  <c r="C26" i="9" s="1"/>
  <c r="D26" i="9" s="1"/>
  <c r="F26" i="9" s="1"/>
  <c r="M26" i="9" s="1"/>
  <c r="I22" i="9" a="1"/>
  <c r="I22" i="9" s="1"/>
  <c r="J44" i="9" a="1"/>
  <c r="J44" i="9" s="1"/>
  <c r="C44" i="9" s="1" a="1"/>
  <c r="C44" i="9" s="1"/>
  <c r="D44" i="9" s="1"/>
  <c r="F44" i="9" s="1"/>
  <c r="M44" i="9" s="1"/>
  <c r="J37" i="9" a="1"/>
  <c r="J37" i="9" s="1"/>
  <c r="C37" i="9" s="1" a="1"/>
  <c r="C37" i="9" s="1"/>
  <c r="D37" i="9" s="1"/>
  <c r="F37" i="9" s="1"/>
  <c r="M37" i="9" s="1"/>
  <c r="J56" i="9" a="1"/>
  <c r="J56" i="9" s="1"/>
  <c r="C56" i="9" s="1" a="1"/>
  <c r="C56" i="9" s="1"/>
  <c r="D56" i="9" s="1"/>
  <c r="F56" i="9" s="1"/>
  <c r="M56" i="9" s="1"/>
  <c r="I78" i="9" a="1"/>
  <c r="I78" i="9" s="1"/>
  <c r="J53" i="9" a="1"/>
  <c r="J53" i="9" s="1"/>
  <c r="C53" i="9" s="1" a="1"/>
  <c r="C53" i="9" s="1"/>
  <c r="D53" i="9" s="1"/>
  <c r="F53" i="9" s="1"/>
  <c r="M53" i="9" s="1"/>
  <c r="I99" i="9" a="1"/>
  <c r="I99" i="9" s="1"/>
  <c r="I62" i="9" a="1"/>
  <c r="I62" i="9" s="1"/>
  <c r="J99" i="9" a="1"/>
  <c r="J99" i="9" s="1"/>
  <c r="I9" i="9" a="1"/>
  <c r="I9" i="9" s="1"/>
  <c r="J84" i="9" a="1"/>
  <c r="J84" i="9" s="1"/>
  <c r="J89" i="9" a="1"/>
  <c r="J89" i="9" s="1"/>
  <c r="J96" i="9" a="1"/>
  <c r="J96" i="9" s="1"/>
  <c r="I92" i="9" a="1"/>
  <c r="I92" i="9" s="1"/>
  <c r="J59" i="9" a="1"/>
  <c r="J59" i="9" s="1"/>
  <c r="C59" i="9" s="1" a="1"/>
  <c r="C59" i="9" s="1"/>
  <c r="D59" i="9" s="1"/>
  <c r="F59" i="9" s="1"/>
  <c r="M59" i="9" s="1"/>
  <c r="J31" i="9" a="1"/>
  <c r="J31" i="9" s="1"/>
  <c r="C31" i="9" s="1" a="1"/>
  <c r="C31" i="9" s="1"/>
  <c r="D31" i="9" s="1"/>
  <c r="F31" i="9" s="1"/>
  <c r="M31" i="9" s="1"/>
  <c r="I61" i="9" a="1"/>
  <c r="I61" i="9" s="1"/>
  <c r="I86" i="9" a="1"/>
  <c r="I86" i="9" s="1"/>
  <c r="J23" i="9" a="1"/>
  <c r="J23" i="9" s="1"/>
  <c r="C23" i="9" s="1" a="1"/>
  <c r="C23" i="9" s="1"/>
  <c r="D23" i="9" s="1"/>
  <c r="F23" i="9" s="1"/>
  <c r="M23" i="9" s="1"/>
  <c r="I12" i="9" a="1"/>
  <c r="I12" i="9" s="1"/>
  <c r="I23" i="9" a="1"/>
  <c r="I23" i="9" s="1"/>
  <c r="J15" i="9" a="1"/>
  <c r="J15" i="9" s="1"/>
  <c r="C15" i="9" s="1" a="1"/>
  <c r="C15" i="9" s="1"/>
  <c r="D15" i="9" s="1"/>
  <c r="F15" i="9" s="1"/>
  <c r="M15" i="9" s="1"/>
  <c r="J104" i="9" a="1"/>
  <c r="J104" i="9" s="1"/>
  <c r="I69" i="9" a="1"/>
  <c r="I69" i="9" s="1"/>
  <c r="J94" i="9" a="1"/>
  <c r="J94" i="9" s="1"/>
  <c r="I42" i="9" a="1"/>
  <c r="I42" i="9" s="1"/>
  <c r="I73" i="9" a="1"/>
  <c r="I73" i="9" s="1"/>
  <c r="J34" i="9" a="1"/>
  <c r="J34" i="9" s="1"/>
  <c r="C34" i="9" s="1" a="1"/>
  <c r="C34" i="9" s="1"/>
  <c r="D34" i="9" s="1"/>
  <c r="F34" i="9" s="1"/>
  <c r="M34" i="9" s="1"/>
  <c r="J90" i="9" a="1"/>
  <c r="J90" i="9" s="1"/>
  <c r="J71" i="9" a="1"/>
  <c r="J71" i="9" s="1"/>
  <c r="C71" i="9" s="1" a="1"/>
  <c r="C71" i="9" s="1"/>
  <c r="D71" i="9" s="1"/>
  <c r="F71" i="9" s="1"/>
  <c r="M71" i="9" s="1"/>
  <c r="I76" i="9" a="1"/>
  <c r="I76" i="9" s="1"/>
  <c r="I91" i="9" a="1"/>
  <c r="I91" i="9" s="1"/>
  <c r="J73" i="9" a="1"/>
  <c r="J73" i="9" s="1"/>
  <c r="C73" i="9" s="1" a="1"/>
  <c r="C73" i="9" s="1"/>
  <c r="D73" i="9" s="1"/>
  <c r="F73" i="9" s="1"/>
  <c r="M73" i="9" s="1"/>
  <c r="J29" i="9" a="1"/>
  <c r="J29" i="9" s="1"/>
  <c r="C29" i="9" s="1" a="1"/>
  <c r="C29" i="9" s="1"/>
  <c r="D29" i="9" s="1"/>
  <c r="F29" i="9" s="1"/>
  <c r="M29" i="9" s="1"/>
  <c r="J27" i="9" a="1"/>
  <c r="J27" i="9" s="1"/>
  <c r="C27" i="9" s="1" a="1"/>
  <c r="C27" i="9" s="1"/>
  <c r="D27" i="9" s="1"/>
  <c r="F27" i="9" s="1"/>
  <c r="M27" i="9" s="1"/>
  <c r="J10" i="9" a="1"/>
  <c r="J10" i="9" s="1"/>
  <c r="C10" i="9" s="1" a="1"/>
  <c r="C10" i="9" s="1"/>
  <c r="D10" i="9" s="1"/>
  <c r="F10" i="9" s="1"/>
  <c r="M10" i="9" s="1"/>
  <c r="J86" i="9" a="1"/>
  <c r="J86" i="9" s="1"/>
  <c r="I7" i="9" a="1"/>
  <c r="I7" i="9" s="1"/>
  <c r="I8" i="9" a="1"/>
  <c r="I8" i="9" s="1"/>
  <c r="I60" i="9" a="1"/>
  <c r="I60" i="9" s="1"/>
  <c r="I19" i="9" a="1"/>
  <c r="I19" i="9" s="1"/>
  <c r="J9" i="9" a="1"/>
  <c r="J9" i="9" s="1"/>
  <c r="C9" i="9" s="1" a="1"/>
  <c r="C9" i="9" s="1"/>
  <c r="D9" i="9" s="1"/>
  <c r="F9" i="9" s="1"/>
  <c r="M9" i="9" s="1"/>
  <c r="I25" i="9" a="1"/>
  <c r="I25" i="9" s="1"/>
  <c r="I26" i="9" a="1"/>
  <c r="I26" i="9" s="1"/>
  <c r="I40" i="9" a="1"/>
  <c r="I40" i="9" s="1"/>
  <c r="I21" i="9" a="1"/>
  <c r="I21" i="9" s="1"/>
  <c r="I35" i="9" a="1"/>
  <c r="I35" i="9" s="1"/>
  <c r="J101" i="9" a="1"/>
  <c r="J101" i="9" s="1"/>
  <c r="J98" i="9" a="1"/>
  <c r="J98" i="9" s="1"/>
  <c r="I15" i="9" a="1"/>
  <c r="I15" i="9" s="1"/>
  <c r="J65" i="9" a="1"/>
  <c r="J65" i="9" s="1"/>
  <c r="C65" i="9" s="1" a="1"/>
  <c r="C65" i="9" s="1"/>
  <c r="D65" i="9" s="1"/>
  <c r="F65" i="9" s="1"/>
  <c r="M65" i="9" s="1"/>
  <c r="I29" i="9" a="1"/>
  <c r="I29" i="9" s="1"/>
  <c r="J66" i="9" a="1"/>
  <c r="J66" i="9" s="1"/>
  <c r="C66" i="9" s="1" a="1"/>
  <c r="C66" i="9" s="1"/>
  <c r="D66" i="9" s="1"/>
  <c r="F66" i="9" s="1"/>
  <c r="M66" i="9" s="1"/>
  <c r="I57" i="9" a="1"/>
  <c r="I57" i="9" s="1"/>
  <c r="J38" i="9" a="1"/>
  <c r="J38" i="9" s="1"/>
  <c r="C38" i="9" s="1" a="1"/>
  <c r="C38" i="9" s="1"/>
  <c r="D38" i="9" s="1"/>
  <c r="F38" i="9" s="1"/>
  <c r="M38" i="9" s="1"/>
  <c r="I83" i="9" a="1"/>
  <c r="I83" i="9" s="1"/>
  <c r="I100" i="9" a="1"/>
  <c r="I100" i="9" s="1"/>
  <c r="I101" i="9" a="1"/>
  <c r="I101" i="9" s="1"/>
  <c r="I84" i="9" a="1"/>
  <c r="I84" i="9" s="1"/>
  <c r="I64" i="9" a="1"/>
  <c r="I64" i="9" s="1"/>
  <c r="J36" i="9" a="1"/>
  <c r="J36" i="9" s="1"/>
  <c r="C36" i="9" s="1" a="1"/>
  <c r="C36" i="9" s="1"/>
  <c r="D36" i="9" s="1"/>
  <c r="F36" i="9" s="1"/>
  <c r="M36" i="9" s="1"/>
  <c r="I102" i="9" a="1"/>
  <c r="I102" i="9" s="1"/>
  <c r="J33" i="9" a="1"/>
  <c r="J33" i="9" s="1"/>
  <c r="C33" i="9" s="1" a="1"/>
  <c r="C33" i="9" s="1"/>
  <c r="D33" i="9" s="1"/>
  <c r="F33" i="9" s="1"/>
  <c r="M33" i="9" s="1"/>
  <c r="J28" i="9" a="1"/>
  <c r="J28" i="9" s="1"/>
  <c r="C28" i="9" s="1" a="1"/>
  <c r="C28" i="9" s="1"/>
  <c r="D28" i="9" s="1"/>
  <c r="F28" i="9" s="1"/>
  <c r="M28" i="9" s="1"/>
  <c r="I104" i="9" a="1"/>
  <c r="I104" i="9" s="1"/>
  <c r="I32" i="9" a="1"/>
  <c r="I32" i="9" s="1"/>
  <c r="I72" i="9" a="1"/>
  <c r="I72" i="9" s="1"/>
  <c r="I87" i="9" a="1"/>
  <c r="I87" i="9" s="1"/>
  <c r="I43" i="9" a="1"/>
  <c r="I43" i="9" s="1"/>
  <c r="J97" i="9" a="1"/>
  <c r="J97" i="9" s="1"/>
  <c r="J74" i="9" a="1"/>
  <c r="J74" i="9" s="1"/>
  <c r="C74" i="9" s="1" a="1"/>
  <c r="C74" i="9" s="1"/>
  <c r="D74" i="9" s="1"/>
  <c r="F74" i="9" s="1"/>
  <c r="M74" i="9" s="1"/>
  <c r="J80" i="9" a="1"/>
  <c r="J80" i="9" s="1"/>
  <c r="C80" i="9" s="1" a="1"/>
  <c r="C80" i="9" s="1"/>
  <c r="D80" i="9" s="1"/>
  <c r="F80" i="9" s="1"/>
  <c r="M80" i="9" s="1"/>
  <c r="J81" i="9" a="1"/>
  <c r="J81" i="9" s="1"/>
  <c r="C81" i="9" s="1" a="1"/>
  <c r="C81" i="9" s="1"/>
  <c r="D81" i="9" s="1"/>
  <c r="F81" i="9" s="1"/>
  <c r="M81" i="9" s="1"/>
  <c r="I94" i="9" a="1"/>
  <c r="I94" i="9" s="1"/>
  <c r="J49" i="9" a="1"/>
  <c r="J49" i="9" s="1"/>
  <c r="C49" i="9" s="1" a="1"/>
  <c r="C49" i="9" s="1"/>
  <c r="D49" i="9" s="1"/>
  <c r="F49" i="9" s="1"/>
  <c r="M49" i="9" s="1"/>
  <c r="I18" i="9" a="1"/>
  <c r="I18" i="9" s="1"/>
  <c r="J32" i="9" a="1"/>
  <c r="J32" i="9" s="1"/>
  <c r="C32" i="9" s="1" a="1"/>
  <c r="C32" i="9" s="1"/>
  <c r="D32" i="9" s="1"/>
  <c r="F32" i="9" s="1"/>
  <c r="M32" i="9" s="1"/>
  <c r="I103" i="9" a="1"/>
  <c r="I103" i="9" s="1"/>
  <c r="J30" i="9" a="1"/>
  <c r="J30" i="9" s="1"/>
  <c r="C30" i="9" s="1" a="1"/>
  <c r="C30" i="9" s="1"/>
  <c r="D30" i="9" s="1"/>
  <c r="F30" i="9" s="1"/>
  <c r="M30" i="9" s="1"/>
  <c r="I97" i="9" a="1"/>
  <c r="I97" i="9" s="1"/>
  <c r="I80" i="9" a="1"/>
  <c r="I80" i="9" s="1"/>
  <c r="J77" i="9" a="1"/>
  <c r="J77" i="9" s="1"/>
  <c r="C77" i="9" s="1" a="1"/>
  <c r="C77" i="9" s="1"/>
  <c r="D77" i="9" s="1"/>
  <c r="F77" i="9" s="1"/>
  <c r="M77" i="9" s="1"/>
  <c r="J63" i="9" a="1"/>
  <c r="J63" i="9" s="1"/>
  <c r="C63" i="9" s="1" a="1"/>
  <c r="C63" i="9" s="1"/>
  <c r="D63" i="9" s="1"/>
  <c r="F63" i="9" s="1"/>
  <c r="M63" i="9" s="1"/>
  <c r="J20" i="9" a="1"/>
  <c r="J20" i="9" s="1"/>
  <c r="C20" i="9" s="1" a="1"/>
  <c r="C20" i="9" s="1"/>
  <c r="D20" i="9" s="1"/>
  <c r="F20" i="9" s="1"/>
  <c r="M20" i="9" s="1"/>
  <c r="I46" i="9" a="1"/>
  <c r="I46" i="9" s="1"/>
  <c r="I74" i="9" a="1"/>
  <c r="I74" i="9" s="1"/>
  <c r="I10" i="9" a="1"/>
  <c r="I10" i="9" s="1"/>
  <c r="K27" i="9" a="1"/>
  <c r="K27" i="9" s="1"/>
  <c r="K21" i="9" a="1"/>
  <c r="K21" i="9" s="1"/>
  <c r="K83" i="9" a="1"/>
  <c r="K83" i="9" s="1"/>
  <c r="L50" i="9" a="1"/>
  <c r="L50" i="9" s="1"/>
  <c r="L92" i="9" a="1"/>
  <c r="L92" i="9" s="1"/>
  <c r="K33" i="9" a="1"/>
  <c r="K33" i="9" s="1"/>
  <c r="K82" i="9" a="1"/>
  <c r="K82" i="9" s="1"/>
  <c r="L59" i="9" a="1"/>
  <c r="L59" i="9" s="1"/>
  <c r="L26" i="9" a="1"/>
  <c r="L26" i="9" s="1"/>
  <c r="K23" i="9" a="1"/>
  <c r="K23" i="9" s="1"/>
  <c r="L33" i="9" a="1"/>
  <c r="L33" i="9" s="1"/>
  <c r="L28" i="9" a="1"/>
  <c r="L28" i="9" s="1"/>
  <c r="K80" i="9" a="1"/>
  <c r="K80" i="9" s="1"/>
  <c r="K55" i="9" a="1"/>
  <c r="K55" i="9" s="1"/>
  <c r="K73" i="9" a="1"/>
  <c r="K73" i="9" s="1"/>
  <c r="K64" i="9" a="1"/>
  <c r="K64" i="9" s="1"/>
  <c r="L67" i="9" a="1"/>
  <c r="L67" i="9" s="1"/>
  <c r="K63" i="9" a="1"/>
  <c r="K63" i="9" s="1"/>
  <c r="K102" i="9" a="1"/>
  <c r="K102" i="9" s="1"/>
  <c r="K51" i="9" a="1"/>
  <c r="K51" i="9" s="1"/>
  <c r="K62" i="9" a="1"/>
  <c r="K62" i="9" s="1"/>
  <c r="K6" i="9" a="1"/>
  <c r="K6" i="9" s="1"/>
  <c r="K26" i="9" a="1"/>
  <c r="K26" i="9" s="1"/>
  <c r="L96" i="9" a="1"/>
  <c r="L96" i="9" s="1"/>
  <c r="L30" i="9" a="1"/>
  <c r="L30" i="9" s="1"/>
  <c r="L36" i="9" a="1"/>
  <c r="L36" i="9" s="1"/>
  <c r="L34" i="9" a="1"/>
  <c r="L34" i="9" s="1"/>
  <c r="K41" i="9" a="1"/>
  <c r="K41" i="9" s="1"/>
  <c r="L104" i="9" a="1"/>
  <c r="L104" i="9" s="1"/>
  <c r="K87" i="9" a="1"/>
  <c r="K87" i="9" s="1"/>
  <c r="K8" i="9" a="1"/>
  <c r="K8" i="9" s="1"/>
  <c r="L99" i="9" a="1"/>
  <c r="L99" i="9" s="1"/>
  <c r="L54" i="9" a="1"/>
  <c r="L54" i="9" s="1"/>
  <c r="L12" i="9" a="1"/>
  <c r="L12" i="9" s="1"/>
  <c r="L66" i="9" a="1"/>
  <c r="L66" i="9" s="1"/>
  <c r="K88" i="9" a="1"/>
  <c r="K88" i="9" s="1"/>
  <c r="K9" i="9" a="1"/>
  <c r="K9" i="9" s="1"/>
  <c r="L43" i="9" a="1"/>
  <c r="L43" i="9" s="1"/>
  <c r="K11" i="9" a="1"/>
  <c r="K11" i="9" s="1"/>
  <c r="L5" i="9" a="1"/>
  <c r="L5" i="9" s="1"/>
  <c r="K50" i="9" a="1"/>
  <c r="K50" i="9" s="1"/>
  <c r="L53" i="9" a="1"/>
  <c r="L53" i="9" s="1"/>
  <c r="K90" i="9" a="1"/>
  <c r="K90" i="9" s="1"/>
  <c r="L64" i="9" a="1"/>
  <c r="L64" i="9" s="1"/>
  <c r="K5" i="9" a="1"/>
  <c r="K5" i="9" s="1"/>
  <c r="K42" i="9" a="1"/>
  <c r="K42" i="9" s="1"/>
  <c r="L79" i="9" a="1"/>
  <c r="L79" i="9" s="1"/>
  <c r="L65" i="9" a="1"/>
  <c r="L65" i="9" s="1"/>
  <c r="K40" i="9" a="1"/>
  <c r="K40" i="9" s="1"/>
  <c r="L90" i="9" a="1"/>
  <c r="L90" i="9" s="1"/>
  <c r="K59" i="9" a="1"/>
  <c r="K59" i="9" s="1"/>
  <c r="L68" i="9" a="1"/>
  <c r="L68" i="9" s="1"/>
  <c r="K85" i="9" a="1"/>
  <c r="K85" i="9" s="1"/>
  <c r="K31" i="9" a="1"/>
  <c r="K31" i="9" s="1"/>
  <c r="K54" i="9" a="1"/>
  <c r="K54" i="9" s="1"/>
  <c r="K7" i="9" a="1"/>
  <c r="K7" i="9" s="1"/>
  <c r="L20" i="9" a="1"/>
  <c r="L20" i="9" s="1"/>
  <c r="K71" i="9" a="1"/>
  <c r="K71" i="9" s="1"/>
  <c r="L57" i="9" a="1"/>
  <c r="L57" i="9" s="1"/>
  <c r="K75" i="9" a="1"/>
  <c r="K75" i="9" s="1"/>
  <c r="L22" i="9" a="1"/>
  <c r="L22" i="9" s="1"/>
  <c r="L39" i="9" a="1"/>
  <c r="L39" i="9" s="1"/>
  <c r="L63" i="9" a="1"/>
  <c r="L63" i="9" s="1"/>
  <c r="K18" i="9" a="1"/>
  <c r="K18" i="9" s="1"/>
  <c r="K45" i="9" a="1"/>
  <c r="K45" i="9" s="1"/>
  <c r="K74" i="9" a="1"/>
  <c r="K74" i="9" s="1"/>
  <c r="K57" i="9" a="1"/>
  <c r="K57" i="9" s="1"/>
  <c r="K78" i="9" a="1"/>
  <c r="K78" i="9" s="1"/>
  <c r="K25" i="9" a="1"/>
  <c r="K25" i="9" s="1"/>
  <c r="L75" i="9" a="1"/>
  <c r="L75" i="9" s="1"/>
  <c r="L19" i="9" a="1"/>
  <c r="L19" i="9" s="1"/>
  <c r="K14" i="9" a="1"/>
  <c r="K14" i="9" s="1"/>
  <c r="K29" i="9" a="1"/>
  <c r="K29" i="9" s="1"/>
  <c r="K79" i="9" a="1"/>
  <c r="K79" i="9" s="1"/>
  <c r="K17" i="9" a="1"/>
  <c r="K17" i="9" s="1"/>
  <c r="K98" i="9" a="1"/>
  <c r="K98" i="9" s="1"/>
  <c r="K68" i="9" a="1"/>
  <c r="K68" i="9" s="1"/>
  <c r="L6" i="9" a="1"/>
  <c r="L6" i="9" s="1"/>
  <c r="K44" i="9" a="1"/>
  <c r="K44" i="9" s="1"/>
  <c r="L35" i="9" a="1"/>
  <c r="L35" i="9" s="1"/>
  <c r="K81" i="9" a="1"/>
  <c r="K81" i="9" s="1"/>
  <c r="L93" i="9" a="1"/>
  <c r="L93" i="9" s="1"/>
  <c r="K24" i="9" a="1"/>
  <c r="K24" i="9" s="1"/>
  <c r="K13" i="9" a="1"/>
  <c r="K13" i="9" s="1"/>
  <c r="L17" i="9" a="1"/>
  <c r="L17" i="9" s="1"/>
  <c r="L27" i="9" a="1"/>
  <c r="L27" i="9" s="1"/>
  <c r="L18" i="9" a="1"/>
  <c r="L18" i="9" s="1"/>
  <c r="L83" i="9" a="1"/>
  <c r="L83" i="9" s="1"/>
  <c r="K58" i="9" a="1"/>
  <c r="K58" i="9" s="1"/>
  <c r="K103" i="9" a="1"/>
  <c r="K103" i="9" s="1"/>
  <c r="K77" i="9" a="1"/>
  <c r="K77" i="9" s="1"/>
  <c r="K76" i="9" a="1"/>
  <c r="K76" i="9" s="1"/>
  <c r="K34" i="9" a="1"/>
  <c r="K34" i="9" s="1"/>
  <c r="L85" i="9" a="1"/>
  <c r="L85" i="9" s="1"/>
  <c r="L25" i="9" a="1"/>
  <c r="L25" i="9" s="1"/>
  <c r="L42" i="9" a="1"/>
  <c r="L42" i="9" s="1"/>
  <c r="K39" i="9" a="1"/>
  <c r="K39" i="9" s="1"/>
  <c r="L89" i="9" a="1"/>
  <c r="L89" i="9" s="1"/>
  <c r="L10" i="9" a="1"/>
  <c r="L10" i="9" s="1"/>
  <c r="L56" i="9" a="1"/>
  <c r="L56" i="9" s="1"/>
  <c r="K93" i="9" a="1"/>
  <c r="K93" i="9" s="1"/>
  <c r="K65" i="9" a="1"/>
  <c r="K65" i="9" s="1"/>
  <c r="L38" i="9" a="1"/>
  <c r="L38" i="9" s="1"/>
  <c r="L98" i="9" a="1"/>
  <c r="L98" i="9" s="1"/>
  <c r="L47" i="9" a="1"/>
  <c r="L47" i="9" s="1"/>
  <c r="K47" i="9" a="1"/>
  <c r="K47" i="9" s="1"/>
  <c r="L37" i="9" a="1"/>
  <c r="L37" i="9" s="1"/>
  <c r="L86" i="9" a="1"/>
  <c r="L86" i="9" s="1"/>
  <c r="K100" i="9" a="1"/>
  <c r="K100" i="9" s="1"/>
  <c r="K60" i="9" a="1"/>
  <c r="K60" i="9" s="1"/>
  <c r="L60" i="9" a="1"/>
  <c r="L60" i="9" s="1"/>
  <c r="K99" i="9" a="1"/>
  <c r="K99" i="9" s="1"/>
  <c r="L87" i="9" a="1"/>
  <c r="L87" i="9" s="1"/>
  <c r="K70" i="9" a="1"/>
  <c r="K70" i="9" s="1"/>
  <c r="K56" i="9" a="1"/>
  <c r="K56" i="9" s="1"/>
  <c r="K52" i="9" a="1"/>
  <c r="K52" i="9" s="1"/>
  <c r="L69" i="9" a="1"/>
  <c r="L69" i="9" s="1"/>
  <c r="L46" i="9" a="1"/>
  <c r="L46" i="9" s="1"/>
  <c r="L84" i="9" a="1"/>
  <c r="L84" i="9" s="1"/>
  <c r="L77" i="9" a="1"/>
  <c r="L77" i="9" s="1"/>
  <c r="L7" i="9" a="1"/>
  <c r="L7" i="9" s="1"/>
  <c r="K101" i="9" a="1"/>
  <c r="K101" i="9" s="1"/>
  <c r="L9" i="9" a="1"/>
  <c r="L9" i="9" s="1"/>
  <c r="K37" i="9" a="1"/>
  <c r="K37" i="9" s="1"/>
  <c r="K36" i="9" a="1"/>
  <c r="K36" i="9" s="1"/>
  <c r="L100" i="9" a="1"/>
  <c r="L100" i="9" s="1"/>
  <c r="L48" i="9" a="1"/>
  <c r="L48" i="9" s="1"/>
  <c r="L97" i="9" a="1"/>
  <c r="L97" i="9" s="1"/>
  <c r="K72" i="9" a="1"/>
  <c r="K72" i="9" s="1"/>
  <c r="K32" i="9" a="1"/>
  <c r="K32" i="9" s="1"/>
  <c r="L41" i="9" a="1"/>
  <c r="L41" i="9" s="1"/>
  <c r="L71" i="9" a="1"/>
  <c r="L71" i="9" s="1"/>
  <c r="K30" i="9" a="1"/>
  <c r="K30" i="9" s="1"/>
  <c r="L81" i="9" a="1"/>
  <c r="L81" i="9" s="1"/>
  <c r="L13" i="9" a="1"/>
  <c r="L13" i="9" s="1"/>
  <c r="K69" i="9" a="1"/>
  <c r="K69" i="9" s="1"/>
  <c r="L74" i="9" a="1"/>
  <c r="L74" i="9" s="1"/>
  <c r="K38" i="9" a="1"/>
  <c r="K38" i="9" s="1"/>
  <c r="L73" i="9" a="1"/>
  <c r="L73" i="9" s="1"/>
  <c r="K35" i="9" a="1"/>
  <c r="K35" i="9" s="1"/>
  <c r="L95" i="9" a="1"/>
  <c r="L95" i="9" s="1"/>
  <c r="L102" i="9" a="1"/>
  <c r="L102" i="9" s="1"/>
  <c r="K10" i="9" a="1"/>
  <c r="K10" i="9" s="1"/>
  <c r="K43" i="9" a="1"/>
  <c r="K43" i="9" s="1"/>
  <c r="L40" i="9" a="1"/>
  <c r="L40" i="9" s="1"/>
  <c r="L31" i="9" a="1"/>
  <c r="L31" i="9" s="1"/>
  <c r="L21" i="9" a="1"/>
  <c r="L21" i="9" s="1"/>
  <c r="L82" i="9" a="1"/>
  <c r="L82" i="9" s="1"/>
  <c r="K89" i="9" a="1"/>
  <c r="K89" i="9" s="1"/>
  <c r="K48" i="9" a="1"/>
  <c r="K48" i="9" s="1"/>
  <c r="L15" i="9" a="1"/>
  <c r="L15" i="9" s="1"/>
  <c r="L72" i="9" a="1"/>
  <c r="L72" i="9" s="1"/>
  <c r="K96" i="9" a="1"/>
  <c r="K96" i="9" s="1"/>
  <c r="L32" i="9" a="1"/>
  <c r="L32" i="9" s="1"/>
  <c r="L76" i="9" a="1"/>
  <c r="L76" i="9" s="1"/>
  <c r="K61" i="9" a="1"/>
  <c r="K61" i="9" s="1"/>
  <c r="L61" i="9" a="1"/>
  <c r="L61" i="9" s="1"/>
  <c r="L62" i="9" a="1"/>
  <c r="L62" i="9" s="1"/>
  <c r="L51" i="9" a="1"/>
  <c r="L51" i="9" s="1"/>
  <c r="L101" i="9" a="1"/>
  <c r="L101" i="9" s="1"/>
  <c r="L16" i="9" a="1"/>
  <c r="L16" i="9" s="1"/>
  <c r="L24" i="9" a="1"/>
  <c r="L24" i="9" s="1"/>
  <c r="K92" i="9" a="1"/>
  <c r="K92" i="9" s="1"/>
  <c r="K84" i="9" a="1"/>
  <c r="K84" i="9" s="1"/>
  <c r="L44" i="9" a="1"/>
  <c r="L44" i="9" s="1"/>
  <c r="L14" i="9" a="1"/>
  <c r="L14" i="9" s="1"/>
  <c r="L49" i="9" a="1"/>
  <c r="L49" i="9" s="1"/>
  <c r="K94" i="9" a="1"/>
  <c r="K94" i="9" s="1"/>
  <c r="K66" i="9" a="1"/>
  <c r="K66" i="9" s="1"/>
  <c r="L52" i="9" a="1"/>
  <c r="L52" i="9" s="1"/>
  <c r="K22" i="9" a="1"/>
  <c r="K22" i="9" s="1"/>
  <c r="K95" i="9" a="1"/>
  <c r="K95" i="9" s="1"/>
  <c r="L58" i="9" a="1"/>
  <c r="L58" i="9" s="1"/>
  <c r="L91" i="9" a="1"/>
  <c r="L91" i="9" s="1"/>
  <c r="L103" i="9" a="1"/>
  <c r="L103" i="9" s="1"/>
  <c r="L94" i="9" a="1"/>
  <c r="L94" i="9" s="1"/>
  <c r="L55" i="9" a="1"/>
  <c r="L55" i="9" s="1"/>
  <c r="K91" i="9" a="1"/>
  <c r="K91" i="9" s="1"/>
  <c r="K97" i="9" a="1"/>
  <c r="K97" i="9" s="1"/>
  <c r="L45" i="9" a="1"/>
  <c r="L45" i="9" s="1"/>
  <c r="K49" i="9" a="1"/>
  <c r="K49" i="9" s="1"/>
  <c r="L70" i="9" a="1"/>
  <c r="L70" i="9" s="1"/>
  <c r="L11" i="9" a="1"/>
  <c r="L11" i="9" s="1"/>
  <c r="L78" i="9" a="1"/>
  <c r="L78" i="9" s="1"/>
  <c r="L80" i="9" a="1"/>
  <c r="L80" i="9" s="1"/>
  <c r="K46" i="9" a="1"/>
  <c r="K46" i="9" s="1"/>
  <c r="K28" i="9" a="1"/>
  <c r="K28" i="9" s="1"/>
  <c r="K19" i="9" a="1"/>
  <c r="K19" i="9" s="1"/>
  <c r="L88" i="9" a="1"/>
  <c r="L88" i="9" s="1"/>
  <c r="L29" i="9" a="1"/>
  <c r="L29" i="9" s="1"/>
  <c r="K53" i="9" a="1"/>
  <c r="K53" i="9" s="1"/>
  <c r="L8" i="9" a="1"/>
  <c r="L8" i="9" s="1"/>
  <c r="K86" i="9" a="1"/>
  <c r="K86" i="9" s="1"/>
  <c r="K15" i="9" a="1"/>
  <c r="K15" i="9" s="1"/>
  <c r="K67" i="9" a="1"/>
  <c r="K67" i="9" s="1"/>
  <c r="K12" i="9" a="1"/>
  <c r="K12" i="9" s="1"/>
  <c r="K20" i="9" a="1"/>
  <c r="K20" i="9" s="1"/>
  <c r="K16" i="9" a="1"/>
  <c r="K16" i="9" s="1"/>
  <c r="K104" i="9" a="1"/>
  <c r="K104" i="9" s="1"/>
  <c r="L23" i="9" a="1"/>
  <c r="L23" i="9" s="1"/>
  <c r="AS16" i="2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J78" i="8" l="1" a="1"/>
  <c r="J78" i="8" s="1"/>
  <c r="C78" i="8" s="1" a="1"/>
  <c r="C78" i="8" s="1"/>
  <c r="D78" i="8" s="1"/>
  <c r="F78" i="8" s="1"/>
  <c r="L56" i="8" a="1"/>
  <c r="L56" i="8" s="1"/>
  <c r="I82" i="8" a="1"/>
  <c r="I82" i="8" s="1"/>
  <c r="J70" i="8" a="1"/>
  <c r="J70" i="8" s="1"/>
  <c r="C70" i="8" s="1" a="1"/>
  <c r="C70" i="8" s="1"/>
  <c r="D70" i="8" s="1"/>
  <c r="F70" i="8" s="1"/>
  <c r="J83" i="8" a="1"/>
  <c r="J83" i="8" s="1"/>
  <c r="I71" i="8" a="1"/>
  <c r="I71" i="8" s="1"/>
  <c r="K21" i="8" a="1"/>
  <c r="K21" i="8" s="1"/>
  <c r="I11" i="8" a="1"/>
  <c r="I11" i="8" s="1"/>
  <c r="L68" i="8" a="1"/>
  <c r="L68" i="8" s="1"/>
  <c r="K86" i="8" a="1"/>
  <c r="K86" i="8" s="1"/>
  <c r="J62" i="8" a="1"/>
  <c r="J62" i="8" s="1"/>
  <c r="C62" i="8" s="1" a="1"/>
  <c r="C62" i="8" s="1"/>
  <c r="D62" i="8" s="1"/>
  <c r="F62" i="8" s="1"/>
  <c r="I90" i="8" a="1"/>
  <c r="I90" i="8" s="1"/>
  <c r="J103" i="8" a="1"/>
  <c r="J103" i="8" s="1"/>
  <c r="I57" i="8" a="1"/>
  <c r="I57" i="8" s="1"/>
  <c r="J10" i="8" a="1"/>
  <c r="J10" i="8" s="1"/>
  <c r="C10" i="8" s="1" a="1"/>
  <c r="C10" i="8" s="1"/>
  <c r="D10" i="8" s="1"/>
  <c r="F10" i="8" s="1"/>
  <c r="K98" i="8" a="1"/>
  <c r="K98" i="8" s="1"/>
  <c r="J5" i="8" a="1"/>
  <c r="J5" i="8" s="1"/>
  <c r="C5" i="8" s="1" a="1"/>
  <c r="C5" i="8" s="1"/>
  <c r="J93" i="8" a="1"/>
  <c r="J93" i="8" s="1"/>
  <c r="I49" i="8" a="1"/>
  <c r="I49" i="8" s="1"/>
  <c r="J58" i="8" a="1"/>
  <c r="J58" i="8" s="1"/>
  <c r="C58" i="8" s="1" a="1"/>
  <c r="C58" i="8" s="1"/>
  <c r="D58" i="8" s="1"/>
  <c r="F58" i="8" s="1"/>
  <c r="J92" i="8" a="1"/>
  <c r="J92" i="8" s="1"/>
  <c r="L87" i="8" a="1"/>
  <c r="L87" i="8" s="1"/>
  <c r="J74" i="8" a="1"/>
  <c r="J74" i="8" s="1"/>
  <c r="C74" i="8" s="1" a="1"/>
  <c r="C74" i="8" s="1"/>
  <c r="D74" i="8" s="1"/>
  <c r="F74" i="8" s="1"/>
  <c r="I96" i="8" a="1"/>
  <c r="I96" i="8" s="1"/>
  <c r="J45" i="8" a="1"/>
  <c r="J45" i="8" s="1"/>
  <c r="C45" i="8" s="1" a="1"/>
  <c r="C45" i="8" s="1"/>
  <c r="D45" i="8" s="1"/>
  <c r="F45" i="8" s="1"/>
  <c r="J21" i="8" a="1"/>
  <c r="J21" i="8" s="1"/>
  <c r="C21" i="8" s="1" a="1"/>
  <c r="C21" i="8" s="1"/>
  <c r="D21" i="8" s="1"/>
  <c r="F21" i="8" s="1"/>
  <c r="J98" i="8" a="1"/>
  <c r="J98" i="8" s="1"/>
  <c r="J90" i="8" a="1"/>
  <c r="J90" i="8" s="1"/>
  <c r="I25" i="8" a="1"/>
  <c r="I25" i="8" s="1"/>
  <c r="J65" i="8" a="1"/>
  <c r="J65" i="8" s="1"/>
  <c r="C65" i="8" s="1" a="1"/>
  <c r="C65" i="8" s="1"/>
  <c r="D65" i="8" s="1"/>
  <c r="F65" i="8" s="1"/>
  <c r="K38" i="8" a="1"/>
  <c r="K38" i="8" s="1"/>
  <c r="J56" i="8" a="1"/>
  <c r="J56" i="8" s="1"/>
  <c r="C56" i="8" s="1" a="1"/>
  <c r="C56" i="8" s="1"/>
  <c r="D56" i="8" s="1"/>
  <c r="F56" i="8" s="1"/>
  <c r="J82" i="8" a="1"/>
  <c r="J82" i="8" s="1"/>
  <c r="J15" i="8" a="1"/>
  <c r="J15" i="8" s="1"/>
  <c r="C15" i="8" s="1" a="1"/>
  <c r="C15" i="8" s="1"/>
  <c r="D15" i="8" s="1"/>
  <c r="F15" i="8" s="1"/>
  <c r="L71" i="8" a="1"/>
  <c r="L71" i="8" s="1"/>
  <c r="K49" i="8" a="1"/>
  <c r="K49" i="8" s="1"/>
  <c r="L20" i="8" a="1"/>
  <c r="L20" i="8" s="1"/>
  <c r="I63" i="8" a="1"/>
  <c r="I63" i="8" s="1"/>
  <c r="I12" i="8" a="1"/>
  <c r="I12" i="8" s="1"/>
  <c r="I17" i="8" a="1"/>
  <c r="I17" i="8" s="1"/>
  <c r="L8" i="8" a="1"/>
  <c r="L8" i="8" s="1"/>
  <c r="I46" i="8" a="1"/>
  <c r="I46" i="8" s="1"/>
  <c r="L78" i="8" a="1"/>
  <c r="L78" i="8" s="1"/>
  <c r="I99" i="8" a="1"/>
  <c r="I99" i="8" s="1"/>
  <c r="L12" i="8" a="1"/>
  <c r="L12" i="8" s="1"/>
  <c r="J79" i="8" a="1"/>
  <c r="J79" i="8" s="1"/>
  <c r="C79" i="8" s="1" a="1"/>
  <c r="C79" i="8" s="1"/>
  <c r="D79" i="8" s="1"/>
  <c r="F79" i="8" s="1"/>
  <c r="L61" i="8" a="1"/>
  <c r="L61" i="8" s="1"/>
  <c r="J22" i="8" a="1"/>
  <c r="J22" i="8" s="1"/>
  <c r="C22" i="8" s="1" a="1"/>
  <c r="C22" i="8" s="1"/>
  <c r="D22" i="8" s="1"/>
  <c r="F22" i="8" s="1"/>
  <c r="J33" i="8" a="1"/>
  <c r="J33" i="8" s="1"/>
  <c r="C33" i="8" s="1" a="1"/>
  <c r="C33" i="8" s="1"/>
  <c r="D33" i="8" s="1"/>
  <c r="F33" i="8" s="1"/>
  <c r="I93" i="8" a="1"/>
  <c r="I93" i="8" s="1"/>
  <c r="I41" i="8" a="1"/>
  <c r="I41" i="8" s="1"/>
  <c r="I24" i="8" a="1"/>
  <c r="I24" i="8" s="1"/>
  <c r="L24" i="8" a="1"/>
  <c r="L24" i="8" s="1"/>
  <c r="L97" i="8" a="1"/>
  <c r="L97" i="8" s="1"/>
  <c r="K87" i="8" a="1"/>
  <c r="K87" i="8" s="1"/>
  <c r="J80" i="8" a="1"/>
  <c r="J80" i="8" s="1"/>
  <c r="C80" i="8" s="1" a="1"/>
  <c r="C80" i="8" s="1"/>
  <c r="D80" i="8" s="1"/>
  <c r="F80" i="8" s="1"/>
  <c r="K84" i="8" a="1"/>
  <c r="K84" i="8" s="1"/>
  <c r="J73" i="8" a="1"/>
  <c r="J73" i="8" s="1"/>
  <c r="C73" i="8" s="1" a="1"/>
  <c r="C73" i="8" s="1"/>
  <c r="D73" i="8" s="1"/>
  <c r="F73" i="8" s="1"/>
  <c r="J37" i="8" a="1"/>
  <c r="J37" i="8" s="1"/>
  <c r="C37" i="8" s="1" a="1"/>
  <c r="C37" i="8" s="1"/>
  <c r="D37" i="8" s="1"/>
  <c r="F37" i="8" s="1"/>
  <c r="K20" i="8" a="1"/>
  <c r="K20" i="8" s="1"/>
  <c r="J57" i="8" a="1"/>
  <c r="J57" i="8" s="1"/>
  <c r="C57" i="8" s="1" a="1"/>
  <c r="C57" i="8" s="1"/>
  <c r="D57" i="8" s="1"/>
  <c r="F57" i="8" s="1"/>
  <c r="J59" i="8" a="1"/>
  <c r="J59" i="8" s="1"/>
  <c r="C59" i="8" s="1" a="1"/>
  <c r="C59" i="8" s="1"/>
  <c r="D59" i="8" s="1"/>
  <c r="F59" i="8" s="1"/>
  <c r="J42" i="8" a="1"/>
  <c r="J42" i="8" s="1"/>
  <c r="C42" i="8" s="1" a="1"/>
  <c r="C42" i="8" s="1"/>
  <c r="D42" i="8" s="1"/>
  <c r="F42" i="8" s="1"/>
  <c r="I15" i="8" a="1"/>
  <c r="I15" i="8" s="1"/>
  <c r="I16" i="8" a="1"/>
  <c r="I16" i="8" s="1"/>
  <c r="I21" i="8" a="1"/>
  <c r="I21" i="8" s="1"/>
  <c r="I47" i="8" a="1"/>
  <c r="I47" i="8" s="1"/>
  <c r="I76" i="8" a="1"/>
  <c r="I76" i="8" s="1"/>
  <c r="I14" i="8" a="1"/>
  <c r="I14" i="8" s="1"/>
  <c r="I69" i="8" a="1"/>
  <c r="I69" i="8" s="1"/>
  <c r="I39" i="8" a="1"/>
  <c r="I39" i="8" s="1"/>
  <c r="I44" i="8" a="1"/>
  <c r="I44" i="8" s="1"/>
  <c r="I91" i="8" a="1"/>
  <c r="I91" i="8" s="1"/>
  <c r="I33" i="8" a="1"/>
  <c r="I33" i="8" s="1"/>
  <c r="I53" i="8" a="1"/>
  <c r="I53" i="8" s="1"/>
  <c r="L76" i="8" a="1"/>
  <c r="L76" i="8" s="1"/>
  <c r="K82" i="8" a="1"/>
  <c r="K82" i="8" s="1"/>
  <c r="J94" i="8" a="1"/>
  <c r="J94" i="8" s="1"/>
  <c r="J23" i="8" a="1"/>
  <c r="J23" i="8" s="1"/>
  <c r="C23" i="8" s="1" a="1"/>
  <c r="C23" i="8" s="1"/>
  <c r="D23" i="8" s="1"/>
  <c r="F23" i="8" s="1"/>
  <c r="J48" i="8" a="1"/>
  <c r="J48" i="8" s="1"/>
  <c r="C48" i="8" s="1" a="1"/>
  <c r="C48" i="8" s="1"/>
  <c r="D48" i="8" s="1"/>
  <c r="F48" i="8" s="1"/>
  <c r="L57" i="8" a="1"/>
  <c r="L57" i="8" s="1"/>
  <c r="L45" i="8" a="1"/>
  <c r="L45" i="8" s="1"/>
  <c r="J100" i="8" a="1"/>
  <c r="J100" i="8" s="1"/>
  <c r="K69" i="8" a="1"/>
  <c r="K69" i="8" s="1"/>
  <c r="J97" i="8" a="1"/>
  <c r="J97" i="8" s="1"/>
  <c r="L28" i="8" a="1"/>
  <c r="L28" i="8" s="1"/>
  <c r="L22" i="8" a="1"/>
  <c r="L22" i="8" s="1"/>
  <c r="J81" i="8" a="1"/>
  <c r="J81" i="8" s="1"/>
  <c r="C81" i="8" s="1" a="1"/>
  <c r="C81" i="8" s="1"/>
  <c r="D81" i="8" s="1"/>
  <c r="F81" i="8" s="1"/>
  <c r="J34" i="8" a="1"/>
  <c r="J34" i="8" s="1"/>
  <c r="C34" i="8" s="1" a="1"/>
  <c r="C34" i="8" s="1"/>
  <c r="D34" i="8" s="1"/>
  <c r="F34" i="8" s="1"/>
  <c r="L90" i="8" a="1"/>
  <c r="L90" i="8" s="1"/>
  <c r="J66" i="8" a="1"/>
  <c r="J66" i="8" s="1"/>
  <c r="C66" i="8" s="1" a="1"/>
  <c r="C66" i="8" s="1"/>
  <c r="D66" i="8" s="1"/>
  <c r="F66" i="8" s="1"/>
  <c r="L102" i="8" a="1"/>
  <c r="L102" i="8" s="1"/>
  <c r="J69" i="8" a="1"/>
  <c r="J69" i="8" s="1"/>
  <c r="C69" i="8" s="1" a="1"/>
  <c r="C69" i="8" s="1"/>
  <c r="D69" i="8" s="1"/>
  <c r="F69" i="8" s="1"/>
  <c r="J87" i="8" a="1"/>
  <c r="J87" i="8" s="1"/>
  <c r="J99" i="8" a="1"/>
  <c r="J99" i="8" s="1"/>
  <c r="K40" i="8" a="1"/>
  <c r="K40" i="8" s="1"/>
  <c r="J53" i="8" a="1"/>
  <c r="J53" i="8" s="1"/>
  <c r="C53" i="8" s="1" a="1"/>
  <c r="C53" i="8" s="1"/>
  <c r="D53" i="8" s="1"/>
  <c r="F53" i="8" s="1"/>
  <c r="J17" i="8" a="1"/>
  <c r="J17" i="8" s="1"/>
  <c r="C17" i="8" s="1" a="1"/>
  <c r="C17" i="8" s="1"/>
  <c r="D17" i="8" s="1"/>
  <c r="F17" i="8" s="1"/>
  <c r="I61" i="8" a="1"/>
  <c r="I61" i="8" s="1"/>
  <c r="I92" i="8" a="1"/>
  <c r="I92" i="8" s="1"/>
  <c r="I26" i="8" a="1"/>
  <c r="I26" i="8" s="1"/>
  <c r="I48" i="8" a="1"/>
  <c r="I48" i="8" s="1"/>
  <c r="I87" i="8" a="1"/>
  <c r="I87" i="8" s="1"/>
  <c r="I35" i="8" a="1"/>
  <c r="I35" i="8" s="1"/>
  <c r="I62" i="8" a="1"/>
  <c r="I62" i="8" s="1"/>
  <c r="I79" i="8" a="1"/>
  <c r="I79" i="8" s="1"/>
  <c r="I58" i="8" a="1"/>
  <c r="I58" i="8" s="1"/>
  <c r="I85" i="8" a="1"/>
  <c r="I85" i="8" s="1"/>
  <c r="I97" i="8" a="1"/>
  <c r="I97" i="8" s="1"/>
  <c r="I34" i="8" a="1"/>
  <c r="I34" i="8" s="1"/>
  <c r="K94" i="8" a="1"/>
  <c r="K94" i="8" s="1"/>
  <c r="L40" i="8" a="1"/>
  <c r="L40" i="8" s="1"/>
  <c r="K76" i="8" a="1"/>
  <c r="K76" i="8" s="1"/>
  <c r="J36" i="8" a="1"/>
  <c r="J36" i="8" s="1"/>
  <c r="C36" i="8" s="1" a="1"/>
  <c r="C36" i="8" s="1"/>
  <c r="D36" i="8" s="1"/>
  <c r="F36" i="8" s="1"/>
  <c r="L96" i="8" a="1"/>
  <c r="L96" i="8" s="1"/>
  <c r="K8" i="8" a="1"/>
  <c r="K8" i="8" s="1"/>
  <c r="K17" i="8" a="1"/>
  <c r="K17" i="8" s="1"/>
  <c r="J64" i="8" a="1"/>
  <c r="J64" i="8" s="1"/>
  <c r="C64" i="8" s="1" a="1"/>
  <c r="C64" i="8" s="1"/>
  <c r="D64" i="8" s="1"/>
  <c r="F64" i="8" s="1"/>
  <c r="I30" i="8" a="1"/>
  <c r="I30" i="8" s="1"/>
  <c r="I73" i="8" a="1"/>
  <c r="I73" i="8" s="1"/>
  <c r="I80" i="8" a="1"/>
  <c r="I80" i="8" s="1"/>
  <c r="I10" i="8" a="1"/>
  <c r="I10" i="8" s="1"/>
  <c r="K55" i="8" a="1"/>
  <c r="K55" i="8" s="1"/>
  <c r="J40" i="8" a="1"/>
  <c r="J40" i="8" s="1"/>
  <c r="C40" i="8" s="1" a="1"/>
  <c r="C40" i="8" s="1"/>
  <c r="D40" i="8" s="1"/>
  <c r="F40" i="8" s="1"/>
  <c r="J55" i="8" a="1"/>
  <c r="J55" i="8" s="1"/>
  <c r="C55" i="8" s="1" a="1"/>
  <c r="C55" i="8" s="1"/>
  <c r="D55" i="8" s="1"/>
  <c r="F55" i="8" s="1"/>
  <c r="K80" i="8" a="1"/>
  <c r="K80" i="8" s="1"/>
  <c r="K52" i="8" a="1"/>
  <c r="K52" i="8" s="1"/>
  <c r="L18" i="8" a="1"/>
  <c r="L18" i="8" s="1"/>
  <c r="J61" i="8" a="1"/>
  <c r="J61" i="8" s="1"/>
  <c r="C61" i="8" s="1" a="1"/>
  <c r="C61" i="8" s="1"/>
  <c r="D61" i="8" s="1"/>
  <c r="F61" i="8" s="1"/>
  <c r="J76" i="8" a="1"/>
  <c r="J76" i="8" s="1"/>
  <c r="C76" i="8" s="1" a="1"/>
  <c r="C76" i="8" s="1"/>
  <c r="D76" i="8" s="1"/>
  <c r="F76" i="8" s="1"/>
  <c r="I100" i="8" a="1"/>
  <c r="I100" i="8" s="1"/>
  <c r="I84" i="8" a="1"/>
  <c r="I84" i="8" s="1"/>
  <c r="I55" i="8" a="1"/>
  <c r="I55" i="8" s="1"/>
  <c r="I98" i="8" a="1"/>
  <c r="I98" i="8" s="1"/>
  <c r="L64" i="8" a="1"/>
  <c r="L64" i="8" s="1"/>
  <c r="J52" i="8" a="1"/>
  <c r="J52" i="8" s="1"/>
  <c r="C52" i="8" s="1" a="1"/>
  <c r="C52" i="8" s="1"/>
  <c r="D52" i="8" s="1"/>
  <c r="F52" i="8" s="1"/>
  <c r="L88" i="8" a="1"/>
  <c r="L88" i="8" s="1"/>
  <c r="J9" i="8" a="1"/>
  <c r="J9" i="8" s="1"/>
  <c r="C9" i="8" s="1" a="1"/>
  <c r="C9" i="8" s="1"/>
  <c r="D9" i="8" s="1"/>
  <c r="F9" i="8" s="1"/>
  <c r="L11" i="8" a="1"/>
  <c r="L11" i="8" s="1"/>
  <c r="L58" i="8" a="1"/>
  <c r="L58" i="8" s="1"/>
  <c r="J49" i="8" a="1"/>
  <c r="J49" i="8" s="1"/>
  <c r="C49" i="8" s="1" a="1"/>
  <c r="C49" i="8" s="1"/>
  <c r="D49" i="8" s="1"/>
  <c r="F49" i="8" s="1"/>
  <c r="J39" i="8" a="1"/>
  <c r="J39" i="8" s="1"/>
  <c r="C39" i="8" s="1" a="1"/>
  <c r="C39" i="8" s="1"/>
  <c r="D39" i="8" s="1"/>
  <c r="F39" i="8" s="1"/>
  <c r="J18" i="8" a="1"/>
  <c r="J18" i="8" s="1"/>
  <c r="C18" i="8" s="1" a="1"/>
  <c r="C18" i="8" s="1"/>
  <c r="D18" i="8" s="1"/>
  <c r="K72" i="8" a="1"/>
  <c r="K72" i="8" s="1"/>
  <c r="J35" i="8" a="1"/>
  <c r="J35" i="8" s="1"/>
  <c r="C35" i="8" s="1" a="1"/>
  <c r="C35" i="8" s="1"/>
  <c r="D35" i="8" s="1"/>
  <c r="F35" i="8" s="1"/>
  <c r="J60" i="8" a="1"/>
  <c r="J60" i="8" s="1"/>
  <c r="C60" i="8" s="1" a="1"/>
  <c r="C60" i="8" s="1"/>
  <c r="D60" i="8" s="1"/>
  <c r="F60" i="8" s="1"/>
  <c r="K10" i="8" a="1"/>
  <c r="K10" i="8" s="1"/>
  <c r="J43" i="8" a="1"/>
  <c r="J43" i="8" s="1"/>
  <c r="C43" i="8" s="1" a="1"/>
  <c r="C43" i="8" s="1"/>
  <c r="D43" i="8" s="1"/>
  <c r="F43" i="8" s="1"/>
  <c r="L50" i="8" a="1"/>
  <c r="L50" i="8" s="1"/>
  <c r="K63" i="8" a="1"/>
  <c r="K63" i="8" s="1"/>
  <c r="J28" i="8" a="1"/>
  <c r="J28" i="8" s="1"/>
  <c r="C28" i="8" s="1" a="1"/>
  <c r="C28" i="8" s="1"/>
  <c r="D28" i="8" s="1"/>
  <c r="F28" i="8" s="1"/>
  <c r="J51" i="8" a="1"/>
  <c r="J51" i="8" s="1"/>
  <c r="C51" i="8" s="1" a="1"/>
  <c r="C51" i="8" s="1"/>
  <c r="D51" i="8" s="1"/>
  <c r="F51" i="8" s="1"/>
  <c r="J96" i="8" a="1"/>
  <c r="J96" i="8" s="1"/>
  <c r="J84" i="8" a="1"/>
  <c r="J84" i="8" s="1"/>
  <c r="J67" i="8" a="1"/>
  <c r="J67" i="8" s="1"/>
  <c r="C67" i="8" s="1" a="1"/>
  <c r="C67" i="8" s="1"/>
  <c r="D67" i="8" s="1"/>
  <c r="F67" i="8" s="1"/>
  <c r="I31" i="8" a="1"/>
  <c r="I31" i="8" s="1"/>
  <c r="I43" i="8" a="1"/>
  <c r="I43" i="8" s="1"/>
  <c r="I78" i="8" a="1"/>
  <c r="I78" i="8" s="1"/>
  <c r="I56" i="8" a="1"/>
  <c r="I56" i="8" s="1"/>
  <c r="I37" i="8" a="1"/>
  <c r="I37" i="8" s="1"/>
  <c r="I94" i="8" a="1"/>
  <c r="I94" i="8" s="1"/>
  <c r="I65" i="8" a="1"/>
  <c r="I65" i="8" s="1"/>
  <c r="I6" i="8" a="1"/>
  <c r="I6" i="8" s="1"/>
  <c r="I101" i="8" a="1"/>
  <c r="I101" i="8" s="1"/>
  <c r="I88" i="8" a="1"/>
  <c r="I88" i="8" s="1"/>
  <c r="I67" i="8" a="1"/>
  <c r="I67" i="8" s="1"/>
  <c r="I5" i="8" a="1"/>
  <c r="I5" i="8" s="1"/>
  <c r="I72" i="8" a="1"/>
  <c r="I72" i="8" s="1"/>
  <c r="J54" i="8" a="1"/>
  <c r="J54" i="8" s="1"/>
  <c r="C54" i="8" s="1" a="1"/>
  <c r="C54" i="8" s="1"/>
  <c r="D54" i="8" s="1"/>
  <c r="F54" i="8" s="1"/>
  <c r="K16" i="8" a="1"/>
  <c r="K16" i="8" s="1"/>
  <c r="L46" i="8" a="1"/>
  <c r="L46" i="8" s="1"/>
  <c r="J101" i="8" a="1"/>
  <c r="J101" i="8" s="1"/>
  <c r="J31" i="8" a="1"/>
  <c r="J31" i="8" s="1"/>
  <c r="C31" i="8" s="1" a="1"/>
  <c r="C31" i="8" s="1"/>
  <c r="D31" i="8" s="1"/>
  <c r="F31" i="8" s="1"/>
  <c r="J89" i="8" a="1"/>
  <c r="J89" i="8" s="1"/>
  <c r="J71" i="8" a="1"/>
  <c r="J71" i="8" s="1"/>
  <c r="C71" i="8" s="1" a="1"/>
  <c r="C71" i="8" s="1"/>
  <c r="D71" i="8" s="1"/>
  <c r="F71" i="8" s="1"/>
  <c r="I36" i="8" a="1"/>
  <c r="I36" i="8" s="1"/>
  <c r="I45" i="8" a="1"/>
  <c r="I45" i="8" s="1"/>
  <c r="I68" i="8" a="1"/>
  <c r="I68" i="8" s="1"/>
  <c r="I54" i="8" a="1"/>
  <c r="I54" i="8" s="1"/>
  <c r="L77" i="8" a="1"/>
  <c r="L77" i="8" s="1"/>
  <c r="K93" i="8" a="1"/>
  <c r="K93" i="8" s="1"/>
  <c r="L31" i="8" a="1"/>
  <c r="L31" i="8" s="1"/>
  <c r="J24" i="8" a="1"/>
  <c r="J24" i="8" s="1"/>
  <c r="C24" i="8" s="1" a="1"/>
  <c r="C24" i="8" s="1"/>
  <c r="D24" i="8" s="1"/>
  <c r="F24" i="8" s="1"/>
  <c r="J19" i="8" a="1"/>
  <c r="J19" i="8" s="1"/>
  <c r="C19" i="8" s="1" a="1"/>
  <c r="C19" i="8" s="1"/>
  <c r="D19" i="8" s="1"/>
  <c r="J27" i="8" a="1"/>
  <c r="J27" i="8" s="1"/>
  <c r="C27" i="8" s="1" a="1"/>
  <c r="C27" i="8" s="1"/>
  <c r="D27" i="8" s="1"/>
  <c r="F27" i="8" s="1"/>
  <c r="I50" i="8" a="1"/>
  <c r="I50" i="8" s="1"/>
  <c r="I59" i="8" a="1"/>
  <c r="I59" i="8" s="1"/>
  <c r="I89" i="8" a="1"/>
  <c r="I89" i="8" s="1"/>
  <c r="I66" i="8" a="1"/>
  <c r="I66" i="8" s="1"/>
  <c r="L72" i="8" a="1"/>
  <c r="L72" i="8" s="1"/>
  <c r="K41" i="8" a="1"/>
  <c r="K41" i="8" s="1"/>
  <c r="I104" i="8" a="1"/>
  <c r="I104" i="8" s="1"/>
  <c r="L62" i="8" a="1"/>
  <c r="L62" i="8" s="1"/>
  <c r="J68" i="8" a="1"/>
  <c r="J68" i="8" s="1"/>
  <c r="C68" i="8" s="1" a="1"/>
  <c r="C68" i="8" s="1"/>
  <c r="D68" i="8" s="1"/>
  <c r="F68" i="8" s="1"/>
  <c r="L48" i="8" a="1"/>
  <c r="L48" i="8" s="1"/>
  <c r="L91" i="8" a="1"/>
  <c r="L91" i="8" s="1"/>
  <c r="J41" i="8" a="1"/>
  <c r="J41" i="8" s="1"/>
  <c r="C41" i="8" s="1" a="1"/>
  <c r="C41" i="8" s="1"/>
  <c r="D41" i="8" s="1"/>
  <c r="F41" i="8" s="1"/>
  <c r="L100" i="8" a="1"/>
  <c r="L100" i="8" s="1"/>
  <c r="J72" i="8" a="1"/>
  <c r="J72" i="8" s="1"/>
  <c r="C72" i="8" s="1" a="1"/>
  <c r="C72" i="8" s="1"/>
  <c r="D72" i="8" s="1"/>
  <c r="F72" i="8" s="1"/>
  <c r="K5" i="8" a="1"/>
  <c r="K5" i="8" s="1"/>
  <c r="J7" i="8" a="1"/>
  <c r="J7" i="8" s="1"/>
  <c r="C7" i="8" s="1" a="1"/>
  <c r="C7" i="8" s="1"/>
  <c r="D7" i="8" s="1"/>
  <c r="F7" i="8" s="1"/>
  <c r="J20" i="8" a="1"/>
  <c r="J20" i="8" s="1"/>
  <c r="C20" i="8" s="1" a="1"/>
  <c r="C20" i="8" s="1"/>
  <c r="D20" i="8" s="1"/>
  <c r="F20" i="8" s="1"/>
  <c r="L26" i="8" a="1"/>
  <c r="L26" i="8" s="1"/>
  <c r="K33" i="8" a="1"/>
  <c r="K33" i="8" s="1"/>
  <c r="L17" i="8" a="1"/>
  <c r="L17" i="8" s="1"/>
  <c r="K35" i="8" a="1"/>
  <c r="K35" i="8" s="1"/>
  <c r="J14" i="8" a="1"/>
  <c r="J14" i="8" s="1"/>
  <c r="C14" i="8" s="1" a="1"/>
  <c r="C14" i="8" s="1"/>
  <c r="D14" i="8" s="1"/>
  <c r="J38" i="8" a="1"/>
  <c r="J38" i="8" s="1"/>
  <c r="C38" i="8" s="1" a="1"/>
  <c r="C38" i="8" s="1"/>
  <c r="D38" i="8" s="1"/>
  <c r="F38" i="8" s="1"/>
  <c r="J8" i="8" a="1"/>
  <c r="J8" i="8" s="1"/>
  <c r="C8" i="8" s="1" a="1"/>
  <c r="C8" i="8" s="1"/>
  <c r="D8" i="8" s="1"/>
  <c r="F8" i="8" s="1"/>
  <c r="J12" i="8" a="1"/>
  <c r="J12" i="8" s="1"/>
  <c r="C12" i="8" s="1" a="1"/>
  <c r="C12" i="8" s="1"/>
  <c r="D12" i="8" s="1"/>
  <c r="F12" i="8" s="1"/>
  <c r="L70" i="8" a="1"/>
  <c r="L70" i="8" s="1"/>
  <c r="J85" i="8" a="1"/>
  <c r="J85" i="8" s="1"/>
  <c r="I95" i="8" a="1"/>
  <c r="I95" i="8" s="1"/>
  <c r="I52" i="8" a="1"/>
  <c r="I52" i="8" s="1"/>
  <c r="I60" i="8" a="1"/>
  <c r="I60" i="8" s="1"/>
  <c r="I20" i="8" a="1"/>
  <c r="I20" i="8" s="1"/>
  <c r="I7" i="8" a="1"/>
  <c r="I7" i="8" s="1"/>
  <c r="I42" i="8" a="1"/>
  <c r="I42" i="8" s="1"/>
  <c r="I29" i="8" a="1"/>
  <c r="I29" i="8" s="1"/>
  <c r="I40" i="8" a="1"/>
  <c r="I40" i="8" s="1"/>
  <c r="I22" i="8" a="1"/>
  <c r="I22" i="8" s="1"/>
  <c r="I38" i="8" a="1"/>
  <c r="I38" i="8" s="1"/>
  <c r="I13" i="8" a="1"/>
  <c r="I13" i="8" s="1"/>
  <c r="I23" i="8" a="1"/>
  <c r="I23" i="8" s="1"/>
  <c r="I86" i="8" a="1"/>
  <c r="I86" i="8" s="1"/>
  <c r="J11" i="8" a="1"/>
  <c r="J11" i="8" s="1"/>
  <c r="C11" i="8" s="1" a="1"/>
  <c r="C11" i="8" s="1"/>
  <c r="D11" i="8" s="1"/>
  <c r="F11" i="8" s="1"/>
  <c r="J102" i="8" a="1"/>
  <c r="J102" i="8" s="1"/>
  <c r="J29" i="8" a="1"/>
  <c r="J29" i="8" s="1"/>
  <c r="C29" i="8" s="1" a="1"/>
  <c r="C29" i="8" s="1"/>
  <c r="D29" i="8" s="1"/>
  <c r="F29" i="8" s="1"/>
  <c r="J77" i="8" a="1"/>
  <c r="J77" i="8" s="1"/>
  <c r="C77" i="8" s="1" a="1"/>
  <c r="C77" i="8" s="1"/>
  <c r="D77" i="8" s="1"/>
  <c r="F77" i="8" s="1"/>
  <c r="J30" i="8" a="1"/>
  <c r="J30" i="8" s="1"/>
  <c r="C30" i="8" s="1" a="1"/>
  <c r="C30" i="8" s="1"/>
  <c r="D30" i="8" s="1"/>
  <c r="F30" i="8" s="1"/>
  <c r="J50" i="8" a="1"/>
  <c r="J50" i="8" s="1"/>
  <c r="C50" i="8" s="1" a="1"/>
  <c r="C50" i="8" s="1"/>
  <c r="D50" i="8" s="1"/>
  <c r="F50" i="8" s="1"/>
  <c r="I18" i="8" a="1"/>
  <c r="I18" i="8" s="1"/>
  <c r="I19" i="8" a="1"/>
  <c r="I19" i="8" s="1"/>
  <c r="I83" i="8" a="1"/>
  <c r="I83" i="8" s="1"/>
  <c r="J88" i="8" a="1"/>
  <c r="J88" i="8" s="1"/>
  <c r="J26" i="8" a="1"/>
  <c r="J26" i="8" s="1"/>
  <c r="C26" i="8" s="1" a="1"/>
  <c r="C26" i="8" s="1"/>
  <c r="D26" i="8" s="1"/>
  <c r="F26" i="8" s="1"/>
  <c r="J86" i="8" a="1"/>
  <c r="J86" i="8" s="1"/>
  <c r="J44" i="8" a="1"/>
  <c r="J44" i="8" s="1"/>
  <c r="C44" i="8" s="1" a="1"/>
  <c r="C44" i="8" s="1"/>
  <c r="D44" i="8" s="1"/>
  <c r="F44" i="8" s="1"/>
  <c r="L53" i="8" a="1"/>
  <c r="L53" i="8" s="1"/>
  <c r="L60" i="8" a="1"/>
  <c r="L60" i="8" s="1"/>
  <c r="I81" i="8" a="1"/>
  <c r="I81" i="8" s="1"/>
  <c r="I28" i="8" a="1"/>
  <c r="I28" i="8" s="1"/>
  <c r="I27" i="8" a="1"/>
  <c r="I27" i="8" s="1"/>
  <c r="K22" i="8" a="1"/>
  <c r="K22" i="8" s="1"/>
  <c r="J25" i="8" a="1"/>
  <c r="J25" i="8" s="1"/>
  <c r="C25" i="8" s="1" a="1"/>
  <c r="C25" i="8" s="1"/>
  <c r="D25" i="8" s="1"/>
  <c r="F25" i="8" s="1"/>
  <c r="J6" i="8" a="1"/>
  <c r="J6" i="8" s="1"/>
  <c r="C6" i="8" s="1" a="1"/>
  <c r="C6" i="8" s="1"/>
  <c r="D6" i="8" s="1"/>
  <c r="F6" i="8" s="1"/>
  <c r="J75" i="8" a="1"/>
  <c r="J75" i="8" s="1"/>
  <c r="C75" i="8" s="1" a="1"/>
  <c r="C75" i="8" s="1"/>
  <c r="D75" i="8" s="1"/>
  <c r="F75" i="8" s="1"/>
  <c r="K30" i="8" a="1"/>
  <c r="K30" i="8" s="1"/>
  <c r="L74" i="8" a="1"/>
  <c r="L74" i="8" s="1"/>
  <c r="L59" i="8" a="1"/>
  <c r="L59" i="8" s="1"/>
  <c r="J32" i="8" a="1"/>
  <c r="J32" i="8" s="1"/>
  <c r="C32" i="8" s="1" a="1"/>
  <c r="C32" i="8" s="1"/>
  <c r="D32" i="8" s="1"/>
  <c r="F32" i="8" s="1"/>
  <c r="J63" i="8" a="1"/>
  <c r="J63" i="8" s="1"/>
  <c r="C63" i="8" s="1" a="1"/>
  <c r="C63" i="8" s="1"/>
  <c r="D63" i="8" s="1"/>
  <c r="F63" i="8" s="1"/>
  <c r="J104" i="8" a="1"/>
  <c r="J104" i="8" s="1"/>
  <c r="K14" i="8" a="1"/>
  <c r="K14" i="8" s="1"/>
  <c r="J95" i="8" a="1"/>
  <c r="J95" i="8" s="1"/>
  <c r="J47" i="8" a="1"/>
  <c r="J47" i="8" s="1"/>
  <c r="C47" i="8" s="1" a="1"/>
  <c r="C47" i="8" s="1"/>
  <c r="D47" i="8" s="1"/>
  <c r="F47" i="8" s="1"/>
  <c r="K48" i="8" a="1"/>
  <c r="K48" i="8" s="1"/>
  <c r="L66" i="8" a="1"/>
  <c r="L66" i="8" s="1"/>
  <c r="K12" i="8" a="1"/>
  <c r="K12" i="8" s="1"/>
  <c r="J13" i="8" a="1"/>
  <c r="J13" i="8" s="1"/>
  <c r="C13" i="8" s="1" a="1"/>
  <c r="C13" i="8" s="1"/>
  <c r="D13" i="8" s="1"/>
  <c r="F13" i="8" s="1"/>
  <c r="J91" i="8" a="1"/>
  <c r="J91" i="8" s="1"/>
  <c r="L29" i="8" a="1"/>
  <c r="L29" i="8" s="1"/>
  <c r="J16" i="8" a="1"/>
  <c r="J16" i="8" s="1"/>
  <c r="C16" i="8" s="1" a="1"/>
  <c r="C16" i="8" s="1"/>
  <c r="D16" i="8" s="1"/>
  <c r="F16" i="8" s="1"/>
  <c r="J46" i="8" a="1"/>
  <c r="J46" i="8" s="1"/>
  <c r="C46" i="8" s="1" a="1"/>
  <c r="C46" i="8" s="1"/>
  <c r="D46" i="8" s="1"/>
  <c r="F46" i="8" s="1"/>
  <c r="I51" i="8" a="1"/>
  <c r="I51" i="8" s="1"/>
  <c r="I103" i="8" a="1"/>
  <c r="I103" i="8" s="1"/>
  <c r="I102" i="8" a="1"/>
  <c r="I102" i="8" s="1"/>
  <c r="I75" i="8" a="1"/>
  <c r="I75" i="8" s="1"/>
  <c r="I74" i="8" a="1"/>
  <c r="I74" i="8" s="1"/>
  <c r="I9" i="8" a="1"/>
  <c r="I9" i="8" s="1"/>
  <c r="I8" i="8" a="1"/>
  <c r="I8" i="8" s="1"/>
  <c r="I32" i="8" a="1"/>
  <c r="I32" i="8" s="1"/>
  <c r="I64" i="8" a="1"/>
  <c r="I64" i="8" s="1"/>
  <c r="I70" i="8" a="1"/>
  <c r="I70" i="8" s="1"/>
  <c r="I77" i="8" a="1"/>
  <c r="I77" i="8" s="1"/>
  <c r="L101" i="8" a="1"/>
  <c r="L101" i="8" s="1"/>
  <c r="K78" i="8" a="1"/>
  <c r="K78" i="8" s="1"/>
  <c r="K79" i="8" a="1"/>
  <c r="K79" i="8" s="1"/>
  <c r="K42" i="8" a="1"/>
  <c r="K42" i="8" s="1"/>
  <c r="K102" i="8" a="1"/>
  <c r="K102" i="8" s="1"/>
  <c r="K44" i="8" a="1"/>
  <c r="K44" i="8" s="1"/>
  <c r="K70" i="8" a="1"/>
  <c r="K70" i="8" s="1"/>
  <c r="K83" i="8" a="1"/>
  <c r="K83" i="8" s="1"/>
  <c r="L93" i="8" a="1"/>
  <c r="L93" i="8" s="1"/>
  <c r="L33" i="8" a="1"/>
  <c r="L33" i="8" s="1"/>
  <c r="K31" i="8" a="1"/>
  <c r="K31" i="8" s="1"/>
  <c r="L73" i="8" a="1"/>
  <c r="L73" i="8" s="1"/>
  <c r="K43" i="8" a="1"/>
  <c r="K43" i="8" s="1"/>
  <c r="L95" i="8" a="1"/>
  <c r="L95" i="8" s="1"/>
  <c r="K51" i="8" a="1"/>
  <c r="K51" i="8" s="1"/>
  <c r="K27" i="8" a="1"/>
  <c r="K27" i="8" s="1"/>
  <c r="K74" i="8" a="1"/>
  <c r="K74" i="8" s="1"/>
  <c r="K68" i="8" a="1"/>
  <c r="K68" i="8" s="1"/>
  <c r="L44" i="8" a="1"/>
  <c r="L44" i="8" s="1"/>
  <c r="K54" i="8" a="1"/>
  <c r="K54" i="8" s="1"/>
  <c r="K53" i="8" a="1"/>
  <c r="K53" i="8" s="1"/>
  <c r="K65" i="8" a="1"/>
  <c r="K65" i="8" s="1"/>
  <c r="L69" i="8" a="1"/>
  <c r="L69" i="8" s="1"/>
  <c r="L39" i="8" a="1"/>
  <c r="L39" i="8" s="1"/>
  <c r="K57" i="8" a="1"/>
  <c r="K57" i="8" s="1"/>
  <c r="K64" i="8" a="1"/>
  <c r="K64" i="8" s="1"/>
  <c r="L6" i="8" a="1"/>
  <c r="L6" i="8" s="1"/>
  <c r="K59" i="8" a="1"/>
  <c r="K59" i="8" s="1"/>
  <c r="L67" i="8" a="1"/>
  <c r="L67" i="8" s="1"/>
  <c r="L21" i="8" a="1"/>
  <c r="L21" i="8" s="1"/>
  <c r="L38" i="8" a="1"/>
  <c r="L38" i="8" s="1"/>
  <c r="L83" i="8" a="1"/>
  <c r="L83" i="8" s="1"/>
  <c r="K32" i="8" a="1"/>
  <c r="K32" i="8" s="1"/>
  <c r="L55" i="8" a="1"/>
  <c r="L55" i="8" s="1"/>
  <c r="L9" i="8" a="1"/>
  <c r="L9" i="8" s="1"/>
  <c r="K97" i="8" a="1"/>
  <c r="K97" i="8" s="1"/>
  <c r="L25" i="8" a="1"/>
  <c r="L25" i="8" s="1"/>
  <c r="L51" i="8" a="1"/>
  <c r="L51" i="8" s="1"/>
  <c r="K89" i="8" a="1"/>
  <c r="K89" i="8" s="1"/>
  <c r="L52" i="8" a="1"/>
  <c r="L52" i="8" s="1"/>
  <c r="L5" i="8" a="1"/>
  <c r="L5" i="8" s="1"/>
  <c r="L23" i="8" a="1"/>
  <c r="L23" i="8" s="1"/>
  <c r="L27" i="8" a="1"/>
  <c r="L27" i="8" s="1"/>
  <c r="L19" i="8" a="1"/>
  <c r="L19" i="8" s="1"/>
  <c r="K18" i="8" a="1"/>
  <c r="K18" i="8" s="1"/>
  <c r="K19" i="8" a="1"/>
  <c r="K19" i="8" s="1"/>
  <c r="K26" i="8" a="1"/>
  <c r="K26" i="8" s="1"/>
  <c r="K47" i="8" a="1"/>
  <c r="K47" i="8" s="1"/>
  <c r="L104" i="8" a="1"/>
  <c r="L104" i="8" s="1"/>
  <c r="L47" i="8" a="1"/>
  <c r="L47" i="8" s="1"/>
  <c r="L80" i="8" a="1"/>
  <c r="L80" i="8" s="1"/>
  <c r="L16" i="8" a="1"/>
  <c r="L16" i="8" s="1"/>
  <c r="L30" i="8" a="1"/>
  <c r="L30" i="8" s="1"/>
  <c r="K66" i="8" a="1"/>
  <c r="K66" i="8" s="1"/>
  <c r="K96" i="8" a="1"/>
  <c r="K96" i="8" s="1"/>
  <c r="K104" i="8" a="1"/>
  <c r="K104" i="8" s="1"/>
  <c r="K58" i="8" a="1"/>
  <c r="K58" i="8" s="1"/>
  <c r="K37" i="8" a="1"/>
  <c r="K37" i="8" s="1"/>
  <c r="L63" i="8" a="1"/>
  <c r="L63" i="8" s="1"/>
  <c r="L99" i="8" a="1"/>
  <c r="L99" i="8" s="1"/>
  <c r="L35" i="8" a="1"/>
  <c r="L35" i="8" s="1"/>
  <c r="K77" i="8" a="1"/>
  <c r="K77" i="8" s="1"/>
  <c r="K24" i="8" a="1"/>
  <c r="K24" i="8" s="1"/>
  <c r="K101" i="8" a="1"/>
  <c r="K101" i="8" s="1"/>
  <c r="K81" i="8" a="1"/>
  <c r="K81" i="8" s="1"/>
  <c r="L94" i="8" a="1"/>
  <c r="L94" i="8" s="1"/>
  <c r="K9" i="8" a="1"/>
  <c r="K9" i="8" s="1"/>
  <c r="K45" i="8" a="1"/>
  <c r="K45" i="8" s="1"/>
  <c r="K29" i="8" a="1"/>
  <c r="K29" i="8" s="1"/>
  <c r="L15" i="8" a="1"/>
  <c r="L15" i="8" s="1"/>
  <c r="K39" i="8" a="1"/>
  <c r="K39" i="8" s="1"/>
  <c r="K92" i="8" a="1"/>
  <c r="K92" i="8" s="1"/>
  <c r="L42" i="8" a="1"/>
  <c r="L42" i="8" s="1"/>
  <c r="L41" i="8" a="1"/>
  <c r="L41" i="8" s="1"/>
  <c r="K75" i="8" a="1"/>
  <c r="K75" i="8" s="1"/>
  <c r="K62" i="8" a="1"/>
  <c r="K62" i="8" s="1"/>
  <c r="K60" i="8" a="1"/>
  <c r="K60" i="8" s="1"/>
  <c r="L36" i="8" a="1"/>
  <c r="L36" i="8" s="1"/>
  <c r="K99" i="8" a="1"/>
  <c r="K99" i="8" s="1"/>
  <c r="L92" i="8" a="1"/>
  <c r="L92" i="8" s="1"/>
  <c r="K50" i="8" a="1"/>
  <c r="K50" i="8" s="1"/>
  <c r="K95" i="8" a="1"/>
  <c r="K95" i="8" s="1"/>
  <c r="L103" i="8" a="1"/>
  <c r="L103" i="8" s="1"/>
  <c r="K103" i="8" a="1"/>
  <c r="K103" i="8" s="1"/>
  <c r="K73" i="8" a="1"/>
  <c r="K73" i="8" s="1"/>
  <c r="L37" i="8" a="1"/>
  <c r="L37" i="8" s="1"/>
  <c r="L86" i="8" a="1"/>
  <c r="L86" i="8" s="1"/>
  <c r="K13" i="8" a="1"/>
  <c r="K13" i="8" s="1"/>
  <c r="L75" i="8" a="1"/>
  <c r="L75" i="8" s="1"/>
  <c r="K71" i="8" a="1"/>
  <c r="K71" i="8" s="1"/>
  <c r="K36" i="8" a="1"/>
  <c r="K36" i="8" s="1"/>
  <c r="K28" i="8" a="1"/>
  <c r="K28" i="8" s="1"/>
  <c r="L49" i="8" a="1"/>
  <c r="L49" i="8" s="1"/>
  <c r="L43" i="8" a="1"/>
  <c r="L43" i="8" s="1"/>
  <c r="K88" i="8" a="1"/>
  <c r="K88" i="8" s="1"/>
  <c r="K7" i="8" a="1"/>
  <c r="K7" i="8" s="1"/>
  <c r="K46" i="8" a="1"/>
  <c r="K46" i="8" s="1"/>
  <c r="K61" i="8" a="1"/>
  <c r="K61" i="8" s="1"/>
  <c r="L82" i="8" a="1"/>
  <c r="L82" i="8" s="1"/>
  <c r="K11" i="8" a="1"/>
  <c r="K11" i="8" s="1"/>
  <c r="K100" i="8" a="1"/>
  <c r="K100" i="8" s="1"/>
  <c r="L54" i="8" a="1"/>
  <c r="L54" i="8" s="1"/>
  <c r="L98" i="8" a="1"/>
  <c r="L98" i="8" s="1"/>
  <c r="L32" i="8" a="1"/>
  <c r="L32" i="8" s="1"/>
  <c r="L7" i="8" a="1"/>
  <c r="L7" i="8" s="1"/>
  <c r="K15" i="8" a="1"/>
  <c r="K15" i="8" s="1"/>
  <c r="K6" i="8" a="1"/>
  <c r="K6" i="8" s="1"/>
  <c r="K34" i="8" a="1"/>
  <c r="K34" i="8" s="1"/>
  <c r="L84" i="8" a="1"/>
  <c r="L84" i="8" s="1"/>
  <c r="L10" i="8" a="1"/>
  <c r="L10" i="8" s="1"/>
  <c r="L14" i="8" a="1"/>
  <c r="L14" i="8" s="1"/>
  <c r="L85" i="8" a="1"/>
  <c r="L85" i="8" s="1"/>
  <c r="L81" i="8" a="1"/>
  <c r="L81" i="8" s="1"/>
  <c r="L34" i="8" a="1"/>
  <c r="L34" i="8" s="1"/>
  <c r="K67" i="8" a="1"/>
  <c r="K67" i="8" s="1"/>
  <c r="K85" i="8" a="1"/>
  <c r="K85" i="8" s="1"/>
  <c r="K23" i="8" a="1"/>
  <c r="K23" i="8" s="1"/>
  <c r="K91" i="8" a="1"/>
  <c r="K91" i="8" s="1"/>
  <c r="K56" i="8" a="1"/>
  <c r="K56" i="8" s="1"/>
  <c r="L89" i="8" a="1"/>
  <c r="L89" i="8" s="1"/>
  <c r="L13" i="8" a="1"/>
  <c r="L13" i="8" s="1"/>
  <c r="K90" i="8" a="1"/>
  <c r="K90" i="8" s="1"/>
  <c r="K25" i="8" a="1"/>
  <c r="K25" i="8" s="1"/>
  <c r="L79" i="8" a="1"/>
  <c r="L79" i="8" s="1"/>
  <c r="L65" i="8" a="1"/>
  <c r="L65" i="8" s="1"/>
  <c r="C82" i="9" a="1"/>
  <c r="C82" i="9" s="1"/>
  <c r="D82" i="9" s="1"/>
  <c r="F82" i="9" s="1"/>
  <c r="X13" i="9" a="1"/>
  <c r="X13" i="9" s="1"/>
  <c r="X22" i="9" a="1"/>
  <c r="X22" i="9" s="1"/>
  <c r="X27" i="9" a="1"/>
  <c r="X27" i="9" s="1"/>
  <c r="X36" i="9" a="1"/>
  <c r="X36" i="9" s="1"/>
  <c r="S8" i="9" a="1"/>
  <c r="S8" i="9" s="1"/>
  <c r="S13" i="9" a="1"/>
  <c r="S13" i="9" s="1"/>
  <c r="S18" i="9" a="1"/>
  <c r="S18" i="9" s="1"/>
  <c r="S24" i="9" a="1"/>
  <c r="S24" i="9" s="1"/>
  <c r="S29" i="9" a="1"/>
  <c r="S29" i="9" s="1"/>
  <c r="S34" i="9" a="1"/>
  <c r="S34" i="9" s="1"/>
  <c r="S9" i="9" a="1"/>
  <c r="S9" i="9" s="1"/>
  <c r="S25" i="9" a="1"/>
  <c r="S25" i="9" s="1"/>
  <c r="S36" i="9" a="1"/>
  <c r="S36" i="9" s="1"/>
  <c r="X33" i="9" a="1"/>
  <c r="X33" i="9" s="1"/>
  <c r="S15" i="9" a="1"/>
  <c r="S15" i="9" s="1"/>
  <c r="X11" i="9" a="1"/>
  <c r="X11" i="9" s="1"/>
  <c r="X38" i="9" a="1"/>
  <c r="X38" i="9" s="1"/>
  <c r="S16" i="9" a="1"/>
  <c r="S16" i="9" s="1"/>
  <c r="S32" i="9" a="1"/>
  <c r="S32" i="9" s="1"/>
  <c r="X7" i="9" a="1"/>
  <c r="X7" i="9" s="1"/>
  <c r="X9" i="9" a="1"/>
  <c r="X9" i="9" s="1"/>
  <c r="X18" i="9" a="1"/>
  <c r="X18" i="9" s="1"/>
  <c r="X23" i="9" a="1"/>
  <c r="X23" i="9" s="1"/>
  <c r="X32" i="9" a="1"/>
  <c r="X32" i="9" s="1"/>
  <c r="S19" i="9" a="1"/>
  <c r="S19" i="9" s="1"/>
  <c r="S35" i="9" a="1"/>
  <c r="S35" i="9" s="1"/>
  <c r="X14" i="9" a="1"/>
  <c r="X14" i="9" s="1"/>
  <c r="X19" i="9" a="1"/>
  <c r="X19" i="9" s="1"/>
  <c r="X28" i="9" a="1"/>
  <c r="X28" i="9" s="1"/>
  <c r="X37" i="9" a="1"/>
  <c r="X37" i="9" s="1"/>
  <c r="S14" i="9" a="1"/>
  <c r="S14" i="9" s="1"/>
  <c r="S20" i="9" a="1"/>
  <c r="S20" i="9" s="1"/>
  <c r="S30" i="9" a="1"/>
  <c r="S30" i="9" s="1"/>
  <c r="X10" i="9" a="1"/>
  <c r="X10" i="9" s="1"/>
  <c r="X24" i="9" a="1"/>
  <c r="X24" i="9" s="1"/>
  <c r="X6" i="9" a="1"/>
  <c r="X6" i="9" s="1"/>
  <c r="X29" i="9" a="1"/>
  <c r="X29" i="9" s="1"/>
  <c r="S10" i="9" a="1"/>
  <c r="S10" i="9" s="1"/>
  <c r="S26" i="9" a="1"/>
  <c r="S26" i="9" s="1"/>
  <c r="X12" i="9" a="1"/>
  <c r="X12" i="9" s="1"/>
  <c r="X21" i="9" a="1"/>
  <c r="X21" i="9" s="1"/>
  <c r="X30" i="9" a="1"/>
  <c r="X30" i="9" s="1"/>
  <c r="X35" i="9" a="1"/>
  <c r="X35" i="9" s="1"/>
  <c r="S6" i="9" a="1"/>
  <c r="S6" i="9" s="1"/>
  <c r="S12" i="9" a="1"/>
  <c r="S12" i="9" s="1"/>
  <c r="S17" i="9" a="1"/>
  <c r="S17" i="9" s="1"/>
  <c r="S22" i="9" a="1"/>
  <c r="S22" i="9" s="1"/>
  <c r="S28" i="9" a="1"/>
  <c r="S28" i="9" s="1"/>
  <c r="S33" i="9" a="1"/>
  <c r="S33" i="9" s="1"/>
  <c r="S38" i="9" a="1"/>
  <c r="S38" i="9" s="1"/>
  <c r="X8" i="9" a="1"/>
  <c r="X8" i="9" s="1"/>
  <c r="X17" i="9" a="1"/>
  <c r="X17" i="9" s="1"/>
  <c r="X26" i="9" a="1"/>
  <c r="X26" i="9" s="1"/>
  <c r="X31" i="9" a="1"/>
  <c r="X31" i="9" s="1"/>
  <c r="S7" i="9" a="1"/>
  <c r="S7" i="9" s="1"/>
  <c r="S23" i="9" a="1"/>
  <c r="S23" i="9" s="1"/>
  <c r="X15" i="9" a="1"/>
  <c r="X15" i="9" s="1"/>
  <c r="S31" i="9" a="1"/>
  <c r="S31" i="9" s="1"/>
  <c r="X20" i="9" a="1"/>
  <c r="X20" i="9" s="1"/>
  <c r="S21" i="9" a="1"/>
  <c r="S21" i="9" s="1"/>
  <c r="S37" i="9" a="1"/>
  <c r="S37" i="9" s="1"/>
  <c r="X34" i="9" a="1"/>
  <c r="X34" i="9" s="1"/>
  <c r="X16" i="9" a="1"/>
  <c r="X16" i="9" s="1"/>
  <c r="S11" i="9" a="1"/>
  <c r="S11" i="9" s="1"/>
  <c r="X25" i="9" a="1"/>
  <c r="X25" i="9" s="1"/>
  <c r="S27" i="9" a="1"/>
  <c r="S27" i="9" s="1"/>
  <c r="C5" i="9" a="1"/>
  <c r="C5" i="9" s="1"/>
  <c r="X73" i="9" a="1"/>
  <c r="X73" i="9" s="1"/>
  <c r="X79" i="9" a="1"/>
  <c r="X79" i="9" s="1"/>
  <c r="X77" i="9" a="1"/>
  <c r="X77" i="9" s="1"/>
  <c r="S42" i="9" a="1"/>
  <c r="S42" i="9" s="1"/>
  <c r="S62" i="9" a="1"/>
  <c r="S62" i="9" s="1"/>
  <c r="X55" i="9" a="1"/>
  <c r="X55" i="9" s="1"/>
  <c r="X45" i="9" a="1"/>
  <c r="X45" i="9" s="1"/>
  <c r="S56" i="9" a="1"/>
  <c r="S56" i="9" s="1"/>
  <c r="S74" i="9" a="1"/>
  <c r="S74" i="9" s="1"/>
  <c r="S83" i="9" a="1"/>
  <c r="S83" i="9" s="1"/>
  <c r="X80" i="9" a="1"/>
  <c r="X80" i="9" s="1"/>
  <c r="X60" i="9" a="1"/>
  <c r="X60" i="9" s="1"/>
  <c r="S51" i="9" a="1"/>
  <c r="S51" i="9" s="1"/>
  <c r="S57" i="9" a="1"/>
  <c r="S57" i="9" s="1"/>
  <c r="S40" i="9" a="1"/>
  <c r="S40" i="9" s="1"/>
  <c r="X44" i="9" a="1"/>
  <c r="X44" i="9" s="1"/>
  <c r="X69" i="9" a="1"/>
  <c r="X69" i="9" s="1"/>
  <c r="S66" i="9" a="1"/>
  <c r="S66" i="9" s="1"/>
  <c r="AC18" i="2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O50" i="3" l="1"/>
  <c r="R50" i="3" s="1"/>
  <c r="C82" i="8" a="1"/>
  <c r="C82" i="8" s="1"/>
  <c r="C83" i="8" s="1" a="1"/>
  <c r="C83" i="8" s="1"/>
  <c r="D83" i="8" s="1"/>
  <c r="F83" i="8" s="1"/>
  <c r="D98" i="3"/>
  <c r="E98" i="3" s="1"/>
  <c r="D86" i="3"/>
  <c r="E86" i="3" s="1"/>
  <c r="S85" i="9" a="1"/>
  <c r="S85" i="9" s="1"/>
  <c r="M82" i="9"/>
  <c r="O49" i="3"/>
  <c r="R49" i="3" s="1"/>
  <c r="D105" i="3"/>
  <c r="E105" i="3" s="1"/>
  <c r="D75" i="3"/>
  <c r="E75" i="3" s="1"/>
  <c r="H75" i="3" s="1"/>
  <c r="K75" i="3" s="1"/>
  <c r="D103" i="3"/>
  <c r="E103" i="3" s="1"/>
  <c r="D93" i="3"/>
  <c r="E93" i="3" s="1"/>
  <c r="O59" i="3"/>
  <c r="O54" i="3"/>
  <c r="R54" i="3" s="1"/>
  <c r="D102" i="3"/>
  <c r="E102" i="3" s="1"/>
  <c r="D74" i="3"/>
  <c r="E74" i="3" s="1"/>
  <c r="D80" i="3"/>
  <c r="E80" i="3" s="1"/>
  <c r="D104" i="3"/>
  <c r="E104" i="3" s="1"/>
  <c r="O58" i="3"/>
  <c r="D101" i="3"/>
  <c r="E101" i="3" s="1"/>
  <c r="D90" i="3"/>
  <c r="E90" i="3" s="1"/>
  <c r="O51" i="3"/>
  <c r="R51" i="3" s="1"/>
  <c r="D100" i="3"/>
  <c r="E100" i="3" s="1"/>
  <c r="D89" i="3"/>
  <c r="E89" i="3" s="1"/>
  <c r="T54" i="8" a="1"/>
  <c r="T54" i="8" s="1"/>
  <c r="O55" i="3"/>
  <c r="R55" i="3" s="1"/>
  <c r="O57" i="3"/>
  <c r="O60" i="3"/>
  <c r="D99" i="3"/>
  <c r="E99" i="3" s="1"/>
  <c r="D91" i="3"/>
  <c r="E91" i="3" s="1"/>
  <c r="D77" i="3"/>
  <c r="E77" i="3" s="1"/>
  <c r="D78" i="3"/>
  <c r="E78" i="3" s="1"/>
  <c r="H78" i="3" s="1"/>
  <c r="K78" i="3" s="1"/>
  <c r="O52" i="3"/>
  <c r="R52" i="3" s="1"/>
  <c r="O56" i="3"/>
  <c r="R56" i="3" s="1"/>
  <c r="D88" i="3"/>
  <c r="E88" i="3" s="1"/>
  <c r="D92" i="3"/>
  <c r="E92" i="3" s="1"/>
  <c r="O53" i="3"/>
  <c r="R53" i="3" s="1"/>
  <c r="D76" i="3"/>
  <c r="E76" i="3" s="1"/>
  <c r="D79" i="3"/>
  <c r="E79" i="3" s="1"/>
  <c r="D87" i="3"/>
  <c r="E87" i="3" s="1"/>
  <c r="F14" i="8"/>
  <c r="T20" i="8" s="1" a="1"/>
  <c r="T20" i="8" s="1"/>
  <c r="C84" i="8" a="1"/>
  <c r="C84" i="8" s="1"/>
  <c r="Y6" i="8" a="1"/>
  <c r="Y6" i="8" s="1"/>
  <c r="F19" i="8"/>
  <c r="T30" i="8" s="1" a="1"/>
  <c r="T30" i="8" s="1"/>
  <c r="F18" i="8"/>
  <c r="T28" i="8" s="1" a="1"/>
  <c r="T28" i="8" s="1"/>
  <c r="C83" i="9" a="1"/>
  <c r="C83" i="9" s="1"/>
  <c r="D5" i="9"/>
  <c r="F5" i="9" s="1"/>
  <c r="X56" i="9" a="1"/>
  <c r="X56" i="9" s="1"/>
  <c r="T7" i="8" a="1"/>
  <c r="T7" i="8" s="1"/>
  <c r="T8" i="8" a="1"/>
  <c r="T8" i="8" s="1"/>
  <c r="Y7" i="8" a="1"/>
  <c r="Y7" i="8" s="1"/>
  <c r="Y8" i="8" a="1"/>
  <c r="Y8" i="8" s="1"/>
  <c r="T9" i="8" a="1"/>
  <c r="T9" i="8" s="1"/>
  <c r="Y10" i="8" a="1"/>
  <c r="Y10" i="8" s="1"/>
  <c r="Y11" i="8" a="1"/>
  <c r="Y11" i="8" s="1"/>
  <c r="T11" i="8" a="1"/>
  <c r="T11" i="8" s="1"/>
  <c r="Y9" i="8" a="1"/>
  <c r="Y9" i="8" s="1"/>
  <c r="T10" i="8" a="1"/>
  <c r="T10" i="8" s="1"/>
  <c r="Y15" i="8" a="1"/>
  <c r="Y15" i="8" s="1"/>
  <c r="Y37" i="8" a="1"/>
  <c r="Y37" i="8" s="1"/>
  <c r="T33" i="8" a="1"/>
  <c r="T33" i="8" s="1"/>
  <c r="Y34" i="8" a="1"/>
  <c r="Y34" i="8" s="1"/>
  <c r="Y12" i="8" a="1"/>
  <c r="Y12" i="8" s="1"/>
  <c r="Y36" i="8" a="1"/>
  <c r="Y36" i="8" s="1"/>
  <c r="Y38" i="8" a="1"/>
  <c r="Y38" i="8" s="1"/>
  <c r="Y31" i="8" a="1"/>
  <c r="Y31" i="8" s="1"/>
  <c r="T32" i="8" a="1"/>
  <c r="T32" i="8" s="1"/>
  <c r="Y35" i="8" a="1"/>
  <c r="Y35" i="8" s="1"/>
  <c r="Y14" i="8" a="1"/>
  <c r="Y14" i="8" s="1"/>
  <c r="D5" i="8"/>
  <c r="F5" i="8" s="1"/>
  <c r="S79" i="9" a="1"/>
  <c r="S79" i="9" s="1"/>
  <c r="T42" i="8" a="1"/>
  <c r="T42" i="8" s="1"/>
  <c r="S76" i="9" a="1"/>
  <c r="S76" i="9" s="1"/>
  <c r="X66" i="9" a="1"/>
  <c r="X66" i="9" s="1"/>
  <c r="S69" i="9" a="1"/>
  <c r="S69" i="9" s="1"/>
  <c r="S80" i="9" a="1"/>
  <c r="S80" i="9" s="1"/>
  <c r="S55" i="9" a="1"/>
  <c r="S55" i="9" s="1"/>
  <c r="X46" i="9" a="1"/>
  <c r="X46" i="9" s="1"/>
  <c r="S72" i="9" a="1"/>
  <c r="S72" i="9" s="1"/>
  <c r="X76" i="9" a="1"/>
  <c r="X76" i="9" s="1"/>
  <c r="X62" i="9" a="1"/>
  <c r="X62" i="9" s="1"/>
  <c r="X74" i="9" a="1"/>
  <c r="X74" i="9" s="1"/>
  <c r="X43" i="9" a="1"/>
  <c r="X43" i="9" s="1"/>
  <c r="X68" i="9" a="1"/>
  <c r="X68" i="9" s="1"/>
  <c r="X83" i="9" a="1"/>
  <c r="X83" i="9" s="1"/>
  <c r="S84" i="9" a="1"/>
  <c r="S84" i="9" s="1"/>
  <c r="X49" i="9" a="1"/>
  <c r="X49" i="9" s="1"/>
  <c r="S61" i="9" a="1"/>
  <c r="S61" i="9" s="1"/>
  <c r="S68" i="9" a="1"/>
  <c r="S68" i="9" s="1"/>
  <c r="S73" i="9" a="1"/>
  <c r="S73" i="9" s="1"/>
  <c r="X47" i="9" a="1"/>
  <c r="X47" i="9" s="1"/>
  <c r="S78" i="9" a="1"/>
  <c r="S78" i="9" s="1"/>
  <c r="S75" i="9" a="1"/>
  <c r="S75" i="9" s="1"/>
  <c r="S71" i="9" a="1"/>
  <c r="S71" i="9" s="1"/>
  <c r="X67" i="9" a="1"/>
  <c r="X67" i="9" s="1"/>
  <c r="S58" i="9" a="1"/>
  <c r="S58" i="9" s="1"/>
  <c r="S54" i="9" a="1"/>
  <c r="S54" i="9" s="1"/>
  <c r="X48" i="9" a="1"/>
  <c r="X48" i="9" s="1"/>
  <c r="S39" i="9" a="1"/>
  <c r="S39" i="9" s="1"/>
  <c r="X59" i="9" a="1"/>
  <c r="X59" i="9" s="1"/>
  <c r="X65" i="9" a="1"/>
  <c r="X65" i="9" s="1"/>
  <c r="S67" i="9" a="1"/>
  <c r="S67" i="9" s="1"/>
  <c r="X57" i="9" a="1"/>
  <c r="X57" i="9" s="1"/>
  <c r="S81" i="9" a="1"/>
  <c r="S81" i="9" s="1"/>
  <c r="X39" i="9" a="1"/>
  <c r="X39" i="9" s="1"/>
  <c r="X42" i="9" a="1"/>
  <c r="X42" i="9" s="1"/>
  <c r="S64" i="9" a="1"/>
  <c r="S64" i="9" s="1"/>
  <c r="X85" i="9" a="1"/>
  <c r="X85" i="9" s="1"/>
  <c r="S82" i="9" a="1"/>
  <c r="S82" i="9" s="1"/>
  <c r="S50" i="9" a="1"/>
  <c r="S50" i="9" s="1"/>
  <c r="S63" i="9" a="1"/>
  <c r="S63" i="9" s="1"/>
  <c r="S70" i="9" a="1"/>
  <c r="S70" i="9" s="1"/>
  <c r="X71" i="9" a="1"/>
  <c r="X71" i="9" s="1"/>
  <c r="X64" i="9" a="1"/>
  <c r="X64" i="9" s="1"/>
  <c r="S46" i="9" a="1"/>
  <c r="S46" i="9" s="1"/>
  <c r="Y81" i="8" a="1"/>
  <c r="Y81" i="8" s="1"/>
  <c r="T52" i="8" a="1"/>
  <c r="T52" i="8" s="1"/>
  <c r="T50" i="8" a="1"/>
  <c r="T50" i="8" s="1"/>
  <c r="T49" i="8" a="1"/>
  <c r="T49" i="8" s="1"/>
  <c r="T62" i="8" a="1"/>
  <c r="T62" i="8" s="1"/>
  <c r="T56" i="8" a="1"/>
  <c r="T56" i="8" s="1"/>
  <c r="T85" i="8" a="1"/>
  <c r="T85" i="8" s="1"/>
  <c r="T71" i="8" a="1"/>
  <c r="T71" i="8" s="1"/>
  <c r="T82" i="8" a="1"/>
  <c r="T82" i="8" s="1"/>
  <c r="T64" i="8" a="1"/>
  <c r="T64" i="8" s="1"/>
  <c r="Y85" i="8" a="1"/>
  <c r="Y85" i="8" s="1"/>
  <c r="T83" i="8" a="1"/>
  <c r="T83" i="8" s="1"/>
  <c r="T77" i="8" a="1"/>
  <c r="T77" i="8" s="1"/>
  <c r="T68" i="8" a="1"/>
  <c r="T68" i="8" s="1"/>
  <c r="T79" i="8" a="1"/>
  <c r="T79" i="8" s="1"/>
  <c r="T76" i="8" a="1"/>
  <c r="T76" i="8" s="1"/>
  <c r="T34" i="8" a="1"/>
  <c r="T34" i="8" s="1"/>
  <c r="T53" i="8" a="1"/>
  <c r="T53" i="8" s="1"/>
  <c r="T47" i="8" a="1"/>
  <c r="T47" i="8" s="1"/>
  <c r="T66" i="8" a="1"/>
  <c r="T66" i="8" s="1"/>
  <c r="T15" i="8" a="1"/>
  <c r="T15" i="8" s="1"/>
  <c r="T25" i="8" a="1"/>
  <c r="T25" i="8" s="1"/>
  <c r="T12" i="8" a="1"/>
  <c r="T12" i="8" s="1"/>
  <c r="T58" i="8" a="1"/>
  <c r="T58" i="8" s="1"/>
  <c r="T38" i="8" a="1"/>
  <c r="T38" i="8" s="1"/>
  <c r="T16" i="8" a="1"/>
  <c r="T16" i="8" s="1"/>
  <c r="T69" i="8" a="1"/>
  <c r="T69" i="8" s="1"/>
  <c r="Y16" i="8" a="1"/>
  <c r="Y16" i="8" s="1"/>
  <c r="Y33" i="8" a="1"/>
  <c r="Y33" i="8" s="1"/>
  <c r="T57" i="8" a="1"/>
  <c r="T57" i="8" s="1"/>
  <c r="T67" i="8" a="1"/>
  <c r="T67" i="8" s="1"/>
  <c r="T63" i="8" a="1"/>
  <c r="T63" i="8" s="1"/>
  <c r="T37" i="8" a="1"/>
  <c r="T37" i="8" s="1"/>
  <c r="T26" i="8" a="1"/>
  <c r="T26" i="8" s="1"/>
  <c r="T36" i="8" a="1"/>
  <c r="T36" i="8" s="1"/>
  <c r="T13" i="8" a="1"/>
  <c r="T13" i="8" s="1"/>
  <c r="Y26" i="8" a="1"/>
  <c r="Y26" i="8" s="1"/>
  <c r="T46" i="8" a="1"/>
  <c r="T46" i="8" s="1"/>
  <c r="T43" i="8" a="1"/>
  <c r="T43" i="8" s="1"/>
  <c r="T61" i="8" a="1"/>
  <c r="T61" i="8" s="1"/>
  <c r="T55" i="8" a="1"/>
  <c r="T55" i="8" s="1"/>
  <c r="T81" i="8" a="1"/>
  <c r="T81" i="8" s="1"/>
  <c r="Y13" i="8" a="1"/>
  <c r="Y13" i="8" s="1"/>
  <c r="T78" i="8" a="1"/>
  <c r="T78" i="8" s="1"/>
  <c r="T84" i="8" a="1"/>
  <c r="T84" i="8" s="1"/>
  <c r="T80" i="8" a="1"/>
  <c r="T80" i="8" s="1"/>
  <c r="T39" i="8" a="1"/>
  <c r="T39" i="8" s="1"/>
  <c r="T75" i="8" a="1"/>
  <c r="T75" i="8" s="1"/>
  <c r="T59" i="8" a="1"/>
  <c r="T59" i="8" s="1"/>
  <c r="T14" i="8" a="1"/>
  <c r="T14" i="8" s="1"/>
  <c r="T35" i="8" a="1"/>
  <c r="T35" i="8" s="1"/>
  <c r="T31" i="8" a="1"/>
  <c r="T31" i="8" s="1"/>
  <c r="Y32" i="8" a="1"/>
  <c r="Y32" i="8" s="1"/>
  <c r="Y69" i="8" a="1"/>
  <c r="Y69" i="8" s="1"/>
  <c r="T72" i="8" a="1"/>
  <c r="T72" i="8" s="1"/>
  <c r="T45" i="8" a="1"/>
  <c r="T45" i="8" s="1"/>
  <c r="T60" i="8" a="1"/>
  <c r="T60" i="8" s="1"/>
  <c r="T65" i="8" a="1"/>
  <c r="T65" i="8" s="1"/>
  <c r="T70" i="8" a="1"/>
  <c r="T70" i="8" s="1"/>
  <c r="T74" i="8" a="1"/>
  <c r="T74" i="8" s="1"/>
  <c r="Y25" i="8" a="1"/>
  <c r="Y25" i="8" s="1"/>
  <c r="Y24" i="8" a="1"/>
  <c r="Y24" i="8" s="1"/>
  <c r="Y19" i="8" a="1"/>
  <c r="Y19" i="8" s="1"/>
  <c r="T18" i="8" a="1"/>
  <c r="T18" i="8" s="1"/>
  <c r="T17" i="8" a="1"/>
  <c r="T17" i="8" s="1"/>
  <c r="T24" i="8" a="1"/>
  <c r="T24" i="8" s="1"/>
  <c r="T19" i="8" a="1"/>
  <c r="T19" i="8" s="1"/>
  <c r="Y17" i="8" a="1"/>
  <c r="Y17" i="8" s="1"/>
  <c r="Y18" i="8" a="1"/>
  <c r="Y18" i="8" s="1"/>
  <c r="X82" i="9" a="1"/>
  <c r="X82" i="9" s="1"/>
  <c r="S49" i="9" a="1"/>
  <c r="S49" i="9" s="1"/>
  <c r="X75" i="9" a="1"/>
  <c r="X75" i="9" s="1"/>
  <c r="S77" i="9" a="1"/>
  <c r="S77" i="9" s="1"/>
  <c r="S59" i="9" a="1"/>
  <c r="S59" i="9" s="1"/>
  <c r="X72" i="9" a="1"/>
  <c r="X72" i="9" s="1"/>
  <c r="S44" i="9" a="1"/>
  <c r="S44" i="9" s="1"/>
  <c r="X81" i="9" a="1"/>
  <c r="X81" i="9" s="1"/>
  <c r="X52" i="9" a="1"/>
  <c r="X52" i="9" s="1"/>
  <c r="X84" i="9" a="1"/>
  <c r="X84" i="9" s="1"/>
  <c r="X78" i="9" a="1"/>
  <c r="X78" i="9" s="1"/>
  <c r="X61" i="9" a="1"/>
  <c r="X61" i="9" s="1"/>
  <c r="X70" i="9" a="1"/>
  <c r="X70" i="9" s="1"/>
  <c r="S52" i="9" a="1"/>
  <c r="S52" i="9" s="1"/>
  <c r="S43" i="9" a="1"/>
  <c r="S43" i="9" s="1"/>
  <c r="X40" i="9" a="1"/>
  <c r="X40" i="9" s="1"/>
  <c r="S65" i="9" a="1"/>
  <c r="S65" i="9" s="1"/>
  <c r="X53" i="9" a="1"/>
  <c r="X53" i="9" s="1"/>
  <c r="S41" i="9" a="1"/>
  <c r="S41" i="9" s="1"/>
  <c r="X51" i="9" a="1"/>
  <c r="X51" i="9" s="1"/>
  <c r="X50" i="9" a="1"/>
  <c r="X50" i="9" s="1"/>
  <c r="S48" i="9" a="1"/>
  <c r="S48" i="9" s="1"/>
  <c r="X63" i="9" a="1"/>
  <c r="X63" i="9" s="1"/>
  <c r="S47" i="9" a="1"/>
  <c r="S47" i="9" s="1"/>
  <c r="S53" i="9" a="1"/>
  <c r="S53" i="9" s="1"/>
  <c r="S60" i="9" a="1"/>
  <c r="S60" i="9" s="1"/>
  <c r="X41" i="9" a="1"/>
  <c r="X41" i="9" s="1"/>
  <c r="S45" i="9" a="1"/>
  <c r="S45" i="9" s="1"/>
  <c r="X54" i="9" a="1"/>
  <c r="X54" i="9" s="1"/>
  <c r="X58" i="9" a="1"/>
  <c r="X58" i="9" s="1"/>
  <c r="Y67" i="8" a="1"/>
  <c r="Y67" i="8" s="1"/>
  <c r="Y42" i="8" a="1"/>
  <c r="Y42" i="8" s="1"/>
  <c r="Y58" i="8" a="1"/>
  <c r="Y58" i="8" s="1"/>
  <c r="Y50" i="8" a="1"/>
  <c r="Y50" i="8" s="1"/>
  <c r="Y71" i="8" a="1"/>
  <c r="Y71" i="8" s="1"/>
  <c r="Y79" i="8" a="1"/>
  <c r="Y79" i="8" s="1"/>
  <c r="Y60" i="8" a="1"/>
  <c r="Y60" i="8" s="1"/>
  <c r="Y63" i="8" a="1"/>
  <c r="Y63" i="8" s="1"/>
  <c r="Y62" i="8" a="1"/>
  <c r="Y62" i="8" s="1"/>
  <c r="Y47" i="8" a="1"/>
  <c r="Y47" i="8" s="1"/>
  <c r="Y51" i="8" a="1"/>
  <c r="Y51" i="8" s="1"/>
  <c r="Y76" i="8" a="1"/>
  <c r="Y76" i="8" s="1"/>
  <c r="Y66" i="8" a="1"/>
  <c r="Y66" i="8" s="1"/>
  <c r="Y68" i="8" a="1"/>
  <c r="Y68" i="8" s="1"/>
  <c r="Y80" i="8" a="1"/>
  <c r="Y80" i="8" s="1"/>
  <c r="Y75" i="8" a="1"/>
  <c r="Y75" i="8" s="1"/>
  <c r="Y82" i="8" a="1"/>
  <c r="Y82" i="8" s="1"/>
  <c r="Y73" i="8" a="1"/>
  <c r="Y73" i="8" s="1"/>
  <c r="Y72" i="8" a="1"/>
  <c r="Y72" i="8" s="1"/>
  <c r="Y44" i="8" a="1"/>
  <c r="Y44" i="8" s="1"/>
  <c r="Y55" i="8" a="1"/>
  <c r="Y55" i="8" s="1"/>
  <c r="Y70" i="8" a="1"/>
  <c r="Y70" i="8" s="1"/>
  <c r="Y46" i="8" a="1"/>
  <c r="Y46" i="8" s="1"/>
  <c r="Y53" i="8" a="1"/>
  <c r="Y53" i="8" s="1"/>
  <c r="Y59" i="8" a="1"/>
  <c r="Y59" i="8" s="1"/>
  <c r="Y57" i="8" a="1"/>
  <c r="Y57" i="8" s="1"/>
  <c r="Y64" i="8" a="1"/>
  <c r="Y64" i="8" s="1"/>
  <c r="Y54" i="8" a="1"/>
  <c r="Y54" i="8" s="1"/>
  <c r="Y52" i="8" a="1"/>
  <c r="Y52" i="8" s="1"/>
  <c r="Y74" i="8" a="1"/>
  <c r="Y74" i="8" s="1"/>
  <c r="Y77" i="8" a="1"/>
  <c r="Y77" i="8" s="1"/>
  <c r="Y84" i="8" a="1"/>
  <c r="Y84" i="8" s="1"/>
  <c r="Y45" i="8" a="1"/>
  <c r="Y45" i="8" s="1"/>
  <c r="Y49" i="8" a="1"/>
  <c r="Y49" i="8" s="1"/>
  <c r="Y48" i="8" a="1"/>
  <c r="Y48" i="8" s="1"/>
  <c r="Y43" i="8" a="1"/>
  <c r="Y43" i="8" s="1"/>
  <c r="Y65" i="8" a="1"/>
  <c r="Y65" i="8" s="1"/>
  <c r="Y83" i="8" a="1"/>
  <c r="Y83" i="8" s="1"/>
  <c r="Y61" i="8" a="1"/>
  <c r="Y61" i="8" s="1"/>
  <c r="Y39" i="8" a="1"/>
  <c r="Y39" i="8" s="1"/>
  <c r="Y41" i="8" a="1"/>
  <c r="Y41" i="8" s="1"/>
  <c r="Y40" i="8" a="1"/>
  <c r="Y40" i="8" s="1"/>
  <c r="Y56" i="8" a="1"/>
  <c r="Y56" i="8" s="1"/>
  <c r="Y78" i="8" a="1"/>
  <c r="Y78" i="8" s="1"/>
  <c r="T40" i="8" a="1"/>
  <c r="T40" i="8" s="1"/>
  <c r="T44" i="8" a="1"/>
  <c r="T44" i="8" s="1"/>
  <c r="T73" i="8" a="1"/>
  <c r="T73" i="8" s="1"/>
  <c r="T48" i="8" a="1"/>
  <c r="T48" i="8" s="1"/>
  <c r="T51" i="8" a="1"/>
  <c r="T51" i="8" s="1"/>
  <c r="T41" i="8" a="1"/>
  <c r="T41" i="8" s="1"/>
  <c r="AO18" i="2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D82" i="8" l="1"/>
  <c r="F82" i="8" s="1"/>
  <c r="Y22" i="8" a="1"/>
  <c r="Y22" i="8" s="1"/>
  <c r="X5" i="9" a="1"/>
  <c r="X5" i="9" s="1"/>
  <c r="Y29" i="9" s="1"/>
  <c r="M5" i="9"/>
  <c r="Y23" i="8" a="1"/>
  <c r="Y23" i="8" s="1"/>
  <c r="T21" i="8" a="1"/>
  <c r="T21" i="8" s="1"/>
  <c r="Y21" i="8" a="1"/>
  <c r="Y21" i="8" s="1"/>
  <c r="O48" i="3"/>
  <c r="R48" i="3" s="1"/>
  <c r="D73" i="3"/>
  <c r="E73" i="3" s="1"/>
  <c r="H73" i="3" s="1"/>
  <c r="K73" i="3" s="1"/>
  <c r="Y20" i="8" a="1"/>
  <c r="Y20" i="8" s="1"/>
  <c r="T23" i="8" a="1"/>
  <c r="T23" i="8" s="1"/>
  <c r="T22" i="8" a="1"/>
  <c r="T22" i="8" s="1"/>
  <c r="S5" i="9" a="1"/>
  <c r="S5" i="9" s="1"/>
  <c r="T8" i="9" s="1"/>
  <c r="T29" i="8" a="1"/>
  <c r="T29" i="8" s="1"/>
  <c r="Y30" i="8" a="1"/>
  <c r="Y30" i="8" s="1"/>
  <c r="Y29" i="8" a="1"/>
  <c r="Y29" i="8" s="1"/>
  <c r="T27" i="8" a="1"/>
  <c r="T27" i="8" s="1"/>
  <c r="Y28" i="8" a="1"/>
  <c r="Y28" i="8" s="1"/>
  <c r="T6" i="8" a="1"/>
  <c r="T6" i="8" s="1"/>
  <c r="Y27" i="8" a="1"/>
  <c r="Y27" i="8" s="1"/>
  <c r="C85" i="8" a="1"/>
  <c r="C85" i="8" s="1"/>
  <c r="D84" i="8"/>
  <c r="F84" i="8" s="1"/>
  <c r="D83" i="9"/>
  <c r="F83" i="9" s="1"/>
  <c r="M83" i="9" s="1"/>
  <c r="C84" i="9" a="1"/>
  <c r="C84" i="9" s="1"/>
  <c r="Y5" i="8" a="1"/>
  <c r="Y5" i="8" s="1"/>
  <c r="Z5" i="8" s="1"/>
  <c r="T5" i="8" a="1"/>
  <c r="T5" i="8" s="1"/>
  <c r="Y21" i="9"/>
  <c r="AC20" i="2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Y65" i="9" l="1"/>
  <c r="Y43" i="9"/>
  <c r="Y39" i="9"/>
  <c r="Y46" i="9"/>
  <c r="Y45" i="9"/>
  <c r="Y42" i="9"/>
  <c r="Y71" i="9"/>
  <c r="Y79" i="9"/>
  <c r="Y24" i="9"/>
  <c r="Y51" i="9"/>
  <c r="Y23" i="9"/>
  <c r="Y82" i="9"/>
  <c r="Y77" i="9"/>
  <c r="Y67" i="9"/>
  <c r="Y54" i="9"/>
  <c r="Y53" i="9"/>
  <c r="Y11" i="9"/>
  <c r="Y68" i="9"/>
  <c r="Y50" i="9"/>
  <c r="Y22" i="9"/>
  <c r="Y10" i="9"/>
  <c r="Y78" i="9"/>
  <c r="Y55" i="9"/>
  <c r="Y36" i="9"/>
  <c r="Y38" i="9"/>
  <c r="Y52" i="9"/>
  <c r="Y56" i="9"/>
  <c r="Y15" i="9"/>
  <c r="Y37" i="9"/>
  <c r="Y84" i="9"/>
  <c r="Y12" i="9"/>
  <c r="Y19" i="9"/>
  <c r="Y35" i="9"/>
  <c r="Y14" i="9"/>
  <c r="Y64" i="9"/>
  <c r="Y80" i="9"/>
  <c r="Y44" i="9"/>
  <c r="Y57" i="9"/>
  <c r="Y66" i="9"/>
  <c r="Y13" i="9"/>
  <c r="Y28" i="9"/>
  <c r="Y34" i="9"/>
  <c r="Y26" i="9"/>
  <c r="Y70" i="9"/>
  <c r="Y59" i="9"/>
  <c r="Y47" i="9"/>
  <c r="Y73" i="9"/>
  <c r="Y74" i="9"/>
  <c r="Y27" i="9"/>
  <c r="Y16" i="9"/>
  <c r="Y31" i="9"/>
  <c r="Y7" i="9"/>
  <c r="Y72" i="9"/>
  <c r="Y40" i="9"/>
  <c r="Y81" i="9"/>
  <c r="Y61" i="9"/>
  <c r="Y49" i="9"/>
  <c r="Y20" i="9"/>
  <c r="Y41" i="9"/>
  <c r="Y6" i="9"/>
  <c r="Y32" i="9"/>
  <c r="Y63" i="9"/>
  <c r="Y83" i="9"/>
  <c r="Y76" i="9"/>
  <c r="Y85" i="9"/>
  <c r="Y5" i="9"/>
  <c r="Y33" i="9"/>
  <c r="Y25" i="9"/>
  <c r="Y30" i="9"/>
  <c r="Y62" i="9"/>
  <c r="Y75" i="9"/>
  <c r="Y60" i="9"/>
  <c r="Y58" i="9"/>
  <c r="Y69" i="9"/>
  <c r="Y48" i="9"/>
  <c r="Y17" i="9"/>
  <c r="Y8" i="9"/>
  <c r="Y9" i="9"/>
  <c r="Y18" i="9"/>
  <c r="T50" i="9"/>
  <c r="T83" i="9"/>
  <c r="T70" i="9"/>
  <c r="T22" i="9"/>
  <c r="T21" i="9"/>
  <c r="T66" i="9"/>
  <c r="T45" i="9"/>
  <c r="T56" i="9"/>
  <c r="T53" i="9"/>
  <c r="T65" i="9"/>
  <c r="T46" i="9"/>
  <c r="T26" i="9"/>
  <c r="T28" i="9"/>
  <c r="T39" i="9"/>
  <c r="T11" i="9"/>
  <c r="T85" i="9"/>
  <c r="T82" i="9"/>
  <c r="T41" i="9"/>
  <c r="T77" i="9"/>
  <c r="T79" i="9"/>
  <c r="T63" i="9"/>
  <c r="T23" i="9"/>
  <c r="T18" i="9"/>
  <c r="T15" i="9"/>
  <c r="T7" i="9"/>
  <c r="T58" i="9"/>
  <c r="T5" i="9"/>
  <c r="T14" i="9"/>
  <c r="T24" i="9"/>
  <c r="T78" i="9"/>
  <c r="T84" i="9"/>
  <c r="T16" i="9"/>
  <c r="T73" i="9"/>
  <c r="T49" i="9"/>
  <c r="T48" i="9"/>
  <c r="T62" i="9"/>
  <c r="T71" i="9"/>
  <c r="T80" i="9"/>
  <c r="T60" i="9"/>
  <c r="T42" i="9"/>
  <c r="T55" i="9"/>
  <c r="T43" i="9"/>
  <c r="T47" i="9"/>
  <c r="T64" i="9"/>
  <c r="T9" i="9"/>
  <c r="T13" i="9"/>
  <c r="T10" i="9"/>
  <c r="T35" i="9"/>
  <c r="T54" i="9"/>
  <c r="T72" i="9"/>
  <c r="T74" i="9"/>
  <c r="T59" i="9"/>
  <c r="T37" i="9"/>
  <c r="T17" i="9"/>
  <c r="T34" i="9"/>
  <c r="T6" i="9"/>
  <c r="T32" i="9"/>
  <c r="T51" i="9"/>
  <c r="T33" i="9"/>
  <c r="T27" i="9"/>
  <c r="T76" i="9"/>
  <c r="T68" i="9"/>
  <c r="T75" i="9"/>
  <c r="T57" i="9"/>
  <c r="T31" i="9"/>
  <c r="T29" i="9"/>
  <c r="T30" i="9"/>
  <c r="T12" i="9"/>
  <c r="T81" i="9"/>
  <c r="T67" i="9"/>
  <c r="T44" i="9"/>
  <c r="T52" i="9"/>
  <c r="T69" i="9"/>
  <c r="T61" i="9"/>
  <c r="T40" i="9"/>
  <c r="T36" i="9"/>
  <c r="T38" i="9"/>
  <c r="T20" i="9"/>
  <c r="T25" i="9"/>
  <c r="T19" i="9"/>
  <c r="C86" i="8" a="1"/>
  <c r="C86" i="8" s="1"/>
  <c r="D85" i="8"/>
  <c r="F85" i="8" s="1"/>
  <c r="U29" i="8"/>
  <c r="D84" i="9"/>
  <c r="F84" i="9" s="1"/>
  <c r="M84" i="9" s="1"/>
  <c r="C85" i="9" a="1"/>
  <c r="C85" i="9" s="1"/>
  <c r="Z81" i="8"/>
  <c r="Z56" i="8"/>
  <c r="Z29" i="8"/>
  <c r="Z18" i="8"/>
  <c r="Z60" i="8"/>
  <c r="Z69" i="8"/>
  <c r="Z62" i="8"/>
  <c r="Z47" i="8"/>
  <c r="Z63" i="8"/>
  <c r="Z66" i="8"/>
  <c r="Z36" i="8"/>
  <c r="Z30" i="8"/>
  <c r="Z17" i="8"/>
  <c r="Z12" i="8"/>
  <c r="Z6" i="8"/>
  <c r="Z10" i="8"/>
  <c r="Z42" i="8"/>
  <c r="Z77" i="8"/>
  <c r="Z64" i="8"/>
  <c r="Z78" i="8"/>
  <c r="Z27" i="8"/>
  <c r="Z8" i="8"/>
  <c r="Z74" i="8"/>
  <c r="Z54" i="8"/>
  <c r="Z51" i="8"/>
  <c r="Z53" i="8"/>
  <c r="Z45" i="8"/>
  <c r="Z79" i="8"/>
  <c r="Z52" i="8"/>
  <c r="Z65" i="8"/>
  <c r="Z73" i="8"/>
  <c r="Z43" i="8"/>
  <c r="Z28" i="8"/>
  <c r="Z26" i="8"/>
  <c r="Z35" i="8"/>
  <c r="Z14" i="8"/>
  <c r="Z44" i="8"/>
  <c r="Z70" i="8"/>
  <c r="Z83" i="8"/>
  <c r="Z32" i="8"/>
  <c r="Z9" i="8"/>
  <c r="Z84" i="8"/>
  <c r="Z46" i="8"/>
  <c r="Z39" i="8"/>
  <c r="Z57" i="8"/>
  <c r="Z59" i="8"/>
  <c r="Z20" i="8"/>
  <c r="Z38" i="8"/>
  <c r="Z22" i="8"/>
  <c r="Z11" i="8"/>
  <c r="Z41" i="8"/>
  <c r="Z50" i="8"/>
  <c r="Z80" i="8"/>
  <c r="Z68" i="8"/>
  <c r="Z71" i="8"/>
  <c r="Z82" i="8"/>
  <c r="Z31" i="8"/>
  <c r="Z24" i="8"/>
  <c r="Z13" i="8"/>
  <c r="Z58" i="8"/>
  <c r="Z75" i="8"/>
  <c r="Z37" i="8"/>
  <c r="Z19" i="8"/>
  <c r="Z40" i="8"/>
  <c r="Z55" i="8"/>
  <c r="Z61" i="8"/>
  <c r="Z34" i="8"/>
  <c r="Z21" i="8"/>
  <c r="Z16" i="8"/>
  <c r="Z7" i="8"/>
  <c r="Z67" i="8"/>
  <c r="Z72" i="8"/>
  <c r="Z48" i="8"/>
  <c r="Z49" i="8"/>
  <c r="Z85" i="8"/>
  <c r="Z76" i="8"/>
  <c r="Z25" i="8"/>
  <c r="Z33" i="8"/>
  <c r="Z23" i="8"/>
  <c r="Z15" i="8"/>
  <c r="U76" i="8"/>
  <c r="U6" i="8"/>
  <c r="U26" i="8"/>
  <c r="U25" i="8"/>
  <c r="U10" i="8"/>
  <c r="U58" i="8"/>
  <c r="U56" i="8"/>
  <c r="U64" i="8"/>
  <c r="U54" i="8"/>
  <c r="U82" i="8"/>
  <c r="U45" i="8"/>
  <c r="U17" i="8"/>
  <c r="U39" i="8"/>
  <c r="U35" i="8"/>
  <c r="U32" i="8"/>
  <c r="U79" i="8"/>
  <c r="U65" i="8"/>
  <c r="U63" i="8"/>
  <c r="U72" i="8"/>
  <c r="U48" i="8"/>
  <c r="U40" i="8"/>
  <c r="U19" i="8"/>
  <c r="U20" i="8"/>
  <c r="U13" i="8"/>
  <c r="U7" i="8"/>
  <c r="U18" i="8"/>
  <c r="U67" i="8"/>
  <c r="U24" i="8"/>
  <c r="U8" i="8"/>
  <c r="U14" i="8"/>
  <c r="U77" i="8"/>
  <c r="U75" i="8"/>
  <c r="U52" i="8"/>
  <c r="U85" i="8"/>
  <c r="U70" i="8"/>
  <c r="U47" i="8"/>
  <c r="U36" i="8"/>
  <c r="U34" i="8"/>
  <c r="U30" i="8"/>
  <c r="U21" i="8"/>
  <c r="U55" i="8"/>
  <c r="U43" i="8"/>
  <c r="U60" i="8"/>
  <c r="U66" i="8"/>
  <c r="U74" i="8"/>
  <c r="U50" i="8"/>
  <c r="U41" i="8"/>
  <c r="U38" i="8"/>
  <c r="U27" i="8"/>
  <c r="U33" i="8"/>
  <c r="U80" i="8"/>
  <c r="U57" i="8"/>
  <c r="U42" i="8"/>
  <c r="U49" i="8"/>
  <c r="U11" i="8"/>
  <c r="U71" i="8"/>
  <c r="U69" i="8"/>
  <c r="U78" i="8"/>
  <c r="U53" i="8"/>
  <c r="U44" i="8"/>
  <c r="U46" i="8"/>
  <c r="U12" i="8"/>
  <c r="U23" i="8"/>
  <c r="U9" i="8"/>
  <c r="U37" i="8"/>
  <c r="U59" i="8"/>
  <c r="U73" i="8"/>
  <c r="U81" i="8"/>
  <c r="U31" i="8"/>
  <c r="U22" i="8"/>
  <c r="U51" i="8"/>
  <c r="U28" i="8"/>
  <c r="U61" i="8"/>
  <c r="U84" i="8"/>
  <c r="U83" i="8"/>
  <c r="U68" i="8"/>
  <c r="U62" i="8"/>
  <c r="U16" i="8"/>
  <c r="U15" i="8"/>
  <c r="U5" i="8"/>
  <c r="AC21" i="2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C87" i="8" l="1" a="1"/>
  <c r="C87" i="8" s="1"/>
  <c r="D86" i="8"/>
  <c r="F86" i="8" s="1"/>
  <c r="J74" i="6" a="1"/>
  <c r="J74" i="6" s="1"/>
  <c r="D85" i="9"/>
  <c r="F85" i="9" s="1"/>
  <c r="M85" i="9" s="1"/>
  <c r="C86" i="9" a="1"/>
  <c r="C86" i="9" s="1"/>
  <c r="J41" i="7" a="1"/>
  <c r="J41" i="7" s="1"/>
  <c r="K64" i="6" a="1"/>
  <c r="K64" i="6" s="1"/>
  <c r="J22" i="6" a="1"/>
  <c r="J22" i="6" s="1"/>
  <c r="J68" i="6" a="1"/>
  <c r="J68" i="6" s="1"/>
  <c r="K96" i="6" a="1"/>
  <c r="K96" i="6" s="1"/>
  <c r="J55" i="7" a="1"/>
  <c r="J55" i="7" s="1"/>
  <c r="J100" i="6" a="1"/>
  <c r="J100" i="6" s="1"/>
  <c r="J37" i="7" a="1"/>
  <c r="J37" i="7" s="1"/>
  <c r="J7" i="7" a="1"/>
  <c r="J7" i="7" s="1"/>
  <c r="J37" i="6" a="1"/>
  <c r="J37" i="6" s="1"/>
  <c r="K15" i="7" a="1"/>
  <c r="K15" i="7" s="1"/>
  <c r="J5" i="6" a="1"/>
  <c r="J5" i="6" s="1"/>
  <c r="K20" i="6" a="1"/>
  <c r="K20" i="6" s="1"/>
  <c r="K57" i="7" a="1"/>
  <c r="K57" i="7" s="1"/>
  <c r="J65" i="7" a="1"/>
  <c r="J65" i="7" s="1"/>
  <c r="J100" i="7" a="1"/>
  <c r="J100" i="7" s="1"/>
  <c r="J99" i="6" a="1"/>
  <c r="J99" i="6" s="1"/>
  <c r="J97" i="6" a="1"/>
  <c r="J97" i="6" s="1"/>
  <c r="K86" i="6" a="1"/>
  <c r="K86" i="6" s="1"/>
  <c r="J53" i="6" a="1"/>
  <c r="J53" i="6" s="1"/>
  <c r="K29" i="6" a="1"/>
  <c r="K29" i="6" s="1"/>
  <c r="J27" i="7" a="1"/>
  <c r="J27" i="7" s="1"/>
  <c r="K30" i="7" a="1"/>
  <c r="K30" i="7" s="1"/>
  <c r="J32" i="7" a="1"/>
  <c r="J32" i="7" s="1"/>
  <c r="J102" i="6" a="1"/>
  <c r="J102" i="6" s="1"/>
  <c r="J83" i="6" a="1"/>
  <c r="J83" i="6" s="1"/>
  <c r="K70" i="6" a="1"/>
  <c r="K70" i="6" s="1"/>
  <c r="K10" i="6" a="1"/>
  <c r="K10" i="6" s="1"/>
  <c r="K14" i="6" a="1"/>
  <c r="K14" i="6" s="1"/>
  <c r="K81" i="7" a="1"/>
  <c r="K81" i="7" s="1"/>
  <c r="K45" i="6" a="1"/>
  <c r="K45" i="6" s="1"/>
  <c r="K32" i="6" a="1"/>
  <c r="K32" i="6" s="1"/>
  <c r="K34" i="6" a="1"/>
  <c r="K34" i="6" s="1"/>
  <c r="K90" i="6" a="1"/>
  <c r="K90" i="6" s="1"/>
  <c r="K95" i="6" a="1"/>
  <c r="K95" i="6" s="1"/>
  <c r="K89" i="7" a="1"/>
  <c r="K89" i="7" s="1"/>
  <c r="K100" i="7" a="1"/>
  <c r="K100" i="7" s="1"/>
  <c r="J38" i="7" a="1"/>
  <c r="J38" i="7" s="1"/>
  <c r="K94" i="7" a="1"/>
  <c r="K94" i="7" s="1"/>
  <c r="J83" i="7" a="1"/>
  <c r="J83" i="7" s="1"/>
  <c r="K75" i="6" a="1"/>
  <c r="K75" i="6" s="1"/>
  <c r="J29" i="7" a="1"/>
  <c r="J29" i="7" s="1"/>
  <c r="K68" i="6" a="1"/>
  <c r="K68" i="6" s="1"/>
  <c r="J81" i="6" a="1"/>
  <c r="J81" i="6" s="1"/>
  <c r="J76" i="6" a="1"/>
  <c r="J76" i="6" s="1"/>
  <c r="J59" i="7" a="1"/>
  <c r="J59" i="7" s="1"/>
  <c r="J67" i="6" a="1"/>
  <c r="J67" i="6" s="1"/>
  <c r="K54" i="6" a="1"/>
  <c r="K54" i="6" s="1"/>
  <c r="J101" i="6" a="1"/>
  <c r="J101" i="6" s="1"/>
  <c r="K30" i="6" a="1"/>
  <c r="K30" i="6" s="1"/>
  <c r="J47" i="6" a="1"/>
  <c r="J47" i="6" s="1"/>
  <c r="J63" i="7" a="1"/>
  <c r="J63" i="7" s="1"/>
  <c r="K42" i="7" a="1"/>
  <c r="K42" i="7" s="1"/>
  <c r="K86" i="7" a="1"/>
  <c r="K86" i="7" s="1"/>
  <c r="K41" i="6" a="1"/>
  <c r="K41" i="6" s="1"/>
  <c r="K64" i="7" a="1"/>
  <c r="K64" i="7" s="1"/>
  <c r="K7" i="6" a="1"/>
  <c r="K7" i="6" s="1"/>
  <c r="J75" i="6" a="1"/>
  <c r="J75" i="6" s="1"/>
  <c r="J78" i="7" a="1"/>
  <c r="J78" i="7" s="1"/>
  <c r="J22" i="7" a="1"/>
  <c r="J22" i="7" s="1"/>
  <c r="J78" i="6" a="1"/>
  <c r="J78" i="6" s="1"/>
  <c r="K73" i="6" a="1"/>
  <c r="K73" i="6" s="1"/>
  <c r="K61" i="6" a="1"/>
  <c r="K61" i="6" s="1"/>
  <c r="K101" i="6" a="1"/>
  <c r="K101" i="6" s="1"/>
  <c r="J87" i="6" a="1"/>
  <c r="J87" i="6" s="1"/>
  <c r="K70" i="7" a="1"/>
  <c r="K70" i="7" s="1"/>
  <c r="K76" i="7" a="1"/>
  <c r="K76" i="7" s="1"/>
  <c r="K84" i="7" a="1"/>
  <c r="K84" i="7" s="1"/>
  <c r="J46" i="6" a="1"/>
  <c r="J46" i="6" s="1"/>
  <c r="K103" i="6" a="1"/>
  <c r="K103" i="6" s="1"/>
  <c r="J92" i="6" a="1"/>
  <c r="J92" i="6" s="1"/>
  <c r="K50" i="6" a="1"/>
  <c r="K50" i="6" s="1"/>
  <c r="K85" i="6" a="1"/>
  <c r="K85" i="6" s="1"/>
  <c r="J48" i="6" a="1"/>
  <c r="J48" i="6" s="1"/>
  <c r="J72" i="6" a="1"/>
  <c r="J72" i="6" s="1"/>
  <c r="J65" i="6" a="1"/>
  <c r="J65" i="6" s="1"/>
  <c r="J21" i="6" a="1"/>
  <c r="J21" i="6" s="1"/>
  <c r="K36" i="6" a="1"/>
  <c r="K36" i="6" s="1"/>
  <c r="J20" i="7" a="1"/>
  <c r="J20" i="7" s="1"/>
  <c r="K67" i="7" a="1"/>
  <c r="K67" i="7" s="1"/>
  <c r="J39" i="7" a="1"/>
  <c r="J39" i="7" s="1"/>
  <c r="J53" i="7" a="1"/>
  <c r="J53" i="7" s="1"/>
  <c r="K11" i="7" a="1"/>
  <c r="K11" i="7" s="1"/>
  <c r="K27" i="7" a="1"/>
  <c r="K27" i="7" s="1"/>
  <c r="K44" i="7" a="1"/>
  <c r="K44" i="7" s="1"/>
  <c r="K65" i="7" a="1"/>
  <c r="K65" i="7" s="1"/>
  <c r="J45" i="7" a="1"/>
  <c r="J45" i="7" s="1"/>
  <c r="J19" i="7" a="1"/>
  <c r="J19" i="7" s="1"/>
  <c r="K49" i="7" a="1"/>
  <c r="K49" i="7" s="1"/>
  <c r="J24" i="7" a="1"/>
  <c r="J24" i="7" s="1"/>
  <c r="J68" i="7" a="1"/>
  <c r="J68" i="7" s="1"/>
  <c r="K85" i="7" a="1"/>
  <c r="K85" i="7" s="1"/>
  <c r="K98" i="7" a="1"/>
  <c r="K98" i="7" s="1"/>
  <c r="K103" i="7" a="1"/>
  <c r="K103" i="7" s="1"/>
  <c r="K29" i="7" a="1"/>
  <c r="K29" i="7" s="1"/>
  <c r="K32" i="7" a="1"/>
  <c r="K32" i="7" s="1"/>
  <c r="K97" i="7" a="1"/>
  <c r="K97" i="7" s="1"/>
  <c r="K43" i="7" a="1"/>
  <c r="K43" i="7" s="1"/>
  <c r="J57" i="7" a="1"/>
  <c r="J57" i="7" s="1"/>
  <c r="K35" i="7" a="1"/>
  <c r="K35" i="7" s="1"/>
  <c r="J82" i="7" a="1"/>
  <c r="J82" i="7" s="1"/>
  <c r="J30" i="7" a="1"/>
  <c r="J30" i="7" s="1"/>
  <c r="J90" i="7" a="1"/>
  <c r="J90" i="7" s="1"/>
  <c r="J35" i="6" a="1"/>
  <c r="J35" i="6" s="1"/>
  <c r="J57" i="6" a="1"/>
  <c r="J57" i="6" s="1"/>
  <c r="J49" i="6" a="1"/>
  <c r="J49" i="6" s="1"/>
  <c r="K94" i="6" a="1"/>
  <c r="K94" i="6" s="1"/>
  <c r="K74" i="6" a="1"/>
  <c r="K74" i="6" s="1"/>
  <c r="J7" i="6" a="1"/>
  <c r="J7" i="6" s="1"/>
  <c r="J44" i="6" a="1"/>
  <c r="J44" i="6" s="1"/>
  <c r="J63" i="6" a="1"/>
  <c r="J63" i="6" s="1"/>
  <c r="J54" i="6" a="1"/>
  <c r="J54" i="6" s="1"/>
  <c r="K40" i="6" a="1"/>
  <c r="K40" i="6" s="1"/>
  <c r="J39" i="6" a="1"/>
  <c r="J39" i="6" s="1"/>
  <c r="J103" i="6" a="1"/>
  <c r="J103" i="6" s="1"/>
  <c r="K84" i="6" a="1"/>
  <c r="K84" i="6" s="1"/>
  <c r="K91" i="6" a="1"/>
  <c r="K91" i="6" s="1"/>
  <c r="K47" i="6" a="1"/>
  <c r="K47" i="6" s="1"/>
  <c r="K102" i="6" a="1"/>
  <c r="K102" i="6" s="1"/>
  <c r="J9" i="6" a="1"/>
  <c r="J9" i="6" s="1"/>
  <c r="J45" i="6" a="1"/>
  <c r="J45" i="6" s="1"/>
  <c r="J29" i="6" a="1"/>
  <c r="J29" i="6" s="1"/>
  <c r="K31" i="6" a="1"/>
  <c r="K31" i="6" s="1"/>
  <c r="K77" i="6" a="1"/>
  <c r="K77" i="6" s="1"/>
  <c r="K79" i="6" a="1"/>
  <c r="K79" i="6" s="1"/>
  <c r="K88" i="6" a="1"/>
  <c r="K88" i="6" s="1"/>
  <c r="K44" i="6" a="1"/>
  <c r="K44" i="6" s="1"/>
  <c r="K19" i="6" a="1"/>
  <c r="K19" i="6" s="1"/>
  <c r="J28" i="7" a="1"/>
  <c r="J28" i="7" s="1"/>
  <c r="K48" i="7" a="1"/>
  <c r="K48" i="7" s="1"/>
  <c r="J58" i="7" a="1"/>
  <c r="J58" i="7" s="1"/>
  <c r="J69" i="7" a="1"/>
  <c r="J69" i="7" s="1"/>
  <c r="J48" i="7" a="1"/>
  <c r="J48" i="7" s="1"/>
  <c r="J54" i="7" a="1"/>
  <c r="J54" i="7" s="1"/>
  <c r="K7" i="7" a="1"/>
  <c r="K7" i="7" s="1"/>
  <c r="K39" i="7" a="1"/>
  <c r="K39" i="7" s="1"/>
  <c r="K46" i="7" a="1"/>
  <c r="K46" i="7" s="1"/>
  <c r="J43" i="7" a="1"/>
  <c r="J43" i="7" s="1"/>
  <c r="K36" i="7" a="1"/>
  <c r="K36" i="7" s="1"/>
  <c r="K50" i="7" a="1"/>
  <c r="K50" i="7" s="1"/>
  <c r="J51" i="7" a="1"/>
  <c r="J51" i="7" s="1"/>
  <c r="J87" i="7" a="1"/>
  <c r="J87" i="7" s="1"/>
  <c r="J40" i="7" a="1"/>
  <c r="J40" i="7" s="1"/>
  <c r="K22" i="7" a="1"/>
  <c r="K22" i="7" s="1"/>
  <c r="J33" i="7" a="1"/>
  <c r="J33" i="7" s="1"/>
  <c r="J16" i="7" a="1"/>
  <c r="J16" i="7" s="1"/>
  <c r="K99" i="7" a="1"/>
  <c r="K99" i="7" s="1"/>
  <c r="K66" i="7" a="1"/>
  <c r="K66" i="7" s="1"/>
  <c r="J93" i="7" a="1"/>
  <c r="J93" i="7" s="1"/>
  <c r="K83" i="7" a="1"/>
  <c r="K83" i="7" s="1"/>
  <c r="K63" i="7" a="1"/>
  <c r="K63" i="7" s="1"/>
  <c r="J44" i="7" a="1"/>
  <c r="J44" i="7" s="1"/>
  <c r="K51" i="7" a="1"/>
  <c r="K51" i="7" s="1"/>
  <c r="K87" i="6" a="1"/>
  <c r="K87" i="6" s="1"/>
  <c r="K55" i="6" a="1"/>
  <c r="K55" i="6" s="1"/>
  <c r="K5" i="6" a="1"/>
  <c r="K5" i="6" s="1"/>
  <c r="J17" i="6" a="1"/>
  <c r="J17" i="6" s="1"/>
  <c r="J33" i="6" a="1"/>
  <c r="J33" i="6" s="1"/>
  <c r="J98" i="6" a="1"/>
  <c r="J98" i="6" s="1"/>
  <c r="K56" i="6" a="1"/>
  <c r="K56" i="6" s="1"/>
  <c r="J11" i="6" a="1"/>
  <c r="J11" i="6" s="1"/>
  <c r="J17" i="7" a="1"/>
  <c r="J17" i="7" s="1"/>
  <c r="J14" i="7" a="1"/>
  <c r="J14" i="7" s="1"/>
  <c r="J84" i="7" a="1"/>
  <c r="J84" i="7" s="1"/>
  <c r="K40" i="7" a="1"/>
  <c r="K40" i="7" s="1"/>
  <c r="J75" i="7" a="1"/>
  <c r="J75" i="7" s="1"/>
  <c r="K88" i="7" a="1"/>
  <c r="K88" i="7" s="1"/>
  <c r="J73" i="7" a="1"/>
  <c r="J73" i="7" s="1"/>
  <c r="J18" i="7" a="1"/>
  <c r="J18" i="7" s="1"/>
  <c r="J26" i="6" a="1"/>
  <c r="J26" i="6" s="1"/>
  <c r="J91" i="6" a="1"/>
  <c r="J91" i="6" s="1"/>
  <c r="K69" i="6" a="1"/>
  <c r="K69" i="6" s="1"/>
  <c r="J52" i="6" a="1"/>
  <c r="J52" i="6" s="1"/>
  <c r="J40" i="6" a="1"/>
  <c r="J40" i="6" s="1"/>
  <c r="J62" i="6" a="1"/>
  <c r="J62" i="6" s="1"/>
  <c r="J80" i="6" a="1"/>
  <c r="J80" i="6" s="1"/>
  <c r="J27" i="6" a="1"/>
  <c r="J27" i="6" s="1"/>
  <c r="K102" i="7" a="1"/>
  <c r="K102" i="7" s="1"/>
  <c r="J12" i="7" a="1"/>
  <c r="J12" i="7" s="1"/>
  <c r="K10" i="7" a="1"/>
  <c r="K10" i="7" s="1"/>
  <c r="K96" i="7" a="1"/>
  <c r="K96" i="7" s="1"/>
  <c r="K9" i="7" a="1"/>
  <c r="K9" i="7" s="1"/>
  <c r="J25" i="7" a="1"/>
  <c r="J25" i="7" s="1"/>
  <c r="J91" i="7" a="1"/>
  <c r="J91" i="7" s="1"/>
  <c r="K61" i="7" a="1"/>
  <c r="K61" i="7" s="1"/>
  <c r="K62" i="6" a="1"/>
  <c r="K62" i="6" s="1"/>
  <c r="J25" i="6" a="1"/>
  <c r="J25" i="6" s="1"/>
  <c r="J56" i="6" a="1"/>
  <c r="J56" i="6" s="1"/>
  <c r="J77" i="6" a="1"/>
  <c r="J77" i="6" s="1"/>
  <c r="K58" i="6" a="1"/>
  <c r="K58" i="6" s="1"/>
  <c r="K22" i="6" a="1"/>
  <c r="K22" i="6" s="1"/>
  <c r="K67" i="6" a="1"/>
  <c r="K67" i="6" s="1"/>
  <c r="J32" i="6" a="1"/>
  <c r="J32" i="6" s="1"/>
  <c r="J61" i="6" a="1"/>
  <c r="J61" i="6" s="1"/>
  <c r="J88" i="6" a="1"/>
  <c r="J88" i="6" s="1"/>
  <c r="J13" i="6" a="1"/>
  <c r="J13" i="6" s="1"/>
  <c r="J19" i="6" a="1"/>
  <c r="J19" i="6" s="1"/>
  <c r="K12" i="6" a="1"/>
  <c r="K12" i="6" s="1"/>
  <c r="K46" i="6" a="1"/>
  <c r="K46" i="6" s="1"/>
  <c r="K78" i="6" a="1"/>
  <c r="K78" i="6" s="1"/>
  <c r="K65" i="6" a="1"/>
  <c r="K65" i="6" s="1"/>
  <c r="K52" i="6" a="1"/>
  <c r="K52" i="6" s="1"/>
  <c r="K63" i="6" a="1"/>
  <c r="K63" i="6" s="1"/>
  <c r="K25" i="6" a="1"/>
  <c r="K25" i="6" s="1"/>
  <c r="J10" i="6" a="1"/>
  <c r="J10" i="6" s="1"/>
  <c r="J55" i="6" a="1"/>
  <c r="J55" i="6" s="1"/>
  <c r="K104" i="6" a="1"/>
  <c r="K104" i="6" s="1"/>
  <c r="J64" i="6" a="1"/>
  <c r="J64" i="6" s="1"/>
  <c r="J34" i="6" a="1"/>
  <c r="J34" i="6" s="1"/>
  <c r="J12" i="6" a="1"/>
  <c r="J12" i="6" s="1"/>
  <c r="K93" i="7" a="1"/>
  <c r="K93" i="7" s="1"/>
  <c r="K23" i="7" a="1"/>
  <c r="K23" i="7" s="1"/>
  <c r="J42" i="7" a="1"/>
  <c r="J42" i="7" s="1"/>
  <c r="J67" i="7" a="1"/>
  <c r="J67" i="7" s="1"/>
  <c r="K69" i="7" a="1"/>
  <c r="K69" i="7" s="1"/>
  <c r="K87" i="7" a="1"/>
  <c r="K87" i="7" s="1"/>
  <c r="J35" i="7" a="1"/>
  <c r="J35" i="7" s="1"/>
  <c r="K62" i="7" a="1"/>
  <c r="K62" i="7" s="1"/>
  <c r="K14" i="7" a="1"/>
  <c r="K14" i="7" s="1"/>
  <c r="K24" i="7" a="1"/>
  <c r="K24" i="7" s="1"/>
  <c r="J6" i="7" a="1"/>
  <c r="J6" i="7" s="1"/>
  <c r="K91" i="7" a="1"/>
  <c r="K91" i="7" s="1"/>
  <c r="K16" i="7" a="1"/>
  <c r="K16" i="7" s="1"/>
  <c r="K13" i="7" a="1"/>
  <c r="K13" i="7" s="1"/>
  <c r="K47" i="7" a="1"/>
  <c r="K47" i="7" s="1"/>
  <c r="J23" i="7" a="1"/>
  <c r="J23" i="7" s="1"/>
  <c r="K90" i="7" a="1"/>
  <c r="K90" i="7" s="1"/>
  <c r="K68" i="7" a="1"/>
  <c r="K68" i="7" s="1"/>
  <c r="J66" i="7" a="1"/>
  <c r="J66" i="7" s="1"/>
  <c r="J80" i="7" a="1"/>
  <c r="J80" i="7" s="1"/>
  <c r="J74" i="7" a="1"/>
  <c r="J74" i="7" s="1"/>
  <c r="J52" i="7" a="1"/>
  <c r="J52" i="7" s="1"/>
  <c r="K5" i="7" a="1"/>
  <c r="K5" i="7" s="1"/>
  <c r="J77" i="7" a="1"/>
  <c r="J77" i="7" s="1"/>
  <c r="J56" i="7" a="1"/>
  <c r="J56" i="7" s="1"/>
  <c r="K66" i="6" a="1"/>
  <c r="K66" i="6" s="1"/>
  <c r="J59" i="6" a="1"/>
  <c r="J59" i="6" s="1"/>
  <c r="K71" i="6" a="1"/>
  <c r="K71" i="6" s="1"/>
  <c r="J14" i="6" a="1"/>
  <c r="J14" i="6" s="1"/>
  <c r="K16" i="6" a="1"/>
  <c r="K16" i="6" s="1"/>
  <c r="J16" i="6" a="1"/>
  <c r="J16" i="6" s="1"/>
  <c r="K93" i="6" a="1"/>
  <c r="K93" i="6" s="1"/>
  <c r="K38" i="6" a="1"/>
  <c r="K38" i="6" s="1"/>
  <c r="K51" i="6" a="1"/>
  <c r="K51" i="6" s="1"/>
  <c r="J101" i="7" a="1"/>
  <c r="J101" i="7" s="1"/>
  <c r="J96" i="7" a="1"/>
  <c r="J96" i="7" s="1"/>
  <c r="J95" i="7" a="1"/>
  <c r="J95" i="7" s="1"/>
  <c r="K18" i="7" a="1"/>
  <c r="K18" i="7" s="1"/>
  <c r="K52" i="7" a="1"/>
  <c r="K52" i="7" s="1"/>
  <c r="J102" i="7" a="1"/>
  <c r="J102" i="7" s="1"/>
  <c r="K73" i="7" a="1"/>
  <c r="K73" i="7" s="1"/>
  <c r="J71" i="7" a="1"/>
  <c r="J71" i="7" s="1"/>
  <c r="K28" i="6" a="1"/>
  <c r="K28" i="6" s="1"/>
  <c r="K48" i="6" a="1"/>
  <c r="K48" i="6" s="1"/>
  <c r="K37" i="6" a="1"/>
  <c r="K37" i="6" s="1"/>
  <c r="J71" i="6" a="1"/>
  <c r="J71" i="6" s="1"/>
  <c r="K80" i="6" a="1"/>
  <c r="K80" i="6" s="1"/>
  <c r="J23" i="6" a="1"/>
  <c r="J23" i="6" s="1"/>
  <c r="J73" i="6" a="1"/>
  <c r="J73" i="6" s="1"/>
  <c r="K9" i="6" a="1"/>
  <c r="K9" i="6" s="1"/>
  <c r="K25" i="7" a="1"/>
  <c r="K25" i="7" s="1"/>
  <c r="K55" i="7" a="1"/>
  <c r="K55" i="7" s="1"/>
  <c r="J70" i="7" a="1"/>
  <c r="J70" i="7" s="1"/>
  <c r="K33" i="7" a="1"/>
  <c r="K33" i="7" s="1"/>
  <c r="J89" i="7" a="1"/>
  <c r="J89" i="7" s="1"/>
  <c r="J36" i="7" a="1"/>
  <c r="J36" i="7" s="1"/>
  <c r="J62" i="7" a="1"/>
  <c r="J62" i="7" s="1"/>
  <c r="J81" i="7" a="1"/>
  <c r="J81" i="7" s="1"/>
  <c r="J97" i="7" a="1"/>
  <c r="J97" i="7" s="1"/>
  <c r="K8" i="6" a="1"/>
  <c r="K8" i="6" s="1"/>
  <c r="J90" i="6" a="1"/>
  <c r="J90" i="6" s="1"/>
  <c r="K24" i="6" a="1"/>
  <c r="K24" i="6" s="1"/>
  <c r="K35" i="6" a="1"/>
  <c r="K35" i="6" s="1"/>
  <c r="J42" i="6" a="1"/>
  <c r="J42" i="6" s="1"/>
  <c r="J51" i="6" a="1"/>
  <c r="J51" i="6" s="1"/>
  <c r="K17" i="6" a="1"/>
  <c r="K17" i="6" s="1"/>
  <c r="K13" i="6" a="1"/>
  <c r="K13" i="6" s="1"/>
  <c r="K33" i="6" a="1"/>
  <c r="K33" i="6" s="1"/>
  <c r="K39" i="6" a="1"/>
  <c r="K39" i="6" s="1"/>
  <c r="K18" i="6" a="1"/>
  <c r="K18" i="6" s="1"/>
  <c r="J38" i="6" a="1"/>
  <c r="J38" i="6" s="1"/>
  <c r="K76" i="6" a="1"/>
  <c r="K76" i="6" s="1"/>
  <c r="J43" i="6" a="1"/>
  <c r="J43" i="6" s="1"/>
  <c r="J66" i="6" a="1"/>
  <c r="J66" i="6" s="1"/>
  <c r="J15" i="6" a="1"/>
  <c r="J15" i="6" s="1"/>
  <c r="J8" i="6" a="1"/>
  <c r="J8" i="6" s="1"/>
  <c r="J58" i="6" a="1"/>
  <c r="J58" i="6" s="1"/>
  <c r="K89" i="6" a="1"/>
  <c r="K89" i="6" s="1"/>
  <c r="J95" i="6" a="1"/>
  <c r="J95" i="6" s="1"/>
  <c r="J50" i="6" a="1"/>
  <c r="J50" i="6" s="1"/>
  <c r="J18" i="6" a="1"/>
  <c r="J18" i="6" s="1"/>
  <c r="J96" i="6" a="1"/>
  <c r="J96" i="6" s="1"/>
  <c r="J30" i="6" a="1"/>
  <c r="J30" i="6" s="1"/>
  <c r="K6" i="6" a="1"/>
  <c r="K6" i="6" s="1"/>
  <c r="J85" i="7" a="1"/>
  <c r="J85" i="7" s="1"/>
  <c r="J50" i="7" a="1"/>
  <c r="J50" i="7" s="1"/>
  <c r="K8" i="7" a="1"/>
  <c r="K8" i="7" s="1"/>
  <c r="J88" i="7" a="1"/>
  <c r="J88" i="7" s="1"/>
  <c r="K101" i="7" a="1"/>
  <c r="K101" i="7" s="1"/>
  <c r="J92" i="7" a="1"/>
  <c r="J92" i="7" s="1"/>
  <c r="J103" i="7" a="1"/>
  <c r="J103" i="7" s="1"/>
  <c r="J9" i="7" a="1"/>
  <c r="J9" i="7" s="1"/>
  <c r="K104" i="7" a="1"/>
  <c r="K104" i="7" s="1"/>
  <c r="J15" i="7" a="1"/>
  <c r="J15" i="7" s="1"/>
  <c r="K56" i="7" a="1"/>
  <c r="K56" i="7" s="1"/>
  <c r="K79" i="7" a="1"/>
  <c r="K79" i="7" s="1"/>
  <c r="J98" i="7" a="1"/>
  <c r="J98" i="7" s="1"/>
  <c r="K17" i="7" a="1"/>
  <c r="K17" i="7" s="1"/>
  <c r="J26" i="7" a="1"/>
  <c r="J26" i="7" s="1"/>
  <c r="K28" i="7" a="1"/>
  <c r="K28" i="7" s="1"/>
  <c r="J60" i="7" a="1"/>
  <c r="J60" i="7" s="1"/>
  <c r="K26" i="7" a="1"/>
  <c r="K26" i="7" s="1"/>
  <c r="J31" i="7" a="1"/>
  <c r="J31" i="7" s="1"/>
  <c r="K34" i="7" a="1"/>
  <c r="K34" i="7" s="1"/>
  <c r="J99" i="7" a="1"/>
  <c r="J99" i="7" s="1"/>
  <c r="K77" i="7" a="1"/>
  <c r="K77" i="7" s="1"/>
  <c r="J21" i="7" a="1"/>
  <c r="J21" i="7" s="1"/>
  <c r="K37" i="7" a="1"/>
  <c r="K37" i="7" s="1"/>
  <c r="K58" i="7" a="1"/>
  <c r="K58" i="7" s="1"/>
  <c r="J79" i="6" a="1"/>
  <c r="J79" i="6" s="1"/>
  <c r="J93" i="6" a="1"/>
  <c r="J93" i="6" s="1"/>
  <c r="J84" i="6" a="1"/>
  <c r="J84" i="6" s="1"/>
  <c r="K97" i="6" a="1"/>
  <c r="K97" i="6" s="1"/>
  <c r="K82" i="6" a="1"/>
  <c r="K82" i="6" s="1"/>
  <c r="J28" i="6" a="1"/>
  <c r="J28" i="6" s="1"/>
  <c r="K100" i="6" a="1"/>
  <c r="K100" i="6" s="1"/>
  <c r="K99" i="6" a="1"/>
  <c r="K99" i="6" s="1"/>
  <c r="K74" i="7" a="1"/>
  <c r="K74" i="7" s="1"/>
  <c r="K72" i="7" a="1"/>
  <c r="K72" i="7" s="1"/>
  <c r="J49" i="7" a="1"/>
  <c r="J49" i="7" s="1"/>
  <c r="J61" i="7" a="1"/>
  <c r="J61" i="7" s="1"/>
  <c r="J46" i="7" a="1"/>
  <c r="J46" i="7" s="1"/>
  <c r="K45" i="7" a="1"/>
  <c r="K45" i="7" s="1"/>
  <c r="J104" i="7" a="1"/>
  <c r="J104" i="7" s="1"/>
  <c r="J86" i="7" a="1"/>
  <c r="J86" i="7" s="1"/>
  <c r="K60" i="6" a="1"/>
  <c r="K60" i="6" s="1"/>
  <c r="J31" i="6" a="1"/>
  <c r="J31" i="6" s="1"/>
  <c r="J85" i="6" a="1"/>
  <c r="J85" i="6" s="1"/>
  <c r="J89" i="6" a="1"/>
  <c r="J89" i="6" s="1"/>
  <c r="K92" i="6" a="1"/>
  <c r="K92" i="6" s="1"/>
  <c r="K57" i="6" a="1"/>
  <c r="K57" i="6" s="1"/>
  <c r="K98" i="6" a="1"/>
  <c r="K98" i="6" s="1"/>
  <c r="J104" i="6" a="1"/>
  <c r="J104" i="6" s="1"/>
  <c r="K59" i="7" a="1"/>
  <c r="K59" i="7" s="1"/>
  <c r="K38" i="7" a="1"/>
  <c r="K38" i="7" s="1"/>
  <c r="K19" i="7" a="1"/>
  <c r="K19" i="7" s="1"/>
  <c r="K75" i="7" a="1"/>
  <c r="K75" i="7" s="1"/>
  <c r="J11" i="7" a="1"/>
  <c r="J11" i="7" s="1"/>
  <c r="J10" i="7" a="1"/>
  <c r="J10" i="7" s="1"/>
  <c r="K95" i="7" a="1"/>
  <c r="K95" i="7" s="1"/>
  <c r="K72" i="6" a="1"/>
  <c r="K72" i="6" s="1"/>
  <c r="J86" i="6" a="1"/>
  <c r="J86" i="6" s="1"/>
  <c r="J36" i="6" a="1"/>
  <c r="J36" i="6" s="1"/>
  <c r="J24" i="6" a="1"/>
  <c r="J24" i="6" s="1"/>
  <c r="J60" i="6" a="1"/>
  <c r="J60" i="6" s="1"/>
  <c r="K11" i="6" a="1"/>
  <c r="K11" i="6" s="1"/>
  <c r="K81" i="6" a="1"/>
  <c r="K81" i="6" s="1"/>
  <c r="K23" i="6" a="1"/>
  <c r="K23" i="6" s="1"/>
  <c r="J41" i="6" a="1"/>
  <c r="J41" i="6" s="1"/>
  <c r="K49" i="6" a="1"/>
  <c r="K49" i="6" s="1"/>
  <c r="J69" i="6" a="1"/>
  <c r="J69" i="6" s="1"/>
  <c r="K15" i="6" a="1"/>
  <c r="K15" i="6" s="1"/>
  <c r="K26" i="6" a="1"/>
  <c r="K26" i="6" s="1"/>
  <c r="K59" i="6" a="1"/>
  <c r="K59" i="6" s="1"/>
  <c r="K42" i="6" a="1"/>
  <c r="K42" i="6" s="1"/>
  <c r="K43" i="6" a="1"/>
  <c r="K43" i="6" s="1"/>
  <c r="K27" i="6" a="1"/>
  <c r="K27" i="6" s="1"/>
  <c r="J70" i="6" a="1"/>
  <c r="J70" i="6" s="1"/>
  <c r="K21" i="6" a="1"/>
  <c r="K21" i="6" s="1"/>
  <c r="K83" i="6" a="1"/>
  <c r="K83" i="6" s="1"/>
  <c r="J6" i="6" a="1"/>
  <c r="J6" i="6" s="1"/>
  <c r="J20" i="6" a="1"/>
  <c r="J20" i="6" s="1"/>
  <c r="J82" i="6" a="1"/>
  <c r="J82" i="6" s="1"/>
  <c r="K53" i="6" a="1"/>
  <c r="K53" i="6" s="1"/>
  <c r="J94" i="6" a="1"/>
  <c r="J94" i="6" s="1"/>
  <c r="K92" i="7" a="1"/>
  <c r="K92" i="7" s="1"/>
  <c r="K41" i="7" a="1"/>
  <c r="K41" i="7" s="1"/>
  <c r="J8" i="7" a="1"/>
  <c r="J8" i="7" s="1"/>
  <c r="J34" i="7" a="1"/>
  <c r="J34" i="7" s="1"/>
  <c r="K6" i="7" a="1"/>
  <c r="K6" i="7" s="1"/>
  <c r="J72" i="7" a="1"/>
  <c r="J72" i="7" s="1"/>
  <c r="J5" i="7" a="1"/>
  <c r="J5" i="7" s="1"/>
  <c r="J13" i="7" a="1"/>
  <c r="J13" i="7" s="1"/>
  <c r="K20" i="7" a="1"/>
  <c r="K20" i="7" s="1"/>
  <c r="J79" i="7" a="1"/>
  <c r="J79" i="7" s="1"/>
  <c r="K21" i="7" a="1"/>
  <c r="K21" i="7" s="1"/>
  <c r="J47" i="7" a="1"/>
  <c r="J47" i="7" s="1"/>
  <c r="K53" i="7" a="1"/>
  <c r="K53" i="7" s="1"/>
  <c r="K78" i="7" a="1"/>
  <c r="K78" i="7" s="1"/>
  <c r="J94" i="7" a="1"/>
  <c r="J94" i="7" s="1"/>
  <c r="K82" i="7" a="1"/>
  <c r="K82" i="7" s="1"/>
  <c r="K54" i="7" a="1"/>
  <c r="K54" i="7" s="1"/>
  <c r="K31" i="7" a="1"/>
  <c r="K31" i="7" s="1"/>
  <c r="K12" i="7" a="1"/>
  <c r="K12" i="7" s="1"/>
  <c r="K80" i="7" a="1"/>
  <c r="K80" i="7" s="1"/>
  <c r="K60" i="7" a="1"/>
  <c r="K60" i="7" s="1"/>
  <c r="K71" i="7" a="1"/>
  <c r="K71" i="7" s="1"/>
  <c r="J64" i="7" a="1"/>
  <c r="J64" i="7" s="1"/>
  <c r="J76" i="7" a="1"/>
  <c r="J76" i="7" s="1"/>
  <c r="AO21" i="2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C88" i="8" l="1" a="1"/>
  <c r="C88" i="8" s="1"/>
  <c r="D87" i="8"/>
  <c r="F87" i="8" s="1"/>
  <c r="D86" i="9"/>
  <c r="F86" i="9" s="1"/>
  <c r="M86" i="9" s="1"/>
  <c r="C87" i="9" a="1"/>
  <c r="C87" i="9" s="1"/>
  <c r="AC23" i="2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C89" i="8" l="1" a="1"/>
  <c r="C89" i="8" s="1"/>
  <c r="D88" i="8"/>
  <c r="F88" i="8" s="1"/>
  <c r="C88" i="9" a="1"/>
  <c r="C88" i="9" s="1"/>
  <c r="D87" i="9"/>
  <c r="F87" i="9" s="1"/>
  <c r="M87" i="9" s="1"/>
  <c r="AC24" i="2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C90" i="8" l="1" a="1"/>
  <c r="C90" i="8" s="1"/>
  <c r="D89" i="8"/>
  <c r="F89" i="8" s="1"/>
  <c r="D88" i="9"/>
  <c r="F88" i="9" s="1"/>
  <c r="M88" i="9" s="1"/>
  <c r="C89" i="9" a="1"/>
  <c r="C89" i="9" s="1"/>
  <c r="AO24" i="2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C91" i="8" l="1" a="1"/>
  <c r="C91" i="8" s="1"/>
  <c r="D90" i="8"/>
  <c r="F90" i="8" s="1"/>
  <c r="C90" i="9" a="1"/>
  <c r="C90" i="9" s="1"/>
  <c r="D89" i="9"/>
  <c r="F89" i="9" s="1"/>
  <c r="M89" i="9" s="1"/>
  <c r="AC26" i="2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C92" i="8" l="1" a="1"/>
  <c r="C92" i="8" s="1"/>
  <c r="D91" i="8"/>
  <c r="F91" i="8" s="1"/>
  <c r="D90" i="9"/>
  <c r="F90" i="9" s="1"/>
  <c r="M90" i="9" s="1"/>
  <c r="C91" i="9" a="1"/>
  <c r="C91" i="9" s="1"/>
  <c r="AO26" i="2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C93" i="8" l="1" a="1"/>
  <c r="C93" i="8" s="1"/>
  <c r="D92" i="8"/>
  <c r="F92" i="8" s="1"/>
  <c r="D91" i="9"/>
  <c r="F91" i="9" s="1"/>
  <c r="M91" i="9" s="1"/>
  <c r="C92" i="9" a="1"/>
  <c r="C92" i="9" s="1"/>
  <c r="AC28" i="2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C94" i="8" l="1" a="1"/>
  <c r="C94" i="8" s="1"/>
  <c r="D93" i="8"/>
  <c r="F93" i="8" s="1"/>
  <c r="D92" i="9"/>
  <c r="F92" i="9" s="1"/>
  <c r="M92" i="9" s="1"/>
  <c r="C93" i="9" a="1"/>
  <c r="C93" i="9" s="1"/>
  <c r="AQ28" i="2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C95" i="8" l="1" a="1"/>
  <c r="C95" i="8" s="1"/>
  <c r="D94" i="8"/>
  <c r="F94" i="8" s="1"/>
  <c r="C94" i="9" a="1"/>
  <c r="C94" i="9" s="1"/>
  <c r="D93" i="9"/>
  <c r="F93" i="9" s="1"/>
  <c r="M93" i="9" s="1"/>
  <c r="AC30" i="2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C96" i="8" l="1" a="1"/>
  <c r="C96" i="8" s="1"/>
  <c r="D95" i="8"/>
  <c r="F95" i="8" s="1"/>
  <c r="D94" i="9"/>
  <c r="F94" i="9" s="1"/>
  <c r="M94" i="9" s="1"/>
  <c r="C95" i="9" a="1"/>
  <c r="C95" i="9" s="1"/>
  <c r="AC31" i="2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C97" i="8" l="1" a="1"/>
  <c r="C97" i="8" s="1"/>
  <c r="D96" i="8"/>
  <c r="F96" i="8" s="1"/>
  <c r="D95" i="9"/>
  <c r="F95" i="9" s="1"/>
  <c r="M95" i="9" s="1"/>
  <c r="C96" i="9" a="1"/>
  <c r="C96" i="9" s="1"/>
  <c r="AA33" i="2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C98" i="8" l="1" a="1"/>
  <c r="C98" i="8" s="1"/>
  <c r="D97" i="8"/>
  <c r="F97" i="8" s="1"/>
  <c r="D96" i="9"/>
  <c r="F96" i="9" s="1"/>
  <c r="M96" i="9" s="1"/>
  <c r="C97" i="9" a="1"/>
  <c r="C97" i="9" s="1"/>
  <c r="AU32" i="2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C99" i="8" l="1" a="1"/>
  <c r="C99" i="8" s="1"/>
  <c r="D98" i="8"/>
  <c r="F98" i="8" s="1"/>
  <c r="C98" i="9" a="1"/>
  <c r="C98" i="9" s="1"/>
  <c r="D97" i="9"/>
  <c r="F97" i="9" s="1"/>
  <c r="M97" i="9" s="1"/>
  <c r="AC34" i="2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C100" i="8" l="1" a="1"/>
  <c r="C100" i="8" s="1"/>
  <c r="D99" i="8"/>
  <c r="F99" i="8" s="1"/>
  <c r="D98" i="9"/>
  <c r="F98" i="9" s="1"/>
  <c r="M98" i="9" s="1"/>
  <c r="C99" i="9" a="1"/>
  <c r="C99" i="9" s="1"/>
  <c r="AC35" i="2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C101" i="8" l="1" a="1"/>
  <c r="C101" i="8" s="1"/>
  <c r="D100" i="8"/>
  <c r="F100" i="8" s="1"/>
  <c r="D99" i="9"/>
  <c r="F99" i="9" s="1"/>
  <c r="M99" i="9" s="1"/>
  <c r="C100" i="9" a="1"/>
  <c r="C100" i="9" s="1"/>
  <c r="AC36" i="2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C102" i="8" l="1" a="1"/>
  <c r="C102" i="8" s="1"/>
  <c r="D101" i="8"/>
  <c r="F101" i="8" s="1"/>
  <c r="D100" i="9"/>
  <c r="F100" i="9" s="1"/>
  <c r="M100" i="9" s="1"/>
  <c r="C101" i="9" a="1"/>
  <c r="C101" i="9" s="1"/>
  <c r="AS36" i="2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C103" i="8" l="1" a="1"/>
  <c r="C103" i="8" s="1"/>
  <c r="D102" i="8"/>
  <c r="F102" i="8" s="1"/>
  <c r="D101" i="9"/>
  <c r="F101" i="9" s="1"/>
  <c r="M101" i="9" s="1"/>
  <c r="C102" i="9" a="1"/>
  <c r="C102" i="9" s="1"/>
  <c r="AP37" i="2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C104" i="8" l="1" a="1"/>
  <c r="C104" i="8" s="1"/>
  <c r="D104" i="8" s="1"/>
  <c r="F104" i="8" s="1"/>
  <c r="D103" i="8"/>
  <c r="F103" i="8" s="1"/>
  <c r="D102" i="9"/>
  <c r="F102" i="9" s="1"/>
  <c r="M102" i="9" s="1"/>
  <c r="C103" i="9" a="1"/>
  <c r="C103" i="9" s="1"/>
  <c r="AC39" i="2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D103" i="9" l="1"/>
  <c r="F103" i="9" s="1"/>
  <c r="M103" i="9" s="1"/>
  <c r="C104" i="9" a="1"/>
  <c r="C104" i="9" s="1"/>
  <c r="D104" i="9" s="1"/>
  <c r="F104" i="9" s="1"/>
  <c r="M104" i="9" s="1"/>
  <c r="AR39" i="2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<sst xmlns="http://schemas.openxmlformats.org/spreadsheetml/2006/main" count="750" uniqueCount="427">
  <si>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</si>
  <si>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</si>
  <si>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</si>
  <si>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</si>
  <si>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</si>
  <si>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</si>
  <si>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</si>
  <si>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</si>
  <si>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</si>
  <si>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</si>
  <si>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</si>
  <si>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</si>
  <si>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</si>
  <si>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</si>
  <si>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</si>
  <si>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</si>
  <si>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</si>
  <si>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</si>
  <si>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</si>
  <si>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</si>
  <si>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</si>
  <si>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</si>
  <si>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</si>
  <si>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</si>
  <si>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</si>
  <si>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</si>
  <si>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</si>
  <si>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</si>
  <si>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</si>
  <si>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</si>
  <si>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</si>
  <si>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</si>
  <si>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</si>
  <si>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</si>
  <si>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</si>
  <si>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</si>
  <si>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</si>
  <si>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</si>
  <si>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</si>
  <si>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</si>
  <si>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</si>
  <si>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</si>
  <si>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</si>
  <si>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</si>
  <si>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</si>
  <si>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</si>
  <si>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</si>
  <si>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</si>
  <si>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</si>
  <si>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</si>
  <si>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</si>
  <si>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</si>
  <si>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</si>
  <si>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</si>
  <si>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</si>
  <si>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</si>
  <si>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</si>
  <si>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</si>
  <si>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</si>
  <si>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</si>
  <si>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</si>
  <si>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</si>
  <si>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</si>
  <si>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</si>
  <si>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</si>
  <si>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</si>
  <si>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</si>
  <si>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</si>
  <si>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</si>
  <si>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</si>
  <si>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</si>
  <si>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</si>
  <si>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</si>
  <si>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</si>
  <si>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</si>
  <si>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</si>
  <si>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</si>
  <si>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</si>
  <si>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</si>
  <si>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</si>
  <si>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</si>
  <si>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</si>
  <si>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</si>
  <si>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</si>
  <si>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</si>
  <si>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</si>
  <si>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</si>
  <si>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</si>
  <si>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</si>
  <si>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</si>
  <si>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</si>
  <si>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</si>
  <si>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</si>
  <si>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</si>
  <si>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</si>
  <si>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</si>
  <si>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</si>
  <si>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</si>
  <si>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</si>
  <si>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</si>
  <si>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</si>
  <si>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</si>
  <si>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</si>
  <si>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</si>
  <si>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</si>
  <si>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</si>
  <si>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</si>
  <si>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</si>
  <si>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</si>
  <si>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</si>
  <si>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</si>
  <si>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</si>
  <si>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</si>
  <si>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</si>
  <si>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</si>
  <si>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</si>
  <si>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概率</t>
    <phoneticPr fontId="1" type="noConversion"/>
  </si>
  <si>
    <t>2级金像</t>
  </si>
  <si>
    <t>3级金像</t>
  </si>
  <si>
    <t>4级金像</t>
  </si>
  <si>
    <t>5级金像</t>
  </si>
  <si>
    <t>6级金像</t>
  </si>
  <si>
    <t>石块</t>
    <phoneticPr fontId="1" type="noConversion"/>
  </si>
  <si>
    <t>1级猫</t>
  </si>
  <si>
    <t>每次体力</t>
    <phoneticPr fontId="1" type="noConversion"/>
  </si>
  <si>
    <t>2级鲜花</t>
  </si>
  <si>
    <t>3级鲜花</t>
  </si>
  <si>
    <t>4级鲜花</t>
  </si>
  <si>
    <t>5级鲜花</t>
  </si>
  <si>
    <t>6级鲜花</t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</si>
  <si>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</si>
  <si>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</si>
  <si>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</si>
  <si>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</si>
  <si>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</si>
  <si>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</si>
  <si>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</si>
  <si>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</si>
  <si>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</si>
  <si>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名称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</si>
  <si>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</si>
  <si>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</si>
  <si>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</si>
  <si>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</si>
  <si>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</si>
  <si>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</si>
  <si>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</si>
  <si>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7级鲜花</t>
  </si>
  <si>
    <t>8级鲜花</t>
  </si>
  <si>
    <t>9级鲜花</t>
  </si>
  <si>
    <t>10级鲜花</t>
  </si>
  <si>
    <t>1级猫需求量</t>
    <phoneticPr fontId="1" type="noConversion"/>
  </si>
  <si>
    <t>1级猫</t>
    <phoneticPr fontId="1" type="noConversion"/>
  </si>
  <si>
    <t>2级猫</t>
    <phoneticPr fontId="1" type="noConversion"/>
  </si>
  <si>
    <t>别名</t>
    <phoneticPr fontId="1" type="noConversion"/>
  </si>
  <si>
    <t>单价（钻石）</t>
    <phoneticPr fontId="1" type="noConversion"/>
  </si>
  <si>
    <t>备注</t>
    <phoneticPr fontId="1" type="noConversion"/>
  </si>
  <si>
    <t>钻石</t>
    <phoneticPr fontId="1" type="noConversion"/>
  </si>
  <si>
    <t>经验</t>
    <phoneticPr fontId="1" type="noConversion"/>
  </si>
  <si>
    <t>体力</t>
    <phoneticPr fontId="1" type="noConversion"/>
  </si>
  <si>
    <t>自High抽奖</t>
    <phoneticPr fontId="1" type="noConversion"/>
  </si>
  <si>
    <t>互动次数</t>
    <phoneticPr fontId="1" type="noConversion"/>
  </si>
  <si>
    <t>与好友发生互动（占领，偷钱，抢走，催眠，攻击）</t>
    <phoneticPr fontId="1" type="noConversion"/>
  </si>
  <si>
    <t>行为</t>
    <phoneticPr fontId="7" type="noConversion"/>
  </si>
  <si>
    <t>剩余次数/次数上限</t>
    <phoneticPr fontId="7" type="noConversion"/>
  </si>
  <si>
    <t>作用目标</t>
    <phoneticPr fontId="7" type="noConversion"/>
  </si>
  <si>
    <t>获得奖励</t>
    <phoneticPr fontId="7" type="noConversion"/>
  </si>
  <si>
    <t>占领</t>
  </si>
  <si>
    <t>0/3</t>
    <phoneticPr fontId="7" type="noConversion"/>
  </si>
  <si>
    <t>建筑</t>
    <phoneticPr fontId="7" type="noConversion"/>
  </si>
  <si>
    <t>无（气人的）</t>
    <phoneticPr fontId="7" type="noConversion"/>
  </si>
  <si>
    <t>抢夺</t>
    <phoneticPr fontId="7" type="noConversion"/>
  </si>
  <si>
    <t>0/10</t>
    <phoneticPr fontId="7" type="noConversion"/>
  </si>
  <si>
    <t>树木/雕像/猫窝/鲜花</t>
    <phoneticPr fontId="7" type="noConversion"/>
  </si>
  <si>
    <t>木材/金币/猫/太阳</t>
    <phoneticPr fontId="7" type="noConversion"/>
  </si>
  <si>
    <t>催眠</t>
  </si>
  <si>
    <t>猫</t>
    <phoneticPr fontId="7" type="noConversion"/>
  </si>
  <si>
    <t>降低对方生产效率</t>
    <phoneticPr fontId="7" type="noConversion"/>
  </si>
  <si>
    <t>攻击</t>
  </si>
  <si>
    <t>怪物</t>
    <phoneticPr fontId="7" type="noConversion"/>
  </si>
  <si>
    <t>钻石</t>
    <phoneticPr fontId="7" type="noConversion"/>
  </si>
  <si>
    <t>树苗</t>
    <phoneticPr fontId="1" type="noConversion"/>
  </si>
  <si>
    <t>大树</t>
    <phoneticPr fontId="1" type="noConversion"/>
  </si>
  <si>
    <t>金矿石</t>
    <phoneticPr fontId="1" type="noConversion"/>
  </si>
  <si>
    <t>金条</t>
    <phoneticPr fontId="1" type="noConversion"/>
  </si>
  <si>
    <t>1级金像</t>
    <phoneticPr fontId="1" type="noConversion"/>
  </si>
  <si>
    <t>7级金像</t>
  </si>
  <si>
    <t>1级鲜花</t>
    <phoneticPr fontId="1" type="noConversion"/>
  </si>
  <si>
    <t>幸运宝箱</t>
    <phoneticPr fontId="1" type="noConversion"/>
  </si>
  <si>
    <t>护盾</t>
    <phoneticPr fontId="1" type="noConversion"/>
  </si>
  <si>
    <t>相当于少丢失20万金币</t>
    <phoneticPr fontId="1" type="noConversion"/>
  </si>
  <si>
    <t>攻击</t>
    <phoneticPr fontId="1" type="noConversion"/>
  </si>
  <si>
    <t>成功后获得30万金币，失败获得10万金币，期望获得20万金币</t>
    <phoneticPr fontId="1" type="noConversion"/>
  </si>
  <si>
    <t>11级猫</t>
  </si>
  <si>
    <t>12级猫</t>
  </si>
  <si>
    <t>13级猫</t>
  </si>
  <si>
    <t>14级猫</t>
  </si>
  <si>
    <t>15级猫</t>
  </si>
  <si>
    <t>16级猫</t>
  </si>
  <si>
    <t>17级猫</t>
  </si>
  <si>
    <t>18级猫</t>
  </si>
  <si>
    <t>19级猫</t>
  </si>
  <si>
    <t>20级猫</t>
  </si>
  <si>
    <t>21级猫</t>
  </si>
  <si>
    <t>22级猫</t>
  </si>
  <si>
    <t>23级猫</t>
  </si>
  <si>
    <t>24级猫</t>
  </si>
  <si>
    <t>25级猫</t>
  </si>
  <si>
    <t>26级猫</t>
  </si>
  <si>
    <t>27级猫</t>
  </si>
  <si>
    <t>28级猫</t>
  </si>
  <si>
    <t>29级猫</t>
  </si>
  <si>
    <t>30级猫</t>
  </si>
  <si>
    <t>31级猫</t>
  </si>
  <si>
    <t>32级猫</t>
  </si>
  <si>
    <t>33级猫</t>
  </si>
  <si>
    <t>34级猫</t>
  </si>
  <si>
    <t>35级猫</t>
  </si>
  <si>
    <t>36级猫</t>
  </si>
  <si>
    <t>37级猫</t>
  </si>
  <si>
    <t>38级猫</t>
  </si>
  <si>
    <t>39级猫</t>
  </si>
  <si>
    <t>40级猫</t>
  </si>
  <si>
    <t>41级猫</t>
  </si>
  <si>
    <t>42级猫</t>
  </si>
  <si>
    <t>43级猫</t>
  </si>
  <si>
    <t>44级猫</t>
  </si>
  <si>
    <t>45级猫</t>
  </si>
  <si>
    <t>46级猫</t>
  </si>
  <si>
    <t>47级猫</t>
  </si>
  <si>
    <t>48级猫</t>
  </si>
  <si>
    <t>49级猫</t>
  </si>
  <si>
    <t>50级猫</t>
  </si>
  <si>
    <r>
      <t>1.召唤奖励与玩家等级对应；玩家只能抽取</t>
    </r>
    <r>
      <rPr>
        <sz val="10.5"/>
        <color rgb="FFFF0000"/>
        <rFont val="微软雅黑"/>
        <family val="2"/>
        <charset val="134"/>
      </rPr>
      <t>当前等级对应的召唤包</t>
    </r>
    <r>
      <rPr>
        <sz val="10.5"/>
        <color theme="1"/>
        <rFont val="微软雅黑"/>
        <family val="2"/>
        <charset val="134"/>
      </rPr>
      <t>获得奖励；随等级提高，召唤奖励提升；</t>
    </r>
  </si>
  <si>
    <t xml:space="preserve"> 2.召唤包内容：猫、金币、木材、矿石以及体力，其中猫召唤概率最大，金币、木材、矿石概率稍低，体力概率最低；（通过配置表配置）</t>
  </si>
  <si>
    <t>除体力外，显示金币、木材、矿石、圣水和钻石；</t>
  </si>
  <si>
    <t>钻石、体力和圣水产出途径不同，另做处理</t>
  </si>
  <si>
    <t>资源点出现与地图开启相关；通过配置将资源点配置在对应的地块上；当地块没有解锁时，资源点同样不可开启和移动；</t>
  </si>
  <si>
    <t>玩家拥有的各种资源总量在主界面上方显示；</t>
    <phoneticPr fontId="1" type="noConversion"/>
  </si>
  <si>
    <t>1.体力：用于玩家的操作消耗；每分钟恢复1点；</t>
  </si>
  <si>
    <t>2.金币：用于资源点升级和猫的购买；由猫在旅店打工产出；</t>
  </si>
  <si>
    <t>3.木材：用于资源点升级；</t>
  </si>
  <si>
    <t>4.矿石：用于资源点升级；</t>
  </si>
  <si>
    <t>5.圣水：用于净化被污染的土地；</t>
  </si>
  <si>
    <t>6.钻石：用于钻石商店购买猫和道具；</t>
  </si>
  <si>
    <t>2.1资源点功能</t>
  </si>
  <si>
    <t>2.2资源点出现方式</t>
  </si>
  <si>
    <t>2.2资源点产出规则</t>
  </si>
  <si>
    <t>1.资源点解锁后并不主动产出资源；</t>
  </si>
  <si>
    <t>2.将猫拖动到已开启的资源点时，如资源点为中心的九宫格如有空白地块，则猫自动移动到空白地块进行采集；采集产出为每3秒结算1次；如没有空白地块，则提示没有空位不进行采集；</t>
  </si>
  <si>
    <t xml:space="preserve">3.猫在资源点进行采集可使资源点获得经验，经验达到后可点击资源点进行升级，升级后资源点形象改变且基础产出值获得提升； </t>
  </si>
  <si>
    <t>2.3资源点的移动</t>
  </si>
  <si>
    <t>1.资源点出现后可以进行拖动操作，来移动到其他空白地块；</t>
  </si>
  <si>
    <t>2.资源点移动到已有资源点的地块时，两边交换位置；</t>
  </si>
  <si>
    <t>3.资源点移动到有猫的地块时，两边交换位置；</t>
  </si>
  <si>
    <t>4.猫移动到有资源点的地块时，如有空位则进行采集；没有则提示没有空位；</t>
  </si>
  <si>
    <r>
      <t>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猫旅店：猫在猫旅店进行打工可产出金币；</t>
    </r>
  </si>
  <si>
    <r>
      <t>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树林：猫在树林进行采集可以产出木材；</t>
    </r>
  </si>
  <si>
    <r>
      <t>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矿山：猫在矿山进行采集可以产出矿石</t>
    </r>
  </si>
  <si>
    <t>旅店</t>
    <phoneticPr fontId="1" type="noConversion"/>
  </si>
  <si>
    <t>树木</t>
    <phoneticPr fontId="1" type="noConversion"/>
  </si>
  <si>
    <t>旅店等级</t>
    <phoneticPr fontId="1" type="noConversion"/>
  </si>
  <si>
    <t>每日产出金币</t>
    <phoneticPr fontId="1" type="noConversion"/>
  </si>
  <si>
    <t>升级消耗金币</t>
    <phoneticPr fontId="1" type="noConversion"/>
  </si>
  <si>
    <t>树木等级</t>
    <phoneticPr fontId="1" type="noConversion"/>
  </si>
  <si>
    <t>每日产出木材</t>
    <phoneticPr fontId="1" type="noConversion"/>
  </si>
  <si>
    <t>升级消耗</t>
  </si>
  <si>
    <t>等级开放</t>
    <phoneticPr fontId="1" type="noConversion"/>
  </si>
  <si>
    <t>树</t>
    <phoneticPr fontId="1" type="noConversion"/>
  </si>
  <si>
    <t>矿</t>
    <phoneticPr fontId="1" type="noConversion"/>
  </si>
  <si>
    <t>圣池</t>
    <phoneticPr fontId="1" type="noConversion"/>
  </si>
  <si>
    <t>开放建筑</t>
    <phoneticPr fontId="1" type="noConversion"/>
  </si>
  <si>
    <t>累计产出木材</t>
    <phoneticPr fontId="1" type="noConversion"/>
  </si>
  <si>
    <t>当前等级产出木材</t>
    <phoneticPr fontId="1" type="noConversion"/>
  </si>
  <si>
    <t>当前等级产出矿石</t>
  </si>
  <si>
    <t>累计产出矿石</t>
  </si>
  <si>
    <t>当前等级产出金币</t>
  </si>
  <si>
    <t>累计产出金币</t>
  </si>
  <si>
    <t>vip0本级时间</t>
    <phoneticPr fontId="1" type="noConversion"/>
  </si>
  <si>
    <t>vip16</t>
    <phoneticPr fontId="1" type="noConversion"/>
  </si>
  <si>
    <t>vip16本级时间</t>
    <phoneticPr fontId="1" type="noConversion"/>
  </si>
  <si>
    <t>VIP0玩家等级</t>
    <phoneticPr fontId="1" type="noConversion"/>
  </si>
  <si>
    <t>VIP0升级需求天数</t>
    <phoneticPr fontId="1" type="noConversion"/>
  </si>
  <si>
    <t>VIP16升级需求天数</t>
    <phoneticPr fontId="1" type="noConversion"/>
  </si>
  <si>
    <t>VIP16玩家等级</t>
    <phoneticPr fontId="1" type="noConversion"/>
  </si>
  <si>
    <t>矿石</t>
  </si>
  <si>
    <t>每日产出矿石</t>
  </si>
  <si>
    <t>矿石</t>
    <phoneticPr fontId="1" type="noConversion"/>
  </si>
  <si>
    <t>体力</t>
    <phoneticPr fontId="1" type="noConversion"/>
  </si>
  <si>
    <t>猫</t>
    <phoneticPr fontId="1" type="noConversion"/>
  </si>
  <si>
    <t>每日抽中次数</t>
    <phoneticPr fontId="1" type="noConversion"/>
  </si>
  <si>
    <t>等级下限</t>
    <phoneticPr fontId="1" type="noConversion"/>
  </si>
  <si>
    <t>等级上限</t>
    <phoneticPr fontId="1" type="noConversion"/>
  </si>
  <si>
    <t>概率之和</t>
    <phoneticPr fontId="1" type="noConversion"/>
  </si>
  <si>
    <t>累计1级猫的数量</t>
    <phoneticPr fontId="1" type="noConversion"/>
  </si>
  <si>
    <t>当前建筑数量</t>
    <phoneticPr fontId="1" type="noConversion"/>
  </si>
  <si>
    <t>（最大等级猫的数量）</t>
  </si>
  <si>
    <t>可合成猫的等级</t>
    <phoneticPr fontId="1" type="noConversion"/>
  </si>
  <si>
    <t>其他玩法每天产出1级猫的数量</t>
    <phoneticPr fontId="1" type="noConversion"/>
  </si>
  <si>
    <t>其他玩法每天产出次数</t>
    <phoneticPr fontId="1" type="noConversion"/>
  </si>
  <si>
    <t>每日产出金币次数</t>
    <phoneticPr fontId="1" type="noConversion"/>
  </si>
  <si>
    <t>每日产出金币买猫占比</t>
    <phoneticPr fontId="1" type="noConversion"/>
  </si>
  <si>
    <t>每日产出金币买猫次数</t>
    <phoneticPr fontId="1" type="noConversion"/>
  </si>
  <si>
    <t>金币购买猫的数量增幅</t>
    <phoneticPr fontId="1" type="noConversion"/>
  </si>
  <si>
    <t>等级-价值-金币</t>
    <phoneticPr fontId="1" type="noConversion"/>
  </si>
  <si>
    <t>猫的等级</t>
    <phoneticPr fontId="1" type="noConversion"/>
  </si>
  <si>
    <t>累计消耗</t>
    <phoneticPr fontId="1" type="noConversion"/>
  </si>
  <si>
    <t>每日产出圣水</t>
  </si>
  <si>
    <t>圣池等级</t>
  </si>
  <si>
    <t>手动刷新消耗50钻石</t>
    <phoneticPr fontId="1" type="noConversion"/>
  </si>
  <si>
    <t>每天自动重置3次</t>
    <phoneticPr fontId="1" type="noConversion"/>
  </si>
  <si>
    <t>0,8,16点</t>
    <phoneticPr fontId="1" type="noConversion"/>
  </si>
  <si>
    <t>持续天数</t>
    <phoneticPr fontId="1" type="noConversion"/>
  </si>
  <si>
    <t>每日获得-转化成1级猫数量</t>
    <phoneticPr fontId="1" type="noConversion"/>
  </si>
  <si>
    <t>当前等级获得猫的数量</t>
    <phoneticPr fontId="1" type="noConversion"/>
  </si>
  <si>
    <t>金币价值-钻石</t>
    <phoneticPr fontId="1" type="noConversion"/>
  </si>
  <si>
    <t>金币价值-金币/钻石</t>
    <phoneticPr fontId="1" type="noConversion"/>
  </si>
  <si>
    <t>金币价值-钻石/金币</t>
    <phoneticPr fontId="1" type="noConversion"/>
  </si>
  <si>
    <t>一共6个格子</t>
    <phoneticPr fontId="1" type="noConversion"/>
  </si>
  <si>
    <t>每次出现3个钻石购买，3个金币购买</t>
    <phoneticPr fontId="1" type="noConversion"/>
  </si>
  <si>
    <t>商品</t>
    <phoneticPr fontId="1" type="noConversion"/>
  </si>
  <si>
    <t>金币数量</t>
    <phoneticPr fontId="1" type="noConversion"/>
  </si>
  <si>
    <t>数量序列</t>
    <phoneticPr fontId="1" type="noConversion"/>
  </si>
  <si>
    <t>20级</t>
    <phoneticPr fontId="1" type="noConversion"/>
  </si>
  <si>
    <t>30级</t>
    <phoneticPr fontId="1" type="noConversion"/>
  </si>
  <si>
    <t>40级</t>
  </si>
  <si>
    <t>50级</t>
  </si>
  <si>
    <t>60级</t>
  </si>
  <si>
    <t>70级</t>
  </si>
  <si>
    <t>80级</t>
  </si>
  <si>
    <t>90级</t>
  </si>
  <si>
    <t>100级</t>
  </si>
  <si>
    <t>110级</t>
  </si>
  <si>
    <t>120级</t>
  </si>
  <si>
    <t>130级</t>
  </si>
  <si>
    <t>140级</t>
  </si>
  <si>
    <t>150级</t>
  </si>
  <si>
    <t>备注</t>
    <phoneticPr fontId="1" type="noConversion"/>
  </si>
  <si>
    <t>产出金币全部购买猫咪的话，相当于每日体力产出猫咪数量的50%，因为金币产出几率是猫咪产出几率的50%，因此每次出现金币的价值等于猫的价值</t>
    <phoneticPr fontId="1" type="noConversion"/>
  </si>
  <si>
    <t>单次产出价值-钻石</t>
    <phoneticPr fontId="1" type="noConversion"/>
  </si>
  <si>
    <t>单次产出价值-钻石</t>
    <phoneticPr fontId="1" type="noConversion"/>
  </si>
  <si>
    <t>产出概率</t>
    <phoneticPr fontId="1" type="noConversion"/>
  </si>
  <si>
    <t>木材价值-钻石</t>
    <phoneticPr fontId="1" type="noConversion"/>
  </si>
  <si>
    <t>累计消耗金币</t>
    <phoneticPr fontId="1" type="noConversion"/>
  </si>
  <si>
    <t>树木升至本级时的角色等级</t>
  </si>
  <si>
    <t>树木升至本级时的天数</t>
    <phoneticPr fontId="1" type="noConversion"/>
  </si>
  <si>
    <t>树木+矿山累计金币需求</t>
    <phoneticPr fontId="1" type="noConversion"/>
  </si>
  <si>
    <t>当前等级产出圣水</t>
    <phoneticPr fontId="1" type="noConversion"/>
  </si>
  <si>
    <t>累计产出圣水</t>
    <phoneticPr fontId="1" type="noConversion"/>
  </si>
  <si>
    <t>猫的价值-钻石</t>
    <phoneticPr fontId="1" type="noConversion"/>
  </si>
  <si>
    <t>产出物的价值-钻石</t>
    <phoneticPr fontId="1" type="noConversion"/>
  </si>
  <si>
    <t>木材数量</t>
    <phoneticPr fontId="1" type="noConversion"/>
  </si>
  <si>
    <t>矿石数量</t>
    <phoneticPr fontId="1" type="noConversion"/>
  </si>
  <si>
    <t>矿石价值-钻石</t>
  </si>
  <si>
    <t>vip0</t>
    <phoneticPr fontId="1" type="noConversion"/>
  </si>
  <si>
    <t>vip等级</t>
    <phoneticPr fontId="1" type="noConversion"/>
  </si>
  <si>
    <t>刷新次数</t>
    <phoneticPr fontId="1" type="noConversion"/>
  </si>
  <si>
    <t>金币每天购买1级猫的数量</t>
    <phoneticPr fontId="1" type="noConversion"/>
  </si>
  <si>
    <t>1级猫的价格-金币</t>
    <phoneticPr fontId="1" type="noConversion"/>
  </si>
  <si>
    <t>每天购买猫的金币需求</t>
    <phoneticPr fontId="1" type="noConversion"/>
  </si>
  <si>
    <t>钻石商店</t>
    <phoneticPr fontId="1" type="noConversion"/>
  </si>
  <si>
    <t>金币商店</t>
    <phoneticPr fontId="1" type="noConversion"/>
  </si>
  <si>
    <t>猫-每日产出加成</t>
  </si>
  <si>
    <t>猫-每日产出加成</t>
    <phoneticPr fontId="1" type="noConversion"/>
  </si>
  <si>
    <t>矿山等级</t>
  </si>
  <si>
    <t>矿山+矿山累计金币需求</t>
  </si>
  <si>
    <t>矿山升至本级时的天数</t>
  </si>
  <si>
    <t>矿山升至本级时的角色等级</t>
  </si>
  <si>
    <t>每日矿石产出</t>
    <phoneticPr fontId="1" type="noConversion"/>
  </si>
  <si>
    <t>每日木材产出</t>
    <phoneticPr fontId="1" type="noConversion"/>
  </si>
  <si>
    <t>每日金币产出</t>
    <phoneticPr fontId="1" type="noConversion"/>
  </si>
  <si>
    <t>每日圣水产出</t>
  </si>
  <si>
    <t>产出提升比例</t>
    <phoneticPr fontId="1" type="noConversion"/>
  </si>
  <si>
    <t>每天旅店产出金币</t>
    <phoneticPr fontId="1" type="noConversion"/>
  </si>
  <si>
    <t>木材价值-木材/钻石</t>
  </si>
  <si>
    <t>木材价值-钻石/木材</t>
  </si>
  <si>
    <t>矿石价值-矿石/钻石</t>
  </si>
  <si>
    <t>矿石价值-钻石/矿石</t>
  </si>
  <si>
    <t>猫的产出</t>
    <phoneticPr fontId="1" type="noConversion"/>
  </si>
  <si>
    <t>金币产出</t>
    <phoneticPr fontId="1" type="noConversion"/>
  </si>
  <si>
    <t>每日旅店产出</t>
    <phoneticPr fontId="1" type="noConversion"/>
  </si>
  <si>
    <t>期望每次产出</t>
    <phoneticPr fontId="1" type="noConversion"/>
  </si>
  <si>
    <t>木材产出</t>
    <phoneticPr fontId="1" type="noConversion"/>
  </si>
  <si>
    <t>产出1</t>
    <phoneticPr fontId="1" type="noConversion"/>
  </si>
  <si>
    <t>产出2</t>
  </si>
  <si>
    <t>产出3</t>
  </si>
  <si>
    <t>产出4</t>
  </si>
  <si>
    <t>产出5</t>
  </si>
  <si>
    <t>矿石产出</t>
    <phoneticPr fontId="1" type="noConversion"/>
  </si>
  <si>
    <t>每次产出5点体力</t>
    <phoneticPr fontId="1" type="noConversion"/>
  </si>
  <si>
    <t>圣水数量</t>
  </si>
  <si>
    <t>圣水价值-钻石</t>
  </si>
  <si>
    <t>圣水</t>
    <phoneticPr fontId="1" type="noConversion"/>
  </si>
  <si>
    <t>圣水价值-圣水/钻石</t>
  </si>
  <si>
    <t>圣水价值-钻石/圣水</t>
  </si>
  <si>
    <t>70002_5000_75,70002_10000_75,70002_20000_50,70002_40000_30,70002_80000_20</t>
  </si>
  <si>
    <t>70002_7500_75,70002_15000_75,70002_30000_50,70002_60000_30,70002_120000_20</t>
  </si>
  <si>
    <t>70002_12500_75,70002_25000_75,70002_50000_50,70002_100000_30,70002_200000_20</t>
  </si>
  <si>
    <t>70002_17500_75,70002_35000_75,70002_70000_50,70002_140000_30,70002_280000_20</t>
  </si>
  <si>
    <t>70002_25000_75,70002_50000_75,70002_100000_50,70002_200000_30,70002_400000_20</t>
  </si>
  <si>
    <t>70002_40000_75,70002_80000_75,70002_160000_50,70002_320000_30,70002_640000_20</t>
  </si>
  <si>
    <t>70002_60000_75,70002_120000_75,70002_240000_50,70002_480000_30,70002_960000_20</t>
  </si>
  <si>
    <t>70002_90000_75,70002_180000_75,70002_360000_50,70002_720000_30,70002_1440000_20</t>
  </si>
  <si>
    <t>70002_125000_75,70002_250000_75,70002_500000_50,70002_1000000_30,70002_2000000_20</t>
  </si>
  <si>
    <t>猫</t>
    <phoneticPr fontId="1" type="noConversion"/>
  </si>
  <si>
    <t>金币</t>
    <phoneticPr fontId="1" type="noConversion"/>
  </si>
  <si>
    <t>70003_5000_30,70003_10000_30,70003_20000_20,70003_40000_12,70003_80000_8</t>
  </si>
  <si>
    <t>70003_7500_30,70003_15000_30,70003_30000_20,70003_60000_12,70003_120000_8</t>
  </si>
  <si>
    <t>70003_12500_30,70003_25000_30,70003_50000_20,70003_100000_12,70003_200000_8</t>
  </si>
  <si>
    <t>70003_17500_30,70003_35000_30,70003_70000_20,70003_140000_12,70003_280000_8</t>
  </si>
  <si>
    <t>70003_25000_30,70003_50000_30,70003_100000_20,70003_200000_12,70003_400000_8</t>
  </si>
  <si>
    <t>70003_40000_30,70003_80000_30,70003_160000_20,70003_320000_12,70003_640000_8</t>
  </si>
  <si>
    <t>70003_60000_30,70003_120000_30,70003_240000_20,70003_480000_12,70003_960000_8</t>
  </si>
  <si>
    <t>70003_90000_30,70003_180000_30,70003_360000_20,70003_720000_12,70003_1440000_8</t>
  </si>
  <si>
    <t>70003_125000_30,70003_250000_30,70003_500000_20,70003_1000000_12,70003_2000000_8</t>
  </si>
  <si>
    <t>木材</t>
    <phoneticPr fontId="1" type="noConversion"/>
  </si>
  <si>
    <t>矿石</t>
    <phoneticPr fontId="1" type="noConversion"/>
  </si>
  <si>
    <t>70004_5000_30,70004_10000_30,70004_20000_20,70004_40000_12,70004_80000_8</t>
  </si>
  <si>
    <t>70004_7500_30,70004_15000_30,70004_30000_20,70004_60000_12,70004_120000_8</t>
  </si>
  <si>
    <t>70004_12500_30,70004_25000_30,70004_50000_20,70004_100000_12,70004_200000_8</t>
  </si>
  <si>
    <t>70004_17500_30,70004_35000_30,70004_70000_20,70004_140000_12,70004_280000_8</t>
  </si>
  <si>
    <t>70004_25000_30,70004_50000_30,70004_100000_20,70004_200000_12,70004_400000_8</t>
  </si>
  <si>
    <t>70004_40000_30,70004_80000_30,70004_160000_20,70004_320000_12,70004_640000_8</t>
  </si>
  <si>
    <t>70004_60000_30,70004_120000_30,70004_240000_20,70004_480000_12,70004_960000_8</t>
  </si>
  <si>
    <t>70004_90000_30,70004_180000_30,70004_360000_20,70004_720000_12,70004_1440000_8</t>
  </si>
  <si>
    <t>70004_125000_30,70004_250000_30,70004_500000_20,70004_1000000_12,70004_2000000_8</t>
  </si>
  <si>
    <t>综合（加上5%抽出体力）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</si>
</sst>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b/>
      <sz val="10.5"/>
      <color rgb="FF339966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0" fillId="0" borderId="0" xfId="0" applyFont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3" fillId="5" borderId="10" xfId="0" applyFont="1" applyFill="1" applyBorder="1" applyAlignment="1"/>
    <xf numFmtId="0" fontId="14" fillId="5" borderId="10" xfId="0" applyFont="1" applyFill="1" applyBorder="1" applyAlignment="1"/>
    <xf numFmtId="0" fontId="12" fillId="0" borderId="10" xfId="0" applyFont="1" applyBorder="1" applyAlignment="1"/>
    <xf numFmtId="9" fontId="10" fillId="0" borderId="0" xfId="0" applyNumberFormat="1" applyFont="1" applyAlignment="1"/>
    <xf numFmtId="0" fontId="15" fillId="0" borderId="0" xfId="0" applyFont="1" applyAlignment="1">
      <alignment horizontal="left" vertical="center" indent="2"/>
    </xf>
    <xf numFmtId="0" fontId="13" fillId="0" borderId="0" xfId="0" applyFont="1">
      <alignment vertical="center"/>
    </xf>
    <xf numFmtId="0" fontId="15" fillId="6" borderId="0" xfId="0" applyFont="1" applyFill="1" applyAlignment="1">
      <alignment horizontal="left" vertical="center" indent="2"/>
    </xf>
    <xf numFmtId="0" fontId="2" fillId="6" borderId="0" xfId="0" applyFont="1" applyFill="1">
      <alignment vertical="center"/>
    </xf>
    <xf numFmtId="0" fontId="17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9" fillId="6" borderId="0" xfId="0" applyFont="1" applyFill="1" applyAlignment="1">
      <alignment horizontal="left" vertical="center" indent="2"/>
    </xf>
    <xf numFmtId="0" fontId="13" fillId="0" borderId="10" xfId="0" applyFont="1" applyBorder="1">
      <alignment vertical="center"/>
    </xf>
    <xf numFmtId="0" fontId="13" fillId="7" borderId="10" xfId="0" applyFont="1" applyFill="1" applyBorder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Border="1">
      <alignment vertical="center"/>
    </xf>
    <xf numFmtId="0" fontId="21" fillId="0" borderId="0" xfId="0" applyFont="1">
      <alignment vertical="center"/>
    </xf>
    <xf numFmtId="0" fontId="10" fillId="0" borderId="10" xfId="0" applyNumberFormat="1" applyFont="1" applyBorder="1" applyAlignment="1"/>
    <xf numFmtId="0" fontId="10" fillId="0" borderId="2" xfId="0" applyFont="1" applyBorder="1" applyAlignment="1"/>
    <xf numFmtId="0" fontId="10" fillId="0" borderId="16" xfId="0" applyFont="1" applyBorder="1" applyAlignment="1"/>
    <xf numFmtId="0" fontId="10" fillId="0" borderId="17" xfId="0" applyFont="1" applyBorder="1" applyAlignment="1"/>
    <xf numFmtId="0" fontId="10" fillId="0" borderId="18" xfId="0" applyFont="1" applyBorder="1" applyAlignment="1"/>
    <xf numFmtId="0" fontId="10" fillId="0" borderId="19" xfId="0" applyFont="1" applyBorder="1" applyAlignment="1"/>
    <xf numFmtId="0" fontId="10" fillId="0" borderId="20" xfId="0" applyFont="1" applyBorder="1" applyAlignment="1"/>
    <xf numFmtId="0" fontId="10" fillId="0" borderId="24" xfId="0" applyFont="1" applyBorder="1" applyAlignment="1"/>
    <xf numFmtId="0" fontId="10" fillId="0" borderId="1" xfId="0" applyFont="1" applyBorder="1" applyAlignment="1"/>
    <xf numFmtId="0" fontId="10" fillId="0" borderId="25" xfId="0" applyFont="1" applyBorder="1" applyAlignment="1"/>
    <xf numFmtId="0" fontId="10" fillId="0" borderId="21" xfId="0" applyFont="1" applyBorder="1" applyAlignment="1"/>
    <xf numFmtId="0" fontId="10" fillId="0" borderId="22" xfId="0" applyFont="1" applyBorder="1" applyAlignment="1"/>
    <xf numFmtId="0" fontId="10" fillId="0" borderId="23" xfId="0" applyFont="1" applyBorder="1" applyAlignment="1"/>
    <xf numFmtId="0" fontId="22" fillId="0" borderId="10" xfId="0" applyFont="1" applyBorder="1" applyAlignment="1"/>
    <xf numFmtId="0" fontId="22" fillId="0" borderId="0" xfId="0" applyFont="1">
      <alignment vertical="center"/>
    </xf>
    <xf numFmtId="0" fontId="14" fillId="8" borderId="10" xfId="0" applyFont="1" applyFill="1" applyBorder="1" applyAlignment="1"/>
    <xf numFmtId="0" fontId="22" fillId="0" borderId="10" xfId="0" applyFont="1" applyBorder="1">
      <alignment vertical="center"/>
    </xf>
    <xf numFmtId="0" fontId="11" fillId="0" borderId="0" xfId="0" applyFont="1">
      <alignment vertical="center"/>
    </xf>
    <xf numFmtId="0" fontId="11" fillId="0" borderId="10" xfId="0" applyFont="1" applyBorder="1">
      <alignment vertical="center"/>
    </xf>
    <xf numFmtId="0" fontId="10" fillId="0" borderId="0" xfId="0" applyFont="1">
      <alignment vertical="center"/>
    </xf>
    <xf numFmtId="9" fontId="14" fillId="8" borderId="10" xfId="0" applyNumberFormat="1" applyFont="1" applyFill="1" applyBorder="1" applyAlignment="1"/>
    <xf numFmtId="9" fontId="13" fillId="0" borderId="0" xfId="0" applyNumberFormat="1" applyFont="1">
      <alignment vertical="center"/>
    </xf>
    <xf numFmtId="9" fontId="11" fillId="0" borderId="10" xfId="0" applyNumberFormat="1" applyFont="1" applyBorder="1" applyAlignment="1"/>
    <xf numFmtId="9" fontId="22" fillId="0" borderId="10" xfId="0" applyNumberFormat="1" applyFont="1" applyBorder="1" applyAlignment="1"/>
    <xf numFmtId="0" fontId="13" fillId="0" borderId="10" xfId="0" applyNumberFormat="1" applyFont="1" applyBorder="1">
      <alignment vertical="center"/>
    </xf>
    <xf numFmtId="0" fontId="11" fillId="0" borderId="10" xfId="0" applyNumberFormat="1" applyFont="1" applyBorder="1">
      <alignment vertical="center"/>
    </xf>
    <xf numFmtId="0" fontId="14" fillId="0" borderId="0" xfId="0" applyFont="1">
      <alignment vertical="center"/>
    </xf>
    <xf numFmtId="0" fontId="11" fillId="0" borderId="0" xfId="0" applyFont="1" applyAlignment="1"/>
    <xf numFmtId="0" fontId="11" fillId="0" borderId="10" xfId="0" applyNumberFormat="1" applyFont="1" applyBorder="1" applyAlignment="1"/>
    <xf numFmtId="0" fontId="10" fillId="0" borderId="2" xfId="0" applyNumberFormat="1" applyFont="1" applyBorder="1" applyAlignment="1"/>
    <xf numFmtId="9" fontId="22" fillId="0" borderId="26" xfId="0" applyNumberFormat="1" applyFont="1" applyBorder="1" applyAlignment="1"/>
    <xf numFmtId="9" fontId="22" fillId="0" borderId="27" xfId="0" applyNumberFormat="1" applyFont="1" applyBorder="1" applyAlignment="1"/>
    <xf numFmtId="9" fontId="22" fillId="0" borderId="28" xfId="0" applyNumberFormat="1" applyFont="1" applyBorder="1" applyAlignment="1"/>
    <xf numFmtId="9" fontId="22" fillId="0" borderId="16" xfId="0" applyNumberFormat="1" applyFont="1" applyBorder="1" applyAlignment="1"/>
    <xf numFmtId="9" fontId="22" fillId="0" borderId="17" xfId="0" applyNumberFormat="1" applyFont="1" applyBorder="1" applyAlignment="1"/>
    <xf numFmtId="0" fontId="11" fillId="0" borderId="16" xfId="0" applyNumberFormat="1" applyFont="1" applyBorder="1" applyAlignment="1"/>
    <xf numFmtId="0" fontId="11" fillId="0" borderId="17" xfId="0" applyNumberFormat="1" applyFont="1" applyBorder="1" applyAlignment="1"/>
    <xf numFmtId="0" fontId="22" fillId="0" borderId="0" xfId="0" applyFont="1" applyAlignment="1"/>
    <xf numFmtId="0" fontId="23" fillId="0" borderId="10" xfId="0" applyFont="1" applyBorder="1" applyAlignment="1"/>
    <xf numFmtId="9" fontId="23" fillId="8" borderId="10" xfId="0" applyNumberFormat="1" applyFont="1" applyFill="1" applyBorder="1" applyAlignment="1"/>
    <xf numFmtId="0" fontId="24" fillId="0" borderId="10" xfId="0" applyFont="1" applyBorder="1" applyAlignment="1"/>
    <xf numFmtId="0" fontId="23" fillId="0" borderId="0" xfId="0" applyFont="1" applyBorder="1" applyAlignment="1"/>
    <xf numFmtId="0" fontId="23" fillId="0" borderId="0" xfId="0" applyFont="1" applyAlignment="1"/>
    <xf numFmtId="9" fontId="23" fillId="0" borderId="10" xfId="0" applyNumberFormat="1" applyFont="1" applyBorder="1" applyAlignment="1"/>
    <xf numFmtId="0" fontId="23" fillId="0" borderId="1" xfId="0" applyFont="1" applyBorder="1" applyAlignment="1"/>
    <xf numFmtId="9" fontId="23" fillId="0" borderId="1" xfId="0" applyNumberFormat="1" applyFont="1" applyBorder="1" applyAlignment="1"/>
    <xf numFmtId="0" fontId="11" fillId="0" borderId="26" xfId="0" applyFont="1" applyBorder="1" applyAlignment="1"/>
    <xf numFmtId="0" fontId="11" fillId="0" borderId="27" xfId="0" applyFont="1" applyBorder="1" applyAlignment="1"/>
    <xf numFmtId="0" fontId="11" fillId="0" borderId="28" xfId="0" applyFont="1" applyBorder="1" applyAlignment="1"/>
    <xf numFmtId="0" fontId="11" fillId="0" borderId="16" xfId="0" applyFont="1" applyBorder="1" applyAlignment="1"/>
    <xf numFmtId="9" fontId="11" fillId="0" borderId="17" xfId="0" applyNumberFormat="1" applyFont="1" applyBorder="1" applyAlignment="1"/>
    <xf numFmtId="0" fontId="11" fillId="0" borderId="18" xfId="0" applyFont="1" applyBorder="1" applyAlignment="1"/>
    <xf numFmtId="0" fontId="11" fillId="0" borderId="19" xfId="0" applyFont="1" applyBorder="1" applyAlignment="1"/>
    <xf numFmtId="9" fontId="11" fillId="0" borderId="19" xfId="0" applyNumberFormat="1" applyFont="1" applyBorder="1" applyAlignment="1"/>
    <xf numFmtId="9" fontId="11" fillId="0" borderId="20" xfId="0" applyNumberFormat="1" applyFont="1" applyBorder="1" applyAlignment="1"/>
    <xf numFmtId="0" fontId="22" fillId="0" borderId="27" xfId="0" applyFont="1" applyBorder="1" applyAlignment="1"/>
    <xf numFmtId="9" fontId="22" fillId="0" borderId="19" xfId="0" applyNumberFormat="1" applyFont="1" applyBorder="1" applyAlignment="1"/>
    <xf numFmtId="9" fontId="22" fillId="0" borderId="10" xfId="0" applyNumberFormat="1" applyFont="1" applyBorder="1">
      <alignment vertical="center"/>
    </xf>
    <xf numFmtId="0" fontId="12" fillId="0" borderId="10" xfId="0" applyFont="1" applyBorder="1">
      <alignment vertical="center"/>
    </xf>
    <xf numFmtId="0" fontId="12" fillId="9" borderId="10" xfId="0" applyFont="1" applyFill="1" applyBorder="1">
      <alignment vertical="center"/>
    </xf>
    <xf numFmtId="0" fontId="22" fillId="0" borderId="10" xfId="0" applyFont="1" applyFill="1" applyBorder="1" applyAlignment="1"/>
    <xf numFmtId="9" fontId="22" fillId="0" borderId="10" xfId="0" applyNumberFormat="1" applyFont="1" applyFill="1" applyBorder="1" applyAlignment="1"/>
    <xf numFmtId="0" fontId="10" fillId="0" borderId="0" xfId="0" applyNumberFormat="1" applyFont="1" applyAlignment="1"/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921776"/>
        <c:axId val="246922168"/>
      </c:lineChart>
      <c:catAx>
        <c:axId val="246921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922168"/>
        <c:crosses val="autoZero"/>
        <c:auto val="1"/>
        <c:lblAlgn val="ctr"/>
        <c:lblOffset val="100"/>
        <c:noMultiLvlLbl val="0"/>
      </c:catAx>
      <c:valAx>
        <c:axId val="24692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92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922952"/>
        <c:axId val="249250976"/>
      </c:lineChart>
      <c:catAx>
        <c:axId val="246922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250976"/>
        <c:crosses val="autoZero"/>
        <c:auto val="1"/>
        <c:lblAlgn val="ctr"/>
        <c:lblOffset val="100"/>
        <c:noMultiLvlLbl val="0"/>
      </c:catAx>
      <c:valAx>
        <c:axId val="2492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922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V3" t="str">
            <v>升级经验</v>
          </cell>
          <cell r="Y3" t="str">
            <v>体力事件次数</v>
          </cell>
        </row>
        <row r="4">
          <cell r="V4">
            <v>0</v>
          </cell>
          <cell r="Y4">
            <v>0</v>
          </cell>
        </row>
        <row r="5">
          <cell r="V5">
            <v>20</v>
          </cell>
          <cell r="Y5">
            <v>1</v>
          </cell>
        </row>
        <row r="6">
          <cell r="V6">
            <v>60</v>
          </cell>
          <cell r="Y6">
            <v>2</v>
          </cell>
        </row>
        <row r="7">
          <cell r="V7">
            <v>120</v>
          </cell>
          <cell r="Y7">
            <v>3</v>
          </cell>
        </row>
        <row r="8">
          <cell r="V8">
            <v>200</v>
          </cell>
          <cell r="Y8">
            <v>4</v>
          </cell>
        </row>
        <row r="9">
          <cell r="V9">
            <v>360</v>
          </cell>
          <cell r="Y9">
            <v>6</v>
          </cell>
        </row>
        <row r="10">
          <cell r="V10">
            <v>560</v>
          </cell>
          <cell r="Y10">
            <v>8</v>
          </cell>
        </row>
        <row r="11">
          <cell r="V11">
            <v>800</v>
          </cell>
          <cell r="Y11">
            <v>10</v>
          </cell>
        </row>
        <row r="12">
          <cell r="V12">
            <v>1170</v>
          </cell>
          <cell r="Y12">
            <v>13</v>
          </cell>
        </row>
        <row r="13">
          <cell r="V13">
            <v>1600</v>
          </cell>
          <cell r="Y13">
            <v>16</v>
          </cell>
        </row>
        <row r="14">
          <cell r="V14">
            <v>2090</v>
          </cell>
          <cell r="Y14">
            <v>19</v>
          </cell>
        </row>
        <row r="15">
          <cell r="V15">
            <v>2640</v>
          </cell>
          <cell r="Y15">
            <v>22</v>
          </cell>
        </row>
        <row r="16">
          <cell r="V16">
            <v>3380</v>
          </cell>
          <cell r="Y16">
            <v>26</v>
          </cell>
        </row>
        <row r="17">
          <cell r="V17">
            <v>4200</v>
          </cell>
          <cell r="Y17">
            <v>30</v>
          </cell>
        </row>
        <row r="18">
          <cell r="V18">
            <v>5100</v>
          </cell>
          <cell r="Y18">
            <v>34</v>
          </cell>
        </row>
        <row r="19">
          <cell r="V19">
            <v>6240</v>
          </cell>
          <cell r="Y19">
            <v>39</v>
          </cell>
        </row>
        <row r="20">
          <cell r="V20">
            <v>7480</v>
          </cell>
          <cell r="Y20">
            <v>44</v>
          </cell>
        </row>
        <row r="21">
          <cell r="V21">
            <v>8820</v>
          </cell>
          <cell r="Y21">
            <v>49</v>
          </cell>
        </row>
        <row r="22">
          <cell r="V22">
            <v>10260</v>
          </cell>
          <cell r="Y22">
            <v>54</v>
          </cell>
        </row>
        <row r="23">
          <cell r="V23">
            <v>11800</v>
          </cell>
          <cell r="Y23">
            <v>59</v>
          </cell>
        </row>
        <row r="24">
          <cell r="V24">
            <v>13650</v>
          </cell>
          <cell r="Y24">
            <v>65</v>
          </cell>
        </row>
        <row r="25">
          <cell r="V25">
            <v>15620</v>
          </cell>
          <cell r="Y25">
            <v>71</v>
          </cell>
        </row>
        <row r="26">
          <cell r="V26">
            <v>17710</v>
          </cell>
          <cell r="Y26">
            <v>77</v>
          </cell>
        </row>
        <row r="27">
          <cell r="V27">
            <v>20160</v>
          </cell>
          <cell r="Y27">
            <v>84</v>
          </cell>
        </row>
        <row r="28">
          <cell r="V28">
            <v>22750</v>
          </cell>
          <cell r="Y28">
            <v>91</v>
          </cell>
        </row>
        <row r="29">
          <cell r="V29">
            <v>25480</v>
          </cell>
          <cell r="Y29">
            <v>98</v>
          </cell>
        </row>
        <row r="30">
          <cell r="V30">
            <v>28350</v>
          </cell>
          <cell r="Y30">
            <v>105</v>
          </cell>
        </row>
        <row r="31">
          <cell r="V31">
            <v>31360</v>
          </cell>
          <cell r="Y31">
            <v>112</v>
          </cell>
        </row>
        <row r="32">
          <cell r="V32">
            <v>34800</v>
          </cell>
          <cell r="Y32">
            <v>120</v>
          </cell>
        </row>
        <row r="33">
          <cell r="V33">
            <v>38700</v>
          </cell>
          <cell r="Y33">
            <v>129</v>
          </cell>
        </row>
        <row r="34">
          <cell r="V34">
            <v>41540</v>
          </cell>
          <cell r="Y34">
            <v>134</v>
          </cell>
        </row>
        <row r="35">
          <cell r="V35">
            <v>44800</v>
          </cell>
          <cell r="Y35">
            <v>140</v>
          </cell>
        </row>
        <row r="36">
          <cell r="V36">
            <v>48180</v>
          </cell>
          <cell r="Y36">
            <v>146</v>
          </cell>
        </row>
        <row r="37">
          <cell r="V37">
            <v>52020</v>
          </cell>
          <cell r="Y37">
            <v>153</v>
          </cell>
        </row>
        <row r="38">
          <cell r="V38">
            <v>56350</v>
          </cell>
          <cell r="Y38">
            <v>161</v>
          </cell>
        </row>
        <row r="39">
          <cell r="V39">
            <v>60480</v>
          </cell>
          <cell r="Y39">
            <v>168</v>
          </cell>
        </row>
        <row r="40">
          <cell r="V40">
            <v>65490</v>
          </cell>
          <cell r="Y40">
            <v>177</v>
          </cell>
        </row>
        <row r="41">
          <cell r="V41">
            <v>70680</v>
          </cell>
          <cell r="Y41">
            <v>186</v>
          </cell>
        </row>
        <row r="42">
          <cell r="V42">
            <v>76440</v>
          </cell>
          <cell r="Y42">
            <v>196</v>
          </cell>
        </row>
        <row r="43">
          <cell r="V43">
            <v>82400</v>
          </cell>
          <cell r="Y43">
            <v>206</v>
          </cell>
        </row>
        <row r="44">
          <cell r="V44">
            <v>88970</v>
          </cell>
          <cell r="Y44">
            <v>217</v>
          </cell>
        </row>
        <row r="45">
          <cell r="V45">
            <v>96180</v>
          </cell>
          <cell r="Y45">
            <v>229</v>
          </cell>
        </row>
        <row r="46">
          <cell r="V46">
            <v>103630</v>
          </cell>
          <cell r="Y46">
            <v>241</v>
          </cell>
        </row>
        <row r="47">
          <cell r="V47">
            <v>111760</v>
          </cell>
          <cell r="Y47">
            <v>254</v>
          </cell>
        </row>
        <row r="48">
          <cell r="V48">
            <v>120600</v>
          </cell>
          <cell r="Y48">
            <v>268</v>
          </cell>
        </row>
        <row r="49">
          <cell r="V49">
            <v>130180</v>
          </cell>
          <cell r="Y49">
            <v>283</v>
          </cell>
        </row>
        <row r="50">
          <cell r="V50">
            <v>140060</v>
          </cell>
          <cell r="Y50">
            <v>298</v>
          </cell>
        </row>
        <row r="51">
          <cell r="V51">
            <v>150720</v>
          </cell>
          <cell r="Y51">
            <v>314</v>
          </cell>
        </row>
        <row r="52">
          <cell r="V52">
            <v>162680</v>
          </cell>
          <cell r="Y52">
            <v>332</v>
          </cell>
        </row>
        <row r="53">
          <cell r="V53">
            <v>175000</v>
          </cell>
          <cell r="Y53">
            <v>350</v>
          </cell>
        </row>
        <row r="54">
          <cell r="V54">
            <v>188190</v>
          </cell>
          <cell r="Y54">
            <v>369</v>
          </cell>
        </row>
        <row r="55">
          <cell r="V55">
            <v>202280</v>
          </cell>
          <cell r="Y55">
            <v>389</v>
          </cell>
        </row>
        <row r="56">
          <cell r="V56">
            <v>217300</v>
          </cell>
          <cell r="Y56">
            <v>410</v>
          </cell>
        </row>
        <row r="57">
          <cell r="V57">
            <v>233280</v>
          </cell>
          <cell r="Y57">
            <v>432</v>
          </cell>
        </row>
        <row r="58">
          <cell r="V58">
            <v>250250</v>
          </cell>
          <cell r="Y58">
            <v>455</v>
          </cell>
        </row>
        <row r="59">
          <cell r="V59">
            <v>268240</v>
          </cell>
          <cell r="Y59">
            <v>479</v>
          </cell>
        </row>
        <row r="60">
          <cell r="V60">
            <v>287280</v>
          </cell>
          <cell r="Y60">
            <v>504</v>
          </cell>
        </row>
        <row r="61">
          <cell r="V61">
            <v>307400</v>
          </cell>
          <cell r="Y61">
            <v>530</v>
          </cell>
        </row>
        <row r="62">
          <cell r="V62">
            <v>329220</v>
          </cell>
          <cell r="Y62">
            <v>558</v>
          </cell>
        </row>
        <row r="63">
          <cell r="V63">
            <v>351600</v>
          </cell>
          <cell r="Y63">
            <v>586</v>
          </cell>
        </row>
        <row r="64">
          <cell r="V64">
            <v>375760</v>
          </cell>
          <cell r="Y64">
            <v>616</v>
          </cell>
        </row>
        <row r="65">
          <cell r="V65">
            <v>401140</v>
          </cell>
          <cell r="Y65">
            <v>647</v>
          </cell>
        </row>
        <row r="66">
          <cell r="V66">
            <v>428400</v>
          </cell>
          <cell r="Y66">
            <v>680</v>
          </cell>
        </row>
        <row r="67">
          <cell r="V67">
            <v>456960</v>
          </cell>
          <cell r="Y67">
            <v>714</v>
          </cell>
        </row>
        <row r="68">
          <cell r="V68">
            <v>486850</v>
          </cell>
          <cell r="Y68">
            <v>749</v>
          </cell>
        </row>
        <row r="69">
          <cell r="V69">
            <v>518100</v>
          </cell>
          <cell r="Y69">
            <v>785</v>
          </cell>
        </row>
        <row r="70">
          <cell r="V70">
            <v>551410</v>
          </cell>
          <cell r="Y70">
            <v>823</v>
          </cell>
        </row>
        <row r="71">
          <cell r="V71">
            <v>586160</v>
          </cell>
          <cell r="Y71">
            <v>862</v>
          </cell>
        </row>
        <row r="72">
          <cell r="V72">
            <v>623070</v>
          </cell>
          <cell r="Y72">
            <v>903</v>
          </cell>
        </row>
        <row r="73">
          <cell r="V73">
            <v>661500</v>
          </cell>
          <cell r="Y73">
            <v>945</v>
          </cell>
        </row>
        <row r="74">
          <cell r="V74">
            <v>702190</v>
          </cell>
          <cell r="Y74">
            <v>989</v>
          </cell>
        </row>
        <row r="75">
          <cell r="V75">
            <v>745200</v>
          </cell>
          <cell r="Y75">
            <v>1035</v>
          </cell>
        </row>
        <row r="76">
          <cell r="V76">
            <v>789860</v>
          </cell>
          <cell r="Y76">
            <v>1082</v>
          </cell>
        </row>
        <row r="77">
          <cell r="V77">
            <v>836200</v>
          </cell>
          <cell r="Y77">
            <v>1130</v>
          </cell>
        </row>
        <row r="78">
          <cell r="V78">
            <v>885750</v>
          </cell>
          <cell r="Y78">
            <v>1181</v>
          </cell>
        </row>
        <row r="79">
          <cell r="V79">
            <v>937080</v>
          </cell>
          <cell r="Y79">
            <v>1233</v>
          </cell>
        </row>
        <row r="80">
          <cell r="V80">
            <v>990220</v>
          </cell>
          <cell r="Y80">
            <v>1286</v>
          </cell>
        </row>
        <row r="81">
          <cell r="V81">
            <v>1046760</v>
          </cell>
          <cell r="Y81">
            <v>1342</v>
          </cell>
        </row>
        <row r="82">
          <cell r="V82">
            <v>1105210</v>
          </cell>
          <cell r="Y82">
            <v>1399</v>
          </cell>
        </row>
        <row r="83">
          <cell r="V83">
            <v>1166400</v>
          </cell>
          <cell r="Y83">
            <v>1458</v>
          </cell>
        </row>
        <row r="84">
          <cell r="V84">
            <v>1230390</v>
          </cell>
          <cell r="Y84">
            <v>1519</v>
          </cell>
        </row>
        <row r="85">
          <cell r="V85">
            <v>1297240</v>
          </cell>
          <cell r="Y85">
            <v>1582</v>
          </cell>
        </row>
        <row r="86">
          <cell r="V86">
            <v>1367010</v>
          </cell>
          <cell r="Y86">
            <v>1647</v>
          </cell>
        </row>
        <row r="87">
          <cell r="V87">
            <v>1439760</v>
          </cell>
          <cell r="Y87">
            <v>1714</v>
          </cell>
        </row>
        <row r="88">
          <cell r="V88">
            <v>1515550</v>
          </cell>
          <cell r="Y88">
            <v>1783</v>
          </cell>
        </row>
        <row r="89">
          <cell r="V89">
            <v>1594440</v>
          </cell>
          <cell r="Y89">
            <v>1854</v>
          </cell>
        </row>
        <row r="90">
          <cell r="V90">
            <v>1676490</v>
          </cell>
          <cell r="Y90">
            <v>1927</v>
          </cell>
        </row>
        <row r="91">
          <cell r="V91">
            <v>1761760</v>
          </cell>
          <cell r="Y91">
            <v>2002</v>
          </cell>
        </row>
        <row r="92">
          <cell r="V92">
            <v>1851200</v>
          </cell>
          <cell r="Y92">
            <v>2080</v>
          </cell>
        </row>
        <row r="93">
          <cell r="V93">
            <v>1943100</v>
          </cell>
          <cell r="Y93">
            <v>2159</v>
          </cell>
        </row>
        <row r="94">
          <cell r="V94">
            <v>2039310</v>
          </cell>
          <cell r="Y94">
            <v>2241</v>
          </cell>
        </row>
        <row r="95">
          <cell r="V95">
            <v>2139000</v>
          </cell>
          <cell r="Y95">
            <v>2325</v>
          </cell>
        </row>
        <row r="96">
          <cell r="V96">
            <v>2243160</v>
          </cell>
          <cell r="Y96">
            <v>2412</v>
          </cell>
        </row>
        <row r="97">
          <cell r="V97">
            <v>2350000</v>
          </cell>
          <cell r="Y97">
            <v>2500</v>
          </cell>
        </row>
        <row r="98">
          <cell r="V98">
            <v>2461450</v>
          </cell>
          <cell r="Y98">
            <v>2591</v>
          </cell>
        </row>
        <row r="99">
          <cell r="V99">
            <v>2577600</v>
          </cell>
          <cell r="Y99">
            <v>2685</v>
          </cell>
        </row>
        <row r="100">
          <cell r="V100">
            <v>2697570</v>
          </cell>
          <cell r="Y100">
            <v>2781</v>
          </cell>
        </row>
        <row r="101">
          <cell r="V101">
            <v>2822400</v>
          </cell>
          <cell r="Y101">
            <v>2880</v>
          </cell>
        </row>
        <row r="102">
          <cell r="V102">
            <v>2951190</v>
          </cell>
          <cell r="Y102">
            <v>2981</v>
          </cell>
        </row>
        <row r="103">
          <cell r="V103">
            <v>3085000</v>
          </cell>
          <cell r="Y103">
            <v>3085</v>
          </cell>
        </row>
        <row r="104">
          <cell r="Y104">
            <v>3199</v>
          </cell>
        </row>
        <row r="105">
          <cell r="Y105">
            <v>3249</v>
          </cell>
        </row>
        <row r="106">
          <cell r="Y106">
            <v>3298</v>
          </cell>
        </row>
        <row r="107">
          <cell r="Y107">
            <v>3348</v>
          </cell>
        </row>
        <row r="108">
          <cell r="Y108">
            <v>3396</v>
          </cell>
        </row>
        <row r="109">
          <cell r="Y109">
            <v>3445</v>
          </cell>
        </row>
        <row r="110">
          <cell r="Y110">
            <v>3494</v>
          </cell>
        </row>
        <row r="111">
          <cell r="Y111">
            <v>3542</v>
          </cell>
        </row>
        <row r="112">
          <cell r="Y112">
            <v>3590</v>
          </cell>
        </row>
        <row r="113">
          <cell r="Y113">
            <v>3638</v>
          </cell>
        </row>
        <row r="114">
          <cell r="Y114">
            <v>3685</v>
          </cell>
        </row>
        <row r="115">
          <cell r="Y115">
            <v>3733</v>
          </cell>
        </row>
        <row r="116">
          <cell r="Y116">
            <v>3780</v>
          </cell>
        </row>
        <row r="117">
          <cell r="Y117">
            <v>3827</v>
          </cell>
        </row>
        <row r="118">
          <cell r="Y118">
            <v>3873</v>
          </cell>
        </row>
        <row r="119">
          <cell r="Y119">
            <v>3920</v>
          </cell>
        </row>
        <row r="120">
          <cell r="Y120">
            <v>3966</v>
          </cell>
        </row>
        <row r="121">
          <cell r="Y121">
            <v>4012</v>
          </cell>
        </row>
        <row r="122">
          <cell r="Y122">
            <v>4058</v>
          </cell>
        </row>
        <row r="123">
          <cell r="Y123">
            <v>4104</v>
          </cell>
        </row>
        <row r="124">
          <cell r="Y124">
            <v>4150</v>
          </cell>
        </row>
        <row r="125">
          <cell r="Y125">
            <v>4195</v>
          </cell>
        </row>
        <row r="126">
          <cell r="Y126">
            <v>4240</v>
          </cell>
        </row>
        <row r="127">
          <cell r="Y127">
            <v>4285</v>
          </cell>
        </row>
        <row r="128">
          <cell r="Y128">
            <v>4330</v>
          </cell>
        </row>
        <row r="129">
          <cell r="Y129">
            <v>4374</v>
          </cell>
        </row>
        <row r="130">
          <cell r="Y130">
            <v>4419</v>
          </cell>
        </row>
        <row r="131">
          <cell r="Y131">
            <v>4463</v>
          </cell>
        </row>
        <row r="132">
          <cell r="Y132">
            <v>4507</v>
          </cell>
        </row>
        <row r="133">
          <cell r="Y133">
            <v>4551</v>
          </cell>
        </row>
        <row r="134">
          <cell r="Y134">
            <v>4595</v>
          </cell>
        </row>
        <row r="135">
          <cell r="Y135">
            <v>4639</v>
          </cell>
        </row>
        <row r="136">
          <cell r="Y136">
            <v>4682</v>
          </cell>
        </row>
        <row r="137">
          <cell r="Y137">
            <v>4725</v>
          </cell>
        </row>
        <row r="138">
          <cell r="Y138">
            <v>4768</v>
          </cell>
        </row>
        <row r="139">
          <cell r="Y139">
            <v>4811</v>
          </cell>
        </row>
        <row r="140">
          <cell r="Y140">
            <v>4854</v>
          </cell>
        </row>
        <row r="141">
          <cell r="Y141">
            <v>4897</v>
          </cell>
        </row>
        <row r="142">
          <cell r="Y142">
            <v>4939</v>
          </cell>
        </row>
        <row r="143">
          <cell r="Y143">
            <v>4982</v>
          </cell>
        </row>
        <row r="144">
          <cell r="Y144">
            <v>5024</v>
          </cell>
        </row>
        <row r="145">
          <cell r="Y145">
            <v>5066</v>
          </cell>
        </row>
        <row r="146">
          <cell r="Y146">
            <v>5108</v>
          </cell>
        </row>
        <row r="147">
          <cell r="Y147">
            <v>5150</v>
          </cell>
        </row>
        <row r="148">
          <cell r="Y148">
            <v>5191</v>
          </cell>
        </row>
        <row r="149">
          <cell r="Y149">
            <v>5233</v>
          </cell>
        </row>
        <row r="150">
          <cell r="Y150">
            <v>5274</v>
          </cell>
        </row>
        <row r="151">
          <cell r="Y151">
            <v>5315</v>
          </cell>
        </row>
        <row r="152">
          <cell r="Y152">
            <v>5356</v>
          </cell>
        </row>
        <row r="153">
          <cell r="Y153">
            <v>5397</v>
          </cell>
        </row>
        <row r="154">
          <cell r="Y154">
            <v>5438</v>
          </cell>
        </row>
        <row r="155">
          <cell r="Y155">
            <v>5478</v>
          </cell>
        </row>
        <row r="156">
          <cell r="Y156">
            <v>5519</v>
          </cell>
        </row>
        <row r="157">
          <cell r="Y157">
            <v>5559</v>
          </cell>
        </row>
        <row r="158">
          <cell r="Y158">
            <v>5599</v>
          </cell>
        </row>
        <row r="159">
          <cell r="Y159">
            <v>5639</v>
          </cell>
        </row>
        <row r="160">
          <cell r="Y160">
            <v>5679</v>
          </cell>
        </row>
        <row r="161">
          <cell r="Y161">
            <v>5719</v>
          </cell>
        </row>
        <row r="162">
          <cell r="Y162">
            <v>5759</v>
          </cell>
        </row>
        <row r="163">
          <cell r="Y163">
            <v>5799</v>
          </cell>
        </row>
        <row r="164">
          <cell r="Y164">
            <v>5838</v>
          </cell>
        </row>
        <row r="165">
          <cell r="Y165">
            <v>5877</v>
          </cell>
        </row>
        <row r="166">
          <cell r="Y166">
            <v>5917</v>
          </cell>
        </row>
        <row r="167">
          <cell r="Y167">
            <v>5956</v>
          </cell>
        </row>
        <row r="168">
          <cell r="Y168">
            <v>5995</v>
          </cell>
        </row>
        <row r="169">
          <cell r="Y169">
            <v>6034</v>
          </cell>
        </row>
        <row r="170">
          <cell r="Y170">
            <v>6072</v>
          </cell>
        </row>
        <row r="171">
          <cell r="Y171">
            <v>6111</v>
          </cell>
        </row>
        <row r="172">
          <cell r="Y172">
            <v>6150</v>
          </cell>
        </row>
        <row r="173">
          <cell r="Y173">
            <v>6188</v>
          </cell>
        </row>
        <row r="174">
          <cell r="Y174">
            <v>6226</v>
          </cell>
        </row>
        <row r="175">
          <cell r="Y175">
            <v>6264</v>
          </cell>
        </row>
        <row r="176">
          <cell r="Y176">
            <v>6302</v>
          </cell>
        </row>
        <row r="177">
          <cell r="Y177">
            <v>6340</v>
          </cell>
        </row>
        <row r="178">
          <cell r="Y178">
            <v>6378</v>
          </cell>
        </row>
        <row r="179">
          <cell r="Y179">
            <v>6416</v>
          </cell>
        </row>
        <row r="180">
          <cell r="Y180">
            <v>6454</v>
          </cell>
        </row>
        <row r="181">
          <cell r="Y181">
            <v>6491</v>
          </cell>
        </row>
        <row r="182">
          <cell r="Y182">
            <v>6529</v>
          </cell>
        </row>
        <row r="183">
          <cell r="Y183">
            <v>6566</v>
          </cell>
        </row>
        <row r="184">
          <cell r="Y184">
            <v>6603</v>
          </cell>
        </row>
        <row r="185">
          <cell r="Y185">
            <v>6640</v>
          </cell>
        </row>
        <row r="186">
          <cell r="Y186">
            <v>6677</v>
          </cell>
        </row>
        <row r="187">
          <cell r="Y187">
            <v>6714</v>
          </cell>
        </row>
        <row r="188">
          <cell r="Y188">
            <v>6751</v>
          </cell>
        </row>
        <row r="189">
          <cell r="Y189">
            <v>6788</v>
          </cell>
        </row>
        <row r="190">
          <cell r="Y190">
            <v>6824</v>
          </cell>
        </row>
        <row r="191">
          <cell r="Y191">
            <v>6861</v>
          </cell>
        </row>
        <row r="192">
          <cell r="Y192">
            <v>6897</v>
          </cell>
        </row>
        <row r="193">
          <cell r="Y193">
            <v>6934</v>
          </cell>
        </row>
        <row r="194">
          <cell r="Y194">
            <v>6970</v>
          </cell>
        </row>
        <row r="195">
          <cell r="Y195">
            <v>7006</v>
          </cell>
        </row>
        <row r="196">
          <cell r="Y196">
            <v>7042</v>
          </cell>
        </row>
        <row r="197">
          <cell r="Y197">
            <v>7078</v>
          </cell>
        </row>
        <row r="198">
          <cell r="Y198">
            <v>7114</v>
          </cell>
        </row>
        <row r="199">
          <cell r="Y199">
            <v>7150</v>
          </cell>
        </row>
        <row r="200">
          <cell r="Y200">
            <v>7185</v>
          </cell>
        </row>
        <row r="201">
          <cell r="Y201">
            <v>7221</v>
          </cell>
        </row>
        <row r="202">
          <cell r="Y202">
            <v>7256</v>
          </cell>
        </row>
        <row r="203">
          <cell r="Y203">
            <v>7292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33" sqref="C33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3"/>
  <sheetViews>
    <sheetView topLeftCell="A34" zoomScale="85" zoomScaleNormal="85" workbookViewId="0">
      <selection activeCell="D44" sqref="D44:D68"/>
    </sheetView>
  </sheetViews>
  <sheetFormatPr defaultRowHeight="16.5" x14ac:dyDescent="0.35"/>
  <cols>
    <col min="1" max="1" width="9" style="62"/>
    <col min="2" max="2" width="10" style="62" bestFit="1" customWidth="1"/>
    <col min="3" max="3" width="11.25" style="62" bestFit="1" customWidth="1"/>
    <col min="4" max="4" width="13.875" style="62" bestFit="1" customWidth="1"/>
    <col min="5" max="5" width="60.5" style="62" bestFit="1" customWidth="1"/>
    <col min="6" max="8" width="9" style="62"/>
    <col min="9" max="18" width="9" style="63"/>
    <col min="19" max="19" width="20.125" style="63" bestFit="1" customWidth="1"/>
    <col min="20" max="20" width="9" style="63"/>
    <col min="21" max="16384" width="9" style="62"/>
  </cols>
  <sheetData>
    <row r="3" spans="2:21" x14ac:dyDescent="0.35">
      <c r="B3" s="61" t="s">
        <v>139</v>
      </c>
      <c r="C3" s="61" t="s">
        <v>154</v>
      </c>
      <c r="D3" s="61" t="s">
        <v>155</v>
      </c>
      <c r="E3" s="61" t="s">
        <v>156</v>
      </c>
    </row>
    <row r="4" spans="2:21" x14ac:dyDescent="0.35">
      <c r="B4" s="61" t="s">
        <v>1</v>
      </c>
      <c r="C4" s="61"/>
      <c r="D4" s="61">
        <v>1E-3</v>
      </c>
      <c r="E4" s="61"/>
    </row>
    <row r="5" spans="2:21" x14ac:dyDescent="0.35">
      <c r="B5" s="61" t="s">
        <v>157</v>
      </c>
      <c r="C5" s="61"/>
      <c r="D5" s="61">
        <v>1</v>
      </c>
      <c r="E5" s="61"/>
    </row>
    <row r="6" spans="2:21" x14ac:dyDescent="0.35">
      <c r="B6" s="61" t="s">
        <v>158</v>
      </c>
      <c r="C6" s="61"/>
      <c r="D6" s="61"/>
      <c r="E6" s="61"/>
      <c r="R6" s="62"/>
      <c r="S6" s="62"/>
      <c r="T6" s="62"/>
    </row>
    <row r="7" spans="2:21" x14ac:dyDescent="0.35">
      <c r="B7" s="61" t="s">
        <v>159</v>
      </c>
      <c r="C7" s="61"/>
      <c r="D7" s="61">
        <v>10</v>
      </c>
      <c r="E7" s="61" t="s">
        <v>160</v>
      </c>
      <c r="R7" s="62"/>
      <c r="S7" s="62"/>
      <c r="T7" s="62"/>
    </row>
    <row r="8" spans="2:21" x14ac:dyDescent="0.35">
      <c r="B8" s="61" t="s">
        <v>161</v>
      </c>
      <c r="C8" s="61"/>
      <c r="D8" s="61">
        <v>10</v>
      </c>
      <c r="E8" s="61" t="s">
        <v>162</v>
      </c>
      <c r="R8" s="62"/>
      <c r="S8" s="62"/>
      <c r="T8" s="62"/>
    </row>
    <row r="9" spans="2:21" x14ac:dyDescent="0.35">
      <c r="B9" s="61"/>
      <c r="C9" s="61"/>
      <c r="D9" s="61"/>
      <c r="E9" s="61"/>
      <c r="R9" s="62"/>
      <c r="S9" s="62"/>
      <c r="T9" s="62"/>
    </row>
    <row r="10" spans="2:21" x14ac:dyDescent="0.35">
      <c r="B10" s="61"/>
      <c r="C10" s="61"/>
      <c r="D10" s="61"/>
      <c r="E10" s="61"/>
      <c r="R10" s="64" t="s">
        <v>163</v>
      </c>
      <c r="S10" s="64" t="s">
        <v>164</v>
      </c>
      <c r="T10" s="62" t="s">
        <v>165</v>
      </c>
      <c r="U10" s="64" t="s">
        <v>166</v>
      </c>
    </row>
    <row r="11" spans="2:21" x14ac:dyDescent="0.35">
      <c r="B11" s="65" t="s">
        <v>181</v>
      </c>
      <c r="C11" s="65" t="s">
        <v>181</v>
      </c>
      <c r="D11" s="65">
        <v>10</v>
      </c>
      <c r="E11" s="65"/>
      <c r="R11" s="64" t="s">
        <v>167</v>
      </c>
      <c r="S11" s="64" t="s">
        <v>168</v>
      </c>
      <c r="T11" s="64" t="s">
        <v>169</v>
      </c>
      <c r="U11" s="64" t="s">
        <v>170</v>
      </c>
    </row>
    <row r="12" spans="2:21" x14ac:dyDescent="0.35">
      <c r="B12" s="65" t="s">
        <v>182</v>
      </c>
      <c r="C12" s="65" t="s">
        <v>182</v>
      </c>
      <c r="D12" s="65">
        <f>2*D11</f>
        <v>20</v>
      </c>
      <c r="E12" s="65"/>
      <c r="R12" s="64" t="s">
        <v>171</v>
      </c>
      <c r="S12" s="64" t="s">
        <v>172</v>
      </c>
      <c r="T12" s="64" t="s">
        <v>173</v>
      </c>
      <c r="U12" s="64" t="s">
        <v>174</v>
      </c>
    </row>
    <row r="13" spans="2:21" x14ac:dyDescent="0.35">
      <c r="B13" s="65" t="s">
        <v>140</v>
      </c>
      <c r="C13" s="65" t="s">
        <v>140</v>
      </c>
      <c r="D13" s="65">
        <f t="shared" ref="D13:D19" si="0">2*D12</f>
        <v>40</v>
      </c>
      <c r="E13" s="65"/>
      <c r="R13" s="64" t="s">
        <v>175</v>
      </c>
      <c r="S13" s="64" t="s">
        <v>168</v>
      </c>
      <c r="T13" s="64" t="s">
        <v>176</v>
      </c>
      <c r="U13" s="64" t="s">
        <v>177</v>
      </c>
    </row>
    <row r="14" spans="2:21" x14ac:dyDescent="0.35">
      <c r="B14" s="65" t="s">
        <v>141</v>
      </c>
      <c r="C14" s="65" t="s">
        <v>141</v>
      </c>
      <c r="D14" s="65">
        <f t="shared" si="0"/>
        <v>80</v>
      </c>
      <c r="E14" s="65"/>
      <c r="R14" s="64" t="s">
        <v>178</v>
      </c>
      <c r="S14" s="64" t="s">
        <v>172</v>
      </c>
      <c r="T14" s="64" t="s">
        <v>179</v>
      </c>
      <c r="U14" s="64" t="s">
        <v>180</v>
      </c>
    </row>
    <row r="15" spans="2:21" x14ac:dyDescent="0.35">
      <c r="B15" s="65" t="s">
        <v>142</v>
      </c>
      <c r="C15" s="65" t="s">
        <v>142</v>
      </c>
      <c r="D15" s="65">
        <f t="shared" si="0"/>
        <v>160</v>
      </c>
      <c r="E15" s="65"/>
      <c r="R15" s="62"/>
      <c r="S15" s="62"/>
      <c r="T15" s="62"/>
    </row>
    <row r="16" spans="2:21" x14ac:dyDescent="0.35">
      <c r="B16" s="65" t="s">
        <v>143</v>
      </c>
      <c r="C16" s="65" t="s">
        <v>143</v>
      </c>
      <c r="D16" s="65">
        <f t="shared" si="0"/>
        <v>320</v>
      </c>
      <c r="E16" s="65"/>
    </row>
    <row r="17" spans="2:5" x14ac:dyDescent="0.35">
      <c r="B17" s="65" t="s">
        <v>144</v>
      </c>
      <c r="C17" s="65" t="s">
        <v>144</v>
      </c>
      <c r="D17" s="65">
        <f t="shared" si="0"/>
        <v>640</v>
      </c>
      <c r="E17" s="65"/>
    </row>
    <row r="18" spans="2:5" x14ac:dyDescent="0.35">
      <c r="B18" s="65" t="s">
        <v>145</v>
      </c>
      <c r="C18" s="65" t="s">
        <v>145</v>
      </c>
      <c r="D18" s="65">
        <f t="shared" si="0"/>
        <v>1280</v>
      </c>
      <c r="E18" s="65"/>
    </row>
    <row r="19" spans="2:5" x14ac:dyDescent="0.35">
      <c r="B19" s="65" t="s">
        <v>146</v>
      </c>
      <c r="C19" s="65" t="s">
        <v>146</v>
      </c>
      <c r="D19" s="65">
        <f t="shared" si="0"/>
        <v>2560</v>
      </c>
      <c r="E19" s="65"/>
    </row>
    <row r="20" spans="2:5" x14ac:dyDescent="0.35">
      <c r="B20" s="61" t="s">
        <v>122</v>
      </c>
      <c r="C20" s="61" t="s">
        <v>122</v>
      </c>
      <c r="D20" s="61">
        <v>10</v>
      </c>
      <c r="E20" s="61"/>
    </row>
    <row r="21" spans="2:5" x14ac:dyDescent="0.35">
      <c r="B21" s="61" t="s">
        <v>183</v>
      </c>
      <c r="C21" s="61" t="s">
        <v>183</v>
      </c>
      <c r="D21" s="61">
        <f>2*D20</f>
        <v>20</v>
      </c>
      <c r="E21" s="61"/>
    </row>
    <row r="22" spans="2:5" x14ac:dyDescent="0.35">
      <c r="B22" s="61" t="s">
        <v>184</v>
      </c>
      <c r="C22" s="61" t="s">
        <v>184</v>
      </c>
      <c r="D22" s="61">
        <f t="shared" ref="D22:D29" si="1">2*D21</f>
        <v>40</v>
      </c>
      <c r="E22" s="61"/>
    </row>
    <row r="23" spans="2:5" x14ac:dyDescent="0.35">
      <c r="B23" s="61" t="s">
        <v>185</v>
      </c>
      <c r="C23" s="61" t="s">
        <v>185</v>
      </c>
      <c r="D23" s="61">
        <f t="shared" si="1"/>
        <v>80</v>
      </c>
      <c r="E23" s="61"/>
    </row>
    <row r="24" spans="2:5" x14ac:dyDescent="0.35">
      <c r="B24" s="61" t="s">
        <v>117</v>
      </c>
      <c r="C24" s="61" t="s">
        <v>117</v>
      </c>
      <c r="D24" s="61">
        <f t="shared" si="1"/>
        <v>160</v>
      </c>
      <c r="E24" s="61"/>
    </row>
    <row r="25" spans="2:5" x14ac:dyDescent="0.35">
      <c r="B25" s="61" t="s">
        <v>118</v>
      </c>
      <c r="C25" s="61" t="s">
        <v>118</v>
      </c>
      <c r="D25" s="61">
        <f t="shared" si="1"/>
        <v>320</v>
      </c>
      <c r="E25" s="61"/>
    </row>
    <row r="26" spans="2:5" x14ac:dyDescent="0.35">
      <c r="B26" s="61" t="s">
        <v>119</v>
      </c>
      <c r="C26" s="61" t="s">
        <v>119</v>
      </c>
      <c r="D26" s="61">
        <f t="shared" si="1"/>
        <v>640</v>
      </c>
      <c r="E26" s="61"/>
    </row>
    <row r="27" spans="2:5" x14ac:dyDescent="0.35">
      <c r="B27" s="61" t="s">
        <v>120</v>
      </c>
      <c r="C27" s="61" t="s">
        <v>120</v>
      </c>
      <c r="D27" s="61">
        <f t="shared" si="1"/>
        <v>1280</v>
      </c>
      <c r="E27" s="61"/>
    </row>
    <row r="28" spans="2:5" x14ac:dyDescent="0.35">
      <c r="B28" s="61" t="s">
        <v>121</v>
      </c>
      <c r="C28" s="61" t="s">
        <v>121</v>
      </c>
      <c r="D28" s="61">
        <f t="shared" si="1"/>
        <v>2560</v>
      </c>
      <c r="E28" s="61"/>
    </row>
    <row r="29" spans="2:5" x14ac:dyDescent="0.35">
      <c r="B29" s="61" t="s">
        <v>186</v>
      </c>
      <c r="C29" s="61" t="s">
        <v>186</v>
      </c>
      <c r="D29" s="61">
        <f t="shared" si="1"/>
        <v>5120</v>
      </c>
      <c r="E29" s="61"/>
    </row>
    <row r="30" spans="2:5" x14ac:dyDescent="0.35">
      <c r="B30" s="65" t="s">
        <v>187</v>
      </c>
      <c r="C30" s="65"/>
      <c r="D30" s="65">
        <v>50</v>
      </c>
      <c r="E30" s="65"/>
    </row>
    <row r="31" spans="2:5" x14ac:dyDescent="0.35">
      <c r="B31" s="65" t="s">
        <v>125</v>
      </c>
      <c r="C31" s="65"/>
      <c r="D31" s="65">
        <f>2*D30</f>
        <v>100</v>
      </c>
      <c r="E31" s="65"/>
    </row>
    <row r="32" spans="2:5" x14ac:dyDescent="0.35">
      <c r="B32" s="65" t="s">
        <v>126</v>
      </c>
      <c r="C32" s="65"/>
      <c r="D32" s="65">
        <f t="shared" ref="D32:D39" si="2">2*D31</f>
        <v>200</v>
      </c>
      <c r="E32" s="65"/>
    </row>
    <row r="33" spans="2:5" x14ac:dyDescent="0.35">
      <c r="B33" s="65" t="s">
        <v>127</v>
      </c>
      <c r="C33" s="65"/>
      <c r="D33" s="65">
        <f t="shared" si="2"/>
        <v>400</v>
      </c>
      <c r="E33" s="65"/>
    </row>
    <row r="34" spans="2:5" x14ac:dyDescent="0.35">
      <c r="B34" s="65" t="s">
        <v>128</v>
      </c>
      <c r="C34" s="65"/>
      <c r="D34" s="65">
        <f t="shared" si="2"/>
        <v>800</v>
      </c>
      <c r="E34" s="65"/>
    </row>
    <row r="35" spans="2:5" x14ac:dyDescent="0.35">
      <c r="B35" s="65" t="s">
        <v>129</v>
      </c>
      <c r="C35" s="65"/>
      <c r="D35" s="65">
        <f t="shared" si="2"/>
        <v>1600</v>
      </c>
      <c r="E35" s="65"/>
    </row>
    <row r="36" spans="2:5" x14ac:dyDescent="0.35">
      <c r="B36" s="66" t="s">
        <v>147</v>
      </c>
      <c r="C36" s="66"/>
      <c r="D36" s="66">
        <f t="shared" si="2"/>
        <v>3200</v>
      </c>
      <c r="E36" s="66"/>
    </row>
    <row r="37" spans="2:5" x14ac:dyDescent="0.35">
      <c r="B37" s="66" t="s">
        <v>148</v>
      </c>
      <c r="C37" s="66"/>
      <c r="D37" s="66">
        <f t="shared" si="2"/>
        <v>6400</v>
      </c>
      <c r="E37" s="66"/>
    </row>
    <row r="38" spans="2:5" x14ac:dyDescent="0.35">
      <c r="B38" s="66" t="s">
        <v>149</v>
      </c>
      <c r="C38" s="66"/>
      <c r="D38" s="66">
        <f t="shared" si="2"/>
        <v>12800</v>
      </c>
      <c r="E38" s="66"/>
    </row>
    <row r="39" spans="2:5" x14ac:dyDescent="0.35">
      <c r="B39" s="66" t="s">
        <v>150</v>
      </c>
      <c r="C39" s="66"/>
      <c r="D39" s="66">
        <f t="shared" si="2"/>
        <v>25600</v>
      </c>
      <c r="E39" s="66"/>
    </row>
    <row r="40" spans="2:5" x14ac:dyDescent="0.35">
      <c r="B40" s="61" t="s">
        <v>188</v>
      </c>
      <c r="C40" s="61"/>
      <c r="D40" s="61">
        <v>100</v>
      </c>
      <c r="E40" s="61"/>
    </row>
    <row r="41" spans="2:5" x14ac:dyDescent="0.35">
      <c r="B41" s="61"/>
      <c r="C41" s="61"/>
      <c r="D41" s="61"/>
      <c r="E41" s="61"/>
    </row>
    <row r="42" spans="2:5" x14ac:dyDescent="0.35">
      <c r="B42" s="67" t="s">
        <v>189</v>
      </c>
      <c r="C42" s="67"/>
      <c r="D42" s="67">
        <f>200000*D4</f>
        <v>200</v>
      </c>
      <c r="E42" s="67" t="s">
        <v>190</v>
      </c>
    </row>
    <row r="43" spans="2:5" x14ac:dyDescent="0.35">
      <c r="B43" s="61" t="s">
        <v>191</v>
      </c>
      <c r="C43" s="61"/>
      <c r="D43" s="61">
        <f>200000*D4</f>
        <v>200</v>
      </c>
      <c r="E43" s="61" t="s">
        <v>192</v>
      </c>
    </row>
    <row r="44" spans="2:5" x14ac:dyDescent="0.35">
      <c r="B44" s="61" t="s">
        <v>152</v>
      </c>
      <c r="C44" s="61"/>
      <c r="D44" s="61">
        <v>1</v>
      </c>
      <c r="E44" s="61"/>
    </row>
    <row r="45" spans="2:5" x14ac:dyDescent="0.35">
      <c r="B45" s="61" t="s">
        <v>130</v>
      </c>
      <c r="C45" s="61"/>
      <c r="D45" s="61">
        <f>2*D44</f>
        <v>2</v>
      </c>
      <c r="E45" s="61"/>
    </row>
    <row r="46" spans="2:5" x14ac:dyDescent="0.35">
      <c r="B46" s="61" t="s">
        <v>131</v>
      </c>
      <c r="C46" s="61"/>
      <c r="D46" s="61">
        <f t="shared" ref="D46:D93" si="3">2*D45</f>
        <v>4</v>
      </c>
      <c r="E46" s="61"/>
    </row>
    <row r="47" spans="2:5" x14ac:dyDescent="0.35">
      <c r="B47" s="61" t="s">
        <v>132</v>
      </c>
      <c r="C47" s="61"/>
      <c r="D47" s="61">
        <f t="shared" si="3"/>
        <v>8</v>
      </c>
      <c r="E47" s="61"/>
    </row>
    <row r="48" spans="2:5" x14ac:dyDescent="0.35">
      <c r="B48" s="61" t="s">
        <v>133</v>
      </c>
      <c r="C48" s="61"/>
      <c r="D48" s="61">
        <f t="shared" si="3"/>
        <v>16</v>
      </c>
      <c r="E48" s="61"/>
    </row>
    <row r="49" spans="2:5" x14ac:dyDescent="0.35">
      <c r="B49" s="61" t="s">
        <v>134</v>
      </c>
      <c r="C49" s="61"/>
      <c r="D49" s="61">
        <f t="shared" si="3"/>
        <v>32</v>
      </c>
      <c r="E49" s="61"/>
    </row>
    <row r="50" spans="2:5" x14ac:dyDescent="0.35">
      <c r="B50" s="61" t="s">
        <v>135</v>
      </c>
      <c r="C50" s="61"/>
      <c r="D50" s="61">
        <f t="shared" si="3"/>
        <v>64</v>
      </c>
      <c r="E50" s="61"/>
    </row>
    <row r="51" spans="2:5" x14ac:dyDescent="0.35">
      <c r="B51" s="61" t="s">
        <v>136</v>
      </c>
      <c r="C51" s="61"/>
      <c r="D51" s="61">
        <f t="shared" si="3"/>
        <v>128</v>
      </c>
      <c r="E51" s="61"/>
    </row>
    <row r="52" spans="2:5" x14ac:dyDescent="0.35">
      <c r="B52" s="61" t="s">
        <v>137</v>
      </c>
      <c r="C52" s="61"/>
      <c r="D52" s="61">
        <f t="shared" si="3"/>
        <v>256</v>
      </c>
      <c r="E52" s="61"/>
    </row>
    <row r="53" spans="2:5" x14ac:dyDescent="0.35">
      <c r="B53" s="61" t="s">
        <v>138</v>
      </c>
      <c r="C53" s="61"/>
      <c r="D53" s="61">
        <f t="shared" si="3"/>
        <v>512</v>
      </c>
      <c r="E53" s="61"/>
    </row>
    <row r="54" spans="2:5" x14ac:dyDescent="0.35">
      <c r="B54" s="61" t="s">
        <v>193</v>
      </c>
      <c r="C54" s="61"/>
      <c r="D54" s="61">
        <f t="shared" si="3"/>
        <v>1024</v>
      </c>
      <c r="E54" s="61"/>
    </row>
    <row r="55" spans="2:5" x14ac:dyDescent="0.35">
      <c r="B55" s="61" t="s">
        <v>194</v>
      </c>
      <c r="C55" s="61"/>
      <c r="D55" s="61">
        <f t="shared" si="3"/>
        <v>2048</v>
      </c>
      <c r="E55" s="61"/>
    </row>
    <row r="56" spans="2:5" x14ac:dyDescent="0.35">
      <c r="B56" s="61" t="s">
        <v>195</v>
      </c>
      <c r="C56" s="61"/>
      <c r="D56" s="61">
        <f t="shared" si="3"/>
        <v>4096</v>
      </c>
      <c r="E56" s="61"/>
    </row>
    <row r="57" spans="2:5" x14ac:dyDescent="0.35">
      <c r="B57" s="61" t="s">
        <v>196</v>
      </c>
      <c r="C57" s="61"/>
      <c r="D57" s="61">
        <f t="shared" si="3"/>
        <v>8192</v>
      </c>
      <c r="E57" s="61"/>
    </row>
    <row r="58" spans="2:5" x14ac:dyDescent="0.35">
      <c r="B58" s="61" t="s">
        <v>197</v>
      </c>
      <c r="C58" s="61"/>
      <c r="D58" s="61">
        <f t="shared" si="3"/>
        <v>16384</v>
      </c>
      <c r="E58" s="61"/>
    </row>
    <row r="59" spans="2:5" x14ac:dyDescent="0.35">
      <c r="B59" s="61" t="s">
        <v>198</v>
      </c>
      <c r="C59" s="61"/>
      <c r="D59" s="61">
        <f t="shared" si="3"/>
        <v>32768</v>
      </c>
      <c r="E59" s="61"/>
    </row>
    <row r="60" spans="2:5" x14ac:dyDescent="0.35">
      <c r="B60" s="61" t="s">
        <v>199</v>
      </c>
      <c r="C60" s="61"/>
      <c r="D60" s="61">
        <f t="shared" si="3"/>
        <v>65536</v>
      </c>
      <c r="E60" s="61"/>
    </row>
    <row r="61" spans="2:5" x14ac:dyDescent="0.35">
      <c r="B61" s="61" t="s">
        <v>200</v>
      </c>
      <c r="C61" s="61"/>
      <c r="D61" s="61">
        <f t="shared" si="3"/>
        <v>131072</v>
      </c>
      <c r="E61" s="61"/>
    </row>
    <row r="62" spans="2:5" x14ac:dyDescent="0.35">
      <c r="B62" s="61" t="s">
        <v>201</v>
      </c>
      <c r="C62" s="61"/>
      <c r="D62" s="61">
        <f t="shared" si="3"/>
        <v>262144</v>
      </c>
      <c r="E62" s="61"/>
    </row>
    <row r="63" spans="2:5" x14ac:dyDescent="0.35">
      <c r="B63" s="61" t="s">
        <v>202</v>
      </c>
      <c r="C63" s="61"/>
      <c r="D63" s="61">
        <f t="shared" si="3"/>
        <v>524288</v>
      </c>
      <c r="E63" s="61"/>
    </row>
    <row r="64" spans="2:5" x14ac:dyDescent="0.35">
      <c r="B64" s="61" t="s">
        <v>203</v>
      </c>
      <c r="C64" s="61"/>
      <c r="D64" s="61">
        <f t="shared" si="3"/>
        <v>1048576</v>
      </c>
      <c r="E64" s="61"/>
    </row>
    <row r="65" spans="2:5" x14ac:dyDescent="0.35">
      <c r="B65" s="61" t="s">
        <v>204</v>
      </c>
      <c r="C65" s="61"/>
      <c r="D65" s="61">
        <f t="shared" si="3"/>
        <v>2097152</v>
      </c>
      <c r="E65" s="61"/>
    </row>
    <row r="66" spans="2:5" x14ac:dyDescent="0.35">
      <c r="B66" s="61" t="s">
        <v>205</v>
      </c>
      <c r="C66" s="61"/>
      <c r="D66" s="61">
        <f t="shared" si="3"/>
        <v>4194304</v>
      </c>
      <c r="E66" s="61"/>
    </row>
    <row r="67" spans="2:5" x14ac:dyDescent="0.35">
      <c r="B67" s="61" t="s">
        <v>206</v>
      </c>
      <c r="C67" s="61"/>
      <c r="D67" s="61">
        <f t="shared" si="3"/>
        <v>8388608</v>
      </c>
      <c r="E67" s="61"/>
    </row>
    <row r="68" spans="2:5" x14ac:dyDescent="0.35">
      <c r="B68" s="61" t="s">
        <v>207</v>
      </c>
      <c r="C68" s="61"/>
      <c r="D68" s="61">
        <f t="shared" si="3"/>
        <v>16777216</v>
      </c>
      <c r="E68" s="61"/>
    </row>
    <row r="69" spans="2:5" x14ac:dyDescent="0.35">
      <c r="B69" s="61" t="s">
        <v>208</v>
      </c>
      <c r="C69" s="61"/>
      <c r="D69" s="61">
        <f t="shared" si="3"/>
        <v>33554432</v>
      </c>
      <c r="E69" s="61"/>
    </row>
    <row r="70" spans="2:5" x14ac:dyDescent="0.35">
      <c r="B70" s="61" t="s">
        <v>209</v>
      </c>
      <c r="C70" s="61"/>
      <c r="D70" s="61">
        <f t="shared" si="3"/>
        <v>67108864</v>
      </c>
      <c r="E70" s="61"/>
    </row>
    <row r="71" spans="2:5" x14ac:dyDescent="0.35">
      <c r="B71" s="61" t="s">
        <v>210</v>
      </c>
      <c r="C71" s="61"/>
      <c r="D71" s="61">
        <f t="shared" si="3"/>
        <v>134217728</v>
      </c>
      <c r="E71" s="61"/>
    </row>
    <row r="72" spans="2:5" x14ac:dyDescent="0.35">
      <c r="B72" s="61" t="s">
        <v>211</v>
      </c>
      <c r="C72" s="61"/>
      <c r="D72" s="61">
        <f t="shared" si="3"/>
        <v>268435456</v>
      </c>
      <c r="E72" s="61"/>
    </row>
    <row r="73" spans="2:5" x14ac:dyDescent="0.35">
      <c r="B73" s="61" t="s">
        <v>212</v>
      </c>
      <c r="C73" s="61"/>
      <c r="D73" s="61">
        <f t="shared" si="3"/>
        <v>536870912</v>
      </c>
      <c r="E73" s="61"/>
    </row>
    <row r="74" spans="2:5" x14ac:dyDescent="0.35">
      <c r="B74" s="61" t="s">
        <v>213</v>
      </c>
      <c r="C74" s="61"/>
      <c r="D74" s="61">
        <f t="shared" si="3"/>
        <v>1073741824</v>
      </c>
      <c r="E74" s="61"/>
    </row>
    <row r="75" spans="2:5" x14ac:dyDescent="0.35">
      <c r="B75" s="61" t="s">
        <v>214</v>
      </c>
      <c r="C75" s="61"/>
      <c r="D75" s="61">
        <f t="shared" si="3"/>
        <v>2147483648</v>
      </c>
      <c r="E75" s="61"/>
    </row>
    <row r="76" spans="2:5" x14ac:dyDescent="0.35">
      <c r="B76" s="61" t="s">
        <v>215</v>
      </c>
      <c r="C76" s="61"/>
      <c r="D76" s="61">
        <f t="shared" si="3"/>
        <v>4294967296</v>
      </c>
      <c r="E76" s="61"/>
    </row>
    <row r="77" spans="2:5" x14ac:dyDescent="0.35">
      <c r="B77" s="61" t="s">
        <v>216</v>
      </c>
      <c r="C77" s="61"/>
      <c r="D77" s="61">
        <f t="shared" si="3"/>
        <v>8589934592</v>
      </c>
      <c r="E77" s="61"/>
    </row>
    <row r="78" spans="2:5" x14ac:dyDescent="0.35">
      <c r="B78" s="61" t="s">
        <v>217</v>
      </c>
      <c r="C78" s="61"/>
      <c r="D78" s="61">
        <f t="shared" si="3"/>
        <v>17179869184</v>
      </c>
      <c r="E78" s="61"/>
    </row>
    <row r="79" spans="2:5" x14ac:dyDescent="0.35">
      <c r="B79" s="61" t="s">
        <v>218</v>
      </c>
      <c r="C79" s="61"/>
      <c r="D79" s="61">
        <f t="shared" si="3"/>
        <v>34359738368</v>
      </c>
      <c r="E79" s="61"/>
    </row>
    <row r="80" spans="2:5" x14ac:dyDescent="0.35">
      <c r="B80" s="61" t="s">
        <v>219</v>
      </c>
      <c r="C80" s="61"/>
      <c r="D80" s="61">
        <f t="shared" si="3"/>
        <v>68719476736</v>
      </c>
      <c r="E80" s="61"/>
    </row>
    <row r="81" spans="2:5" x14ac:dyDescent="0.35">
      <c r="B81" s="61" t="s">
        <v>220</v>
      </c>
      <c r="C81" s="61"/>
      <c r="D81" s="61">
        <f t="shared" si="3"/>
        <v>137438953472</v>
      </c>
      <c r="E81" s="61"/>
    </row>
    <row r="82" spans="2:5" x14ac:dyDescent="0.35">
      <c r="B82" s="61" t="s">
        <v>221</v>
      </c>
      <c r="C82" s="61"/>
      <c r="D82" s="61">
        <f t="shared" si="3"/>
        <v>274877906944</v>
      </c>
      <c r="E82" s="61"/>
    </row>
    <row r="83" spans="2:5" x14ac:dyDescent="0.35">
      <c r="B83" s="61" t="s">
        <v>222</v>
      </c>
      <c r="C83" s="61"/>
      <c r="D83" s="61">
        <f t="shared" si="3"/>
        <v>549755813888</v>
      </c>
      <c r="E83" s="61"/>
    </row>
    <row r="84" spans="2:5" x14ac:dyDescent="0.35">
      <c r="B84" s="61" t="s">
        <v>223</v>
      </c>
      <c r="C84" s="61"/>
      <c r="D84" s="61">
        <f t="shared" si="3"/>
        <v>1099511627776</v>
      </c>
      <c r="E84" s="61"/>
    </row>
    <row r="85" spans="2:5" x14ac:dyDescent="0.35">
      <c r="B85" s="61" t="s">
        <v>224</v>
      </c>
      <c r="C85" s="61"/>
      <c r="D85" s="61">
        <f t="shared" si="3"/>
        <v>2199023255552</v>
      </c>
      <c r="E85" s="61"/>
    </row>
    <row r="86" spans="2:5" x14ac:dyDescent="0.35">
      <c r="B86" s="61" t="s">
        <v>225</v>
      </c>
      <c r="C86" s="61"/>
      <c r="D86" s="61">
        <f t="shared" si="3"/>
        <v>4398046511104</v>
      </c>
      <c r="E86" s="61"/>
    </row>
    <row r="87" spans="2:5" x14ac:dyDescent="0.35">
      <c r="B87" s="61" t="s">
        <v>226</v>
      </c>
      <c r="C87" s="61"/>
      <c r="D87" s="61">
        <f t="shared" si="3"/>
        <v>8796093022208</v>
      </c>
      <c r="E87" s="61"/>
    </row>
    <row r="88" spans="2:5" x14ac:dyDescent="0.35">
      <c r="B88" s="61" t="s">
        <v>227</v>
      </c>
      <c r="C88" s="61"/>
      <c r="D88" s="61">
        <f t="shared" si="3"/>
        <v>17592186044416</v>
      </c>
      <c r="E88" s="61"/>
    </row>
    <row r="89" spans="2:5" x14ac:dyDescent="0.35">
      <c r="B89" s="61" t="s">
        <v>228</v>
      </c>
      <c r="C89" s="61"/>
      <c r="D89" s="61">
        <f t="shared" si="3"/>
        <v>35184372088832</v>
      </c>
      <c r="E89" s="61"/>
    </row>
    <row r="90" spans="2:5" x14ac:dyDescent="0.35">
      <c r="B90" s="61" t="s">
        <v>229</v>
      </c>
      <c r="C90" s="61"/>
      <c r="D90" s="61">
        <f t="shared" si="3"/>
        <v>70368744177664</v>
      </c>
      <c r="E90" s="61"/>
    </row>
    <row r="91" spans="2:5" x14ac:dyDescent="0.35">
      <c r="B91" s="61" t="s">
        <v>230</v>
      </c>
      <c r="C91" s="61"/>
      <c r="D91" s="61">
        <f t="shared" si="3"/>
        <v>140737488355328</v>
      </c>
      <c r="E91" s="61"/>
    </row>
    <row r="92" spans="2:5" x14ac:dyDescent="0.35">
      <c r="B92" s="61" t="s">
        <v>231</v>
      </c>
      <c r="C92" s="61"/>
      <c r="D92" s="61">
        <f t="shared" si="3"/>
        <v>281474976710656</v>
      </c>
      <c r="E92" s="61"/>
    </row>
    <row r="93" spans="2:5" x14ac:dyDescent="0.35">
      <c r="B93" s="61" t="s">
        <v>232</v>
      </c>
      <c r="C93" s="61"/>
      <c r="D93" s="61">
        <f t="shared" si="3"/>
        <v>562949953421312</v>
      </c>
      <c r="E93" s="6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abSelected="1" topLeftCell="L148" workbookViewId="0">
      <selection activeCell="Z192" sqref="Z192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148" t="s">
        <v>17</v>
      </c>
      <c r="W2" s="149"/>
      <c r="X2" s="149"/>
      <c r="Y2" s="148" t="s">
        <v>18</v>
      </c>
      <c r="Z2" s="149"/>
      <c r="AA2" s="149"/>
      <c r="AB2" s="149"/>
      <c r="AC2" s="149"/>
      <c r="AD2" s="150" t="s">
        <v>19</v>
      </c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2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153" t="s">
        <v>96</v>
      </c>
      <c r="C87" s="153"/>
      <c r="D87" s="153"/>
      <c r="E87" s="153" t="s">
        <v>95</v>
      </c>
      <c r="F87" s="153"/>
      <c r="G87" s="153"/>
      <c r="H87" s="153" t="s">
        <v>94</v>
      </c>
      <c r="I87" s="153"/>
      <c r="J87" s="153"/>
      <c r="K87" s="153" t="s">
        <v>93</v>
      </c>
      <c r="L87" s="153"/>
      <c r="M87" s="153"/>
      <c r="N87" s="153" t="s">
        <v>92</v>
      </c>
      <c r="O87" s="153"/>
      <c r="P87" s="153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11"/>
  <sheetViews>
    <sheetView topLeftCell="AF1" zoomScale="85" zoomScaleNormal="85" workbookViewId="0">
      <selection activeCell="AK32" sqref="AK32"/>
    </sheetView>
  </sheetViews>
  <sheetFormatPr defaultRowHeight="16.5" x14ac:dyDescent="0.35"/>
  <cols>
    <col min="1" max="2" width="9" style="56"/>
    <col min="3" max="3" width="19.25" style="56" bestFit="1" customWidth="1"/>
    <col min="4" max="4" width="22.875" style="56" bestFit="1" customWidth="1"/>
    <col min="5" max="5" width="19.25" style="56" bestFit="1" customWidth="1"/>
    <col min="6" max="6" width="14.625" style="56" bestFit="1" customWidth="1"/>
    <col min="7" max="7" width="11.75" style="56" bestFit="1" customWidth="1"/>
    <col min="8" max="8" width="25.75" style="56" bestFit="1" customWidth="1"/>
    <col min="9" max="9" width="19.25" style="56" bestFit="1" customWidth="1"/>
    <col min="10" max="10" width="14.125" style="56" customWidth="1"/>
    <col min="11" max="11" width="19.25" style="56" bestFit="1" customWidth="1"/>
    <col min="12" max="12" width="22" style="56" bestFit="1" customWidth="1"/>
    <col min="13" max="13" width="15.375" style="56" bestFit="1" customWidth="1"/>
    <col min="14" max="14" width="19.25" style="56" bestFit="1" customWidth="1"/>
    <col min="15" max="19" width="14.125" style="56" customWidth="1"/>
    <col min="20" max="33" width="9" style="56"/>
    <col min="34" max="34" width="31.75" style="56" bestFit="1" customWidth="1"/>
    <col min="35" max="35" width="84.875" style="56" bestFit="1" customWidth="1"/>
    <col min="36" max="37" width="83.75" style="56" bestFit="1" customWidth="1"/>
    <col min="38" max="16384" width="9" style="56"/>
  </cols>
  <sheetData>
    <row r="1" spans="2:38" ht="17.25" x14ac:dyDescent="0.35">
      <c r="B1" s="69" t="s">
        <v>233</v>
      </c>
    </row>
    <row r="2" spans="2:38" ht="17.25" x14ac:dyDescent="0.35">
      <c r="B2" s="69" t="s">
        <v>234</v>
      </c>
    </row>
    <row r="4" spans="2:38" x14ac:dyDescent="0.35">
      <c r="B4" s="57" t="s">
        <v>113</v>
      </c>
      <c r="C4" s="57" t="s">
        <v>124</v>
      </c>
      <c r="D4" s="57">
        <f>等级时间!E27</f>
        <v>384</v>
      </c>
      <c r="G4" s="84"/>
    </row>
    <row r="5" spans="2:38" x14ac:dyDescent="0.35">
      <c r="D5" s="68">
        <f>SUM(D7:D12)</f>
        <v>1</v>
      </c>
      <c r="F5" s="68"/>
    </row>
    <row r="6" spans="2:38" x14ac:dyDescent="0.35">
      <c r="B6" s="57" t="s">
        <v>114</v>
      </c>
      <c r="C6" s="57" t="s">
        <v>115</v>
      </c>
      <c r="D6" s="57" t="s">
        <v>116</v>
      </c>
      <c r="F6" s="57" t="s">
        <v>115</v>
      </c>
      <c r="G6" s="57" t="s">
        <v>290</v>
      </c>
      <c r="H6" s="57" t="s">
        <v>339</v>
      </c>
      <c r="I6" s="56" t="s">
        <v>337</v>
      </c>
    </row>
    <row r="7" spans="2:38" x14ac:dyDescent="0.35">
      <c r="B7" s="57">
        <v>1</v>
      </c>
      <c r="C7" s="57" t="s">
        <v>1</v>
      </c>
      <c r="D7" s="59">
        <v>0.25</v>
      </c>
      <c r="F7" s="57" t="s">
        <v>1</v>
      </c>
      <c r="G7" s="57">
        <f>D7*$D$4</f>
        <v>96</v>
      </c>
      <c r="H7" s="57">
        <v>20</v>
      </c>
      <c r="I7" s="56" t="s">
        <v>338</v>
      </c>
    </row>
    <row r="8" spans="2:38" x14ac:dyDescent="0.35">
      <c r="B8" s="57">
        <v>2</v>
      </c>
      <c r="C8" s="57" t="s">
        <v>140</v>
      </c>
      <c r="D8" s="59">
        <v>0.1</v>
      </c>
      <c r="F8" s="57" t="s">
        <v>140</v>
      </c>
      <c r="G8" s="57">
        <f>D8*$D$4</f>
        <v>38.400000000000006</v>
      </c>
      <c r="H8" s="57">
        <v>20</v>
      </c>
    </row>
    <row r="9" spans="2:38" x14ac:dyDescent="0.35">
      <c r="B9" s="57">
        <v>3</v>
      </c>
      <c r="C9" s="57" t="s">
        <v>287</v>
      </c>
      <c r="D9" s="59">
        <v>0.1</v>
      </c>
      <c r="F9" s="57" t="s">
        <v>287</v>
      </c>
      <c r="G9" s="57">
        <f>D9*$D$4</f>
        <v>38.400000000000006</v>
      </c>
      <c r="H9" s="57">
        <v>20</v>
      </c>
    </row>
    <row r="10" spans="2:38" x14ac:dyDescent="0.35">
      <c r="B10" s="57">
        <v>4</v>
      </c>
      <c r="C10" s="57" t="s">
        <v>288</v>
      </c>
      <c r="D10" s="59">
        <v>0.05</v>
      </c>
      <c r="F10" s="58" t="s">
        <v>288</v>
      </c>
      <c r="G10" s="58">
        <f>D10*$D$4</f>
        <v>19.200000000000003</v>
      </c>
      <c r="H10" s="58">
        <v>20</v>
      </c>
      <c r="I10" s="122" t="s">
        <v>389</v>
      </c>
    </row>
    <row r="11" spans="2:38" x14ac:dyDescent="0.35">
      <c r="B11" s="57">
        <v>5</v>
      </c>
      <c r="C11" s="57" t="s">
        <v>289</v>
      </c>
      <c r="D11" s="59">
        <v>0.5</v>
      </c>
      <c r="F11" s="57" t="s">
        <v>289</v>
      </c>
      <c r="G11" s="57">
        <f>D11*$D$4</f>
        <v>192</v>
      </c>
      <c r="H11" s="57"/>
    </row>
    <row r="12" spans="2:38" x14ac:dyDescent="0.35">
      <c r="I12" s="60"/>
      <c r="J12" s="60"/>
      <c r="K12" s="60"/>
    </row>
    <row r="14" spans="2:38" ht="17.25" thickBot="1" x14ac:dyDescent="0.4">
      <c r="B14" s="112" t="s">
        <v>378</v>
      </c>
      <c r="E14" s="147">
        <v>1</v>
      </c>
      <c r="F14" s="147">
        <v>2</v>
      </c>
      <c r="G14" s="147">
        <v>3</v>
      </c>
      <c r="H14" s="147">
        <v>4</v>
      </c>
      <c r="I14" s="147">
        <v>5</v>
      </c>
      <c r="J14" s="147">
        <v>6</v>
      </c>
      <c r="K14" s="147">
        <v>7</v>
      </c>
      <c r="L14" s="147">
        <v>8</v>
      </c>
      <c r="M14" s="147">
        <v>9</v>
      </c>
      <c r="N14" s="147">
        <v>10</v>
      </c>
      <c r="O14" s="147">
        <v>11</v>
      </c>
      <c r="P14" s="147">
        <v>12</v>
      </c>
      <c r="Q14" s="147">
        <v>13</v>
      </c>
      <c r="R14" s="147">
        <v>14</v>
      </c>
      <c r="S14" s="147">
        <v>15</v>
      </c>
    </row>
    <row r="15" spans="2:38" x14ac:dyDescent="0.35">
      <c r="B15" s="131" t="s">
        <v>291</v>
      </c>
      <c r="C15" s="132" t="s">
        <v>292</v>
      </c>
      <c r="D15" s="132" t="s">
        <v>293</v>
      </c>
      <c r="E15" s="140" t="s">
        <v>123</v>
      </c>
      <c r="F15" s="140" t="s">
        <v>153</v>
      </c>
      <c r="G15" s="140" t="s">
        <v>131</v>
      </c>
      <c r="H15" s="140" t="s">
        <v>132</v>
      </c>
      <c r="I15" s="140" t="s">
        <v>133</v>
      </c>
      <c r="J15" s="140" t="s">
        <v>134</v>
      </c>
      <c r="K15" s="140" t="s">
        <v>135</v>
      </c>
      <c r="L15" s="140" t="s">
        <v>136</v>
      </c>
      <c r="M15" s="140" t="s">
        <v>137</v>
      </c>
      <c r="N15" s="140" t="s">
        <v>138</v>
      </c>
      <c r="O15" s="132" t="s">
        <v>193</v>
      </c>
      <c r="P15" s="132" t="s">
        <v>194</v>
      </c>
      <c r="Q15" s="132" t="s">
        <v>195</v>
      </c>
      <c r="R15" s="132" t="s">
        <v>196</v>
      </c>
      <c r="S15" s="133" t="s">
        <v>197</v>
      </c>
      <c r="T15" s="60"/>
      <c r="AG15" s="57"/>
      <c r="AH15" s="57" t="s">
        <v>404</v>
      </c>
      <c r="AI15" s="57" t="s">
        <v>405</v>
      </c>
      <c r="AJ15" s="57" t="s">
        <v>415</v>
      </c>
      <c r="AK15" s="57" t="s">
        <v>416</v>
      </c>
      <c r="AL15" s="56" t="s">
        <v>426</v>
      </c>
    </row>
    <row r="16" spans="2:38" x14ac:dyDescent="0.35">
      <c r="B16" s="134">
        <v>1</v>
      </c>
      <c r="C16" s="58">
        <v>29</v>
      </c>
      <c r="D16" s="107">
        <f t="shared" ref="D16:D24" si="0">SUM(E16:S16)</f>
        <v>0.49999999999999994</v>
      </c>
      <c r="E16" s="108">
        <v>0.3</v>
      </c>
      <c r="F16" s="108">
        <v>0.15</v>
      </c>
      <c r="G16" s="108">
        <v>0.05</v>
      </c>
      <c r="H16" s="108"/>
      <c r="I16" s="108"/>
      <c r="J16" s="108"/>
      <c r="K16" s="108"/>
      <c r="L16" s="108"/>
      <c r="M16" s="108"/>
      <c r="N16" s="108"/>
      <c r="O16" s="107"/>
      <c r="P16" s="107"/>
      <c r="Q16" s="107"/>
      <c r="R16" s="107"/>
      <c r="S16" s="135"/>
      <c r="T16" s="60">
        <v>29</v>
      </c>
      <c r="U16" s="56" t="str">
        <f>IF(E16=0,"",E$14&amp;"_1_"&amp;E16*1000)</f>
        <v>1_1_300</v>
      </c>
      <c r="V16" s="56" t="str">
        <f t="shared" ref="V16:Z16" si="1">IF(F16=0,"",F$14&amp;"_1_"&amp;F16*1000)</f>
        <v>2_1_150</v>
      </c>
      <c r="W16" s="56" t="str">
        <f t="shared" si="1"/>
        <v>3_1_50</v>
      </c>
      <c r="X16" s="56" t="str">
        <f t="shared" si="1"/>
        <v/>
      </c>
      <c r="Y16" s="56" t="str">
        <f t="shared" si="1"/>
        <v/>
      </c>
      <c r="Z16" s="56" t="str">
        <f t="shared" si="1"/>
        <v/>
      </c>
      <c r="AA16" s="56" t="str">
        <f t="shared" ref="AA16" si="2">IF(K16=0,"",K$14&amp;"_1_"&amp;K16*1000)</f>
        <v/>
      </c>
      <c r="AB16" s="56" t="str">
        <f t="shared" ref="AB16" si="3">IF(L16=0,"",L$14&amp;"_1_"&amp;L16*1000)</f>
        <v/>
      </c>
      <c r="AC16" s="56" t="str">
        <f t="shared" ref="AC16" si="4">IF(M16=0,"",M$14&amp;"_1_"&amp;M16*1000)</f>
        <v/>
      </c>
      <c r="AD16" s="56" t="str">
        <f t="shared" ref="AD16:AE16" si="5">IF(N16=0,"",N$14&amp;"_1_"&amp;N16*1000)</f>
        <v/>
      </c>
      <c r="AE16" s="56" t="str">
        <f t="shared" si="5"/>
        <v/>
      </c>
      <c r="AG16" s="57">
        <v>29</v>
      </c>
      <c r="AH16" s="57" t="str">
        <f>U16&amp;","&amp;V16&amp;","&amp;W16</f>
        <v>1_1_300,2_1_150,3_1_50</v>
      </c>
      <c r="AI16" s="57" t="s">
        <v>395</v>
      </c>
      <c r="AJ16" s="57" t="s">
        <v>406</v>
      </c>
      <c r="AK16" s="57" t="s">
        <v>417</v>
      </c>
      <c r="AL16" s="56" t="str">
        <f>AH16&amp;","&amp;AI16&amp;","&amp;AJ16&amp;","&amp;AK16&amp;",7001_5_50"</f>
        <v>1_1_300,2_1_150,3_1_50,70002_5000_75,70002_10000_75,70002_20000_50,70002_40000_30,70002_80000_20,70003_5000_30,70003_10000_30,70003_20000_20,70003_40000_12,70003_80000_8,70004_5000_30,70004_10000_30,70004_20000_20,70004_40000_12,70004_80000_8,7001_5_50</v>
      </c>
    </row>
    <row r="17" spans="2:38" x14ac:dyDescent="0.35">
      <c r="B17" s="134">
        <f>C16+1</f>
        <v>30</v>
      </c>
      <c r="C17" s="58">
        <f>C16+10</f>
        <v>39</v>
      </c>
      <c r="D17" s="107">
        <f t="shared" si="0"/>
        <v>0.49999999999999994</v>
      </c>
      <c r="E17" s="108">
        <v>0.15</v>
      </c>
      <c r="F17" s="108">
        <v>0.2</v>
      </c>
      <c r="G17" s="108">
        <v>0.1</v>
      </c>
      <c r="H17" s="108">
        <v>0.05</v>
      </c>
      <c r="I17" s="108"/>
      <c r="J17" s="108"/>
      <c r="K17" s="108"/>
      <c r="L17" s="108"/>
      <c r="M17" s="108"/>
      <c r="N17" s="108"/>
      <c r="O17" s="107"/>
      <c r="P17" s="107"/>
      <c r="Q17" s="107"/>
      <c r="R17" s="107"/>
      <c r="S17" s="135"/>
      <c r="T17" s="60">
        <v>39</v>
      </c>
      <c r="U17" s="56" t="str">
        <f t="shared" ref="U17:U23" si="6">IF(E17=0,"",E$14&amp;"_1_"&amp;E17*1000)</f>
        <v>1_1_150</v>
      </c>
      <c r="V17" s="56" t="str">
        <f t="shared" ref="V17:V23" si="7">IF(F17=0,"",F$14&amp;"_1_"&amp;F17*1000)</f>
        <v>2_1_200</v>
      </c>
      <c r="W17" s="56" t="str">
        <f t="shared" ref="W17:W23" si="8">IF(G17=0,"",G$14&amp;"_1_"&amp;G17*1000)</f>
        <v>3_1_100</v>
      </c>
      <c r="X17" s="56" t="str">
        <f t="shared" ref="X17:X23" si="9">IF(H17=0,"",H$14&amp;"_1_"&amp;H17*1000)</f>
        <v>4_1_50</v>
      </c>
      <c r="Y17" s="56" t="str">
        <f t="shared" ref="Y17:Y23" si="10">IF(I17=0,"",I$14&amp;"_1_"&amp;I17*1000)</f>
        <v/>
      </c>
      <c r="Z17" s="56" t="str">
        <f t="shared" ref="Z17:Z23" si="11">IF(J17=0,"",J$14&amp;"_1_"&amp;J17*1000)</f>
        <v/>
      </c>
      <c r="AA17" s="56" t="str">
        <f t="shared" ref="AA17:AA23" si="12">IF(K17=0,"",K$14&amp;"_1_"&amp;K17*1000)</f>
        <v/>
      </c>
      <c r="AB17" s="56" t="str">
        <f t="shared" ref="AB17:AB23" si="13">IF(L17=0,"",L$14&amp;"_1_"&amp;L17*1000)</f>
        <v/>
      </c>
      <c r="AC17" s="56" t="str">
        <f t="shared" ref="AC17:AC23" si="14">IF(M17=0,"",M$14&amp;"_1_"&amp;M17*1000)</f>
        <v/>
      </c>
      <c r="AD17" s="56" t="str">
        <f t="shared" ref="AD17:AD23" si="15">IF(N17=0,"",N$14&amp;"_1_"&amp;N17*1000)</f>
        <v/>
      </c>
      <c r="AE17" s="56" t="str">
        <f t="shared" ref="AE17:AE23" si="16">IF(O17=0,"",O$14&amp;"_1_"&amp;O17*1000)</f>
        <v/>
      </c>
      <c r="AG17" s="57">
        <v>39</v>
      </c>
      <c r="AH17" s="57" t="str">
        <f>U17&amp;","&amp;V17&amp;","&amp;W17&amp;","&amp;X17</f>
        <v>1_1_150,2_1_200,3_1_100,4_1_50</v>
      </c>
      <c r="AI17" s="57" t="s">
        <v>396</v>
      </c>
      <c r="AJ17" s="57" t="s">
        <v>407</v>
      </c>
      <c r="AK17" s="57" t="s">
        <v>418</v>
      </c>
      <c r="AL17" s="56" t="str">
        <f t="shared" ref="AL17:AL24" si="17">AH17&amp;","&amp;AI17&amp;","&amp;AJ17&amp;","&amp;AK17&amp;",7001_5_50"</f>
        <v>1_1_150,2_1_200,3_1_100,4_1_50,70002_7500_75,70002_15000_75,70002_30000_50,70002_60000_30,70002_120000_20,70003_7500_30,70003_15000_30,70003_30000_20,70003_60000_12,70003_120000_8,70004_7500_30,70004_15000_30,70004_30000_20,70004_60000_12,70004_120000_8,7001_5_50</v>
      </c>
    </row>
    <row r="18" spans="2:38" x14ac:dyDescent="0.35">
      <c r="B18" s="134">
        <f t="shared" ref="B18:B28" si="18">C17+1</f>
        <v>40</v>
      </c>
      <c r="C18" s="58">
        <f t="shared" ref="C18:C23" si="19">C17+10</f>
        <v>49</v>
      </c>
      <c r="D18" s="107">
        <f t="shared" si="0"/>
        <v>0.49999999999999994</v>
      </c>
      <c r="E18" s="108"/>
      <c r="F18" s="108">
        <v>0.2</v>
      </c>
      <c r="G18" s="108">
        <v>0.15</v>
      </c>
      <c r="H18" s="108">
        <v>0.1</v>
      </c>
      <c r="I18" s="108">
        <v>0.05</v>
      </c>
      <c r="J18" s="108"/>
      <c r="K18" s="108"/>
      <c r="L18" s="108"/>
      <c r="M18" s="108"/>
      <c r="N18" s="108"/>
      <c r="O18" s="107"/>
      <c r="P18" s="107"/>
      <c r="Q18" s="107"/>
      <c r="R18" s="107"/>
      <c r="S18" s="135"/>
      <c r="T18" s="60">
        <v>49</v>
      </c>
      <c r="U18" s="56" t="str">
        <f t="shared" si="6"/>
        <v/>
      </c>
      <c r="V18" s="56" t="str">
        <f t="shared" si="7"/>
        <v>2_1_200</v>
      </c>
      <c r="W18" s="56" t="str">
        <f t="shared" si="8"/>
        <v>3_1_150</v>
      </c>
      <c r="X18" s="56" t="str">
        <f t="shared" si="9"/>
        <v>4_1_100</v>
      </c>
      <c r="Y18" s="56" t="str">
        <f t="shared" si="10"/>
        <v>5_1_50</v>
      </c>
      <c r="Z18" s="56" t="str">
        <f t="shared" si="11"/>
        <v/>
      </c>
      <c r="AA18" s="56" t="str">
        <f t="shared" si="12"/>
        <v/>
      </c>
      <c r="AB18" s="56" t="str">
        <f t="shared" si="13"/>
        <v/>
      </c>
      <c r="AC18" s="56" t="str">
        <f t="shared" si="14"/>
        <v/>
      </c>
      <c r="AD18" s="56" t="str">
        <f t="shared" si="15"/>
        <v/>
      </c>
      <c r="AE18" s="56" t="str">
        <f t="shared" si="16"/>
        <v/>
      </c>
      <c r="AG18" s="57">
        <v>49</v>
      </c>
      <c r="AH18" s="57" t="str">
        <f>V18&amp;","&amp;W18&amp;","&amp;X18&amp;","&amp;Y18</f>
        <v>2_1_200,3_1_150,4_1_100,5_1_50</v>
      </c>
      <c r="AI18" s="57" t="s">
        <v>397</v>
      </c>
      <c r="AJ18" s="57" t="s">
        <v>408</v>
      </c>
      <c r="AK18" s="57" t="s">
        <v>419</v>
      </c>
      <c r="AL18" s="56" t="str">
        <f t="shared" si="17"/>
        <v>2_1_200,3_1_150,4_1_100,5_1_50,70002_12500_75,70002_25000_75,70002_50000_50,70002_100000_30,70002_200000_20,70003_12500_30,70003_25000_30,70003_50000_20,70003_100000_12,70003_200000_8,70004_12500_30,70004_25000_30,70004_50000_20,70004_100000_12,70004_200000_8,7001_5_50</v>
      </c>
    </row>
    <row r="19" spans="2:38" x14ac:dyDescent="0.35">
      <c r="B19" s="134">
        <f t="shared" si="18"/>
        <v>50</v>
      </c>
      <c r="C19" s="58">
        <f t="shared" si="19"/>
        <v>59</v>
      </c>
      <c r="D19" s="107">
        <f t="shared" si="0"/>
        <v>0.49999999999999994</v>
      </c>
      <c r="E19" s="108"/>
      <c r="F19" s="108"/>
      <c r="G19" s="108">
        <v>0.2</v>
      </c>
      <c r="H19" s="108">
        <v>0.15</v>
      </c>
      <c r="I19" s="108">
        <v>0.1</v>
      </c>
      <c r="J19" s="108">
        <v>0.05</v>
      </c>
      <c r="K19" s="108"/>
      <c r="L19" s="108"/>
      <c r="M19" s="108"/>
      <c r="N19" s="108"/>
      <c r="O19" s="107"/>
      <c r="P19" s="107"/>
      <c r="Q19" s="107"/>
      <c r="R19" s="107"/>
      <c r="S19" s="135"/>
      <c r="T19" s="60">
        <v>59</v>
      </c>
      <c r="U19" s="56" t="str">
        <f t="shared" si="6"/>
        <v/>
      </c>
      <c r="V19" s="56" t="str">
        <f t="shared" si="7"/>
        <v/>
      </c>
      <c r="W19" s="56" t="str">
        <f t="shared" si="8"/>
        <v>3_1_200</v>
      </c>
      <c r="X19" s="56" t="str">
        <f t="shared" si="9"/>
        <v>4_1_150</v>
      </c>
      <c r="Y19" s="56" t="str">
        <f t="shared" si="10"/>
        <v>5_1_100</v>
      </c>
      <c r="Z19" s="56" t="str">
        <f t="shared" si="11"/>
        <v>6_1_50</v>
      </c>
      <c r="AA19" s="56" t="str">
        <f t="shared" si="12"/>
        <v/>
      </c>
      <c r="AB19" s="56" t="str">
        <f t="shared" si="13"/>
        <v/>
      </c>
      <c r="AC19" s="56" t="str">
        <f t="shared" si="14"/>
        <v/>
      </c>
      <c r="AD19" s="56" t="str">
        <f t="shared" si="15"/>
        <v/>
      </c>
      <c r="AE19" s="56" t="str">
        <f t="shared" si="16"/>
        <v/>
      </c>
      <c r="AG19" s="57">
        <v>59</v>
      </c>
      <c r="AH19" s="57" t="str">
        <f>W19&amp;","&amp;X19&amp;","&amp;Y19&amp;","&amp;Z19</f>
        <v>3_1_200,4_1_150,5_1_100,6_1_50</v>
      </c>
      <c r="AI19" s="57" t="s">
        <v>398</v>
      </c>
      <c r="AJ19" s="57" t="s">
        <v>409</v>
      </c>
      <c r="AK19" s="57" t="s">
        <v>420</v>
      </c>
      <c r="AL19" s="56" t="str">
        <f t="shared" si="17"/>
        <v>3_1_200,4_1_150,5_1_100,6_1_50,70002_17500_75,70002_35000_75,70002_70000_50,70002_140000_30,70002_280000_20,70003_17500_30,70003_35000_30,70003_70000_20,70003_140000_12,70003_280000_8,70004_17500_30,70004_35000_30,70004_70000_20,70004_140000_12,70004_280000_8,7001_5_50</v>
      </c>
    </row>
    <row r="20" spans="2:38" x14ac:dyDescent="0.35">
      <c r="B20" s="134">
        <f t="shared" si="18"/>
        <v>60</v>
      </c>
      <c r="C20" s="58">
        <f t="shared" si="19"/>
        <v>69</v>
      </c>
      <c r="D20" s="107">
        <f t="shared" si="0"/>
        <v>0.49999999999999994</v>
      </c>
      <c r="E20" s="108"/>
      <c r="F20" s="108"/>
      <c r="G20" s="108"/>
      <c r="H20" s="108">
        <v>0.2</v>
      </c>
      <c r="I20" s="108">
        <v>0.15</v>
      </c>
      <c r="J20" s="108">
        <v>0.1</v>
      </c>
      <c r="K20" s="108">
        <v>0.05</v>
      </c>
      <c r="L20" s="108"/>
      <c r="M20" s="108"/>
      <c r="N20" s="108"/>
      <c r="O20" s="107"/>
      <c r="P20" s="107"/>
      <c r="Q20" s="107"/>
      <c r="R20" s="107"/>
      <c r="S20" s="135"/>
      <c r="T20" s="60">
        <v>69</v>
      </c>
      <c r="U20" s="56" t="str">
        <f t="shared" si="6"/>
        <v/>
      </c>
      <c r="V20" s="56" t="str">
        <f t="shared" si="7"/>
        <v/>
      </c>
      <c r="W20" s="56" t="str">
        <f t="shared" si="8"/>
        <v/>
      </c>
      <c r="X20" s="56" t="str">
        <f t="shared" si="9"/>
        <v>4_1_200</v>
      </c>
      <c r="Y20" s="56" t="str">
        <f t="shared" si="10"/>
        <v>5_1_150</v>
      </c>
      <c r="Z20" s="56" t="str">
        <f t="shared" si="11"/>
        <v>6_1_100</v>
      </c>
      <c r="AA20" s="56" t="str">
        <f t="shared" si="12"/>
        <v>7_1_50</v>
      </c>
      <c r="AB20" s="56" t="str">
        <f t="shared" si="13"/>
        <v/>
      </c>
      <c r="AC20" s="56" t="str">
        <f t="shared" si="14"/>
        <v/>
      </c>
      <c r="AD20" s="56" t="str">
        <f t="shared" si="15"/>
        <v/>
      </c>
      <c r="AE20" s="56" t="str">
        <f t="shared" si="16"/>
        <v/>
      </c>
      <c r="AG20" s="57">
        <v>69</v>
      </c>
      <c r="AH20" s="57" t="str">
        <f>X20&amp;","&amp;Y20&amp;","&amp;Z20&amp;","&amp;AA20</f>
        <v>4_1_200,5_1_150,6_1_100,7_1_50</v>
      </c>
      <c r="AI20" s="57" t="s">
        <v>399</v>
      </c>
      <c r="AJ20" s="57" t="s">
        <v>410</v>
      </c>
      <c r="AK20" s="57" t="s">
        <v>421</v>
      </c>
      <c r="AL20" s="56" t="str">
        <f t="shared" si="17"/>
        <v>4_1_200,5_1_150,6_1_100,7_1_50,70002_25000_75,70002_50000_75,70002_100000_50,70002_200000_30,70002_400000_20,70003_25000_30,70003_50000_30,70003_100000_20,70003_200000_12,70003_400000_8,70004_25000_30,70004_50000_30,70004_100000_20,70004_200000_12,70004_400000_8,7001_5_50</v>
      </c>
    </row>
    <row r="21" spans="2:38" x14ac:dyDescent="0.35">
      <c r="B21" s="134">
        <f t="shared" si="18"/>
        <v>70</v>
      </c>
      <c r="C21" s="58">
        <f t="shared" si="19"/>
        <v>79</v>
      </c>
      <c r="D21" s="107">
        <f t="shared" si="0"/>
        <v>0.49999999999999994</v>
      </c>
      <c r="E21" s="108"/>
      <c r="F21" s="108"/>
      <c r="G21" s="108"/>
      <c r="H21" s="108"/>
      <c r="I21" s="108">
        <v>0.2</v>
      </c>
      <c r="J21" s="108">
        <v>0.15</v>
      </c>
      <c r="K21" s="108">
        <v>0.1</v>
      </c>
      <c r="L21" s="108">
        <v>0.05</v>
      </c>
      <c r="M21" s="108"/>
      <c r="N21" s="108"/>
      <c r="O21" s="107"/>
      <c r="P21" s="107"/>
      <c r="Q21" s="107"/>
      <c r="R21" s="107"/>
      <c r="S21" s="135"/>
      <c r="T21" s="60">
        <v>79</v>
      </c>
      <c r="U21" s="56" t="str">
        <f t="shared" si="6"/>
        <v/>
      </c>
      <c r="V21" s="56" t="str">
        <f t="shared" si="7"/>
        <v/>
      </c>
      <c r="W21" s="56" t="str">
        <f t="shared" si="8"/>
        <v/>
      </c>
      <c r="X21" s="56" t="str">
        <f t="shared" si="9"/>
        <v/>
      </c>
      <c r="Y21" s="56" t="str">
        <f t="shared" si="10"/>
        <v>5_1_200</v>
      </c>
      <c r="Z21" s="56" t="str">
        <f t="shared" si="11"/>
        <v>6_1_150</v>
      </c>
      <c r="AA21" s="56" t="str">
        <f t="shared" si="12"/>
        <v>7_1_100</v>
      </c>
      <c r="AB21" s="56" t="str">
        <f t="shared" si="13"/>
        <v>8_1_50</v>
      </c>
      <c r="AC21" s="56" t="str">
        <f t="shared" si="14"/>
        <v/>
      </c>
      <c r="AD21" s="56" t="str">
        <f t="shared" si="15"/>
        <v/>
      </c>
      <c r="AE21" s="56" t="str">
        <f t="shared" si="16"/>
        <v/>
      </c>
      <c r="AG21" s="57">
        <v>79</v>
      </c>
      <c r="AH21" s="57" t="str">
        <f>Y21&amp;","&amp;Z21&amp;","&amp;AA21&amp;","&amp;AB21</f>
        <v>5_1_200,6_1_150,7_1_100,8_1_50</v>
      </c>
      <c r="AI21" s="57" t="s">
        <v>400</v>
      </c>
      <c r="AJ21" s="57" t="s">
        <v>411</v>
      </c>
      <c r="AK21" s="57" t="s">
        <v>422</v>
      </c>
      <c r="AL21" s="56" t="str">
        <f t="shared" si="17"/>
        <v>5_1_200,6_1_150,7_1_100,8_1_50,70002_40000_75,70002_80000_75,70002_160000_50,70002_320000_30,70002_640000_20,70003_40000_30,70003_80000_30,70003_160000_20,70003_320000_12,70003_640000_8,70004_40000_30,70004_80000_30,70004_160000_20,70004_320000_12,70004_640000_8,7001_5_50</v>
      </c>
    </row>
    <row r="22" spans="2:38" x14ac:dyDescent="0.35">
      <c r="B22" s="134">
        <f t="shared" si="18"/>
        <v>80</v>
      </c>
      <c r="C22" s="58">
        <f t="shared" si="19"/>
        <v>89</v>
      </c>
      <c r="D22" s="107">
        <f t="shared" si="0"/>
        <v>0.49999999999999994</v>
      </c>
      <c r="E22" s="108"/>
      <c r="F22" s="108"/>
      <c r="G22" s="108"/>
      <c r="H22" s="108"/>
      <c r="I22" s="108"/>
      <c r="J22" s="108">
        <v>0.2</v>
      </c>
      <c r="K22" s="108">
        <v>0.15</v>
      </c>
      <c r="L22" s="108">
        <v>0.1</v>
      </c>
      <c r="M22" s="108">
        <v>0.05</v>
      </c>
      <c r="N22" s="108"/>
      <c r="O22" s="107"/>
      <c r="P22" s="107"/>
      <c r="Q22" s="107"/>
      <c r="R22" s="107"/>
      <c r="S22" s="135"/>
      <c r="T22" s="60">
        <v>89</v>
      </c>
      <c r="U22" s="56" t="str">
        <f t="shared" si="6"/>
        <v/>
      </c>
      <c r="V22" s="56" t="str">
        <f t="shared" si="7"/>
        <v/>
      </c>
      <c r="W22" s="56" t="str">
        <f t="shared" si="8"/>
        <v/>
      </c>
      <c r="X22" s="56" t="str">
        <f t="shared" si="9"/>
        <v/>
      </c>
      <c r="Y22" s="56" t="str">
        <f t="shared" si="10"/>
        <v/>
      </c>
      <c r="Z22" s="56" t="str">
        <f t="shared" si="11"/>
        <v>6_1_200</v>
      </c>
      <c r="AA22" s="56" t="str">
        <f t="shared" si="12"/>
        <v>7_1_150</v>
      </c>
      <c r="AB22" s="56" t="str">
        <f t="shared" si="13"/>
        <v>8_1_100</v>
      </c>
      <c r="AC22" s="56" t="str">
        <f t="shared" si="14"/>
        <v>9_1_50</v>
      </c>
      <c r="AD22" s="56" t="str">
        <f t="shared" si="15"/>
        <v/>
      </c>
      <c r="AE22" s="56" t="str">
        <f t="shared" si="16"/>
        <v/>
      </c>
      <c r="AG22" s="57">
        <v>89</v>
      </c>
      <c r="AH22" s="57" t="str">
        <f>Z22&amp;","&amp;AA22&amp;","&amp;AB22&amp;","&amp;AC22</f>
        <v>6_1_200,7_1_150,8_1_100,9_1_50</v>
      </c>
      <c r="AI22" s="57" t="s">
        <v>401</v>
      </c>
      <c r="AJ22" s="57" t="s">
        <v>412</v>
      </c>
      <c r="AK22" s="57" t="s">
        <v>423</v>
      </c>
      <c r="AL22" s="56" t="str">
        <f t="shared" si="17"/>
        <v>6_1_200,7_1_150,8_1_100,9_1_50,70002_60000_75,70002_120000_75,70002_240000_50,70002_480000_30,70002_960000_20,70003_60000_30,70003_120000_30,70003_240000_20,70003_480000_12,70003_960000_8,70004_60000_30,70004_120000_30,70004_240000_20,70004_480000_12,70004_960000_8,7001_5_50</v>
      </c>
    </row>
    <row r="23" spans="2:38" ht="17.25" thickBot="1" x14ac:dyDescent="0.4">
      <c r="B23" s="136">
        <f t="shared" si="18"/>
        <v>90</v>
      </c>
      <c r="C23" s="137">
        <f t="shared" si="19"/>
        <v>99</v>
      </c>
      <c r="D23" s="138">
        <f t="shared" si="0"/>
        <v>0.49999999999999994</v>
      </c>
      <c r="E23" s="141"/>
      <c r="F23" s="141"/>
      <c r="G23" s="141"/>
      <c r="H23" s="141"/>
      <c r="I23" s="141"/>
      <c r="J23" s="141"/>
      <c r="K23" s="141">
        <v>0.2</v>
      </c>
      <c r="L23" s="141">
        <v>0.15</v>
      </c>
      <c r="M23" s="141">
        <v>0.1</v>
      </c>
      <c r="N23" s="141">
        <v>0.05</v>
      </c>
      <c r="O23" s="138"/>
      <c r="P23" s="138"/>
      <c r="Q23" s="138"/>
      <c r="R23" s="138"/>
      <c r="S23" s="139"/>
      <c r="T23" s="60">
        <v>99</v>
      </c>
      <c r="U23" s="56" t="str">
        <f t="shared" si="6"/>
        <v/>
      </c>
      <c r="V23" s="56" t="str">
        <f t="shared" si="7"/>
        <v/>
      </c>
      <c r="W23" s="56" t="str">
        <f t="shared" si="8"/>
        <v/>
      </c>
      <c r="X23" s="56" t="str">
        <f t="shared" si="9"/>
        <v/>
      </c>
      <c r="Y23" s="56" t="str">
        <f t="shared" si="10"/>
        <v/>
      </c>
      <c r="Z23" s="56" t="str">
        <f t="shared" si="11"/>
        <v/>
      </c>
      <c r="AA23" s="56" t="str">
        <f t="shared" si="12"/>
        <v>7_1_200</v>
      </c>
      <c r="AB23" s="56" t="str">
        <f t="shared" si="13"/>
        <v>8_1_150</v>
      </c>
      <c r="AC23" s="56" t="str">
        <f t="shared" si="14"/>
        <v>9_1_100</v>
      </c>
      <c r="AD23" s="56" t="str">
        <f t="shared" si="15"/>
        <v>10_1_50</v>
      </c>
      <c r="AE23" s="56" t="str">
        <f t="shared" si="16"/>
        <v/>
      </c>
      <c r="AG23" s="57">
        <v>99</v>
      </c>
      <c r="AH23" s="57" t="str">
        <f>AA23&amp;","&amp;AB23&amp;","&amp;AC23&amp;","&amp;AD23</f>
        <v>7_1_200,8_1_150,9_1_100,10_1_50</v>
      </c>
      <c r="AI23" s="57" t="s">
        <v>402</v>
      </c>
      <c r="AJ23" s="57" t="s">
        <v>413</v>
      </c>
      <c r="AK23" s="57" t="s">
        <v>424</v>
      </c>
      <c r="AL23" s="56" t="str">
        <f t="shared" si="17"/>
        <v>7_1_200,8_1_150,9_1_100,10_1_50,70002_90000_75,70002_180000_75,70002_360000_50,70002_720000_30,70002_1440000_20,70003_90000_30,70003_180000_30,70003_360000_20,70003_720000_12,70003_1440000_8,70004_90000_30,70004_180000_30,70004_360000_20,70004_720000_12,70004_1440000_8,7001_5_50</v>
      </c>
    </row>
    <row r="24" spans="2:38" x14ac:dyDescent="0.35">
      <c r="B24" s="129">
        <f t="shared" si="18"/>
        <v>100</v>
      </c>
      <c r="C24" s="129">
        <f t="shared" ref="C24" si="20">C23+10</f>
        <v>109</v>
      </c>
      <c r="D24" s="130">
        <f t="shared" si="0"/>
        <v>0.49999999999999994</v>
      </c>
      <c r="E24" s="130"/>
      <c r="F24" s="130"/>
      <c r="G24" s="130"/>
      <c r="H24" s="130"/>
      <c r="I24" s="130"/>
      <c r="J24" s="130"/>
      <c r="K24" s="130"/>
      <c r="L24" s="130">
        <v>0.2</v>
      </c>
      <c r="M24" s="130">
        <v>0.15</v>
      </c>
      <c r="N24" s="130">
        <v>0.1</v>
      </c>
      <c r="O24" s="130">
        <v>0.05</v>
      </c>
      <c r="P24" s="130"/>
      <c r="Q24" s="130"/>
      <c r="R24" s="130"/>
      <c r="S24" s="130"/>
      <c r="T24" s="60">
        <v>109</v>
      </c>
      <c r="U24" s="56" t="str">
        <f t="shared" ref="U24" si="21">IF(E24=0,"",E$14&amp;"_1_"&amp;E24*1000)</f>
        <v/>
      </c>
      <c r="V24" s="56" t="str">
        <f t="shared" ref="V24" si="22">IF(F24=0,"",F$14&amp;"_1_"&amp;F24*1000)</f>
        <v/>
      </c>
      <c r="W24" s="56" t="str">
        <f t="shared" ref="W24" si="23">IF(G24=0,"",G$14&amp;"_1_"&amp;G24*1000)</f>
        <v/>
      </c>
      <c r="X24" s="56" t="str">
        <f t="shared" ref="X24" si="24">IF(H24=0,"",H$14&amp;"_1_"&amp;H24*1000)</f>
        <v/>
      </c>
      <c r="Y24" s="56" t="str">
        <f t="shared" ref="Y24" si="25">IF(I24=0,"",I$14&amp;"_1_"&amp;I24*1000)</f>
        <v/>
      </c>
      <c r="Z24" s="56" t="str">
        <f t="shared" ref="Z24" si="26">IF(J24=0,"",J$14&amp;"_1_"&amp;J24*1000)</f>
        <v/>
      </c>
      <c r="AA24" s="56" t="str">
        <f t="shared" ref="AA24" si="27">IF(K24=0,"",K$14&amp;"_1_"&amp;K24*1000)</f>
        <v/>
      </c>
      <c r="AB24" s="56" t="str">
        <f t="shared" ref="AB24" si="28">IF(L24=0,"",L$14&amp;"_1_"&amp;L24*1000)</f>
        <v>8_1_200</v>
      </c>
      <c r="AC24" s="56" t="str">
        <f t="shared" ref="AC24" si="29">IF(M24=0,"",M$14&amp;"_1_"&amp;M24*1000)</f>
        <v>9_1_150</v>
      </c>
      <c r="AD24" s="56" t="str">
        <f t="shared" ref="AD24" si="30">IF(N24=0,"",N$14&amp;"_1_"&amp;N24*1000)</f>
        <v>10_1_100</v>
      </c>
      <c r="AE24" s="56" t="str">
        <f t="shared" ref="AE24" si="31">IF(O24=0,"",O$14&amp;"_1_"&amp;O24*1000)</f>
        <v>11_1_50</v>
      </c>
      <c r="AG24" s="57">
        <v>109</v>
      </c>
      <c r="AH24" s="57" t="str">
        <f>AB24&amp;","&amp;AC24&amp;","&amp;AD24&amp;","&amp;AE24</f>
        <v>8_1_200,9_1_150,10_1_100,11_1_50</v>
      </c>
      <c r="AI24" s="57" t="s">
        <v>403</v>
      </c>
      <c r="AJ24" s="57" t="s">
        <v>414</v>
      </c>
      <c r="AK24" s="57" t="s">
        <v>425</v>
      </c>
      <c r="AL24" s="56" t="str">
        <f t="shared" si="17"/>
        <v>8_1_200,9_1_150,10_1_100,11_1_50,70002_125000_75,70002_250000_75,70002_500000_50,70002_1000000_30,70002_2000000_20,70003_125000_30,70003_250000_30,70003_500000_20,70003_1000000_12,70003_2000000_8,70004_125000_30,70004_250000_30,70004_500000_20,70004_1000000_12,70004_2000000_8,7001_5_50</v>
      </c>
    </row>
    <row r="25" spans="2:38" x14ac:dyDescent="0.35">
      <c r="B25" s="123">
        <f t="shared" si="18"/>
        <v>110</v>
      </c>
      <c r="C25" s="123">
        <f t="shared" ref="C25:C28" si="32">C24+10</f>
        <v>119</v>
      </c>
      <c r="D25" s="128">
        <f t="shared" ref="D25:D28" si="33">SUM(E25:S25)</f>
        <v>0.49999999999999994</v>
      </c>
      <c r="E25" s="128"/>
      <c r="F25" s="128"/>
      <c r="G25" s="128"/>
      <c r="H25" s="128"/>
      <c r="I25" s="128"/>
      <c r="J25" s="128"/>
      <c r="K25" s="128"/>
      <c r="L25" s="128"/>
      <c r="M25" s="128">
        <v>0.2</v>
      </c>
      <c r="N25" s="128">
        <v>0.15</v>
      </c>
      <c r="O25" s="128">
        <v>0.1</v>
      </c>
      <c r="P25" s="128">
        <v>0.05</v>
      </c>
      <c r="Q25" s="128"/>
      <c r="R25" s="128"/>
      <c r="S25" s="128"/>
    </row>
    <row r="26" spans="2:38" x14ac:dyDescent="0.35">
      <c r="B26" s="123">
        <f t="shared" si="18"/>
        <v>120</v>
      </c>
      <c r="C26" s="123">
        <f t="shared" si="32"/>
        <v>129</v>
      </c>
      <c r="D26" s="128">
        <f t="shared" si="33"/>
        <v>0.49999999999999994</v>
      </c>
      <c r="E26" s="128"/>
      <c r="F26" s="128"/>
      <c r="G26" s="128"/>
      <c r="H26" s="128"/>
      <c r="I26" s="128"/>
      <c r="J26" s="128"/>
      <c r="K26" s="128"/>
      <c r="L26" s="128"/>
      <c r="M26" s="128"/>
      <c r="N26" s="128">
        <v>0.2</v>
      </c>
      <c r="O26" s="128">
        <v>0.15</v>
      </c>
      <c r="P26" s="128">
        <v>0.1</v>
      </c>
      <c r="Q26" s="128">
        <v>0.05</v>
      </c>
      <c r="R26" s="128"/>
      <c r="S26" s="128"/>
    </row>
    <row r="27" spans="2:38" x14ac:dyDescent="0.35">
      <c r="B27" s="123">
        <f t="shared" si="18"/>
        <v>130</v>
      </c>
      <c r="C27" s="123">
        <f t="shared" si="32"/>
        <v>139</v>
      </c>
      <c r="D27" s="128">
        <f t="shared" si="33"/>
        <v>0.49999999999999994</v>
      </c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>
        <v>0.2</v>
      </c>
      <c r="P27" s="128">
        <v>0.15</v>
      </c>
      <c r="Q27" s="128">
        <v>0.1</v>
      </c>
      <c r="R27" s="128">
        <v>0.05</v>
      </c>
      <c r="S27" s="128"/>
    </row>
    <row r="28" spans="2:38" x14ac:dyDescent="0.35">
      <c r="B28" s="123">
        <f t="shared" si="18"/>
        <v>140</v>
      </c>
      <c r="C28" s="123">
        <f t="shared" si="32"/>
        <v>149</v>
      </c>
      <c r="D28" s="128">
        <f t="shared" si="33"/>
        <v>0.49999999999999994</v>
      </c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>
        <v>0.2</v>
      </c>
      <c r="Q28" s="128">
        <v>0.15</v>
      </c>
      <c r="R28" s="128">
        <v>0.1</v>
      </c>
      <c r="S28" s="128">
        <v>0.05</v>
      </c>
    </row>
    <row r="29" spans="2:38" x14ac:dyDescent="0.35">
      <c r="B29" s="60"/>
      <c r="C29" s="60"/>
    </row>
    <row r="30" spans="2:38" x14ac:dyDescent="0.35">
      <c r="B30" s="60"/>
      <c r="C30" s="60"/>
      <c r="D30" s="60"/>
      <c r="E30" s="60">
        <v>1</v>
      </c>
      <c r="F30" s="60">
        <v>2</v>
      </c>
      <c r="G30" s="60">
        <v>3</v>
      </c>
      <c r="H30" s="60">
        <v>4</v>
      </c>
      <c r="I30" s="60">
        <v>5</v>
      </c>
      <c r="J30" s="60">
        <v>6</v>
      </c>
      <c r="K30" s="60">
        <v>7</v>
      </c>
      <c r="L30" s="60">
        <v>8</v>
      </c>
      <c r="M30" s="60">
        <v>9</v>
      </c>
      <c r="N30" s="60">
        <v>10</v>
      </c>
      <c r="O30" s="60">
        <v>11</v>
      </c>
      <c r="P30" s="60">
        <v>12</v>
      </c>
      <c r="Q30" s="60">
        <v>13</v>
      </c>
      <c r="R30" s="60">
        <v>14</v>
      </c>
      <c r="S30" s="60">
        <v>15</v>
      </c>
    </row>
    <row r="31" spans="2:38" x14ac:dyDescent="0.35">
      <c r="B31" s="57" t="s">
        <v>291</v>
      </c>
      <c r="C31" s="57" t="s">
        <v>292</v>
      </c>
      <c r="D31" s="57" t="s">
        <v>313</v>
      </c>
      <c r="E31" s="57" t="s">
        <v>123</v>
      </c>
      <c r="F31" s="57" t="s">
        <v>153</v>
      </c>
      <c r="G31" s="57" t="s">
        <v>131</v>
      </c>
      <c r="H31" s="57" t="s">
        <v>132</v>
      </c>
      <c r="I31" s="57" t="s">
        <v>133</v>
      </c>
      <c r="J31" s="57" t="s">
        <v>134</v>
      </c>
      <c r="K31" s="57" t="s">
        <v>135</v>
      </c>
      <c r="L31" s="57" t="s">
        <v>136</v>
      </c>
      <c r="M31" s="57" t="s">
        <v>137</v>
      </c>
      <c r="N31" s="57" t="s">
        <v>138</v>
      </c>
      <c r="O31" s="57" t="s">
        <v>193</v>
      </c>
      <c r="P31" s="57" t="s">
        <v>194</v>
      </c>
      <c r="Q31" s="57" t="s">
        <v>195</v>
      </c>
      <c r="R31" s="57" t="s">
        <v>196</v>
      </c>
      <c r="S31" s="57" t="s">
        <v>197</v>
      </c>
    </row>
    <row r="32" spans="2:38" x14ac:dyDescent="0.35">
      <c r="B32" s="57">
        <v>1</v>
      </c>
      <c r="C32" s="57">
        <v>29</v>
      </c>
      <c r="D32" s="57">
        <f>E32+F32*2^(F$30-1)+G32*2^(G$30-1)+H32*2^(H$30-1)+I32*2^(I$30-1)+J32*2^(J$30-1)+K32*2^(K$30-1)+L32*2^(L$30-1)+M32*2^(M$30-1)+N32*2^(N$30-1)+O32*2^(O$30-1)+P32*2^(P$30-1)+Q32*2^(Q$30-1)+R32*2^(R$30-1)+S32*2^(S$30-1)</f>
        <v>307.2</v>
      </c>
      <c r="E32" s="57">
        <f t="shared" ref="E32:S44" si="34">INDEX($B$15:$S$28,MATCH($B32,$B$15:$B$28,0),MATCH(E$31,$B$15:$S$15,0))*$D$4</f>
        <v>115.19999999999999</v>
      </c>
      <c r="F32" s="57">
        <f t="shared" si="34"/>
        <v>57.599999999999994</v>
      </c>
      <c r="G32" s="57">
        <f t="shared" si="34"/>
        <v>19.200000000000003</v>
      </c>
      <c r="H32" s="57">
        <f t="shared" si="34"/>
        <v>0</v>
      </c>
      <c r="I32" s="57">
        <f t="shared" si="34"/>
        <v>0</v>
      </c>
      <c r="J32" s="57">
        <f t="shared" si="34"/>
        <v>0</v>
      </c>
      <c r="K32" s="57">
        <f t="shared" si="34"/>
        <v>0</v>
      </c>
      <c r="L32" s="57">
        <f t="shared" si="34"/>
        <v>0</v>
      </c>
      <c r="M32" s="57">
        <f t="shared" si="34"/>
        <v>0</v>
      </c>
      <c r="N32" s="57">
        <f t="shared" si="34"/>
        <v>0</v>
      </c>
      <c r="O32" s="57">
        <f t="shared" si="34"/>
        <v>0</v>
      </c>
      <c r="P32" s="57">
        <f t="shared" si="34"/>
        <v>0</v>
      </c>
      <c r="Q32" s="57">
        <f t="shared" si="34"/>
        <v>0</v>
      </c>
      <c r="R32" s="57">
        <f t="shared" si="34"/>
        <v>0</v>
      </c>
      <c r="S32" s="57">
        <f t="shared" si="34"/>
        <v>0</v>
      </c>
    </row>
    <row r="33" spans="2:19" x14ac:dyDescent="0.35">
      <c r="B33" s="57">
        <f>C32+1</f>
        <v>30</v>
      </c>
      <c r="C33" s="57">
        <f>C32+10</f>
        <v>39</v>
      </c>
      <c r="D33" s="57">
        <f>E33+F33*2^(F$30-1)+G33*2^(G$30-1)+H33*2^(H$30-1)+I33*2^(I$30-1)+J33*2^(J$30-1)+K33*2^(K$30-1)+L33*2^(L$30-1)+M33*2^(M$30-1)+N33*2^(N$30-1)+O33*2^(O$30-1)+P33*2^(P$30-1)+Q33*2^(Q$30-1)+R33*2^(R$30-1)+S33*2^(S$30-1)</f>
        <v>518.40000000000009</v>
      </c>
      <c r="E33" s="57">
        <f t="shared" si="34"/>
        <v>57.599999999999994</v>
      </c>
      <c r="F33" s="57">
        <f t="shared" si="34"/>
        <v>76.800000000000011</v>
      </c>
      <c r="G33" s="57">
        <f t="shared" si="34"/>
        <v>38.400000000000006</v>
      </c>
      <c r="H33" s="57">
        <f t="shared" si="34"/>
        <v>19.200000000000003</v>
      </c>
      <c r="I33" s="57">
        <f t="shared" si="34"/>
        <v>0</v>
      </c>
      <c r="J33" s="57">
        <f t="shared" si="34"/>
        <v>0</v>
      </c>
      <c r="K33" s="57">
        <f t="shared" si="34"/>
        <v>0</v>
      </c>
      <c r="L33" s="57">
        <f t="shared" si="34"/>
        <v>0</v>
      </c>
      <c r="M33" s="57">
        <f t="shared" si="34"/>
        <v>0</v>
      </c>
      <c r="N33" s="57">
        <f t="shared" si="34"/>
        <v>0</v>
      </c>
      <c r="O33" s="57">
        <f t="shared" si="34"/>
        <v>0</v>
      </c>
      <c r="P33" s="57">
        <f t="shared" si="34"/>
        <v>0</v>
      </c>
      <c r="Q33" s="57">
        <f t="shared" si="34"/>
        <v>0</v>
      </c>
      <c r="R33" s="57">
        <f t="shared" si="34"/>
        <v>0</v>
      </c>
      <c r="S33" s="57">
        <f t="shared" si="34"/>
        <v>0</v>
      </c>
    </row>
    <row r="34" spans="2:19" x14ac:dyDescent="0.35">
      <c r="B34" s="57">
        <f t="shared" ref="B34:B44" si="35">C33+1</f>
        <v>40</v>
      </c>
      <c r="C34" s="57">
        <f t="shared" ref="C34:C44" si="36">C33+10</f>
        <v>49</v>
      </c>
      <c r="D34" s="57">
        <f t="shared" ref="D34:D44" si="37">E34+F34*2^(F$30-1)+G34*2^(G$30-1)+H34*2^(H$30-1)+I34*2^(I$30-1)+J34*2^(J$30-1)+K34*2^(K$30-1)+L34*2^(L$30-1)+M34*2^(M$30-1)+N34*2^(N$30-1)+O34*2^(O$30-1)+P34*2^(P$30-1)+Q34*2^(Q$30-1)+R34*2^(R$30-1)+S34*2^(S$30-1)</f>
        <v>998.40000000000009</v>
      </c>
      <c r="E34" s="57">
        <f t="shared" si="34"/>
        <v>0</v>
      </c>
      <c r="F34" s="57">
        <f t="shared" si="34"/>
        <v>76.800000000000011</v>
      </c>
      <c r="G34" s="57">
        <f t="shared" si="34"/>
        <v>57.599999999999994</v>
      </c>
      <c r="H34" s="57">
        <f t="shared" si="34"/>
        <v>38.400000000000006</v>
      </c>
      <c r="I34" s="57">
        <f t="shared" si="34"/>
        <v>19.200000000000003</v>
      </c>
      <c r="J34" s="57">
        <f t="shared" si="34"/>
        <v>0</v>
      </c>
      <c r="K34" s="57">
        <f t="shared" si="34"/>
        <v>0</v>
      </c>
      <c r="L34" s="57">
        <f t="shared" si="34"/>
        <v>0</v>
      </c>
      <c r="M34" s="57">
        <f t="shared" si="34"/>
        <v>0</v>
      </c>
      <c r="N34" s="57">
        <f t="shared" si="34"/>
        <v>0</v>
      </c>
      <c r="O34" s="57">
        <f t="shared" si="34"/>
        <v>0</v>
      </c>
      <c r="P34" s="57">
        <f t="shared" si="34"/>
        <v>0</v>
      </c>
      <c r="Q34" s="57">
        <f t="shared" si="34"/>
        <v>0</v>
      </c>
      <c r="R34" s="57">
        <f t="shared" si="34"/>
        <v>0</v>
      </c>
      <c r="S34" s="57">
        <f t="shared" si="34"/>
        <v>0</v>
      </c>
    </row>
    <row r="35" spans="2:19" x14ac:dyDescent="0.35">
      <c r="B35" s="57">
        <f t="shared" si="35"/>
        <v>50</v>
      </c>
      <c r="C35" s="57">
        <f t="shared" si="36"/>
        <v>59</v>
      </c>
      <c r="D35" s="57">
        <f t="shared" si="37"/>
        <v>1996.8000000000002</v>
      </c>
      <c r="E35" s="57">
        <f t="shared" si="34"/>
        <v>0</v>
      </c>
      <c r="F35" s="57">
        <f t="shared" si="34"/>
        <v>0</v>
      </c>
      <c r="G35" s="57">
        <f t="shared" si="34"/>
        <v>76.800000000000011</v>
      </c>
      <c r="H35" s="57">
        <f t="shared" si="34"/>
        <v>57.599999999999994</v>
      </c>
      <c r="I35" s="57">
        <f t="shared" si="34"/>
        <v>38.400000000000006</v>
      </c>
      <c r="J35" s="57">
        <f t="shared" si="34"/>
        <v>19.200000000000003</v>
      </c>
      <c r="K35" s="57">
        <f t="shared" si="34"/>
        <v>0</v>
      </c>
      <c r="L35" s="57">
        <f t="shared" si="34"/>
        <v>0</v>
      </c>
      <c r="M35" s="57">
        <f t="shared" si="34"/>
        <v>0</v>
      </c>
      <c r="N35" s="57">
        <f t="shared" si="34"/>
        <v>0</v>
      </c>
      <c r="O35" s="57">
        <f t="shared" si="34"/>
        <v>0</v>
      </c>
      <c r="P35" s="57">
        <f t="shared" si="34"/>
        <v>0</v>
      </c>
      <c r="Q35" s="57">
        <f t="shared" si="34"/>
        <v>0</v>
      </c>
      <c r="R35" s="57">
        <f t="shared" si="34"/>
        <v>0</v>
      </c>
      <c r="S35" s="57">
        <f t="shared" si="34"/>
        <v>0</v>
      </c>
    </row>
    <row r="36" spans="2:19" x14ac:dyDescent="0.35">
      <c r="B36" s="57">
        <f t="shared" si="35"/>
        <v>60</v>
      </c>
      <c r="C36" s="57">
        <f t="shared" si="36"/>
        <v>69</v>
      </c>
      <c r="D36" s="57">
        <f t="shared" si="37"/>
        <v>3993.6000000000004</v>
      </c>
      <c r="E36" s="57">
        <f t="shared" si="34"/>
        <v>0</v>
      </c>
      <c r="F36" s="57">
        <f t="shared" si="34"/>
        <v>0</v>
      </c>
      <c r="G36" s="57">
        <f t="shared" si="34"/>
        <v>0</v>
      </c>
      <c r="H36" s="57">
        <f t="shared" si="34"/>
        <v>76.800000000000011</v>
      </c>
      <c r="I36" s="57">
        <f t="shared" si="34"/>
        <v>57.599999999999994</v>
      </c>
      <c r="J36" s="57">
        <f t="shared" si="34"/>
        <v>38.400000000000006</v>
      </c>
      <c r="K36" s="57">
        <f t="shared" si="34"/>
        <v>19.200000000000003</v>
      </c>
      <c r="L36" s="57">
        <f t="shared" si="34"/>
        <v>0</v>
      </c>
      <c r="M36" s="57">
        <f t="shared" si="34"/>
        <v>0</v>
      </c>
      <c r="N36" s="57">
        <f t="shared" si="34"/>
        <v>0</v>
      </c>
      <c r="O36" s="57">
        <f t="shared" si="34"/>
        <v>0</v>
      </c>
      <c r="P36" s="57">
        <f t="shared" si="34"/>
        <v>0</v>
      </c>
      <c r="Q36" s="57">
        <f t="shared" si="34"/>
        <v>0</v>
      </c>
      <c r="R36" s="57">
        <f t="shared" si="34"/>
        <v>0</v>
      </c>
      <c r="S36" s="57">
        <f t="shared" si="34"/>
        <v>0</v>
      </c>
    </row>
    <row r="37" spans="2:19" x14ac:dyDescent="0.35">
      <c r="B37" s="57">
        <f t="shared" si="35"/>
        <v>70</v>
      </c>
      <c r="C37" s="57">
        <f t="shared" si="36"/>
        <v>79</v>
      </c>
      <c r="D37" s="57">
        <f t="shared" si="37"/>
        <v>7987.2000000000007</v>
      </c>
      <c r="E37" s="57">
        <f t="shared" si="34"/>
        <v>0</v>
      </c>
      <c r="F37" s="57">
        <f t="shared" si="34"/>
        <v>0</v>
      </c>
      <c r="G37" s="57">
        <f t="shared" si="34"/>
        <v>0</v>
      </c>
      <c r="H37" s="57">
        <f t="shared" si="34"/>
        <v>0</v>
      </c>
      <c r="I37" s="57">
        <f t="shared" si="34"/>
        <v>76.800000000000011</v>
      </c>
      <c r="J37" s="57">
        <f t="shared" si="34"/>
        <v>57.599999999999994</v>
      </c>
      <c r="K37" s="57">
        <f t="shared" si="34"/>
        <v>38.400000000000006</v>
      </c>
      <c r="L37" s="57">
        <f t="shared" si="34"/>
        <v>19.200000000000003</v>
      </c>
      <c r="M37" s="57">
        <f t="shared" si="34"/>
        <v>0</v>
      </c>
      <c r="N37" s="57">
        <f t="shared" si="34"/>
        <v>0</v>
      </c>
      <c r="O37" s="57">
        <f t="shared" si="34"/>
        <v>0</v>
      </c>
      <c r="P37" s="57">
        <f t="shared" si="34"/>
        <v>0</v>
      </c>
      <c r="Q37" s="57">
        <f t="shared" si="34"/>
        <v>0</v>
      </c>
      <c r="R37" s="57">
        <f t="shared" si="34"/>
        <v>0</v>
      </c>
      <c r="S37" s="57">
        <f t="shared" si="34"/>
        <v>0</v>
      </c>
    </row>
    <row r="38" spans="2:19" x14ac:dyDescent="0.35">
      <c r="B38" s="57">
        <f t="shared" si="35"/>
        <v>80</v>
      </c>
      <c r="C38" s="57">
        <f t="shared" si="36"/>
        <v>89</v>
      </c>
      <c r="D38" s="57">
        <f t="shared" si="37"/>
        <v>15974.400000000001</v>
      </c>
      <c r="E38" s="57">
        <f t="shared" si="34"/>
        <v>0</v>
      </c>
      <c r="F38" s="57">
        <f t="shared" si="34"/>
        <v>0</v>
      </c>
      <c r="G38" s="57">
        <f t="shared" si="34"/>
        <v>0</v>
      </c>
      <c r="H38" s="57">
        <f t="shared" si="34"/>
        <v>0</v>
      </c>
      <c r="I38" s="57">
        <f t="shared" si="34"/>
        <v>0</v>
      </c>
      <c r="J38" s="57">
        <f t="shared" si="34"/>
        <v>76.800000000000011</v>
      </c>
      <c r="K38" s="57">
        <f t="shared" si="34"/>
        <v>57.599999999999994</v>
      </c>
      <c r="L38" s="57">
        <f t="shared" si="34"/>
        <v>38.400000000000006</v>
      </c>
      <c r="M38" s="57">
        <f t="shared" si="34"/>
        <v>19.200000000000003</v>
      </c>
      <c r="N38" s="57">
        <f t="shared" si="34"/>
        <v>0</v>
      </c>
      <c r="O38" s="57">
        <f t="shared" si="34"/>
        <v>0</v>
      </c>
      <c r="P38" s="57">
        <f t="shared" si="34"/>
        <v>0</v>
      </c>
      <c r="Q38" s="57">
        <f t="shared" si="34"/>
        <v>0</v>
      </c>
      <c r="R38" s="57">
        <f t="shared" si="34"/>
        <v>0</v>
      </c>
      <c r="S38" s="57">
        <f t="shared" si="34"/>
        <v>0</v>
      </c>
    </row>
    <row r="39" spans="2:19" x14ac:dyDescent="0.35">
      <c r="B39" s="57">
        <f t="shared" si="35"/>
        <v>90</v>
      </c>
      <c r="C39" s="57">
        <f t="shared" si="36"/>
        <v>99</v>
      </c>
      <c r="D39" s="57">
        <f t="shared" si="37"/>
        <v>31948.800000000003</v>
      </c>
      <c r="E39" s="57">
        <f t="shared" si="34"/>
        <v>0</v>
      </c>
      <c r="F39" s="57">
        <f t="shared" si="34"/>
        <v>0</v>
      </c>
      <c r="G39" s="57">
        <f t="shared" si="34"/>
        <v>0</v>
      </c>
      <c r="H39" s="57">
        <f t="shared" si="34"/>
        <v>0</v>
      </c>
      <c r="I39" s="57">
        <f t="shared" si="34"/>
        <v>0</v>
      </c>
      <c r="J39" s="57">
        <f t="shared" si="34"/>
        <v>0</v>
      </c>
      <c r="K39" s="57">
        <f t="shared" si="34"/>
        <v>76.800000000000011</v>
      </c>
      <c r="L39" s="57">
        <f t="shared" si="34"/>
        <v>57.599999999999994</v>
      </c>
      <c r="M39" s="57">
        <f t="shared" si="34"/>
        <v>38.400000000000006</v>
      </c>
      <c r="N39" s="57">
        <f t="shared" si="34"/>
        <v>19.200000000000003</v>
      </c>
      <c r="O39" s="57">
        <f t="shared" si="34"/>
        <v>0</v>
      </c>
      <c r="P39" s="57">
        <f t="shared" si="34"/>
        <v>0</v>
      </c>
      <c r="Q39" s="57">
        <f t="shared" si="34"/>
        <v>0</v>
      </c>
      <c r="R39" s="57">
        <f t="shared" si="34"/>
        <v>0</v>
      </c>
      <c r="S39" s="57">
        <f t="shared" si="34"/>
        <v>0</v>
      </c>
    </row>
    <row r="40" spans="2:19" x14ac:dyDescent="0.35">
      <c r="B40" s="123">
        <f t="shared" si="35"/>
        <v>100</v>
      </c>
      <c r="C40" s="123">
        <f t="shared" si="36"/>
        <v>109</v>
      </c>
      <c r="D40" s="123">
        <f t="shared" si="37"/>
        <v>63897.600000000006</v>
      </c>
      <c r="E40" s="123">
        <f t="shared" si="34"/>
        <v>0</v>
      </c>
      <c r="F40" s="123">
        <f t="shared" si="34"/>
        <v>0</v>
      </c>
      <c r="G40" s="123">
        <f t="shared" si="34"/>
        <v>0</v>
      </c>
      <c r="H40" s="123">
        <f t="shared" si="34"/>
        <v>0</v>
      </c>
      <c r="I40" s="123">
        <f t="shared" si="34"/>
        <v>0</v>
      </c>
      <c r="J40" s="123">
        <f t="shared" si="34"/>
        <v>0</v>
      </c>
      <c r="K40" s="123">
        <f t="shared" si="34"/>
        <v>0</v>
      </c>
      <c r="L40" s="123">
        <f t="shared" si="34"/>
        <v>76.800000000000011</v>
      </c>
      <c r="M40" s="123">
        <f t="shared" si="34"/>
        <v>57.599999999999994</v>
      </c>
      <c r="N40" s="123">
        <f t="shared" si="34"/>
        <v>38.400000000000006</v>
      </c>
      <c r="O40" s="123">
        <f t="shared" si="34"/>
        <v>19.200000000000003</v>
      </c>
      <c r="P40" s="123">
        <f t="shared" si="34"/>
        <v>0</v>
      </c>
      <c r="Q40" s="123">
        <f t="shared" si="34"/>
        <v>0</v>
      </c>
      <c r="R40" s="123">
        <f t="shared" si="34"/>
        <v>0</v>
      </c>
      <c r="S40" s="123">
        <f t="shared" si="34"/>
        <v>0</v>
      </c>
    </row>
    <row r="41" spans="2:19" x14ac:dyDescent="0.35">
      <c r="B41" s="123">
        <f t="shared" si="35"/>
        <v>110</v>
      </c>
      <c r="C41" s="123">
        <f t="shared" si="36"/>
        <v>119</v>
      </c>
      <c r="D41" s="123">
        <f t="shared" si="37"/>
        <v>127795.20000000001</v>
      </c>
      <c r="E41" s="123">
        <f t="shared" si="34"/>
        <v>0</v>
      </c>
      <c r="F41" s="123">
        <f t="shared" si="34"/>
        <v>0</v>
      </c>
      <c r="G41" s="123">
        <f t="shared" si="34"/>
        <v>0</v>
      </c>
      <c r="H41" s="123">
        <f t="shared" si="34"/>
        <v>0</v>
      </c>
      <c r="I41" s="123">
        <f t="shared" si="34"/>
        <v>0</v>
      </c>
      <c r="J41" s="123">
        <f t="shared" si="34"/>
        <v>0</v>
      </c>
      <c r="K41" s="123">
        <f t="shared" si="34"/>
        <v>0</v>
      </c>
      <c r="L41" s="123">
        <f t="shared" si="34"/>
        <v>0</v>
      </c>
      <c r="M41" s="123">
        <f t="shared" si="34"/>
        <v>76.800000000000011</v>
      </c>
      <c r="N41" s="123">
        <f t="shared" si="34"/>
        <v>57.599999999999994</v>
      </c>
      <c r="O41" s="123">
        <f t="shared" si="34"/>
        <v>38.400000000000006</v>
      </c>
      <c r="P41" s="123">
        <f t="shared" si="34"/>
        <v>19.200000000000003</v>
      </c>
      <c r="Q41" s="123">
        <f t="shared" si="34"/>
        <v>0</v>
      </c>
      <c r="R41" s="123">
        <f t="shared" si="34"/>
        <v>0</v>
      </c>
      <c r="S41" s="123">
        <f t="shared" si="34"/>
        <v>0</v>
      </c>
    </row>
    <row r="42" spans="2:19" x14ac:dyDescent="0.35">
      <c r="B42" s="123">
        <f t="shared" si="35"/>
        <v>120</v>
      </c>
      <c r="C42" s="123">
        <f t="shared" si="36"/>
        <v>129</v>
      </c>
      <c r="D42" s="123">
        <f t="shared" si="37"/>
        <v>255590.40000000002</v>
      </c>
      <c r="E42" s="123">
        <f t="shared" si="34"/>
        <v>0</v>
      </c>
      <c r="F42" s="123">
        <f t="shared" si="34"/>
        <v>0</v>
      </c>
      <c r="G42" s="123">
        <f t="shared" si="34"/>
        <v>0</v>
      </c>
      <c r="H42" s="123">
        <f t="shared" si="34"/>
        <v>0</v>
      </c>
      <c r="I42" s="123">
        <f t="shared" si="34"/>
        <v>0</v>
      </c>
      <c r="J42" s="123">
        <f t="shared" si="34"/>
        <v>0</v>
      </c>
      <c r="K42" s="123">
        <f t="shared" si="34"/>
        <v>0</v>
      </c>
      <c r="L42" s="123">
        <f t="shared" si="34"/>
        <v>0</v>
      </c>
      <c r="M42" s="123">
        <f t="shared" si="34"/>
        <v>0</v>
      </c>
      <c r="N42" s="123">
        <f t="shared" si="34"/>
        <v>76.800000000000011</v>
      </c>
      <c r="O42" s="123">
        <f t="shared" si="34"/>
        <v>57.599999999999994</v>
      </c>
      <c r="P42" s="123">
        <f t="shared" si="34"/>
        <v>38.400000000000006</v>
      </c>
      <c r="Q42" s="123">
        <f t="shared" si="34"/>
        <v>19.200000000000003</v>
      </c>
      <c r="R42" s="123">
        <f t="shared" si="34"/>
        <v>0</v>
      </c>
      <c r="S42" s="123">
        <f t="shared" si="34"/>
        <v>0</v>
      </c>
    </row>
    <row r="43" spans="2:19" x14ac:dyDescent="0.35">
      <c r="B43" s="123">
        <f t="shared" si="35"/>
        <v>130</v>
      </c>
      <c r="C43" s="123">
        <f t="shared" si="36"/>
        <v>139</v>
      </c>
      <c r="D43" s="123">
        <f t="shared" si="37"/>
        <v>511180.80000000005</v>
      </c>
      <c r="E43" s="123">
        <f t="shared" si="34"/>
        <v>0</v>
      </c>
      <c r="F43" s="123">
        <f t="shared" si="34"/>
        <v>0</v>
      </c>
      <c r="G43" s="123">
        <f t="shared" si="34"/>
        <v>0</v>
      </c>
      <c r="H43" s="123">
        <f t="shared" si="34"/>
        <v>0</v>
      </c>
      <c r="I43" s="123">
        <f t="shared" si="34"/>
        <v>0</v>
      </c>
      <c r="J43" s="123">
        <f t="shared" si="34"/>
        <v>0</v>
      </c>
      <c r="K43" s="123">
        <f t="shared" si="34"/>
        <v>0</v>
      </c>
      <c r="L43" s="123">
        <f t="shared" si="34"/>
        <v>0</v>
      </c>
      <c r="M43" s="123">
        <f t="shared" si="34"/>
        <v>0</v>
      </c>
      <c r="N43" s="123">
        <f t="shared" si="34"/>
        <v>0</v>
      </c>
      <c r="O43" s="123">
        <f t="shared" si="34"/>
        <v>76.800000000000011</v>
      </c>
      <c r="P43" s="123">
        <f t="shared" si="34"/>
        <v>57.599999999999994</v>
      </c>
      <c r="Q43" s="123">
        <f t="shared" si="34"/>
        <v>38.400000000000006</v>
      </c>
      <c r="R43" s="123">
        <f t="shared" si="34"/>
        <v>19.200000000000003</v>
      </c>
      <c r="S43" s="123">
        <f t="shared" si="34"/>
        <v>0</v>
      </c>
    </row>
    <row r="44" spans="2:19" x14ac:dyDescent="0.35">
      <c r="B44" s="123">
        <f t="shared" si="35"/>
        <v>140</v>
      </c>
      <c r="C44" s="123">
        <f t="shared" si="36"/>
        <v>149</v>
      </c>
      <c r="D44" s="123">
        <f t="shared" si="37"/>
        <v>1022361.6000000001</v>
      </c>
      <c r="E44" s="123">
        <f t="shared" si="34"/>
        <v>0</v>
      </c>
      <c r="F44" s="123">
        <f t="shared" si="34"/>
        <v>0</v>
      </c>
      <c r="G44" s="123">
        <f t="shared" si="34"/>
        <v>0</v>
      </c>
      <c r="H44" s="123">
        <f t="shared" si="34"/>
        <v>0</v>
      </c>
      <c r="I44" s="123">
        <f t="shared" si="34"/>
        <v>0</v>
      </c>
      <c r="J44" s="123">
        <f t="shared" si="34"/>
        <v>0</v>
      </c>
      <c r="K44" s="123">
        <f t="shared" si="34"/>
        <v>0</v>
      </c>
      <c r="L44" s="123">
        <f t="shared" si="34"/>
        <v>0</v>
      </c>
      <c r="M44" s="123">
        <f t="shared" si="34"/>
        <v>0</v>
      </c>
      <c r="N44" s="123">
        <f t="shared" si="34"/>
        <v>0</v>
      </c>
      <c r="O44" s="123">
        <f t="shared" si="34"/>
        <v>0</v>
      </c>
      <c r="P44" s="123">
        <f t="shared" si="34"/>
        <v>76.800000000000011</v>
      </c>
      <c r="Q44" s="123">
        <f t="shared" si="34"/>
        <v>57.599999999999994</v>
      </c>
      <c r="R44" s="123">
        <f t="shared" si="34"/>
        <v>38.400000000000006</v>
      </c>
      <c r="S44" s="123">
        <f t="shared" si="34"/>
        <v>19.200000000000003</v>
      </c>
    </row>
    <row r="45" spans="2:19" x14ac:dyDescent="0.35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</row>
    <row r="46" spans="2:19" x14ac:dyDescent="0.35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</row>
    <row r="47" spans="2:19" x14ac:dyDescent="0.35">
      <c r="B47" s="57" t="s">
        <v>291</v>
      </c>
      <c r="C47" s="57" t="s">
        <v>292</v>
      </c>
      <c r="D47" s="57" t="s">
        <v>312</v>
      </c>
      <c r="E47" s="57" t="s">
        <v>314</v>
      </c>
      <c r="F47" s="57" t="s">
        <v>294</v>
      </c>
      <c r="G47" s="57" t="s">
        <v>295</v>
      </c>
      <c r="H47" s="57" t="s">
        <v>298</v>
      </c>
      <c r="I47" s="100" t="s">
        <v>303</v>
      </c>
      <c r="J47" s="57" t="s">
        <v>297</v>
      </c>
      <c r="K47" s="57" t="s">
        <v>296</v>
      </c>
      <c r="L47" s="57" t="s">
        <v>357</v>
      </c>
      <c r="M47" s="57" t="s">
        <v>358</v>
      </c>
      <c r="N47" s="98" t="s">
        <v>359</v>
      </c>
      <c r="O47" s="60" t="s">
        <v>373</v>
      </c>
      <c r="P47" s="60"/>
      <c r="Q47" s="60"/>
      <c r="R47" s="60"/>
      <c r="S47" s="60"/>
    </row>
    <row r="48" spans="2:19" x14ac:dyDescent="0.35">
      <c r="B48" s="57">
        <v>20</v>
      </c>
      <c r="C48" s="57">
        <v>29</v>
      </c>
      <c r="D48" s="57">
        <f>VLOOKUP(C48,等级时间!$U:$AU,10,0)-VLOOKUP(B48,等级时间!$U:$AU,10,0)</f>
        <v>1.68</v>
      </c>
      <c r="E48" s="57">
        <f>D48*(1+I48)*D32+H48</f>
        <v>835.58400000000006</v>
      </c>
      <c r="F48" s="57">
        <f>SUM($E$48:$E48)</f>
        <v>835.58400000000006</v>
      </c>
      <c r="G48" s="57">
        <f>COUNTIF(土地规划!$A$7:$A$15,"&lt;="&amp;$C48)</f>
        <v>5</v>
      </c>
      <c r="H48" s="57">
        <f>D32/5</f>
        <v>61.44</v>
      </c>
      <c r="I48" s="105">
        <v>0.5</v>
      </c>
      <c r="J48" s="57">
        <v>8</v>
      </c>
      <c r="K48" s="57">
        <f>(F48+SUM($H$48:$H48))/2^(J48-1)</f>
        <v>7.0080000000000009</v>
      </c>
      <c r="L48" s="57">
        <f>D32*I48</f>
        <v>153.6</v>
      </c>
      <c r="M48" s="57">
        <f>HLOOKUP($B48,猫咪!$H$3:$U$4,2,0)</f>
        <v>1000</v>
      </c>
      <c r="N48" s="98">
        <f>M48*L48</f>
        <v>153600</v>
      </c>
      <c r="O48" s="60">
        <f>INDEX(旅店!$F$4:$F$104,MATCH($B48,旅店!$J$4:$J$104,0),0)</f>
        <v>115140.00000000001</v>
      </c>
      <c r="P48" s="60"/>
      <c r="Q48" s="56">
        <f t="shared" ref="Q48:Q55" si="38">LEN(N48)</f>
        <v>6</v>
      </c>
      <c r="R48" s="56">
        <f t="shared" ref="R48:R55" si="39">LEN(O48)</f>
        <v>6</v>
      </c>
      <c r="S48" s="60"/>
    </row>
    <row r="49" spans="2:21" x14ac:dyDescent="0.35">
      <c r="B49" s="57">
        <f>C48+1</f>
        <v>30</v>
      </c>
      <c r="C49" s="57">
        <f>C48+10</f>
        <v>39</v>
      </c>
      <c r="D49" s="57">
        <f>VLOOKUP(C49,等级时间!$U:$AU,10,0)-VLOOKUP(C48,等级时间!$U:$AU,10,0)</f>
        <v>3.62</v>
      </c>
      <c r="E49" s="57">
        <f t="shared" ref="E49:E60" si="40">D49*(1+I49)*D33+H49</f>
        <v>2918.5920000000001</v>
      </c>
      <c r="F49" s="57">
        <f>SUM($E$48:$E49)</f>
        <v>3754.1760000000004</v>
      </c>
      <c r="G49" s="57">
        <f>COUNTIF(土地规划!$A$7:$A$15,"&lt;="&amp;$C49)</f>
        <v>6</v>
      </c>
      <c r="H49" s="57">
        <f t="shared" ref="H49:H60" si="41">D33/5</f>
        <v>103.68000000000002</v>
      </c>
      <c r="I49" s="105">
        <v>0.5</v>
      </c>
      <c r="J49" s="57">
        <v>10</v>
      </c>
      <c r="K49" s="57">
        <f>(F49+SUM($H$48:$H49))/2^(J49-1)</f>
        <v>7.6548750000000005</v>
      </c>
      <c r="L49" s="57">
        <f t="shared" ref="L49:L60" si="42">D33*I49</f>
        <v>259.20000000000005</v>
      </c>
      <c r="M49" s="57">
        <f>HLOOKUP($B49,猫咪!$H$3:$U$4,2,0)</f>
        <v>1500</v>
      </c>
      <c r="N49" s="98">
        <f t="shared" ref="N49:N60" si="43">M49*L49</f>
        <v>388800.00000000006</v>
      </c>
      <c r="O49" s="60">
        <f>INDEX(旅店!$F$4:$F$104,MATCH($B49,旅店!$J$4:$J$104,0),0)</f>
        <v>330480</v>
      </c>
      <c r="Q49" s="56">
        <f t="shared" si="38"/>
        <v>6</v>
      </c>
      <c r="R49" s="56">
        <f t="shared" si="39"/>
        <v>6</v>
      </c>
    </row>
    <row r="50" spans="2:21" x14ac:dyDescent="0.35">
      <c r="B50" s="57">
        <f t="shared" ref="B50:B60" si="44">C49+1</f>
        <v>40</v>
      </c>
      <c r="C50" s="57">
        <f t="shared" ref="C50:C60" si="45">C49+10</f>
        <v>49</v>
      </c>
      <c r="D50" s="57">
        <f>VLOOKUP(C50,等级时间!$U:$AU,10,0)-VLOOKUP(C49,等级时间!$U:$AU,10,0)</f>
        <v>6.3599999999999994</v>
      </c>
      <c r="E50" s="57">
        <f t="shared" si="40"/>
        <v>9724.4160000000011</v>
      </c>
      <c r="F50" s="57">
        <f>SUM($E$48:$E50)</f>
        <v>13478.592000000001</v>
      </c>
      <c r="G50" s="57">
        <f>COUNTIF(土地规划!$A$7:$A$15,"&lt;="&amp;$C50)</f>
        <v>7</v>
      </c>
      <c r="H50" s="57">
        <f t="shared" si="41"/>
        <v>199.68</v>
      </c>
      <c r="I50" s="105">
        <v>0.5</v>
      </c>
      <c r="J50" s="57">
        <v>12</v>
      </c>
      <c r="K50" s="57">
        <f>(F50+SUM($H$48:$H50))/2^(J50-1)</f>
        <v>6.7594687499999999</v>
      </c>
      <c r="L50" s="57">
        <f t="shared" si="42"/>
        <v>499.20000000000005</v>
      </c>
      <c r="M50" s="57">
        <f>HLOOKUP($B50,猫咪!$H$3:$U$4,2,0)</f>
        <v>2500</v>
      </c>
      <c r="N50" s="98">
        <f t="shared" si="43"/>
        <v>1248000</v>
      </c>
      <c r="O50" s="60">
        <f>INDEX(旅店!$F$4:$F$104,MATCH($B50,旅店!$J$4:$J$104,0),0)</f>
        <v>1202880</v>
      </c>
      <c r="Q50" s="56">
        <f t="shared" si="38"/>
        <v>7</v>
      </c>
      <c r="R50" s="56">
        <f t="shared" si="39"/>
        <v>7</v>
      </c>
      <c r="T50" s="60"/>
      <c r="U50" s="60"/>
    </row>
    <row r="51" spans="2:21" x14ac:dyDescent="0.35">
      <c r="B51" s="57">
        <f t="shared" si="44"/>
        <v>50</v>
      </c>
      <c r="C51" s="57">
        <f t="shared" si="45"/>
        <v>59</v>
      </c>
      <c r="D51" s="57">
        <f>VLOOKUP(C51,等级时间!$U:$AU,10,0)-VLOOKUP(C50,等级时间!$U:$AU,10,0)</f>
        <v>11.129999999999999</v>
      </c>
      <c r="E51" s="57">
        <f t="shared" si="40"/>
        <v>33735.936000000002</v>
      </c>
      <c r="F51" s="57">
        <f>SUM($E$48:$E51)</f>
        <v>47214.528000000006</v>
      </c>
      <c r="G51" s="57">
        <f>COUNTIF(土地规划!$A$7:$A$15,"&lt;="&amp;$C51)</f>
        <v>8</v>
      </c>
      <c r="H51" s="57">
        <f t="shared" si="41"/>
        <v>399.36</v>
      </c>
      <c r="I51" s="105">
        <v>0.5</v>
      </c>
      <c r="J51" s="57">
        <v>13</v>
      </c>
      <c r="K51" s="57">
        <f>(F51+SUM($H$48:$H51))/2^(J51-1)</f>
        <v>11.713546875000002</v>
      </c>
      <c r="L51" s="57">
        <f t="shared" si="42"/>
        <v>998.40000000000009</v>
      </c>
      <c r="M51" s="57">
        <f>HLOOKUP($B51,猫咪!$H$3:$U$4,2,0)</f>
        <v>3500</v>
      </c>
      <c r="N51" s="98">
        <f t="shared" si="43"/>
        <v>3494400.0000000005</v>
      </c>
      <c r="O51" s="60">
        <f>INDEX(旅店!$F$4:$F$104,MATCH($B51,旅店!$J$4:$J$104,0),0)</f>
        <v>2475640</v>
      </c>
      <c r="Q51" s="56">
        <f t="shared" si="38"/>
        <v>7</v>
      </c>
      <c r="R51" s="56">
        <f t="shared" si="39"/>
        <v>7</v>
      </c>
    </row>
    <row r="52" spans="2:21" x14ac:dyDescent="0.35">
      <c r="B52" s="57">
        <f t="shared" si="44"/>
        <v>60</v>
      </c>
      <c r="C52" s="57">
        <f t="shared" si="45"/>
        <v>69</v>
      </c>
      <c r="D52" s="57">
        <f>VLOOKUP(C52,等级时间!$U:$AU,10,0)-VLOOKUP(C51,等级时间!$U:$AU,10,0)</f>
        <v>18.66</v>
      </c>
      <c r="E52" s="57">
        <f t="shared" si="40"/>
        <v>112579.58400000002</v>
      </c>
      <c r="F52" s="57">
        <f>SUM($E$48:$E52)</f>
        <v>159794.11200000002</v>
      </c>
      <c r="G52" s="57">
        <f>COUNTIF(土地规划!$A$7:$A$15,"&lt;="&amp;$C52)</f>
        <v>9</v>
      </c>
      <c r="H52" s="57">
        <f t="shared" si="41"/>
        <v>798.72</v>
      </c>
      <c r="I52" s="105">
        <v>0.5</v>
      </c>
      <c r="J52" s="57">
        <v>15</v>
      </c>
      <c r="K52" s="57">
        <f>(F52+SUM($H$48:$H52))/2^(J52-1)</f>
        <v>9.8484492187500017</v>
      </c>
      <c r="L52" s="57">
        <f t="shared" si="42"/>
        <v>1996.8000000000002</v>
      </c>
      <c r="M52" s="57">
        <f>HLOOKUP($B52,猫咪!$H$3:$U$4,2,0)</f>
        <v>5000</v>
      </c>
      <c r="N52" s="98">
        <f t="shared" si="43"/>
        <v>9984000</v>
      </c>
      <c r="O52" s="60">
        <f>INDEX(旅店!$F$4:$F$104,MATCH($B52,旅店!$J$4:$J$104,0),0)</f>
        <v>10220080</v>
      </c>
      <c r="Q52" s="56">
        <f t="shared" si="38"/>
        <v>7</v>
      </c>
      <c r="R52" s="56">
        <f t="shared" si="39"/>
        <v>8</v>
      </c>
    </row>
    <row r="53" spans="2:21" x14ac:dyDescent="0.35">
      <c r="B53" s="57">
        <f t="shared" si="44"/>
        <v>70</v>
      </c>
      <c r="C53" s="57">
        <f t="shared" si="45"/>
        <v>79</v>
      </c>
      <c r="D53" s="57">
        <f>VLOOKUP(C53,等级时间!$U:$AU,10,0)-VLOOKUP(C52,等级时间!$U:$AU,10,0)</f>
        <v>29.75</v>
      </c>
      <c r="E53" s="57">
        <f t="shared" si="40"/>
        <v>358026.24000000005</v>
      </c>
      <c r="F53" s="57">
        <f>SUM($E$48:$E53)</f>
        <v>517820.35200000007</v>
      </c>
      <c r="G53" s="57">
        <f>COUNTIF(土地规划!$A$7:$A$15,"&lt;="&amp;$C53)</f>
        <v>9</v>
      </c>
      <c r="H53" s="57">
        <f t="shared" si="41"/>
        <v>1597.44</v>
      </c>
      <c r="I53" s="105">
        <v>0.5</v>
      </c>
      <c r="J53" s="57">
        <v>17</v>
      </c>
      <c r="K53" s="57">
        <f>(F53+SUM($H$48:$H53))/2^(J53-1)</f>
        <v>7.9495341796875012</v>
      </c>
      <c r="L53" s="57">
        <f t="shared" si="42"/>
        <v>3993.6000000000004</v>
      </c>
      <c r="M53" s="57">
        <f>HLOOKUP($B53,猫咪!$H$3:$U$4,2,0)</f>
        <v>8000</v>
      </c>
      <c r="N53" s="98">
        <f t="shared" si="43"/>
        <v>31948800.000000004</v>
      </c>
      <c r="O53" s="60">
        <f>INDEX(旅店!$F$4:$F$104,MATCH($B53,旅店!$J$4:$J$104,0),0)</f>
        <v>43319760</v>
      </c>
      <c r="Q53" s="56">
        <f t="shared" si="38"/>
        <v>8</v>
      </c>
      <c r="R53" s="56">
        <f t="shared" si="39"/>
        <v>8</v>
      </c>
    </row>
    <row r="54" spans="2:21" x14ac:dyDescent="0.35">
      <c r="B54" s="57">
        <f t="shared" si="44"/>
        <v>80</v>
      </c>
      <c r="C54" s="57">
        <f t="shared" si="45"/>
        <v>89</v>
      </c>
      <c r="D54" s="57">
        <f>VLOOKUP(C54,等级时间!$U:$AU,10,0)-VLOOKUP(C53,等级时间!$U:$AU,10,0)</f>
        <v>45.22</v>
      </c>
      <c r="E54" s="57">
        <f t="shared" si="40"/>
        <v>1086738.432</v>
      </c>
      <c r="F54" s="57">
        <f>SUM($E$48:$E54)</f>
        <v>1604558.784</v>
      </c>
      <c r="G54" s="57">
        <f>COUNTIF(土地规划!$A$7:$A$15,"&lt;="&amp;$C54)</f>
        <v>9</v>
      </c>
      <c r="H54" s="57">
        <f t="shared" si="41"/>
        <v>3194.88</v>
      </c>
      <c r="I54" s="105">
        <v>0.5</v>
      </c>
      <c r="J54" s="57">
        <v>18</v>
      </c>
      <c r="K54" s="57">
        <f>(F54+SUM($H$48:$H54))/2^(J54-1)</f>
        <v>12.29029833984375</v>
      </c>
      <c r="L54" s="57">
        <f t="shared" si="42"/>
        <v>7987.2000000000007</v>
      </c>
      <c r="M54" s="57">
        <f>HLOOKUP($B54,猫咪!$H$3:$U$4,2,0)</f>
        <v>12000</v>
      </c>
      <c r="N54" s="98">
        <f t="shared" si="43"/>
        <v>95846400.000000015</v>
      </c>
      <c r="O54" s="60">
        <f>INDEX(旅店!$F$4:$F$104,MATCH($B54,旅店!$J$4:$J$104,0),0)</f>
        <v>95099700</v>
      </c>
      <c r="P54" s="60"/>
      <c r="Q54" s="56">
        <f t="shared" si="38"/>
        <v>8</v>
      </c>
      <c r="R54" s="56">
        <f t="shared" si="39"/>
        <v>8</v>
      </c>
      <c r="S54" s="60"/>
    </row>
    <row r="55" spans="2:21" x14ac:dyDescent="0.35">
      <c r="B55" s="57">
        <f t="shared" si="44"/>
        <v>90</v>
      </c>
      <c r="C55" s="57">
        <f t="shared" si="45"/>
        <v>99</v>
      </c>
      <c r="D55" s="57">
        <f>VLOOKUP(C55,等级时间!$U:$AU,10,0)-VLOOKUP(C54,等级时间!$U:$AU,10,0)</f>
        <v>66.03</v>
      </c>
      <c r="E55" s="57">
        <f t="shared" si="40"/>
        <v>3170758.656</v>
      </c>
      <c r="F55" s="57">
        <f>SUM($E$48:$E55)</f>
        <v>4775317.4399999995</v>
      </c>
      <c r="G55" s="57">
        <f>COUNTIF(土地规划!$A$7:$A$15,"&lt;="&amp;$C55)</f>
        <v>9</v>
      </c>
      <c r="H55" s="57">
        <f t="shared" si="41"/>
        <v>6389.76</v>
      </c>
      <c r="I55" s="105">
        <v>0.5</v>
      </c>
      <c r="J55" s="57">
        <v>20</v>
      </c>
      <c r="K55" s="57">
        <f>(F55+SUM($H$48:$H55))/2^(J55-1)</f>
        <v>9.1325042724609364</v>
      </c>
      <c r="L55" s="57">
        <f t="shared" si="42"/>
        <v>15974.400000000001</v>
      </c>
      <c r="M55" s="57">
        <f>HLOOKUP($B55,猫咪!$H$3:$U$4,2,0)</f>
        <v>18000</v>
      </c>
      <c r="N55" s="98">
        <f t="shared" si="43"/>
        <v>287539200</v>
      </c>
      <c r="O55" s="60">
        <f>INDEX(旅店!$F$4:$F$104,MATCH($B55,旅店!$J$4:$J$104,0),0)</f>
        <v>411644580</v>
      </c>
      <c r="P55" s="60"/>
      <c r="Q55" s="56">
        <f t="shared" si="38"/>
        <v>9</v>
      </c>
      <c r="R55" s="56">
        <f t="shared" si="39"/>
        <v>9</v>
      </c>
      <c r="S55" s="60"/>
    </row>
    <row r="56" spans="2:21" x14ac:dyDescent="0.35">
      <c r="B56" s="57">
        <f t="shared" si="44"/>
        <v>100</v>
      </c>
      <c r="C56" s="57">
        <f t="shared" si="45"/>
        <v>109</v>
      </c>
      <c r="D56" s="57">
        <f>VLOOKUP(C56,等级时间!$U:$AU,10,0)-VLOOKUP(C55,等级时间!$U:$AU,10,0)</f>
        <v>87.1</v>
      </c>
      <c r="E56" s="57">
        <f t="shared" si="40"/>
        <v>8361000.959999999</v>
      </c>
      <c r="F56" s="57">
        <f>SUM($E$48:$E56)</f>
        <v>13136318.399999999</v>
      </c>
      <c r="G56" s="57">
        <f>COUNTIF(土地规划!$A$7:$A$15,"&lt;="&amp;$C56)</f>
        <v>9</v>
      </c>
      <c r="H56" s="57">
        <f t="shared" si="41"/>
        <v>12779.52</v>
      </c>
      <c r="I56" s="105">
        <v>0.5</v>
      </c>
      <c r="J56" s="57">
        <v>21</v>
      </c>
      <c r="K56" s="57">
        <f>(F56+SUM($H$48:$H56))/2^(J56-1)</f>
        <v>12.552111511230468</v>
      </c>
      <c r="L56" s="57">
        <f t="shared" si="42"/>
        <v>31948.800000000003</v>
      </c>
      <c r="M56" s="57">
        <f>HLOOKUP($B56,猫咪!$H$3:$U$4,2,0)</f>
        <v>25000</v>
      </c>
      <c r="N56" s="98">
        <f t="shared" si="43"/>
        <v>798720000.00000012</v>
      </c>
      <c r="O56" s="60">
        <f>INDEX(旅店!$F$4:$F$104,MATCH($B56,旅店!$J$4:$J$104,0),0)</f>
        <v>922834880</v>
      </c>
      <c r="P56" s="60"/>
      <c r="Q56" s="56">
        <f>LEN(N56)</f>
        <v>9</v>
      </c>
      <c r="R56" s="56">
        <f>LEN(O56)</f>
        <v>9</v>
      </c>
      <c r="S56" s="60"/>
    </row>
    <row r="57" spans="2:21" x14ac:dyDescent="0.35">
      <c r="B57" s="123">
        <f t="shared" si="44"/>
        <v>110</v>
      </c>
      <c r="C57" s="123">
        <f t="shared" si="45"/>
        <v>119</v>
      </c>
      <c r="D57" s="123">
        <f>VLOOKUP(C57,等级时间!$U:$AU,10,0)-VLOOKUP(C56,等级时间!$U:$AU,10,0)</f>
        <v>99.720000000000027</v>
      </c>
      <c r="E57" s="123">
        <f t="shared" si="40"/>
        <v>19141165.056000005</v>
      </c>
      <c r="F57" s="123">
        <f>SUM($E$48:$E57)</f>
        <v>32277483.456000004</v>
      </c>
      <c r="G57" s="123">
        <f>COUNTIF(土地规划!$A$7:$A$15,"&lt;="&amp;$C57)</f>
        <v>9</v>
      </c>
      <c r="H57" s="123">
        <f t="shared" si="41"/>
        <v>25559.040000000001</v>
      </c>
      <c r="I57" s="124">
        <v>0.5</v>
      </c>
      <c r="J57" s="123">
        <v>22</v>
      </c>
      <c r="K57" s="123">
        <f>(F57+SUM($H$48:$H57))/2^(J57-1)</f>
        <v>15.415462005615236</v>
      </c>
      <c r="L57" s="123">
        <f t="shared" si="42"/>
        <v>63897.600000000006</v>
      </c>
      <c r="M57" s="123">
        <f>HLOOKUP($B57,猫咪!$H$3:$U$4,2,0)</f>
        <v>40000</v>
      </c>
      <c r="N57" s="125">
        <f t="shared" si="43"/>
        <v>2555904000</v>
      </c>
      <c r="O57" s="126" t="e">
        <f>INDEX(旅店!$F$4:$F$104,MATCH($B57,旅店!$J$4:$J$104,0),0)</f>
        <v>#N/A</v>
      </c>
      <c r="P57" s="126"/>
      <c r="Q57" s="126"/>
      <c r="R57" s="126"/>
      <c r="S57" s="60"/>
    </row>
    <row r="58" spans="2:21" x14ac:dyDescent="0.35">
      <c r="B58" s="123">
        <f t="shared" si="44"/>
        <v>120</v>
      </c>
      <c r="C58" s="123">
        <f t="shared" si="45"/>
        <v>129</v>
      </c>
      <c r="D58" s="123">
        <f>VLOOKUP(C58,等级时间!$U:$AU,10,0)-VLOOKUP(C57,等级时间!$U:$AU,10,0)</f>
        <v>111.63</v>
      </c>
      <c r="E58" s="123">
        <f t="shared" si="40"/>
        <v>42848452.608000003</v>
      </c>
      <c r="F58" s="123">
        <f>SUM($E$48:$E58)</f>
        <v>75125936.06400001</v>
      </c>
      <c r="G58" s="123">
        <f>COUNTIF(土地规划!$A$7:$A$15,"&lt;="&amp;$C58)</f>
        <v>9</v>
      </c>
      <c r="H58" s="123">
        <f t="shared" si="41"/>
        <v>51118.080000000002</v>
      </c>
      <c r="I58" s="124">
        <v>0.5</v>
      </c>
      <c r="J58" s="123">
        <v>24</v>
      </c>
      <c r="K58" s="123">
        <f>(F58+SUM($H$48:$H58))/2^(J58-1)</f>
        <v>8.9678928451538091</v>
      </c>
      <c r="L58" s="123">
        <f t="shared" si="42"/>
        <v>127795.20000000001</v>
      </c>
      <c r="M58" s="123">
        <f>HLOOKUP($B58,猫咪!$H$3:$U$4,2,0)</f>
        <v>60000</v>
      </c>
      <c r="N58" s="125">
        <f t="shared" si="43"/>
        <v>7667712000.000001</v>
      </c>
      <c r="O58" s="126" t="e">
        <f>INDEX(旅店!$F$4:$F$104,MATCH($B58,旅店!$J$4:$J$104,0),0)</f>
        <v>#N/A</v>
      </c>
      <c r="P58" s="126"/>
      <c r="Q58" s="126"/>
      <c r="R58" s="126"/>
      <c r="S58" s="60"/>
    </row>
    <row r="59" spans="2:21" x14ac:dyDescent="0.35">
      <c r="B59" s="123">
        <f t="shared" si="44"/>
        <v>130</v>
      </c>
      <c r="C59" s="123">
        <f t="shared" si="45"/>
        <v>139</v>
      </c>
      <c r="D59" s="123">
        <f>VLOOKUP(C59,等级时间!$U:$AU,10,0)-VLOOKUP(C58,等级时间!$U:$AU,10,0)</f>
        <v>123.07</v>
      </c>
      <c r="E59" s="123">
        <f t="shared" si="40"/>
        <v>94468767.744000003</v>
      </c>
      <c r="F59" s="123">
        <f>SUM($E$48:$E59)</f>
        <v>169594703.80800003</v>
      </c>
      <c r="G59" s="123">
        <f>COUNTIF(土地规划!$A$7:$A$15,"&lt;="&amp;$C59)</f>
        <v>9</v>
      </c>
      <c r="H59" s="123">
        <f t="shared" si="41"/>
        <v>102236.16</v>
      </c>
      <c r="I59" s="124">
        <v>0.5</v>
      </c>
      <c r="J59" s="123">
        <v>25</v>
      </c>
      <c r="K59" s="123">
        <f>(F59+SUM($H$48:$H59))/2^(J59-1)</f>
        <v>10.120817516326905</v>
      </c>
      <c r="L59" s="123">
        <f t="shared" si="42"/>
        <v>255590.40000000002</v>
      </c>
      <c r="M59" s="123">
        <f>HLOOKUP($B59,猫咪!$H$3:$U$4,2,0)</f>
        <v>90000</v>
      </c>
      <c r="N59" s="125">
        <f t="shared" si="43"/>
        <v>23003136000.000004</v>
      </c>
      <c r="O59" s="126" t="e">
        <f>INDEX(旅店!$F$4:$F$104,MATCH($B59,旅店!$J$4:$J$104,0),0)</f>
        <v>#N/A</v>
      </c>
      <c r="P59" s="127"/>
      <c r="Q59" s="127"/>
      <c r="R59" s="127"/>
    </row>
    <row r="60" spans="2:21" x14ac:dyDescent="0.35">
      <c r="B60" s="123">
        <f t="shared" si="44"/>
        <v>140</v>
      </c>
      <c r="C60" s="123">
        <f t="shared" si="45"/>
        <v>149</v>
      </c>
      <c r="D60" s="123">
        <f>VLOOKUP(C60,等级时间!$U:$AU,10,0)-VLOOKUP(C59,等级时间!$U:$AU,10,0)</f>
        <v>134.12</v>
      </c>
      <c r="E60" s="123">
        <f t="shared" si="40"/>
        <v>205883179.00800002</v>
      </c>
      <c r="F60" s="123">
        <f>SUM($E$48:$E60)</f>
        <v>375477882.81600004</v>
      </c>
      <c r="G60" s="123">
        <f>COUNTIF(土地规划!$A$7:$A$15,"&lt;="&amp;$C60)</f>
        <v>9</v>
      </c>
      <c r="H60" s="123">
        <f t="shared" si="41"/>
        <v>204472.32000000001</v>
      </c>
      <c r="I60" s="124">
        <v>0.5</v>
      </c>
      <c r="J60" s="123">
        <v>26</v>
      </c>
      <c r="K60" s="123">
        <f>(F60+SUM($H$48:$H60))/2^(J60-1)</f>
        <v>11.202299383163453</v>
      </c>
      <c r="L60" s="123">
        <f t="shared" si="42"/>
        <v>511180.80000000005</v>
      </c>
      <c r="M60" s="123">
        <f>HLOOKUP($B60,猫咪!$H$3:$U$4,2,0)</f>
        <v>140000</v>
      </c>
      <c r="N60" s="125">
        <f t="shared" si="43"/>
        <v>71565312000</v>
      </c>
      <c r="O60" s="126" t="e">
        <f>INDEX(旅店!$F$4:$F$104,MATCH($B60,旅店!$J$4:$J$104,0),0)</f>
        <v>#N/A</v>
      </c>
      <c r="P60" s="127"/>
      <c r="Q60" s="127"/>
      <c r="R60" s="127"/>
    </row>
    <row r="61" spans="2:21" x14ac:dyDescent="0.35"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2:21" x14ac:dyDescent="0.35"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2:21" x14ac:dyDescent="0.35"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</row>
    <row r="64" spans="2:21" x14ac:dyDescent="0.35">
      <c r="B64" s="60"/>
      <c r="C64" s="57" t="s">
        <v>299</v>
      </c>
      <c r="D64" s="57">
        <f>D4*D11/5</f>
        <v>38.4</v>
      </c>
      <c r="E64" s="60">
        <v>40</v>
      </c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</row>
    <row r="65" spans="2:19" x14ac:dyDescent="0.35">
      <c r="B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</row>
    <row r="66" spans="2:19" x14ac:dyDescent="0.35">
      <c r="B66" s="60"/>
      <c r="C66" s="57" t="s">
        <v>300</v>
      </c>
      <c r="D66" s="57">
        <f>G7</f>
        <v>96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2:19" x14ac:dyDescent="0.35">
      <c r="B67" s="60"/>
      <c r="C67" s="57" t="s">
        <v>301</v>
      </c>
      <c r="D67" s="59">
        <v>0.75</v>
      </c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2:19" x14ac:dyDescent="0.35">
      <c r="B68" s="60"/>
      <c r="C68" s="57" t="s">
        <v>302</v>
      </c>
      <c r="D68" s="85">
        <f>D66*D67</f>
        <v>72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2:19" x14ac:dyDescent="0.35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</row>
    <row r="70" spans="2:19" ht="17.25" thickBot="1" x14ac:dyDescent="0.4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</row>
    <row r="71" spans="2:19" x14ac:dyDescent="0.35">
      <c r="B71" s="112" t="s">
        <v>379</v>
      </c>
      <c r="F71" s="115" t="s">
        <v>383</v>
      </c>
      <c r="G71" s="116" t="s">
        <v>384</v>
      </c>
      <c r="H71" s="116" t="s">
        <v>385</v>
      </c>
      <c r="I71" s="116" t="s">
        <v>386</v>
      </c>
      <c r="J71" s="117" t="s">
        <v>387</v>
      </c>
    </row>
    <row r="72" spans="2:19" x14ac:dyDescent="0.35">
      <c r="B72" s="58" t="s">
        <v>291</v>
      </c>
      <c r="C72" s="58" t="s">
        <v>292</v>
      </c>
      <c r="D72" s="57" t="s">
        <v>380</v>
      </c>
      <c r="E72" s="86" t="s">
        <v>381</v>
      </c>
      <c r="F72" s="118">
        <v>0.2</v>
      </c>
      <c r="G72" s="108">
        <v>0.2</v>
      </c>
      <c r="H72" s="108">
        <v>0.2</v>
      </c>
      <c r="I72" s="108">
        <v>0.2</v>
      </c>
      <c r="J72" s="119">
        <v>0.2</v>
      </c>
    </row>
    <row r="73" spans="2:19" x14ac:dyDescent="0.35">
      <c r="B73" s="58">
        <v>1</v>
      </c>
      <c r="C73" s="58">
        <v>29</v>
      </c>
      <c r="D73" s="85">
        <f>INDEX(旅店!$F$4:$F$104,MATCH(INT(C73/10)*10,旅店!$J$4:$J$104,0),0)</f>
        <v>115140.00000000001</v>
      </c>
      <c r="E73" s="114">
        <f>ROUND(D73/$G$7,-LEN(D73)+4)</f>
        <v>1200</v>
      </c>
      <c r="F73" s="120">
        <v>400</v>
      </c>
      <c r="G73" s="113">
        <v>800</v>
      </c>
      <c r="H73" s="113">
        <f>E73</f>
        <v>1200</v>
      </c>
      <c r="I73" s="113">
        <v>1600</v>
      </c>
      <c r="J73" s="121">
        <v>2000</v>
      </c>
      <c r="K73" s="56">
        <f>SUMPRODUCT($F$72:$J$72,F73:J73)</f>
        <v>1200</v>
      </c>
    </row>
    <row r="74" spans="2:19" x14ac:dyDescent="0.35">
      <c r="B74" s="58">
        <f>C73+1</f>
        <v>30</v>
      </c>
      <c r="C74" s="58">
        <f>C73+10</f>
        <v>39</v>
      </c>
      <c r="D74" s="85">
        <f>INDEX(旅店!$F$4:$F$104,MATCH(INT(C74/10)*10,旅店!$J$4:$J$104,0),0)</f>
        <v>330480</v>
      </c>
      <c r="E74" s="114">
        <f t="shared" ref="E74:E80" si="46">ROUND(D74/$G$7,-LEN(D74)+4)</f>
        <v>3400</v>
      </c>
      <c r="F74" s="120">
        <v>2500</v>
      </c>
      <c r="G74" s="113">
        <v>3000</v>
      </c>
      <c r="H74" s="113">
        <v>3500</v>
      </c>
      <c r="I74" s="113">
        <v>4000</v>
      </c>
      <c r="J74" s="121">
        <v>4500</v>
      </c>
      <c r="K74" s="56">
        <f t="shared" ref="K74:K80" si="47">SUMPRODUCT($F$72:$J$72,F74:J74)</f>
        <v>3500</v>
      </c>
    </row>
    <row r="75" spans="2:19" x14ac:dyDescent="0.35">
      <c r="B75" s="58">
        <f t="shared" ref="B75:B80" si="48">C74+1</f>
        <v>40</v>
      </c>
      <c r="C75" s="58">
        <f t="shared" ref="C75:C80" si="49">C74+10</f>
        <v>49</v>
      </c>
      <c r="D75" s="85">
        <f>INDEX(旅店!$F$4:$F$104,MATCH(INT(C75/10)*10,旅店!$J$4:$J$104,0),0)</f>
        <v>1202880</v>
      </c>
      <c r="E75" s="114">
        <f t="shared" si="46"/>
        <v>13000</v>
      </c>
      <c r="F75" s="120">
        <v>10000</v>
      </c>
      <c r="G75" s="113">
        <v>12000</v>
      </c>
      <c r="H75" s="113">
        <f t="shared" ref="H75:H78" si="50">E75</f>
        <v>13000</v>
      </c>
      <c r="I75" s="113">
        <v>14000</v>
      </c>
      <c r="J75" s="121">
        <v>16000</v>
      </c>
      <c r="K75" s="56">
        <f t="shared" si="47"/>
        <v>13000</v>
      </c>
    </row>
    <row r="76" spans="2:19" x14ac:dyDescent="0.35">
      <c r="B76" s="58">
        <f t="shared" si="48"/>
        <v>50</v>
      </c>
      <c r="C76" s="58">
        <f t="shared" si="49"/>
        <v>59</v>
      </c>
      <c r="D76" s="85">
        <f>INDEX(旅店!$F$4:$F$104,MATCH(INT(C76/10)*10,旅店!$J$4:$J$104,0),0)</f>
        <v>2475640</v>
      </c>
      <c r="E76" s="114">
        <f t="shared" si="46"/>
        <v>26000</v>
      </c>
      <c r="F76" s="120">
        <v>15000</v>
      </c>
      <c r="G76" s="113">
        <v>20000</v>
      </c>
      <c r="H76" s="113">
        <v>25000</v>
      </c>
      <c r="I76" s="113">
        <v>30000</v>
      </c>
      <c r="J76" s="121">
        <v>35000</v>
      </c>
      <c r="K76" s="56">
        <f t="shared" si="47"/>
        <v>25000</v>
      </c>
    </row>
    <row r="77" spans="2:19" x14ac:dyDescent="0.35">
      <c r="B77" s="58">
        <f t="shared" si="48"/>
        <v>60</v>
      </c>
      <c r="C77" s="58">
        <f t="shared" si="49"/>
        <v>69</v>
      </c>
      <c r="D77" s="85">
        <f>INDEX(旅店!$F$4:$F$104,MATCH(INT(C77/10)*10,旅店!$J$4:$J$104,0),0)</f>
        <v>10220080</v>
      </c>
      <c r="E77" s="114">
        <f t="shared" si="46"/>
        <v>110000</v>
      </c>
      <c r="F77" s="120">
        <v>50000</v>
      </c>
      <c r="G77" s="113">
        <v>75000</v>
      </c>
      <c r="H77" s="113">
        <v>100000</v>
      </c>
      <c r="I77" s="113">
        <v>125000</v>
      </c>
      <c r="J77" s="121">
        <v>150000</v>
      </c>
      <c r="K77" s="56">
        <f t="shared" si="47"/>
        <v>100000</v>
      </c>
    </row>
    <row r="78" spans="2:19" x14ac:dyDescent="0.35">
      <c r="B78" s="58">
        <f t="shared" si="48"/>
        <v>70</v>
      </c>
      <c r="C78" s="58">
        <f t="shared" si="49"/>
        <v>79</v>
      </c>
      <c r="D78" s="85">
        <f>INDEX(旅店!$F$4:$F$104,MATCH(INT(C78/10)*10,旅店!$J$4:$J$104,0),0)</f>
        <v>43319760</v>
      </c>
      <c r="E78" s="114">
        <f t="shared" si="46"/>
        <v>450000</v>
      </c>
      <c r="F78" s="120">
        <v>150000</v>
      </c>
      <c r="G78" s="113">
        <v>300000</v>
      </c>
      <c r="H78" s="113">
        <f t="shared" si="50"/>
        <v>450000</v>
      </c>
      <c r="I78" s="113">
        <v>600000</v>
      </c>
      <c r="J78" s="121">
        <v>750000</v>
      </c>
      <c r="K78" s="56">
        <f t="shared" si="47"/>
        <v>450000</v>
      </c>
    </row>
    <row r="79" spans="2:19" x14ac:dyDescent="0.35">
      <c r="B79" s="58">
        <f t="shared" si="48"/>
        <v>80</v>
      </c>
      <c r="C79" s="58">
        <f t="shared" si="49"/>
        <v>89</v>
      </c>
      <c r="D79" s="85">
        <f>INDEX(旅店!$F$4:$F$104,MATCH(INT(C79/10)*10,旅店!$J$4:$J$104,0),0)</f>
        <v>95099700</v>
      </c>
      <c r="E79" s="114">
        <f t="shared" si="46"/>
        <v>990000</v>
      </c>
      <c r="F79" s="120">
        <v>500000</v>
      </c>
      <c r="G79" s="113">
        <v>750000</v>
      </c>
      <c r="H79" s="113">
        <v>1000000</v>
      </c>
      <c r="I79" s="113">
        <v>1250000</v>
      </c>
      <c r="J79" s="121">
        <v>1500000</v>
      </c>
      <c r="K79" s="56">
        <f t="shared" si="47"/>
        <v>1000000</v>
      </c>
    </row>
    <row r="80" spans="2:19" x14ac:dyDescent="0.35">
      <c r="B80" s="58">
        <f t="shared" si="48"/>
        <v>90</v>
      </c>
      <c r="C80" s="58">
        <f t="shared" si="49"/>
        <v>99</v>
      </c>
      <c r="D80" s="85">
        <f>INDEX(旅店!$F$4:$F$104,MATCH(INT(C80/10)*10,旅店!$J$4:$J$104,0),0)</f>
        <v>411644580</v>
      </c>
      <c r="E80" s="114">
        <f t="shared" si="46"/>
        <v>4300000</v>
      </c>
      <c r="F80" s="120">
        <v>2000000</v>
      </c>
      <c r="G80" s="113">
        <v>3000000</v>
      </c>
      <c r="H80" s="113">
        <v>4000000</v>
      </c>
      <c r="I80" s="113">
        <v>5000000</v>
      </c>
      <c r="J80" s="121">
        <v>6000000</v>
      </c>
      <c r="K80" s="56">
        <f t="shared" si="47"/>
        <v>4000000</v>
      </c>
    </row>
    <row r="82" spans="2:19" x14ac:dyDescent="0.35">
      <c r="B82" s="60"/>
      <c r="C82" s="60"/>
      <c r="D82" s="60"/>
      <c r="E82" s="60"/>
      <c r="F82" s="60"/>
      <c r="G82" s="60"/>
      <c r="H82" s="60"/>
      <c r="I82" s="60"/>
      <c r="J82" s="60"/>
    </row>
    <row r="83" spans="2:19" ht="17.25" thickBot="1" x14ac:dyDescent="0.4">
      <c r="B83" s="60"/>
      <c r="C83" s="60"/>
      <c r="D83" s="60"/>
      <c r="E83" s="60"/>
      <c r="F83" s="60"/>
      <c r="G83" s="60"/>
      <c r="H83" s="60"/>
      <c r="I83" s="60"/>
      <c r="J83" s="60"/>
    </row>
    <row r="84" spans="2:19" x14ac:dyDescent="0.35">
      <c r="B84" s="112" t="s">
        <v>382</v>
      </c>
      <c r="F84" s="115" t="s">
        <v>383</v>
      </c>
      <c r="G84" s="116" t="s">
        <v>384</v>
      </c>
      <c r="H84" s="116" t="s">
        <v>385</v>
      </c>
      <c r="I84" s="116" t="s">
        <v>386</v>
      </c>
      <c r="J84" s="117" t="s">
        <v>387</v>
      </c>
    </row>
    <row r="85" spans="2:19" x14ac:dyDescent="0.35">
      <c r="B85" s="58" t="s">
        <v>291</v>
      </c>
      <c r="C85" s="58" t="s">
        <v>292</v>
      </c>
      <c r="D85" s="57" t="s">
        <v>380</v>
      </c>
      <c r="E85" s="86" t="s">
        <v>381</v>
      </c>
      <c r="F85" s="118">
        <v>0.2</v>
      </c>
      <c r="G85" s="108">
        <v>0.2</v>
      </c>
      <c r="H85" s="108">
        <v>0.2</v>
      </c>
      <c r="I85" s="108">
        <v>0.2</v>
      </c>
      <c r="J85" s="119">
        <v>0.2</v>
      </c>
    </row>
    <row r="86" spans="2:19" x14ac:dyDescent="0.35">
      <c r="B86" s="58">
        <v>1</v>
      </c>
      <c r="C86" s="58">
        <v>29</v>
      </c>
      <c r="D86" s="85">
        <f>INT(INDEX(树木!$F$4:$F$104,MATCH(INT(C86/10)*10,旅店!$J$4:$J$104,0),0))</f>
        <v>9940</v>
      </c>
      <c r="E86" s="114">
        <f>ROUND(D86/$G$7,-1)</f>
        <v>100</v>
      </c>
      <c r="F86" s="120">
        <v>50</v>
      </c>
      <c r="G86" s="113">
        <v>75</v>
      </c>
      <c r="H86" s="113">
        <v>100</v>
      </c>
      <c r="I86" s="113">
        <v>125</v>
      </c>
      <c r="J86" s="121">
        <v>150</v>
      </c>
      <c r="K86" s="56">
        <f>SUMPRODUCT($F$72:$J$72,F86:J86)</f>
        <v>100</v>
      </c>
      <c r="L86" s="60"/>
      <c r="M86" s="60"/>
      <c r="N86" s="60"/>
      <c r="O86" s="60"/>
      <c r="P86" s="60"/>
      <c r="Q86" s="60"/>
      <c r="R86" s="60"/>
      <c r="S86" s="60"/>
    </row>
    <row r="87" spans="2:19" x14ac:dyDescent="0.35">
      <c r="B87" s="58">
        <f>C86+1</f>
        <v>30</v>
      </c>
      <c r="C87" s="58">
        <f>C86+10</f>
        <v>39</v>
      </c>
      <c r="D87" s="85">
        <f>INT(INDEX(树木!$F$4:$F$104,MATCH(INT(C87/10)*10,旅店!$J$4:$J$104,0),0))</f>
        <v>15686</v>
      </c>
      <c r="E87" s="114">
        <f>ROUND(D87/$G$7,-1)</f>
        <v>160</v>
      </c>
      <c r="F87" s="120">
        <v>100</v>
      </c>
      <c r="G87" s="113">
        <v>125</v>
      </c>
      <c r="H87" s="113">
        <v>150</v>
      </c>
      <c r="I87" s="113">
        <v>175</v>
      </c>
      <c r="J87" s="121">
        <v>200</v>
      </c>
      <c r="K87" s="56">
        <f t="shared" ref="K87:K93" si="51">SUMPRODUCT($F$72:$J$72,F87:J87)</f>
        <v>150</v>
      </c>
      <c r="L87" s="60"/>
      <c r="M87" s="60"/>
      <c r="N87" s="60"/>
      <c r="O87" s="60"/>
      <c r="P87" s="60"/>
      <c r="Q87" s="60"/>
      <c r="R87" s="60"/>
      <c r="S87" s="60"/>
    </row>
    <row r="88" spans="2:19" x14ac:dyDescent="0.35">
      <c r="B88" s="58">
        <f t="shared" ref="B88:B93" si="52">C87+1</f>
        <v>40</v>
      </c>
      <c r="C88" s="58">
        <f t="shared" ref="C88:C93" si="53">C87+10</f>
        <v>49</v>
      </c>
      <c r="D88" s="85">
        <f>INT(INDEX(树木!$F$4:$F$104,MATCH(INT(C88/10)*10,旅店!$J$4:$J$104,0),0))</f>
        <v>18969</v>
      </c>
      <c r="E88" s="114">
        <f t="shared" ref="E88:E93" si="54">ROUND(D88/$G$7,-1)</f>
        <v>200</v>
      </c>
      <c r="F88" s="120">
        <v>100</v>
      </c>
      <c r="G88" s="113">
        <v>150</v>
      </c>
      <c r="H88" s="113">
        <v>200</v>
      </c>
      <c r="I88" s="113">
        <v>250</v>
      </c>
      <c r="J88" s="121">
        <v>300</v>
      </c>
      <c r="K88" s="56">
        <f t="shared" si="51"/>
        <v>200</v>
      </c>
      <c r="L88" s="60"/>
      <c r="M88" s="60"/>
      <c r="N88" s="60"/>
      <c r="O88" s="60"/>
      <c r="P88" s="60"/>
      <c r="Q88" s="60"/>
      <c r="R88" s="60"/>
      <c r="S88" s="60"/>
    </row>
    <row r="89" spans="2:19" x14ac:dyDescent="0.35">
      <c r="B89" s="58">
        <f t="shared" si="52"/>
        <v>50</v>
      </c>
      <c r="C89" s="58">
        <f t="shared" si="53"/>
        <v>59</v>
      </c>
      <c r="D89" s="85">
        <f>INT(INDEX(树木!$F$4:$F$104,MATCH(INT(C89/10)*10,旅店!$J$4:$J$104,0),0))</f>
        <v>23940</v>
      </c>
      <c r="E89" s="114">
        <f t="shared" si="54"/>
        <v>250</v>
      </c>
      <c r="F89" s="120">
        <v>150</v>
      </c>
      <c r="G89" s="113">
        <v>200</v>
      </c>
      <c r="H89" s="113">
        <v>250</v>
      </c>
      <c r="I89" s="113">
        <v>300</v>
      </c>
      <c r="J89" s="121">
        <v>350</v>
      </c>
      <c r="K89" s="56">
        <f t="shared" si="51"/>
        <v>250</v>
      </c>
      <c r="L89" s="60"/>
      <c r="M89" s="60"/>
      <c r="N89" s="60"/>
      <c r="O89" s="60"/>
      <c r="P89" s="60"/>
      <c r="Q89" s="60"/>
      <c r="R89" s="60"/>
      <c r="S89" s="60"/>
    </row>
    <row r="90" spans="2:19" x14ac:dyDescent="0.35">
      <c r="B90" s="58">
        <f t="shared" si="52"/>
        <v>60</v>
      </c>
      <c r="C90" s="58">
        <f t="shared" si="53"/>
        <v>69</v>
      </c>
      <c r="D90" s="85">
        <f>INT(INDEX(树木!$F$4:$F$104,MATCH(INT(C90/10)*10,旅店!$J$4:$J$104,0),0))</f>
        <v>28728</v>
      </c>
      <c r="E90" s="114">
        <f t="shared" si="54"/>
        <v>300</v>
      </c>
      <c r="F90" s="120">
        <v>200</v>
      </c>
      <c r="G90" s="113">
        <v>250</v>
      </c>
      <c r="H90" s="113">
        <v>300</v>
      </c>
      <c r="I90" s="113">
        <v>350</v>
      </c>
      <c r="J90" s="121">
        <v>400</v>
      </c>
      <c r="K90" s="56">
        <f t="shared" si="51"/>
        <v>300</v>
      </c>
      <c r="L90" s="60"/>
      <c r="M90" s="60"/>
      <c r="N90" s="60"/>
      <c r="O90" s="60"/>
      <c r="P90" s="60"/>
      <c r="Q90" s="60"/>
      <c r="R90" s="60"/>
      <c r="S90" s="60"/>
    </row>
    <row r="91" spans="2:19" x14ac:dyDescent="0.35">
      <c r="B91" s="58">
        <f t="shared" si="52"/>
        <v>70</v>
      </c>
      <c r="C91" s="58">
        <f t="shared" si="53"/>
        <v>79</v>
      </c>
      <c r="D91" s="85">
        <f>INT(INDEX(树木!$F$4:$F$104,MATCH(INT(C91/10)*10,旅店!$J$4:$J$104,0),0))</f>
        <v>94860</v>
      </c>
      <c r="E91" s="114">
        <f t="shared" si="54"/>
        <v>990</v>
      </c>
      <c r="F91" s="120">
        <v>500</v>
      </c>
      <c r="G91" s="113">
        <v>750</v>
      </c>
      <c r="H91" s="113">
        <v>1000</v>
      </c>
      <c r="I91" s="113">
        <v>1250</v>
      </c>
      <c r="J91" s="121">
        <v>1500</v>
      </c>
      <c r="K91" s="56">
        <f t="shared" si="51"/>
        <v>1000</v>
      </c>
      <c r="L91" s="60"/>
      <c r="M91" s="60"/>
      <c r="N91" s="60"/>
      <c r="O91" s="60"/>
      <c r="P91" s="60"/>
      <c r="Q91" s="60"/>
      <c r="R91" s="60"/>
      <c r="S91" s="60"/>
    </row>
    <row r="92" spans="2:19" x14ac:dyDescent="0.35">
      <c r="B92" s="58">
        <f t="shared" si="52"/>
        <v>80</v>
      </c>
      <c r="C92" s="58">
        <f t="shared" si="53"/>
        <v>89</v>
      </c>
      <c r="D92" s="85">
        <f>INT(INDEX(树木!$F$4:$F$104,MATCH(INT(C92/10)*10,旅店!$J$4:$J$104,0),0))</f>
        <v>433896</v>
      </c>
      <c r="E92" s="114">
        <f t="shared" si="54"/>
        <v>4520</v>
      </c>
      <c r="F92" s="120">
        <v>3000</v>
      </c>
      <c r="G92" s="113">
        <v>4000</v>
      </c>
      <c r="H92" s="113">
        <v>5000</v>
      </c>
      <c r="I92" s="113">
        <v>6000</v>
      </c>
      <c r="J92" s="121">
        <v>7000</v>
      </c>
      <c r="K92" s="56">
        <f t="shared" si="51"/>
        <v>5000</v>
      </c>
      <c r="L92" s="60"/>
      <c r="M92" s="60"/>
    </row>
    <row r="93" spans="2:19" x14ac:dyDescent="0.35">
      <c r="B93" s="58">
        <f t="shared" si="52"/>
        <v>90</v>
      </c>
      <c r="C93" s="58">
        <f t="shared" si="53"/>
        <v>99</v>
      </c>
      <c r="D93" s="85">
        <f>INT(INDEX(树木!$F$4:$F$104,MATCH(INT(C93/10)*10,旅店!$J$4:$J$104,0),0))</f>
        <v>1028020</v>
      </c>
      <c r="E93" s="114">
        <f t="shared" si="54"/>
        <v>10710</v>
      </c>
      <c r="F93" s="120">
        <v>5000</v>
      </c>
      <c r="G93" s="113">
        <v>7500</v>
      </c>
      <c r="H93" s="113">
        <v>10000</v>
      </c>
      <c r="I93" s="113">
        <v>12500</v>
      </c>
      <c r="J93" s="121">
        <v>15000</v>
      </c>
      <c r="K93" s="56">
        <f t="shared" si="51"/>
        <v>10000</v>
      </c>
      <c r="L93" s="60"/>
      <c r="M93" s="60"/>
    </row>
    <row r="94" spans="2:19" x14ac:dyDescent="0.35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</row>
    <row r="95" spans="2:19" ht="17.25" thickBot="1" x14ac:dyDescent="0.4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</row>
    <row r="96" spans="2:19" x14ac:dyDescent="0.35">
      <c r="B96" s="112" t="s">
        <v>388</v>
      </c>
      <c r="F96" s="115" t="s">
        <v>383</v>
      </c>
      <c r="G96" s="116" t="s">
        <v>384</v>
      </c>
      <c r="H96" s="116" t="s">
        <v>385</v>
      </c>
      <c r="I96" s="116" t="s">
        <v>386</v>
      </c>
      <c r="J96" s="117" t="s">
        <v>387</v>
      </c>
      <c r="K96" s="60"/>
      <c r="L96" s="60"/>
      <c r="M96" s="60"/>
    </row>
    <row r="97" spans="2:19" x14ac:dyDescent="0.35">
      <c r="B97" s="58" t="s">
        <v>291</v>
      </c>
      <c r="C97" s="58" t="s">
        <v>292</v>
      </c>
      <c r="D97" s="57" t="s">
        <v>380</v>
      </c>
      <c r="E97" s="86" t="s">
        <v>381</v>
      </c>
      <c r="F97" s="118">
        <v>0.2</v>
      </c>
      <c r="G97" s="108">
        <v>0.2</v>
      </c>
      <c r="H97" s="108">
        <v>0.2</v>
      </c>
      <c r="I97" s="108">
        <v>0.2</v>
      </c>
      <c r="J97" s="119">
        <v>0.2</v>
      </c>
      <c r="K97" s="60"/>
      <c r="L97" s="60"/>
      <c r="M97" s="60"/>
      <c r="N97" s="60"/>
      <c r="O97" s="60"/>
      <c r="P97" s="60"/>
      <c r="Q97" s="60"/>
      <c r="R97" s="60"/>
      <c r="S97" s="60"/>
    </row>
    <row r="98" spans="2:19" x14ac:dyDescent="0.35">
      <c r="B98" s="58">
        <v>1</v>
      </c>
      <c r="C98" s="58">
        <v>29</v>
      </c>
      <c r="D98" s="85">
        <f>INT(INDEX(树木!$F$4:$F$104,MATCH(INT(C98/10)*10,旅店!$J$4:$J$104,0),0))</f>
        <v>9940</v>
      </c>
      <c r="E98" s="114">
        <f>ROUND(D98/$G$7,-1)</f>
        <v>100</v>
      </c>
      <c r="F98" s="120">
        <v>50</v>
      </c>
      <c r="G98" s="113">
        <v>75</v>
      </c>
      <c r="H98" s="113">
        <v>100</v>
      </c>
      <c r="I98" s="113">
        <v>125</v>
      </c>
      <c r="J98" s="121">
        <v>150</v>
      </c>
      <c r="K98" s="56">
        <f>SUMPRODUCT($F$72:$J$72,F98:J98)</f>
        <v>100</v>
      </c>
      <c r="L98" s="60"/>
      <c r="M98" s="60"/>
      <c r="N98" s="60"/>
      <c r="O98" s="60"/>
      <c r="P98" s="60"/>
      <c r="Q98" s="60"/>
      <c r="R98" s="60"/>
      <c r="S98" s="60"/>
    </row>
    <row r="99" spans="2:19" x14ac:dyDescent="0.35">
      <c r="B99" s="58">
        <f>C98+1</f>
        <v>30</v>
      </c>
      <c r="C99" s="58">
        <f>C98+10</f>
        <v>39</v>
      </c>
      <c r="D99" s="85">
        <f>INT(INDEX(树木!$F$4:$F$104,MATCH(INT(C99/10)*10,旅店!$J$4:$J$104,0),0))</f>
        <v>15686</v>
      </c>
      <c r="E99" s="114">
        <f>ROUND(D99/$G$7,-1)</f>
        <v>160</v>
      </c>
      <c r="F99" s="120">
        <v>100</v>
      </c>
      <c r="G99" s="113">
        <v>125</v>
      </c>
      <c r="H99" s="113">
        <v>150</v>
      </c>
      <c r="I99" s="113">
        <v>175</v>
      </c>
      <c r="J99" s="121">
        <v>200</v>
      </c>
      <c r="K99" s="56">
        <f t="shared" ref="K99:K105" si="55">SUMPRODUCT($F$72:$J$72,F99:J99)</f>
        <v>150</v>
      </c>
      <c r="L99" s="60"/>
      <c r="M99" s="60"/>
      <c r="N99" s="60"/>
      <c r="O99" s="60"/>
      <c r="P99" s="60"/>
      <c r="Q99" s="60"/>
      <c r="R99" s="60"/>
      <c r="S99" s="60"/>
    </row>
    <row r="100" spans="2:19" x14ac:dyDescent="0.35">
      <c r="B100" s="58">
        <f t="shared" ref="B100:B105" si="56">C99+1</f>
        <v>40</v>
      </c>
      <c r="C100" s="58">
        <f t="shared" ref="C100:C105" si="57">C99+10</f>
        <v>49</v>
      </c>
      <c r="D100" s="85">
        <f>INT(INDEX(树木!$F$4:$F$104,MATCH(INT(C100/10)*10,旅店!$J$4:$J$104,0),0))</f>
        <v>18969</v>
      </c>
      <c r="E100" s="114">
        <f t="shared" ref="E100:E105" si="58">ROUND(D100/$G$7,-1)</f>
        <v>200</v>
      </c>
      <c r="F100" s="120">
        <v>100</v>
      </c>
      <c r="G100" s="113">
        <v>150</v>
      </c>
      <c r="H100" s="113">
        <v>200</v>
      </c>
      <c r="I100" s="113">
        <v>250</v>
      </c>
      <c r="J100" s="121">
        <v>300</v>
      </c>
      <c r="K100" s="56">
        <f t="shared" si="55"/>
        <v>200</v>
      </c>
      <c r="L100" s="60"/>
      <c r="M100" s="60"/>
      <c r="N100" s="60"/>
      <c r="O100" s="60"/>
      <c r="P100" s="60"/>
      <c r="Q100" s="60"/>
      <c r="R100" s="60"/>
      <c r="S100" s="60"/>
    </row>
    <row r="101" spans="2:19" x14ac:dyDescent="0.35">
      <c r="B101" s="58">
        <f t="shared" si="56"/>
        <v>50</v>
      </c>
      <c r="C101" s="58">
        <f t="shared" si="57"/>
        <v>59</v>
      </c>
      <c r="D101" s="85">
        <f>INT(INDEX(树木!$F$4:$F$104,MATCH(INT(C101/10)*10,旅店!$J$4:$J$104,0),0))</f>
        <v>23940</v>
      </c>
      <c r="E101" s="114">
        <f t="shared" si="58"/>
        <v>250</v>
      </c>
      <c r="F101" s="120">
        <v>150</v>
      </c>
      <c r="G101" s="113">
        <v>200</v>
      </c>
      <c r="H101" s="113">
        <v>250</v>
      </c>
      <c r="I101" s="113">
        <v>300</v>
      </c>
      <c r="J101" s="121">
        <v>350</v>
      </c>
      <c r="K101" s="56">
        <f t="shared" si="55"/>
        <v>250</v>
      </c>
      <c r="L101" s="60"/>
      <c r="M101" s="60"/>
      <c r="N101" s="60"/>
      <c r="O101" s="60"/>
      <c r="P101" s="60"/>
      <c r="Q101" s="60"/>
      <c r="R101" s="60"/>
      <c r="S101" s="60"/>
    </row>
    <row r="102" spans="2:19" x14ac:dyDescent="0.35">
      <c r="B102" s="58">
        <f t="shared" si="56"/>
        <v>60</v>
      </c>
      <c r="C102" s="58">
        <f t="shared" si="57"/>
        <v>69</v>
      </c>
      <c r="D102" s="85">
        <f>INT(INDEX(树木!$F$4:$F$104,MATCH(INT(C102/10)*10,旅店!$J$4:$J$104,0),0))</f>
        <v>28728</v>
      </c>
      <c r="E102" s="114">
        <f t="shared" si="58"/>
        <v>300</v>
      </c>
      <c r="F102" s="120">
        <v>200</v>
      </c>
      <c r="G102" s="113">
        <v>250</v>
      </c>
      <c r="H102" s="113">
        <v>300</v>
      </c>
      <c r="I102" s="113">
        <v>350</v>
      </c>
      <c r="J102" s="121">
        <v>400</v>
      </c>
      <c r="K102" s="56">
        <f t="shared" si="55"/>
        <v>300</v>
      </c>
      <c r="L102" s="60"/>
      <c r="M102" s="60"/>
      <c r="N102" s="60"/>
      <c r="O102" s="60"/>
      <c r="P102" s="60"/>
      <c r="Q102" s="60"/>
      <c r="R102" s="60"/>
      <c r="S102" s="60"/>
    </row>
    <row r="103" spans="2:19" x14ac:dyDescent="0.35">
      <c r="B103" s="58">
        <f t="shared" si="56"/>
        <v>70</v>
      </c>
      <c r="C103" s="58">
        <f t="shared" si="57"/>
        <v>79</v>
      </c>
      <c r="D103" s="85">
        <f>INT(INDEX(树木!$F$4:$F$104,MATCH(INT(C103/10)*10,旅店!$J$4:$J$104,0),0))</f>
        <v>94860</v>
      </c>
      <c r="E103" s="114">
        <f t="shared" si="58"/>
        <v>990</v>
      </c>
      <c r="F103" s="120">
        <v>500</v>
      </c>
      <c r="G103" s="113">
        <v>750</v>
      </c>
      <c r="H103" s="113">
        <v>1000</v>
      </c>
      <c r="I103" s="113">
        <v>1250</v>
      </c>
      <c r="J103" s="121">
        <v>1500</v>
      </c>
      <c r="K103" s="56">
        <f t="shared" si="55"/>
        <v>1000</v>
      </c>
      <c r="L103" s="60"/>
      <c r="M103" s="60"/>
    </row>
    <row r="104" spans="2:19" x14ac:dyDescent="0.35">
      <c r="B104" s="58">
        <f t="shared" si="56"/>
        <v>80</v>
      </c>
      <c r="C104" s="58">
        <f t="shared" si="57"/>
        <v>89</v>
      </c>
      <c r="D104" s="85">
        <f>INT(INDEX(树木!$F$4:$F$104,MATCH(INT(C104/10)*10,旅店!$J$4:$J$104,0),0))</f>
        <v>433896</v>
      </c>
      <c r="E104" s="114">
        <f t="shared" si="58"/>
        <v>4520</v>
      </c>
      <c r="F104" s="120">
        <v>3000</v>
      </c>
      <c r="G104" s="113">
        <v>4000</v>
      </c>
      <c r="H104" s="113">
        <v>5000</v>
      </c>
      <c r="I104" s="113">
        <v>6000</v>
      </c>
      <c r="J104" s="121">
        <v>7000</v>
      </c>
      <c r="K104" s="56">
        <f t="shared" si="55"/>
        <v>5000</v>
      </c>
      <c r="L104" s="60"/>
      <c r="M104" s="60"/>
    </row>
    <row r="105" spans="2:19" x14ac:dyDescent="0.35">
      <c r="B105" s="58">
        <f t="shared" si="56"/>
        <v>90</v>
      </c>
      <c r="C105" s="58">
        <f t="shared" si="57"/>
        <v>99</v>
      </c>
      <c r="D105" s="85">
        <f>INT(INDEX(树木!$F$4:$F$104,MATCH(INT(C105/10)*10,旅店!$J$4:$J$104,0),0))</f>
        <v>1028020</v>
      </c>
      <c r="E105" s="114">
        <f t="shared" si="58"/>
        <v>10710</v>
      </c>
      <c r="F105" s="120">
        <v>5000</v>
      </c>
      <c r="G105" s="113">
        <v>7500</v>
      </c>
      <c r="H105" s="113">
        <v>10000</v>
      </c>
      <c r="I105" s="113">
        <v>12500</v>
      </c>
      <c r="J105" s="121">
        <v>15000</v>
      </c>
      <c r="K105" s="56">
        <f t="shared" si="55"/>
        <v>10000</v>
      </c>
      <c r="L105" s="60"/>
      <c r="M105" s="60"/>
    </row>
    <row r="106" spans="2:19" x14ac:dyDescent="0.35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</row>
    <row r="107" spans="2:19" x14ac:dyDescent="0.35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</row>
    <row r="108" spans="2:19" x14ac:dyDescent="0.35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</row>
    <row r="109" spans="2:19" x14ac:dyDescent="0.35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</row>
    <row r="110" spans="2:19" x14ac:dyDescent="0.35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</row>
    <row r="111" spans="2:19" x14ac:dyDescent="0.35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C1" workbookViewId="0">
      <selection activeCell="H4" sqref="H4:H53"/>
    </sheetView>
  </sheetViews>
  <sheetFormatPr defaultRowHeight="16.5" x14ac:dyDescent="0.15"/>
  <cols>
    <col min="1" max="2" width="9" style="70"/>
    <col min="3" max="3" width="8.125" style="70" customWidth="1"/>
    <col min="4" max="4" width="12.875" style="70" bestFit="1" customWidth="1"/>
    <col min="5" max="5" width="18.875" style="111" bestFit="1" customWidth="1"/>
    <col min="6" max="6" width="15.875" style="70" bestFit="1" customWidth="1"/>
    <col min="7" max="21" width="12.875" style="70" bestFit="1" customWidth="1"/>
    <col min="22" max="23" width="9" style="70"/>
    <col min="24" max="25" width="16.625" style="70" bestFit="1" customWidth="1"/>
    <col min="26" max="16384" width="9" style="70"/>
  </cols>
  <sheetData>
    <row r="1" spans="1:25" ht="17.25" thickBot="1" x14ac:dyDescent="0.2"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  <c r="P1" s="70">
        <v>15</v>
      </c>
      <c r="Q1" s="70">
        <v>16</v>
      </c>
      <c r="R1" s="70">
        <v>17</v>
      </c>
      <c r="S1" s="70">
        <v>18</v>
      </c>
      <c r="T1" s="70">
        <v>19</v>
      </c>
      <c r="U1" s="70">
        <v>20</v>
      </c>
    </row>
    <row r="2" spans="1:25" ht="17.25" thickBot="1" x14ac:dyDescent="0.2">
      <c r="H2" s="154" t="s">
        <v>304</v>
      </c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6"/>
    </row>
    <row r="3" spans="1:25" ht="17.25" thickBot="1" x14ac:dyDescent="0.4">
      <c r="B3" s="57" t="s">
        <v>9</v>
      </c>
      <c r="C3" s="57" t="s">
        <v>139</v>
      </c>
      <c r="D3" s="57" t="s">
        <v>151</v>
      </c>
      <c r="E3" s="98" t="s">
        <v>372</v>
      </c>
      <c r="F3" s="86" t="s">
        <v>350</v>
      </c>
      <c r="G3" s="86" t="s">
        <v>349</v>
      </c>
      <c r="H3" s="95">
        <v>20</v>
      </c>
      <c r="I3" s="96">
        <v>30</v>
      </c>
      <c r="J3" s="96">
        <v>40</v>
      </c>
      <c r="K3" s="96">
        <v>50</v>
      </c>
      <c r="L3" s="96">
        <v>60</v>
      </c>
      <c r="M3" s="96">
        <v>70</v>
      </c>
      <c r="N3" s="96">
        <v>80</v>
      </c>
      <c r="O3" s="96">
        <v>90</v>
      </c>
      <c r="P3" s="96">
        <v>100</v>
      </c>
      <c r="Q3" s="96">
        <v>110</v>
      </c>
      <c r="R3" s="96">
        <v>120</v>
      </c>
      <c r="S3" s="96">
        <v>130</v>
      </c>
      <c r="T3" s="96">
        <v>140</v>
      </c>
      <c r="U3" s="97">
        <v>150</v>
      </c>
      <c r="W3" s="83" t="s">
        <v>9</v>
      </c>
      <c r="X3" s="83" t="s">
        <v>316</v>
      </c>
      <c r="Y3" s="83" t="s">
        <v>317</v>
      </c>
    </row>
    <row r="4" spans="1:25" x14ac:dyDescent="0.35">
      <c r="A4" s="70">
        <f>E4*3/150</f>
        <v>1.9999999999999998E-4</v>
      </c>
      <c r="B4" s="57">
        <v>1</v>
      </c>
      <c r="C4" s="57" t="s">
        <v>152</v>
      </c>
      <c r="D4" s="57">
        <f>2^(B4-1)</f>
        <v>1</v>
      </c>
      <c r="E4" s="108">
        <v>0.01</v>
      </c>
      <c r="F4" s="86">
        <f>2*G4</f>
        <v>2</v>
      </c>
      <c r="G4" s="86">
        <v>1</v>
      </c>
      <c r="H4" s="92">
        <v>1000</v>
      </c>
      <c r="I4" s="93">
        <v>1500</v>
      </c>
      <c r="J4" s="93">
        <v>2500</v>
      </c>
      <c r="K4" s="93">
        <v>3500</v>
      </c>
      <c r="L4" s="93">
        <v>5000</v>
      </c>
      <c r="M4" s="93">
        <v>8000</v>
      </c>
      <c r="N4" s="93">
        <v>12000</v>
      </c>
      <c r="O4" s="93">
        <v>18000</v>
      </c>
      <c r="P4" s="93">
        <v>25000</v>
      </c>
      <c r="Q4" s="93">
        <v>40000</v>
      </c>
      <c r="R4" s="93">
        <v>60000</v>
      </c>
      <c r="S4" s="93">
        <v>90000</v>
      </c>
      <c r="T4" s="93">
        <v>140000</v>
      </c>
      <c r="U4" s="94">
        <v>200000</v>
      </c>
      <c r="W4" s="83">
        <v>20</v>
      </c>
      <c r="X4" s="83">
        <f>HLOOKUP($W4,$H$3:$U$4,2,0)/$G$4</f>
        <v>1000</v>
      </c>
      <c r="Y4" s="83">
        <f>$G$4/HLOOKUP($W4,$H$3:$U$4,2,0)</f>
        <v>1E-3</v>
      </c>
    </row>
    <row r="5" spans="1:25" x14ac:dyDescent="0.35">
      <c r="B5" s="57">
        <v>2</v>
      </c>
      <c r="C5" s="57" t="s">
        <v>130</v>
      </c>
      <c r="D5" s="57">
        <f t="shared" ref="D5:D53" si="0">2^(B5-1)</f>
        <v>2</v>
      </c>
      <c r="E5" s="108">
        <f t="shared" ref="E5:E8" si="1">E4*2</f>
        <v>0.02</v>
      </c>
      <c r="F5" s="86">
        <f t="shared" ref="F5:F53" si="2">2*G5</f>
        <v>4</v>
      </c>
      <c r="G5" s="86">
        <f>2*G4</f>
        <v>2</v>
      </c>
      <c r="H5" s="87">
        <f>2*H4</f>
        <v>2000</v>
      </c>
      <c r="I5" s="57">
        <f t="shared" ref="I5:U20" si="3">2*I4</f>
        <v>3000</v>
      </c>
      <c r="J5" s="57">
        <f t="shared" si="3"/>
        <v>5000</v>
      </c>
      <c r="K5" s="57">
        <f t="shared" si="3"/>
        <v>7000</v>
      </c>
      <c r="L5" s="57">
        <f t="shared" si="3"/>
        <v>10000</v>
      </c>
      <c r="M5" s="57">
        <f t="shared" si="3"/>
        <v>16000</v>
      </c>
      <c r="N5" s="57">
        <f t="shared" si="3"/>
        <v>24000</v>
      </c>
      <c r="O5" s="57">
        <f t="shared" si="3"/>
        <v>36000</v>
      </c>
      <c r="P5" s="57">
        <f t="shared" si="3"/>
        <v>50000</v>
      </c>
      <c r="Q5" s="57">
        <f t="shared" si="3"/>
        <v>80000</v>
      </c>
      <c r="R5" s="57">
        <f t="shared" si="3"/>
        <v>120000</v>
      </c>
      <c r="S5" s="57">
        <f t="shared" si="3"/>
        <v>180000</v>
      </c>
      <c r="T5" s="57">
        <f t="shared" si="3"/>
        <v>280000</v>
      </c>
      <c r="U5" s="88">
        <f t="shared" si="3"/>
        <v>400000</v>
      </c>
      <c r="W5" s="83">
        <v>30</v>
      </c>
      <c r="X5" s="83">
        <f t="shared" ref="X5:X17" si="4">HLOOKUP($W5,$H$3:$U$4,2,0)/$G$4</f>
        <v>1500</v>
      </c>
      <c r="Y5" s="83">
        <f t="shared" ref="Y5:Y17" si="5">$G$4/HLOOKUP($W5,$H$3:$U$4,2,0)</f>
        <v>6.6666666666666664E-4</v>
      </c>
    </row>
    <row r="6" spans="1:25" x14ac:dyDescent="0.35">
      <c r="B6" s="57">
        <v>3</v>
      </c>
      <c r="C6" s="57" t="s">
        <v>131</v>
      </c>
      <c r="D6" s="57">
        <f t="shared" si="0"/>
        <v>4</v>
      </c>
      <c r="E6" s="108">
        <f t="shared" si="1"/>
        <v>0.04</v>
      </c>
      <c r="F6" s="86">
        <f t="shared" si="2"/>
        <v>8</v>
      </c>
      <c r="G6" s="86">
        <f t="shared" ref="G6:G53" si="6">2*G5</f>
        <v>4</v>
      </c>
      <c r="H6" s="87">
        <f t="shared" ref="H6:H53" si="7">2*H5</f>
        <v>4000</v>
      </c>
      <c r="I6" s="57">
        <f t="shared" si="3"/>
        <v>6000</v>
      </c>
      <c r="J6" s="57">
        <f t="shared" si="3"/>
        <v>10000</v>
      </c>
      <c r="K6" s="57">
        <f t="shared" si="3"/>
        <v>14000</v>
      </c>
      <c r="L6" s="57">
        <f t="shared" si="3"/>
        <v>20000</v>
      </c>
      <c r="M6" s="57">
        <f t="shared" si="3"/>
        <v>32000</v>
      </c>
      <c r="N6" s="57">
        <f t="shared" si="3"/>
        <v>48000</v>
      </c>
      <c r="O6" s="57">
        <f t="shared" si="3"/>
        <v>72000</v>
      </c>
      <c r="P6" s="57">
        <f t="shared" si="3"/>
        <v>100000</v>
      </c>
      <c r="Q6" s="57">
        <f t="shared" si="3"/>
        <v>160000</v>
      </c>
      <c r="R6" s="57">
        <f t="shared" si="3"/>
        <v>240000</v>
      </c>
      <c r="S6" s="57">
        <f t="shared" si="3"/>
        <v>360000</v>
      </c>
      <c r="T6" s="57">
        <f t="shared" si="3"/>
        <v>560000</v>
      </c>
      <c r="U6" s="88">
        <f t="shared" si="3"/>
        <v>800000</v>
      </c>
      <c r="W6" s="83">
        <v>40</v>
      </c>
      <c r="X6" s="83">
        <f t="shared" si="4"/>
        <v>2500</v>
      </c>
      <c r="Y6" s="83">
        <f t="shared" si="5"/>
        <v>4.0000000000000002E-4</v>
      </c>
    </row>
    <row r="7" spans="1:25" x14ac:dyDescent="0.35">
      <c r="B7" s="57">
        <v>4</v>
      </c>
      <c r="C7" s="57" t="s">
        <v>132</v>
      </c>
      <c r="D7" s="57">
        <f t="shared" si="0"/>
        <v>8</v>
      </c>
      <c r="E7" s="108">
        <f t="shared" si="1"/>
        <v>0.08</v>
      </c>
      <c r="F7" s="86">
        <f t="shared" si="2"/>
        <v>16</v>
      </c>
      <c r="G7" s="86">
        <f t="shared" si="6"/>
        <v>8</v>
      </c>
      <c r="H7" s="87">
        <f t="shared" si="7"/>
        <v>8000</v>
      </c>
      <c r="I7" s="57">
        <f t="shared" si="3"/>
        <v>12000</v>
      </c>
      <c r="J7" s="57">
        <f t="shared" si="3"/>
        <v>20000</v>
      </c>
      <c r="K7" s="57">
        <f t="shared" si="3"/>
        <v>28000</v>
      </c>
      <c r="L7" s="57">
        <f t="shared" si="3"/>
        <v>40000</v>
      </c>
      <c r="M7" s="57">
        <f t="shared" si="3"/>
        <v>64000</v>
      </c>
      <c r="N7" s="57">
        <f t="shared" si="3"/>
        <v>96000</v>
      </c>
      <c r="O7" s="57">
        <f t="shared" si="3"/>
        <v>144000</v>
      </c>
      <c r="P7" s="57">
        <f t="shared" si="3"/>
        <v>200000</v>
      </c>
      <c r="Q7" s="57">
        <f t="shared" si="3"/>
        <v>320000</v>
      </c>
      <c r="R7" s="57">
        <f t="shared" si="3"/>
        <v>480000</v>
      </c>
      <c r="S7" s="57">
        <f t="shared" si="3"/>
        <v>720000</v>
      </c>
      <c r="T7" s="57">
        <f t="shared" si="3"/>
        <v>1120000</v>
      </c>
      <c r="U7" s="88">
        <f t="shared" si="3"/>
        <v>1600000</v>
      </c>
      <c r="W7" s="83">
        <v>50</v>
      </c>
      <c r="X7" s="83">
        <f>HLOOKUP($W7,$H$3:$U$4,2,0)/$G$4</f>
        <v>3500</v>
      </c>
      <c r="Y7" s="83">
        <f t="shared" si="5"/>
        <v>2.8571428571428574E-4</v>
      </c>
    </row>
    <row r="8" spans="1:25" x14ac:dyDescent="0.35">
      <c r="B8" s="57">
        <v>5</v>
      </c>
      <c r="C8" s="57" t="s">
        <v>133</v>
      </c>
      <c r="D8" s="57">
        <f t="shared" si="0"/>
        <v>16</v>
      </c>
      <c r="E8" s="108">
        <f t="shared" si="1"/>
        <v>0.16</v>
      </c>
      <c r="F8" s="86">
        <f t="shared" si="2"/>
        <v>32</v>
      </c>
      <c r="G8" s="86">
        <f t="shared" si="6"/>
        <v>16</v>
      </c>
      <c r="H8" s="87">
        <f t="shared" si="7"/>
        <v>16000</v>
      </c>
      <c r="I8" s="57">
        <f t="shared" si="3"/>
        <v>24000</v>
      </c>
      <c r="J8" s="57">
        <f t="shared" si="3"/>
        <v>40000</v>
      </c>
      <c r="K8" s="57">
        <f t="shared" si="3"/>
        <v>56000</v>
      </c>
      <c r="L8" s="57">
        <f t="shared" si="3"/>
        <v>80000</v>
      </c>
      <c r="M8" s="57">
        <f t="shared" si="3"/>
        <v>128000</v>
      </c>
      <c r="N8" s="57">
        <f t="shared" si="3"/>
        <v>192000</v>
      </c>
      <c r="O8" s="57">
        <f t="shared" si="3"/>
        <v>288000</v>
      </c>
      <c r="P8" s="57">
        <f t="shared" si="3"/>
        <v>400000</v>
      </c>
      <c r="Q8" s="57">
        <f t="shared" si="3"/>
        <v>640000</v>
      </c>
      <c r="R8" s="57">
        <f t="shared" si="3"/>
        <v>960000</v>
      </c>
      <c r="S8" s="57">
        <f t="shared" si="3"/>
        <v>1440000</v>
      </c>
      <c r="T8" s="57">
        <f t="shared" si="3"/>
        <v>2240000</v>
      </c>
      <c r="U8" s="88">
        <f t="shared" si="3"/>
        <v>3200000</v>
      </c>
      <c r="W8" s="83">
        <v>60</v>
      </c>
      <c r="X8" s="83">
        <f t="shared" si="4"/>
        <v>5000</v>
      </c>
      <c r="Y8" s="83">
        <f t="shared" si="5"/>
        <v>2.0000000000000001E-4</v>
      </c>
    </row>
    <row r="9" spans="1:25" x14ac:dyDescent="0.35">
      <c r="B9" s="57">
        <v>6</v>
      </c>
      <c r="C9" s="57" t="s">
        <v>134</v>
      </c>
      <c r="D9" s="57">
        <f t="shared" si="0"/>
        <v>32</v>
      </c>
      <c r="E9" s="108">
        <f t="shared" ref="E9:E15" si="8">E8*2</f>
        <v>0.32</v>
      </c>
      <c r="F9" s="86">
        <f t="shared" si="2"/>
        <v>64</v>
      </c>
      <c r="G9" s="86">
        <f t="shared" si="6"/>
        <v>32</v>
      </c>
      <c r="H9" s="87">
        <f t="shared" si="7"/>
        <v>32000</v>
      </c>
      <c r="I9" s="57">
        <f t="shared" si="3"/>
        <v>48000</v>
      </c>
      <c r="J9" s="57">
        <f t="shared" si="3"/>
        <v>80000</v>
      </c>
      <c r="K9" s="57">
        <f t="shared" si="3"/>
        <v>112000</v>
      </c>
      <c r="L9" s="57">
        <f t="shared" si="3"/>
        <v>160000</v>
      </c>
      <c r="M9" s="57">
        <f t="shared" si="3"/>
        <v>256000</v>
      </c>
      <c r="N9" s="57">
        <f t="shared" si="3"/>
        <v>384000</v>
      </c>
      <c r="O9" s="57">
        <f t="shared" si="3"/>
        <v>576000</v>
      </c>
      <c r="P9" s="57">
        <f t="shared" si="3"/>
        <v>800000</v>
      </c>
      <c r="Q9" s="57">
        <f t="shared" si="3"/>
        <v>1280000</v>
      </c>
      <c r="R9" s="57">
        <f t="shared" si="3"/>
        <v>1920000</v>
      </c>
      <c r="S9" s="57">
        <f t="shared" si="3"/>
        <v>2880000</v>
      </c>
      <c r="T9" s="57">
        <f t="shared" si="3"/>
        <v>4480000</v>
      </c>
      <c r="U9" s="88">
        <f t="shared" si="3"/>
        <v>6400000</v>
      </c>
      <c r="W9" s="83">
        <v>70</v>
      </c>
      <c r="X9" s="83">
        <f t="shared" si="4"/>
        <v>8000</v>
      </c>
      <c r="Y9" s="83">
        <f t="shared" si="5"/>
        <v>1.25E-4</v>
      </c>
    </row>
    <row r="10" spans="1:25" x14ac:dyDescent="0.35">
      <c r="B10" s="57">
        <v>7</v>
      </c>
      <c r="C10" s="57" t="s">
        <v>135</v>
      </c>
      <c r="D10" s="57">
        <f t="shared" si="0"/>
        <v>64</v>
      </c>
      <c r="E10" s="108">
        <f t="shared" si="8"/>
        <v>0.64</v>
      </c>
      <c r="F10" s="86">
        <f t="shared" si="2"/>
        <v>128</v>
      </c>
      <c r="G10" s="86">
        <f t="shared" si="6"/>
        <v>64</v>
      </c>
      <c r="H10" s="87">
        <f t="shared" si="7"/>
        <v>64000</v>
      </c>
      <c r="I10" s="57">
        <f t="shared" si="3"/>
        <v>96000</v>
      </c>
      <c r="J10" s="57">
        <f t="shared" si="3"/>
        <v>160000</v>
      </c>
      <c r="K10" s="57">
        <f t="shared" si="3"/>
        <v>224000</v>
      </c>
      <c r="L10" s="57">
        <f t="shared" si="3"/>
        <v>320000</v>
      </c>
      <c r="M10" s="57">
        <f t="shared" si="3"/>
        <v>512000</v>
      </c>
      <c r="N10" s="57">
        <f t="shared" si="3"/>
        <v>768000</v>
      </c>
      <c r="O10" s="57">
        <f t="shared" si="3"/>
        <v>1152000</v>
      </c>
      <c r="P10" s="57">
        <f t="shared" si="3"/>
        <v>1600000</v>
      </c>
      <c r="Q10" s="57">
        <f t="shared" si="3"/>
        <v>2560000</v>
      </c>
      <c r="R10" s="57">
        <f t="shared" si="3"/>
        <v>3840000</v>
      </c>
      <c r="S10" s="57">
        <f t="shared" si="3"/>
        <v>5760000</v>
      </c>
      <c r="T10" s="57">
        <f t="shared" si="3"/>
        <v>8960000</v>
      </c>
      <c r="U10" s="88">
        <f t="shared" si="3"/>
        <v>12800000</v>
      </c>
      <c r="W10" s="83">
        <v>80</v>
      </c>
      <c r="X10" s="83">
        <f t="shared" si="4"/>
        <v>12000</v>
      </c>
      <c r="Y10" s="83">
        <f t="shared" si="5"/>
        <v>8.3333333333333331E-5</v>
      </c>
    </row>
    <row r="11" spans="1:25" x14ac:dyDescent="0.35">
      <c r="B11" s="57">
        <v>8</v>
      </c>
      <c r="C11" s="57" t="s">
        <v>136</v>
      </c>
      <c r="D11" s="57">
        <f t="shared" si="0"/>
        <v>128</v>
      </c>
      <c r="E11" s="108">
        <f t="shared" si="8"/>
        <v>1.28</v>
      </c>
      <c r="F11" s="86">
        <f t="shared" si="2"/>
        <v>256</v>
      </c>
      <c r="G11" s="86">
        <f t="shared" si="6"/>
        <v>128</v>
      </c>
      <c r="H11" s="87">
        <f t="shared" si="7"/>
        <v>128000</v>
      </c>
      <c r="I11" s="57">
        <f t="shared" si="3"/>
        <v>192000</v>
      </c>
      <c r="J11" s="57">
        <f t="shared" si="3"/>
        <v>320000</v>
      </c>
      <c r="K11" s="57">
        <f t="shared" si="3"/>
        <v>448000</v>
      </c>
      <c r="L11" s="57">
        <f t="shared" si="3"/>
        <v>640000</v>
      </c>
      <c r="M11" s="57">
        <f t="shared" si="3"/>
        <v>1024000</v>
      </c>
      <c r="N11" s="57">
        <f t="shared" si="3"/>
        <v>1536000</v>
      </c>
      <c r="O11" s="57">
        <f t="shared" si="3"/>
        <v>2304000</v>
      </c>
      <c r="P11" s="57">
        <f t="shared" si="3"/>
        <v>3200000</v>
      </c>
      <c r="Q11" s="57">
        <f t="shared" si="3"/>
        <v>5120000</v>
      </c>
      <c r="R11" s="57">
        <f t="shared" si="3"/>
        <v>7680000</v>
      </c>
      <c r="S11" s="57">
        <f t="shared" si="3"/>
        <v>11520000</v>
      </c>
      <c r="T11" s="57">
        <f t="shared" si="3"/>
        <v>17920000</v>
      </c>
      <c r="U11" s="88">
        <f t="shared" si="3"/>
        <v>25600000</v>
      </c>
      <c r="W11" s="83">
        <v>90</v>
      </c>
      <c r="X11" s="83">
        <f t="shared" si="4"/>
        <v>18000</v>
      </c>
      <c r="Y11" s="83">
        <f t="shared" si="5"/>
        <v>5.5555555555555558E-5</v>
      </c>
    </row>
    <row r="12" spans="1:25" x14ac:dyDescent="0.35">
      <c r="B12" s="57">
        <v>9</v>
      </c>
      <c r="C12" s="57" t="s">
        <v>137</v>
      </c>
      <c r="D12" s="57">
        <f t="shared" si="0"/>
        <v>256</v>
      </c>
      <c r="E12" s="108">
        <f t="shared" si="8"/>
        <v>2.56</v>
      </c>
      <c r="F12" s="86">
        <f t="shared" si="2"/>
        <v>512</v>
      </c>
      <c r="G12" s="86">
        <f t="shared" si="6"/>
        <v>256</v>
      </c>
      <c r="H12" s="87">
        <f t="shared" si="7"/>
        <v>256000</v>
      </c>
      <c r="I12" s="57">
        <f t="shared" si="3"/>
        <v>384000</v>
      </c>
      <c r="J12" s="57">
        <f t="shared" si="3"/>
        <v>640000</v>
      </c>
      <c r="K12" s="57">
        <f t="shared" si="3"/>
        <v>896000</v>
      </c>
      <c r="L12" s="57">
        <f t="shared" si="3"/>
        <v>1280000</v>
      </c>
      <c r="M12" s="57">
        <f t="shared" si="3"/>
        <v>2048000</v>
      </c>
      <c r="N12" s="57">
        <f t="shared" si="3"/>
        <v>3072000</v>
      </c>
      <c r="O12" s="57">
        <f t="shared" si="3"/>
        <v>4608000</v>
      </c>
      <c r="P12" s="57">
        <f t="shared" si="3"/>
        <v>6400000</v>
      </c>
      <c r="Q12" s="57">
        <f t="shared" si="3"/>
        <v>10240000</v>
      </c>
      <c r="R12" s="57">
        <f t="shared" si="3"/>
        <v>15360000</v>
      </c>
      <c r="S12" s="57">
        <f t="shared" si="3"/>
        <v>23040000</v>
      </c>
      <c r="T12" s="57">
        <f t="shared" si="3"/>
        <v>35840000</v>
      </c>
      <c r="U12" s="88">
        <f t="shared" si="3"/>
        <v>51200000</v>
      </c>
      <c r="W12" s="83">
        <v>100</v>
      </c>
      <c r="X12" s="83">
        <f t="shared" si="4"/>
        <v>25000</v>
      </c>
      <c r="Y12" s="83">
        <f t="shared" si="5"/>
        <v>4.0000000000000003E-5</v>
      </c>
    </row>
    <row r="13" spans="1:25" s="104" customFormat="1" x14ac:dyDescent="0.35">
      <c r="B13" s="57">
        <v>10</v>
      </c>
      <c r="C13" s="57" t="s">
        <v>138</v>
      </c>
      <c r="D13" s="57">
        <f t="shared" si="0"/>
        <v>512</v>
      </c>
      <c r="E13" s="108">
        <f t="shared" si="8"/>
        <v>5.12</v>
      </c>
      <c r="F13" s="86">
        <f t="shared" si="2"/>
        <v>1024</v>
      </c>
      <c r="G13" s="86">
        <f t="shared" si="6"/>
        <v>512</v>
      </c>
      <c r="H13" s="87">
        <f t="shared" si="7"/>
        <v>512000</v>
      </c>
      <c r="I13" s="57">
        <f t="shared" si="3"/>
        <v>768000</v>
      </c>
      <c r="J13" s="57">
        <f t="shared" si="3"/>
        <v>1280000</v>
      </c>
      <c r="K13" s="57">
        <f t="shared" si="3"/>
        <v>1792000</v>
      </c>
      <c r="L13" s="57">
        <f t="shared" si="3"/>
        <v>2560000</v>
      </c>
      <c r="M13" s="57">
        <f t="shared" si="3"/>
        <v>4096000</v>
      </c>
      <c r="N13" s="57">
        <f t="shared" si="3"/>
        <v>6144000</v>
      </c>
      <c r="O13" s="57">
        <f t="shared" si="3"/>
        <v>9216000</v>
      </c>
      <c r="P13" s="57">
        <f t="shared" si="3"/>
        <v>12800000</v>
      </c>
      <c r="Q13" s="57">
        <f t="shared" si="3"/>
        <v>20480000</v>
      </c>
      <c r="R13" s="57">
        <f t="shared" si="3"/>
        <v>30720000</v>
      </c>
      <c r="S13" s="57">
        <f t="shared" si="3"/>
        <v>46080000</v>
      </c>
      <c r="T13" s="57">
        <f t="shared" si="3"/>
        <v>71680000</v>
      </c>
      <c r="U13" s="88">
        <f t="shared" si="3"/>
        <v>102400000</v>
      </c>
      <c r="W13" s="83">
        <v>110</v>
      </c>
      <c r="X13" s="83">
        <f t="shared" si="4"/>
        <v>40000</v>
      </c>
      <c r="Y13" s="83">
        <f t="shared" si="5"/>
        <v>2.5000000000000001E-5</v>
      </c>
    </row>
    <row r="14" spans="1:25" x14ac:dyDescent="0.35">
      <c r="B14" s="57">
        <v>11</v>
      </c>
      <c r="C14" s="57" t="s">
        <v>193</v>
      </c>
      <c r="D14" s="57">
        <f t="shared" si="0"/>
        <v>1024</v>
      </c>
      <c r="E14" s="108">
        <f t="shared" si="8"/>
        <v>10.24</v>
      </c>
      <c r="F14" s="86">
        <f t="shared" si="2"/>
        <v>2048</v>
      </c>
      <c r="G14" s="86">
        <f t="shared" si="6"/>
        <v>1024</v>
      </c>
      <c r="H14" s="87">
        <f t="shared" si="7"/>
        <v>1024000</v>
      </c>
      <c r="I14" s="57">
        <f t="shared" si="3"/>
        <v>1536000</v>
      </c>
      <c r="J14" s="57">
        <f t="shared" si="3"/>
        <v>2560000</v>
      </c>
      <c r="K14" s="57">
        <f t="shared" si="3"/>
        <v>3584000</v>
      </c>
      <c r="L14" s="57">
        <f t="shared" si="3"/>
        <v>5120000</v>
      </c>
      <c r="M14" s="57">
        <f t="shared" si="3"/>
        <v>8192000</v>
      </c>
      <c r="N14" s="57">
        <f t="shared" si="3"/>
        <v>12288000</v>
      </c>
      <c r="O14" s="57">
        <f t="shared" si="3"/>
        <v>18432000</v>
      </c>
      <c r="P14" s="57">
        <f t="shared" si="3"/>
        <v>25600000</v>
      </c>
      <c r="Q14" s="57">
        <f t="shared" si="3"/>
        <v>40960000</v>
      </c>
      <c r="R14" s="57">
        <f t="shared" si="3"/>
        <v>61440000</v>
      </c>
      <c r="S14" s="57">
        <f t="shared" si="3"/>
        <v>92160000</v>
      </c>
      <c r="T14" s="57">
        <f t="shared" si="3"/>
        <v>143360000</v>
      </c>
      <c r="U14" s="88">
        <f t="shared" si="3"/>
        <v>204800000</v>
      </c>
      <c r="W14" s="83">
        <v>120</v>
      </c>
      <c r="X14" s="83">
        <f t="shared" si="4"/>
        <v>60000</v>
      </c>
      <c r="Y14" s="83">
        <f t="shared" si="5"/>
        <v>1.6666666666666667E-5</v>
      </c>
    </row>
    <row r="15" spans="1:25" x14ac:dyDescent="0.35">
      <c r="B15" s="57">
        <v>12</v>
      </c>
      <c r="C15" s="57" t="s">
        <v>194</v>
      </c>
      <c r="D15" s="57">
        <f t="shared" si="0"/>
        <v>2048</v>
      </c>
      <c r="E15" s="108">
        <f t="shared" si="8"/>
        <v>20.48</v>
      </c>
      <c r="F15" s="86">
        <f t="shared" si="2"/>
        <v>4096</v>
      </c>
      <c r="G15" s="86">
        <f t="shared" si="6"/>
        <v>2048</v>
      </c>
      <c r="H15" s="87">
        <f t="shared" si="7"/>
        <v>2048000</v>
      </c>
      <c r="I15" s="57">
        <f t="shared" si="3"/>
        <v>3072000</v>
      </c>
      <c r="J15" s="57">
        <f t="shared" si="3"/>
        <v>5120000</v>
      </c>
      <c r="K15" s="57">
        <f t="shared" si="3"/>
        <v>7168000</v>
      </c>
      <c r="L15" s="57">
        <f t="shared" si="3"/>
        <v>10240000</v>
      </c>
      <c r="M15" s="57">
        <f t="shared" si="3"/>
        <v>16384000</v>
      </c>
      <c r="N15" s="57">
        <f t="shared" si="3"/>
        <v>24576000</v>
      </c>
      <c r="O15" s="57">
        <f t="shared" si="3"/>
        <v>36864000</v>
      </c>
      <c r="P15" s="57">
        <f t="shared" si="3"/>
        <v>51200000</v>
      </c>
      <c r="Q15" s="57">
        <f t="shared" si="3"/>
        <v>81920000</v>
      </c>
      <c r="R15" s="57">
        <f t="shared" si="3"/>
        <v>122880000</v>
      </c>
      <c r="S15" s="57">
        <f t="shared" si="3"/>
        <v>184320000</v>
      </c>
      <c r="T15" s="57">
        <f t="shared" si="3"/>
        <v>286720000</v>
      </c>
      <c r="U15" s="88">
        <f t="shared" si="3"/>
        <v>409600000</v>
      </c>
      <c r="W15" s="83">
        <v>130</v>
      </c>
      <c r="X15" s="83">
        <f t="shared" si="4"/>
        <v>90000</v>
      </c>
      <c r="Y15" s="83">
        <f t="shared" si="5"/>
        <v>1.1111111111111112E-5</v>
      </c>
    </row>
    <row r="16" spans="1:25" s="99" customFormat="1" x14ac:dyDescent="0.35">
      <c r="B16" s="57">
        <v>13</v>
      </c>
      <c r="C16" s="57" t="s">
        <v>195</v>
      </c>
      <c r="D16" s="57">
        <f t="shared" si="0"/>
        <v>4096</v>
      </c>
      <c r="E16" s="108">
        <f t="shared" ref="E16:E53" si="9">E15*2</f>
        <v>40.96</v>
      </c>
      <c r="F16" s="86">
        <f t="shared" si="2"/>
        <v>8192</v>
      </c>
      <c r="G16" s="86">
        <f t="shared" si="6"/>
        <v>4096</v>
      </c>
      <c r="H16" s="87">
        <f t="shared" si="7"/>
        <v>4096000</v>
      </c>
      <c r="I16" s="57">
        <f t="shared" si="3"/>
        <v>6144000</v>
      </c>
      <c r="J16" s="57">
        <f t="shared" si="3"/>
        <v>10240000</v>
      </c>
      <c r="K16" s="57">
        <f t="shared" si="3"/>
        <v>14336000</v>
      </c>
      <c r="L16" s="57">
        <f t="shared" si="3"/>
        <v>20480000</v>
      </c>
      <c r="M16" s="57">
        <f t="shared" si="3"/>
        <v>32768000</v>
      </c>
      <c r="N16" s="57">
        <f t="shared" si="3"/>
        <v>49152000</v>
      </c>
      <c r="O16" s="57">
        <f t="shared" si="3"/>
        <v>73728000</v>
      </c>
      <c r="P16" s="57">
        <f t="shared" si="3"/>
        <v>102400000</v>
      </c>
      <c r="Q16" s="57">
        <f t="shared" si="3"/>
        <v>163840000</v>
      </c>
      <c r="R16" s="57">
        <f t="shared" si="3"/>
        <v>245760000</v>
      </c>
      <c r="S16" s="57">
        <f t="shared" si="3"/>
        <v>368640000</v>
      </c>
      <c r="T16" s="57">
        <f t="shared" si="3"/>
        <v>573440000</v>
      </c>
      <c r="U16" s="88">
        <f t="shared" si="3"/>
        <v>819200000</v>
      </c>
      <c r="W16" s="83">
        <v>140</v>
      </c>
      <c r="X16" s="83">
        <f t="shared" si="4"/>
        <v>140000</v>
      </c>
      <c r="Y16" s="83">
        <f t="shared" si="5"/>
        <v>7.1428571428571427E-6</v>
      </c>
    </row>
    <row r="17" spans="2:25" x14ac:dyDescent="0.35">
      <c r="B17" s="57">
        <v>14</v>
      </c>
      <c r="C17" s="57" t="s">
        <v>196</v>
      </c>
      <c r="D17" s="57">
        <f t="shared" si="0"/>
        <v>8192</v>
      </c>
      <c r="E17" s="108">
        <f t="shared" si="9"/>
        <v>81.92</v>
      </c>
      <c r="F17" s="86">
        <f t="shared" si="2"/>
        <v>16384</v>
      </c>
      <c r="G17" s="86">
        <f t="shared" si="6"/>
        <v>8192</v>
      </c>
      <c r="H17" s="87">
        <f t="shared" si="7"/>
        <v>8192000</v>
      </c>
      <c r="I17" s="57">
        <f t="shared" si="3"/>
        <v>12288000</v>
      </c>
      <c r="J17" s="57">
        <f t="shared" si="3"/>
        <v>20480000</v>
      </c>
      <c r="K17" s="57">
        <f t="shared" si="3"/>
        <v>28672000</v>
      </c>
      <c r="L17" s="57">
        <f t="shared" si="3"/>
        <v>40960000</v>
      </c>
      <c r="M17" s="57">
        <f t="shared" si="3"/>
        <v>65536000</v>
      </c>
      <c r="N17" s="57">
        <f t="shared" si="3"/>
        <v>98304000</v>
      </c>
      <c r="O17" s="57">
        <f t="shared" si="3"/>
        <v>147456000</v>
      </c>
      <c r="P17" s="57">
        <f t="shared" si="3"/>
        <v>204800000</v>
      </c>
      <c r="Q17" s="57">
        <f t="shared" si="3"/>
        <v>327680000</v>
      </c>
      <c r="R17" s="57">
        <f t="shared" si="3"/>
        <v>491520000</v>
      </c>
      <c r="S17" s="57">
        <f t="shared" si="3"/>
        <v>737280000</v>
      </c>
      <c r="T17" s="57">
        <f t="shared" si="3"/>
        <v>1146880000</v>
      </c>
      <c r="U17" s="88">
        <f t="shared" si="3"/>
        <v>1638400000</v>
      </c>
      <c r="W17" s="83">
        <v>150</v>
      </c>
      <c r="X17" s="83">
        <f t="shared" si="4"/>
        <v>200000</v>
      </c>
      <c r="Y17" s="83">
        <f t="shared" si="5"/>
        <v>5.0000000000000004E-6</v>
      </c>
    </row>
    <row r="18" spans="2:25" x14ac:dyDescent="0.35">
      <c r="B18" s="57">
        <v>15</v>
      </c>
      <c r="C18" s="57" t="s">
        <v>197</v>
      </c>
      <c r="D18" s="57">
        <f t="shared" si="0"/>
        <v>16384</v>
      </c>
      <c r="E18" s="108">
        <f t="shared" si="9"/>
        <v>163.84</v>
      </c>
      <c r="F18" s="86">
        <f t="shared" si="2"/>
        <v>32768</v>
      </c>
      <c r="G18" s="86">
        <f t="shared" si="6"/>
        <v>16384</v>
      </c>
      <c r="H18" s="87">
        <f t="shared" si="7"/>
        <v>16384000</v>
      </c>
      <c r="I18" s="57">
        <f t="shared" si="3"/>
        <v>24576000</v>
      </c>
      <c r="J18" s="57">
        <f t="shared" si="3"/>
        <v>40960000</v>
      </c>
      <c r="K18" s="57">
        <f t="shared" si="3"/>
        <v>57344000</v>
      </c>
      <c r="L18" s="57">
        <f t="shared" si="3"/>
        <v>81920000</v>
      </c>
      <c r="M18" s="57">
        <f t="shared" si="3"/>
        <v>131072000</v>
      </c>
      <c r="N18" s="57">
        <f t="shared" si="3"/>
        <v>196608000</v>
      </c>
      <c r="O18" s="57">
        <f t="shared" si="3"/>
        <v>294912000</v>
      </c>
      <c r="P18" s="57">
        <f t="shared" si="3"/>
        <v>409600000</v>
      </c>
      <c r="Q18" s="57">
        <f t="shared" si="3"/>
        <v>655360000</v>
      </c>
      <c r="R18" s="57">
        <f t="shared" si="3"/>
        <v>983040000</v>
      </c>
      <c r="S18" s="57">
        <f t="shared" si="3"/>
        <v>1474560000</v>
      </c>
      <c r="T18" s="57">
        <f t="shared" si="3"/>
        <v>2293760000</v>
      </c>
      <c r="U18" s="88">
        <f t="shared" si="3"/>
        <v>3276800000</v>
      </c>
    </row>
    <row r="19" spans="2:25" x14ac:dyDescent="0.35">
      <c r="B19" s="57">
        <v>16</v>
      </c>
      <c r="C19" s="57" t="s">
        <v>198</v>
      </c>
      <c r="D19" s="57">
        <f t="shared" si="0"/>
        <v>32768</v>
      </c>
      <c r="E19" s="108">
        <f t="shared" si="9"/>
        <v>327.68</v>
      </c>
      <c r="F19" s="86">
        <f t="shared" si="2"/>
        <v>65536</v>
      </c>
      <c r="G19" s="86">
        <f t="shared" si="6"/>
        <v>32768</v>
      </c>
      <c r="H19" s="87">
        <f t="shared" si="7"/>
        <v>32768000</v>
      </c>
      <c r="I19" s="57">
        <f t="shared" si="3"/>
        <v>49152000</v>
      </c>
      <c r="J19" s="57">
        <f t="shared" si="3"/>
        <v>81920000</v>
      </c>
      <c r="K19" s="57">
        <f t="shared" si="3"/>
        <v>114688000</v>
      </c>
      <c r="L19" s="57">
        <f t="shared" si="3"/>
        <v>163840000</v>
      </c>
      <c r="M19" s="57">
        <f t="shared" si="3"/>
        <v>262144000</v>
      </c>
      <c r="N19" s="57">
        <f t="shared" si="3"/>
        <v>393216000</v>
      </c>
      <c r="O19" s="57">
        <f t="shared" si="3"/>
        <v>589824000</v>
      </c>
      <c r="P19" s="57">
        <f t="shared" si="3"/>
        <v>819200000</v>
      </c>
      <c r="Q19" s="57">
        <f t="shared" si="3"/>
        <v>1310720000</v>
      </c>
      <c r="R19" s="57">
        <f t="shared" si="3"/>
        <v>1966080000</v>
      </c>
      <c r="S19" s="57">
        <f t="shared" si="3"/>
        <v>2949120000</v>
      </c>
      <c r="T19" s="57">
        <f t="shared" si="3"/>
        <v>4587520000</v>
      </c>
      <c r="U19" s="88">
        <f t="shared" si="3"/>
        <v>6553600000</v>
      </c>
    </row>
    <row r="20" spans="2:25" x14ac:dyDescent="0.35">
      <c r="B20" s="57">
        <v>17</v>
      </c>
      <c r="C20" s="57" t="s">
        <v>199</v>
      </c>
      <c r="D20" s="57">
        <f t="shared" si="0"/>
        <v>65536</v>
      </c>
      <c r="E20" s="108">
        <f t="shared" si="9"/>
        <v>655.36</v>
      </c>
      <c r="F20" s="86">
        <f t="shared" si="2"/>
        <v>131072</v>
      </c>
      <c r="G20" s="86">
        <f t="shared" si="6"/>
        <v>65536</v>
      </c>
      <c r="H20" s="87">
        <f t="shared" si="7"/>
        <v>65536000</v>
      </c>
      <c r="I20" s="57">
        <f t="shared" si="3"/>
        <v>98304000</v>
      </c>
      <c r="J20" s="57">
        <f t="shared" si="3"/>
        <v>163840000</v>
      </c>
      <c r="K20" s="57">
        <f t="shared" si="3"/>
        <v>229376000</v>
      </c>
      <c r="L20" s="57">
        <f t="shared" si="3"/>
        <v>327680000</v>
      </c>
      <c r="M20" s="57">
        <f t="shared" si="3"/>
        <v>524288000</v>
      </c>
      <c r="N20" s="57">
        <f t="shared" si="3"/>
        <v>786432000</v>
      </c>
      <c r="O20" s="57">
        <f t="shared" si="3"/>
        <v>1179648000</v>
      </c>
      <c r="P20" s="57">
        <f t="shared" si="3"/>
        <v>1638400000</v>
      </c>
      <c r="Q20" s="57">
        <f t="shared" si="3"/>
        <v>2621440000</v>
      </c>
      <c r="R20" s="57">
        <f t="shared" si="3"/>
        <v>3932160000</v>
      </c>
      <c r="S20" s="57">
        <f t="shared" si="3"/>
        <v>5898240000</v>
      </c>
      <c r="T20" s="57">
        <f t="shared" si="3"/>
        <v>9175040000</v>
      </c>
      <c r="U20" s="88">
        <f t="shared" si="3"/>
        <v>13107200000</v>
      </c>
    </row>
    <row r="21" spans="2:25" x14ac:dyDescent="0.35">
      <c r="B21" s="57">
        <v>18</v>
      </c>
      <c r="C21" s="57" t="s">
        <v>200</v>
      </c>
      <c r="D21" s="57">
        <f t="shared" si="0"/>
        <v>131072</v>
      </c>
      <c r="E21" s="108">
        <f t="shared" si="9"/>
        <v>1310.72</v>
      </c>
      <c r="F21" s="86">
        <f t="shared" si="2"/>
        <v>262144</v>
      </c>
      <c r="G21" s="86">
        <f t="shared" si="6"/>
        <v>131072</v>
      </c>
      <c r="H21" s="87">
        <f t="shared" si="7"/>
        <v>131072000</v>
      </c>
      <c r="I21" s="57">
        <f t="shared" ref="I21:I53" si="10">2*I20</f>
        <v>196608000</v>
      </c>
      <c r="J21" s="57">
        <f t="shared" ref="J21:J53" si="11">2*J20</f>
        <v>327680000</v>
      </c>
      <c r="K21" s="57">
        <f t="shared" ref="K21:K53" si="12">2*K20</f>
        <v>458752000</v>
      </c>
      <c r="L21" s="57">
        <f t="shared" ref="L21:L53" si="13">2*L20</f>
        <v>655360000</v>
      </c>
      <c r="M21" s="57">
        <f t="shared" ref="M21:M53" si="14">2*M20</f>
        <v>1048576000</v>
      </c>
      <c r="N21" s="57">
        <f t="shared" ref="N21:N53" si="15">2*N20</f>
        <v>1572864000</v>
      </c>
      <c r="O21" s="57">
        <f t="shared" ref="O21:O53" si="16">2*O20</f>
        <v>2359296000</v>
      </c>
      <c r="P21" s="57">
        <f t="shared" ref="P21:P53" si="17">2*P20</f>
        <v>3276800000</v>
      </c>
      <c r="Q21" s="57">
        <f t="shared" ref="Q21:Q53" si="18">2*Q20</f>
        <v>5242880000</v>
      </c>
      <c r="R21" s="57">
        <f t="shared" ref="R21:R53" si="19">2*R20</f>
        <v>7864320000</v>
      </c>
      <c r="S21" s="57">
        <f t="shared" ref="S21:S53" si="20">2*S20</f>
        <v>11796480000</v>
      </c>
      <c r="T21" s="57">
        <f t="shared" ref="T21:T53" si="21">2*T20</f>
        <v>18350080000</v>
      </c>
      <c r="U21" s="88">
        <f t="shared" ref="U21:U53" si="22">2*U20</f>
        <v>26214400000</v>
      </c>
    </row>
    <row r="22" spans="2:25" x14ac:dyDescent="0.35">
      <c r="B22" s="57">
        <v>19</v>
      </c>
      <c r="C22" s="57" t="s">
        <v>201</v>
      </c>
      <c r="D22" s="57">
        <f t="shared" si="0"/>
        <v>262144</v>
      </c>
      <c r="E22" s="108">
        <f t="shared" si="9"/>
        <v>2621.44</v>
      </c>
      <c r="F22" s="86">
        <f t="shared" si="2"/>
        <v>524288</v>
      </c>
      <c r="G22" s="86">
        <f t="shared" si="6"/>
        <v>262144</v>
      </c>
      <c r="H22" s="87">
        <f t="shared" si="7"/>
        <v>262144000</v>
      </c>
      <c r="I22" s="57">
        <f t="shared" si="10"/>
        <v>393216000</v>
      </c>
      <c r="J22" s="57">
        <f t="shared" si="11"/>
        <v>655360000</v>
      </c>
      <c r="K22" s="57">
        <f t="shared" si="12"/>
        <v>917504000</v>
      </c>
      <c r="L22" s="57">
        <f t="shared" si="13"/>
        <v>1310720000</v>
      </c>
      <c r="M22" s="57">
        <f t="shared" si="14"/>
        <v>2097152000</v>
      </c>
      <c r="N22" s="57">
        <f t="shared" si="15"/>
        <v>3145728000</v>
      </c>
      <c r="O22" s="57">
        <f t="shared" si="16"/>
        <v>4718592000</v>
      </c>
      <c r="P22" s="57">
        <f t="shared" si="17"/>
        <v>6553600000</v>
      </c>
      <c r="Q22" s="57">
        <f t="shared" si="18"/>
        <v>10485760000</v>
      </c>
      <c r="R22" s="57">
        <f t="shared" si="19"/>
        <v>15728640000</v>
      </c>
      <c r="S22" s="57">
        <f t="shared" si="20"/>
        <v>23592960000</v>
      </c>
      <c r="T22" s="57">
        <f t="shared" si="21"/>
        <v>36700160000</v>
      </c>
      <c r="U22" s="88">
        <f t="shared" si="22"/>
        <v>52428800000</v>
      </c>
    </row>
    <row r="23" spans="2:25" x14ac:dyDescent="0.35">
      <c r="B23" s="57">
        <v>20</v>
      </c>
      <c r="C23" s="57" t="s">
        <v>202</v>
      </c>
      <c r="D23" s="57">
        <f t="shared" si="0"/>
        <v>524288</v>
      </c>
      <c r="E23" s="108">
        <f t="shared" si="9"/>
        <v>5242.88</v>
      </c>
      <c r="F23" s="86">
        <f t="shared" si="2"/>
        <v>1048576</v>
      </c>
      <c r="G23" s="86">
        <f t="shared" si="6"/>
        <v>524288</v>
      </c>
      <c r="H23" s="87">
        <f t="shared" si="7"/>
        <v>524288000</v>
      </c>
      <c r="I23" s="57">
        <f t="shared" si="10"/>
        <v>786432000</v>
      </c>
      <c r="J23" s="57">
        <f t="shared" si="11"/>
        <v>1310720000</v>
      </c>
      <c r="K23" s="57">
        <f t="shared" si="12"/>
        <v>1835008000</v>
      </c>
      <c r="L23" s="57">
        <f t="shared" si="13"/>
        <v>2621440000</v>
      </c>
      <c r="M23" s="57">
        <f t="shared" si="14"/>
        <v>4194304000</v>
      </c>
      <c r="N23" s="57">
        <f t="shared" si="15"/>
        <v>6291456000</v>
      </c>
      <c r="O23" s="57">
        <f t="shared" si="16"/>
        <v>9437184000</v>
      </c>
      <c r="P23" s="57">
        <f t="shared" si="17"/>
        <v>13107200000</v>
      </c>
      <c r="Q23" s="57">
        <f t="shared" si="18"/>
        <v>20971520000</v>
      </c>
      <c r="R23" s="57">
        <f t="shared" si="19"/>
        <v>31457280000</v>
      </c>
      <c r="S23" s="57">
        <f t="shared" si="20"/>
        <v>47185920000</v>
      </c>
      <c r="T23" s="57">
        <f t="shared" si="21"/>
        <v>73400320000</v>
      </c>
      <c r="U23" s="88">
        <f t="shared" si="22"/>
        <v>104857600000</v>
      </c>
    </row>
    <row r="24" spans="2:25" x14ac:dyDescent="0.35">
      <c r="B24" s="57">
        <v>21</v>
      </c>
      <c r="C24" s="57" t="s">
        <v>203</v>
      </c>
      <c r="D24" s="57">
        <f t="shared" si="0"/>
        <v>1048576</v>
      </c>
      <c r="E24" s="108">
        <f t="shared" si="9"/>
        <v>10485.76</v>
      </c>
      <c r="F24" s="86">
        <f t="shared" si="2"/>
        <v>2097152</v>
      </c>
      <c r="G24" s="86">
        <f t="shared" si="6"/>
        <v>1048576</v>
      </c>
      <c r="H24" s="87">
        <f t="shared" si="7"/>
        <v>1048576000</v>
      </c>
      <c r="I24" s="57">
        <f t="shared" si="10"/>
        <v>1572864000</v>
      </c>
      <c r="J24" s="57">
        <f t="shared" si="11"/>
        <v>2621440000</v>
      </c>
      <c r="K24" s="57">
        <f t="shared" si="12"/>
        <v>3670016000</v>
      </c>
      <c r="L24" s="57">
        <f t="shared" si="13"/>
        <v>5242880000</v>
      </c>
      <c r="M24" s="57">
        <f t="shared" si="14"/>
        <v>8388608000</v>
      </c>
      <c r="N24" s="57">
        <f t="shared" si="15"/>
        <v>12582912000</v>
      </c>
      <c r="O24" s="57">
        <f t="shared" si="16"/>
        <v>18874368000</v>
      </c>
      <c r="P24" s="57">
        <f t="shared" si="17"/>
        <v>26214400000</v>
      </c>
      <c r="Q24" s="57">
        <f t="shared" si="18"/>
        <v>41943040000</v>
      </c>
      <c r="R24" s="57">
        <f t="shared" si="19"/>
        <v>62914560000</v>
      </c>
      <c r="S24" s="57">
        <f t="shared" si="20"/>
        <v>94371840000</v>
      </c>
      <c r="T24" s="57">
        <f t="shared" si="21"/>
        <v>146800640000</v>
      </c>
      <c r="U24" s="88">
        <f t="shared" si="22"/>
        <v>209715200000</v>
      </c>
    </row>
    <row r="25" spans="2:25" x14ac:dyDescent="0.35">
      <c r="B25" s="57">
        <v>22</v>
      </c>
      <c r="C25" s="57" t="s">
        <v>204</v>
      </c>
      <c r="D25" s="57">
        <f t="shared" si="0"/>
        <v>2097152</v>
      </c>
      <c r="E25" s="108">
        <f t="shared" si="9"/>
        <v>20971.52</v>
      </c>
      <c r="F25" s="86">
        <f t="shared" si="2"/>
        <v>4194304</v>
      </c>
      <c r="G25" s="86">
        <f t="shared" si="6"/>
        <v>2097152</v>
      </c>
      <c r="H25" s="87">
        <f t="shared" si="7"/>
        <v>2097152000</v>
      </c>
      <c r="I25" s="57">
        <f t="shared" si="10"/>
        <v>3145728000</v>
      </c>
      <c r="J25" s="57">
        <f t="shared" si="11"/>
        <v>5242880000</v>
      </c>
      <c r="K25" s="57">
        <f t="shared" si="12"/>
        <v>7340032000</v>
      </c>
      <c r="L25" s="57">
        <f t="shared" si="13"/>
        <v>10485760000</v>
      </c>
      <c r="M25" s="57">
        <f t="shared" si="14"/>
        <v>16777216000</v>
      </c>
      <c r="N25" s="57">
        <f t="shared" si="15"/>
        <v>25165824000</v>
      </c>
      <c r="O25" s="57">
        <f t="shared" si="16"/>
        <v>37748736000</v>
      </c>
      <c r="P25" s="57">
        <f t="shared" si="17"/>
        <v>52428800000</v>
      </c>
      <c r="Q25" s="57">
        <f t="shared" si="18"/>
        <v>83886080000</v>
      </c>
      <c r="R25" s="57">
        <f t="shared" si="19"/>
        <v>125829120000</v>
      </c>
      <c r="S25" s="57">
        <f t="shared" si="20"/>
        <v>188743680000</v>
      </c>
      <c r="T25" s="57">
        <f t="shared" si="21"/>
        <v>293601280000</v>
      </c>
      <c r="U25" s="88">
        <f t="shared" si="22"/>
        <v>419430400000</v>
      </c>
    </row>
    <row r="26" spans="2:25" x14ac:dyDescent="0.35">
      <c r="B26" s="57">
        <v>23</v>
      </c>
      <c r="C26" s="57" t="s">
        <v>205</v>
      </c>
      <c r="D26" s="57">
        <f t="shared" si="0"/>
        <v>4194304</v>
      </c>
      <c r="E26" s="108">
        <f t="shared" si="9"/>
        <v>41943.040000000001</v>
      </c>
      <c r="F26" s="86">
        <f t="shared" si="2"/>
        <v>8388608</v>
      </c>
      <c r="G26" s="86">
        <f t="shared" si="6"/>
        <v>4194304</v>
      </c>
      <c r="H26" s="87">
        <f t="shared" si="7"/>
        <v>4194304000</v>
      </c>
      <c r="I26" s="57">
        <f t="shared" si="10"/>
        <v>6291456000</v>
      </c>
      <c r="J26" s="57">
        <f t="shared" si="11"/>
        <v>10485760000</v>
      </c>
      <c r="K26" s="57">
        <f t="shared" si="12"/>
        <v>14680064000</v>
      </c>
      <c r="L26" s="57">
        <f t="shared" si="13"/>
        <v>20971520000</v>
      </c>
      <c r="M26" s="57">
        <f t="shared" si="14"/>
        <v>33554432000</v>
      </c>
      <c r="N26" s="57">
        <f t="shared" si="15"/>
        <v>50331648000</v>
      </c>
      <c r="O26" s="57">
        <f t="shared" si="16"/>
        <v>75497472000</v>
      </c>
      <c r="P26" s="57">
        <f t="shared" si="17"/>
        <v>104857600000</v>
      </c>
      <c r="Q26" s="57">
        <f t="shared" si="18"/>
        <v>167772160000</v>
      </c>
      <c r="R26" s="57">
        <f t="shared" si="19"/>
        <v>251658240000</v>
      </c>
      <c r="S26" s="57">
        <f t="shared" si="20"/>
        <v>377487360000</v>
      </c>
      <c r="T26" s="57">
        <f t="shared" si="21"/>
        <v>587202560000</v>
      </c>
      <c r="U26" s="88">
        <f t="shared" si="22"/>
        <v>838860800000</v>
      </c>
    </row>
    <row r="27" spans="2:25" x14ac:dyDescent="0.35">
      <c r="B27" s="57">
        <v>24</v>
      </c>
      <c r="C27" s="57" t="s">
        <v>206</v>
      </c>
      <c r="D27" s="57">
        <f t="shared" si="0"/>
        <v>8388608</v>
      </c>
      <c r="E27" s="108">
        <f t="shared" si="9"/>
        <v>83886.080000000002</v>
      </c>
      <c r="F27" s="86">
        <f t="shared" si="2"/>
        <v>16777216</v>
      </c>
      <c r="G27" s="86">
        <f t="shared" si="6"/>
        <v>8388608</v>
      </c>
      <c r="H27" s="87">
        <f t="shared" si="7"/>
        <v>8388608000</v>
      </c>
      <c r="I27" s="57">
        <f t="shared" si="10"/>
        <v>12582912000</v>
      </c>
      <c r="J27" s="57">
        <f t="shared" si="11"/>
        <v>20971520000</v>
      </c>
      <c r="K27" s="57">
        <f t="shared" si="12"/>
        <v>29360128000</v>
      </c>
      <c r="L27" s="57">
        <f t="shared" si="13"/>
        <v>41943040000</v>
      </c>
      <c r="M27" s="57">
        <f t="shared" si="14"/>
        <v>67108864000</v>
      </c>
      <c r="N27" s="57">
        <f t="shared" si="15"/>
        <v>100663296000</v>
      </c>
      <c r="O27" s="57">
        <f t="shared" si="16"/>
        <v>150994944000</v>
      </c>
      <c r="P27" s="57">
        <f t="shared" si="17"/>
        <v>209715200000</v>
      </c>
      <c r="Q27" s="57">
        <f t="shared" si="18"/>
        <v>335544320000</v>
      </c>
      <c r="R27" s="57">
        <f t="shared" si="19"/>
        <v>503316480000</v>
      </c>
      <c r="S27" s="57">
        <f t="shared" si="20"/>
        <v>754974720000</v>
      </c>
      <c r="T27" s="57">
        <f t="shared" si="21"/>
        <v>1174405120000</v>
      </c>
      <c r="U27" s="88">
        <f t="shared" si="22"/>
        <v>1677721600000</v>
      </c>
    </row>
    <row r="28" spans="2:25" x14ac:dyDescent="0.35">
      <c r="B28" s="57">
        <v>25</v>
      </c>
      <c r="C28" s="57" t="s">
        <v>207</v>
      </c>
      <c r="D28" s="57">
        <f t="shared" si="0"/>
        <v>16777216</v>
      </c>
      <c r="E28" s="108">
        <f t="shared" si="9"/>
        <v>167772.16</v>
      </c>
      <c r="F28" s="86">
        <f t="shared" si="2"/>
        <v>33554432</v>
      </c>
      <c r="G28" s="86">
        <f t="shared" si="6"/>
        <v>16777216</v>
      </c>
      <c r="H28" s="87">
        <f t="shared" si="7"/>
        <v>16777216000</v>
      </c>
      <c r="I28" s="57">
        <f t="shared" si="10"/>
        <v>25165824000</v>
      </c>
      <c r="J28" s="57">
        <f t="shared" si="11"/>
        <v>41943040000</v>
      </c>
      <c r="K28" s="57">
        <f t="shared" si="12"/>
        <v>58720256000</v>
      </c>
      <c r="L28" s="57">
        <f t="shared" si="13"/>
        <v>83886080000</v>
      </c>
      <c r="M28" s="57">
        <f t="shared" si="14"/>
        <v>134217728000</v>
      </c>
      <c r="N28" s="57">
        <f t="shared" si="15"/>
        <v>201326592000</v>
      </c>
      <c r="O28" s="57">
        <f t="shared" si="16"/>
        <v>301989888000</v>
      </c>
      <c r="P28" s="57">
        <f t="shared" si="17"/>
        <v>419430400000</v>
      </c>
      <c r="Q28" s="57">
        <f t="shared" si="18"/>
        <v>671088640000</v>
      </c>
      <c r="R28" s="57">
        <f t="shared" si="19"/>
        <v>1006632960000</v>
      </c>
      <c r="S28" s="57">
        <f t="shared" si="20"/>
        <v>1509949440000</v>
      </c>
      <c r="T28" s="57">
        <f t="shared" si="21"/>
        <v>2348810240000</v>
      </c>
      <c r="U28" s="88">
        <f t="shared" si="22"/>
        <v>3355443200000</v>
      </c>
    </row>
    <row r="29" spans="2:25" x14ac:dyDescent="0.35">
      <c r="B29" s="57">
        <v>26</v>
      </c>
      <c r="C29" s="57" t="s">
        <v>208</v>
      </c>
      <c r="D29" s="57">
        <f t="shared" si="0"/>
        <v>33554432</v>
      </c>
      <c r="E29" s="108">
        <f t="shared" si="9"/>
        <v>335544.32000000001</v>
      </c>
      <c r="F29" s="86">
        <f t="shared" si="2"/>
        <v>67108864</v>
      </c>
      <c r="G29" s="86">
        <f t="shared" si="6"/>
        <v>33554432</v>
      </c>
      <c r="H29" s="87">
        <f t="shared" si="7"/>
        <v>33554432000</v>
      </c>
      <c r="I29" s="57">
        <f t="shared" si="10"/>
        <v>50331648000</v>
      </c>
      <c r="J29" s="57">
        <f t="shared" si="11"/>
        <v>83886080000</v>
      </c>
      <c r="K29" s="57">
        <f t="shared" si="12"/>
        <v>117440512000</v>
      </c>
      <c r="L29" s="57">
        <f t="shared" si="13"/>
        <v>167772160000</v>
      </c>
      <c r="M29" s="57">
        <f t="shared" si="14"/>
        <v>268435456000</v>
      </c>
      <c r="N29" s="57">
        <f t="shared" si="15"/>
        <v>402653184000</v>
      </c>
      <c r="O29" s="57">
        <f t="shared" si="16"/>
        <v>603979776000</v>
      </c>
      <c r="P29" s="57">
        <f t="shared" si="17"/>
        <v>838860800000</v>
      </c>
      <c r="Q29" s="57">
        <f t="shared" si="18"/>
        <v>1342177280000</v>
      </c>
      <c r="R29" s="57">
        <f t="shared" si="19"/>
        <v>2013265920000</v>
      </c>
      <c r="S29" s="57">
        <f t="shared" si="20"/>
        <v>3019898880000</v>
      </c>
      <c r="T29" s="57">
        <f t="shared" si="21"/>
        <v>4697620480000</v>
      </c>
      <c r="U29" s="88">
        <f t="shared" si="22"/>
        <v>6710886400000</v>
      </c>
    </row>
    <row r="30" spans="2:25" x14ac:dyDescent="0.35">
      <c r="B30" s="57">
        <v>27</v>
      </c>
      <c r="C30" s="57" t="s">
        <v>209</v>
      </c>
      <c r="D30" s="57">
        <f t="shared" si="0"/>
        <v>67108864</v>
      </c>
      <c r="E30" s="108">
        <f t="shared" si="9"/>
        <v>671088.64000000001</v>
      </c>
      <c r="F30" s="86">
        <f t="shared" si="2"/>
        <v>134217728</v>
      </c>
      <c r="G30" s="86">
        <f t="shared" si="6"/>
        <v>67108864</v>
      </c>
      <c r="H30" s="87">
        <f t="shared" si="7"/>
        <v>67108864000</v>
      </c>
      <c r="I30" s="57">
        <f t="shared" si="10"/>
        <v>100663296000</v>
      </c>
      <c r="J30" s="57">
        <f t="shared" si="11"/>
        <v>167772160000</v>
      </c>
      <c r="K30" s="57">
        <f t="shared" si="12"/>
        <v>234881024000</v>
      </c>
      <c r="L30" s="57">
        <f t="shared" si="13"/>
        <v>335544320000</v>
      </c>
      <c r="M30" s="57">
        <f t="shared" si="14"/>
        <v>536870912000</v>
      </c>
      <c r="N30" s="57">
        <f t="shared" si="15"/>
        <v>805306368000</v>
      </c>
      <c r="O30" s="57">
        <f t="shared" si="16"/>
        <v>1207959552000</v>
      </c>
      <c r="P30" s="57">
        <f t="shared" si="17"/>
        <v>1677721600000</v>
      </c>
      <c r="Q30" s="57">
        <f t="shared" si="18"/>
        <v>2684354560000</v>
      </c>
      <c r="R30" s="57">
        <f t="shared" si="19"/>
        <v>4026531840000</v>
      </c>
      <c r="S30" s="57">
        <f t="shared" si="20"/>
        <v>6039797760000</v>
      </c>
      <c r="T30" s="57">
        <f t="shared" si="21"/>
        <v>9395240960000</v>
      </c>
      <c r="U30" s="88">
        <f t="shared" si="22"/>
        <v>13421772800000</v>
      </c>
    </row>
    <row r="31" spans="2:25" x14ac:dyDescent="0.35">
      <c r="B31" s="57">
        <v>28</v>
      </c>
      <c r="C31" s="57" t="s">
        <v>210</v>
      </c>
      <c r="D31" s="57">
        <f t="shared" si="0"/>
        <v>134217728</v>
      </c>
      <c r="E31" s="108">
        <f t="shared" si="9"/>
        <v>1342177.28</v>
      </c>
      <c r="F31" s="86">
        <f t="shared" si="2"/>
        <v>268435456</v>
      </c>
      <c r="G31" s="86">
        <f t="shared" si="6"/>
        <v>134217728</v>
      </c>
      <c r="H31" s="87">
        <f t="shared" si="7"/>
        <v>134217728000</v>
      </c>
      <c r="I31" s="57">
        <f t="shared" si="10"/>
        <v>201326592000</v>
      </c>
      <c r="J31" s="57">
        <f t="shared" si="11"/>
        <v>335544320000</v>
      </c>
      <c r="K31" s="57">
        <f t="shared" si="12"/>
        <v>469762048000</v>
      </c>
      <c r="L31" s="57">
        <f t="shared" si="13"/>
        <v>671088640000</v>
      </c>
      <c r="M31" s="57">
        <f t="shared" si="14"/>
        <v>1073741824000</v>
      </c>
      <c r="N31" s="57">
        <f t="shared" si="15"/>
        <v>1610612736000</v>
      </c>
      <c r="O31" s="57">
        <f t="shared" si="16"/>
        <v>2415919104000</v>
      </c>
      <c r="P31" s="57">
        <f t="shared" si="17"/>
        <v>3355443200000</v>
      </c>
      <c r="Q31" s="57">
        <f t="shared" si="18"/>
        <v>5368709120000</v>
      </c>
      <c r="R31" s="57">
        <f t="shared" si="19"/>
        <v>8053063680000</v>
      </c>
      <c r="S31" s="57">
        <f t="shared" si="20"/>
        <v>12079595520000</v>
      </c>
      <c r="T31" s="57">
        <f t="shared" si="21"/>
        <v>18790481920000</v>
      </c>
      <c r="U31" s="88">
        <f t="shared" si="22"/>
        <v>26843545600000</v>
      </c>
    </row>
    <row r="32" spans="2:25" x14ac:dyDescent="0.35">
      <c r="B32" s="57">
        <v>29</v>
      </c>
      <c r="C32" s="57" t="s">
        <v>211</v>
      </c>
      <c r="D32" s="57">
        <f t="shared" si="0"/>
        <v>268435456</v>
      </c>
      <c r="E32" s="108">
        <f t="shared" si="9"/>
        <v>2684354.5600000001</v>
      </c>
      <c r="F32" s="86">
        <f t="shared" si="2"/>
        <v>536870912</v>
      </c>
      <c r="G32" s="86">
        <f t="shared" si="6"/>
        <v>268435456</v>
      </c>
      <c r="H32" s="87">
        <f t="shared" si="7"/>
        <v>268435456000</v>
      </c>
      <c r="I32" s="57">
        <f t="shared" si="10"/>
        <v>402653184000</v>
      </c>
      <c r="J32" s="57">
        <f t="shared" si="11"/>
        <v>671088640000</v>
      </c>
      <c r="K32" s="57">
        <f t="shared" si="12"/>
        <v>939524096000</v>
      </c>
      <c r="L32" s="57">
        <f t="shared" si="13"/>
        <v>1342177280000</v>
      </c>
      <c r="M32" s="57">
        <f t="shared" si="14"/>
        <v>2147483648000</v>
      </c>
      <c r="N32" s="57">
        <f t="shared" si="15"/>
        <v>3221225472000</v>
      </c>
      <c r="O32" s="57">
        <f t="shared" si="16"/>
        <v>4831838208000</v>
      </c>
      <c r="P32" s="57">
        <f t="shared" si="17"/>
        <v>6710886400000</v>
      </c>
      <c r="Q32" s="57">
        <f t="shared" si="18"/>
        <v>10737418240000</v>
      </c>
      <c r="R32" s="57">
        <f t="shared" si="19"/>
        <v>16106127360000</v>
      </c>
      <c r="S32" s="57">
        <f t="shared" si="20"/>
        <v>24159191040000</v>
      </c>
      <c r="T32" s="57">
        <f t="shared" si="21"/>
        <v>37580963840000</v>
      </c>
      <c r="U32" s="88">
        <f t="shared" si="22"/>
        <v>53687091200000</v>
      </c>
    </row>
    <row r="33" spans="2:21" x14ac:dyDescent="0.35">
      <c r="B33" s="57">
        <v>30</v>
      </c>
      <c r="C33" s="57" t="s">
        <v>212</v>
      </c>
      <c r="D33" s="57">
        <f t="shared" si="0"/>
        <v>536870912</v>
      </c>
      <c r="E33" s="108">
        <f t="shared" si="9"/>
        <v>5368709.1200000001</v>
      </c>
      <c r="F33" s="86">
        <f t="shared" si="2"/>
        <v>1073741824</v>
      </c>
      <c r="G33" s="86">
        <f t="shared" si="6"/>
        <v>536870912</v>
      </c>
      <c r="H33" s="87">
        <f t="shared" si="7"/>
        <v>536870912000</v>
      </c>
      <c r="I33" s="57">
        <f t="shared" si="10"/>
        <v>805306368000</v>
      </c>
      <c r="J33" s="57">
        <f t="shared" si="11"/>
        <v>1342177280000</v>
      </c>
      <c r="K33" s="57">
        <f t="shared" si="12"/>
        <v>1879048192000</v>
      </c>
      <c r="L33" s="57">
        <f t="shared" si="13"/>
        <v>2684354560000</v>
      </c>
      <c r="M33" s="57">
        <f t="shared" si="14"/>
        <v>4294967296000</v>
      </c>
      <c r="N33" s="57">
        <f t="shared" si="15"/>
        <v>6442450944000</v>
      </c>
      <c r="O33" s="57">
        <f t="shared" si="16"/>
        <v>9663676416000</v>
      </c>
      <c r="P33" s="57">
        <f t="shared" si="17"/>
        <v>13421772800000</v>
      </c>
      <c r="Q33" s="57">
        <f t="shared" si="18"/>
        <v>21474836480000</v>
      </c>
      <c r="R33" s="57">
        <f t="shared" si="19"/>
        <v>32212254720000</v>
      </c>
      <c r="S33" s="57">
        <f t="shared" si="20"/>
        <v>48318382080000</v>
      </c>
      <c r="T33" s="57">
        <f t="shared" si="21"/>
        <v>75161927680000</v>
      </c>
      <c r="U33" s="88">
        <f t="shared" si="22"/>
        <v>107374182400000</v>
      </c>
    </row>
    <row r="34" spans="2:21" x14ac:dyDescent="0.35">
      <c r="B34" s="57">
        <v>31</v>
      </c>
      <c r="C34" s="57" t="s">
        <v>213</v>
      </c>
      <c r="D34" s="57">
        <f t="shared" si="0"/>
        <v>1073741824</v>
      </c>
      <c r="E34" s="108">
        <f t="shared" si="9"/>
        <v>10737418.24</v>
      </c>
      <c r="F34" s="86">
        <f t="shared" si="2"/>
        <v>2147483648</v>
      </c>
      <c r="G34" s="86">
        <f t="shared" si="6"/>
        <v>1073741824</v>
      </c>
      <c r="H34" s="87">
        <f t="shared" si="7"/>
        <v>1073741824000</v>
      </c>
      <c r="I34" s="57">
        <f t="shared" si="10"/>
        <v>1610612736000</v>
      </c>
      <c r="J34" s="57">
        <f t="shared" si="11"/>
        <v>2684354560000</v>
      </c>
      <c r="K34" s="57">
        <f t="shared" si="12"/>
        <v>3758096384000</v>
      </c>
      <c r="L34" s="57">
        <f t="shared" si="13"/>
        <v>5368709120000</v>
      </c>
      <c r="M34" s="57">
        <f t="shared" si="14"/>
        <v>8589934592000</v>
      </c>
      <c r="N34" s="57">
        <f t="shared" si="15"/>
        <v>12884901888000</v>
      </c>
      <c r="O34" s="57">
        <f t="shared" si="16"/>
        <v>19327352832000</v>
      </c>
      <c r="P34" s="57">
        <f t="shared" si="17"/>
        <v>26843545600000</v>
      </c>
      <c r="Q34" s="57">
        <f t="shared" si="18"/>
        <v>42949672960000</v>
      </c>
      <c r="R34" s="57">
        <f t="shared" si="19"/>
        <v>64424509440000</v>
      </c>
      <c r="S34" s="57">
        <f t="shared" si="20"/>
        <v>96636764160000</v>
      </c>
      <c r="T34" s="57">
        <f t="shared" si="21"/>
        <v>150323855360000</v>
      </c>
      <c r="U34" s="88">
        <f t="shared" si="22"/>
        <v>214748364800000</v>
      </c>
    </row>
    <row r="35" spans="2:21" x14ac:dyDescent="0.35">
      <c r="B35" s="57">
        <v>32</v>
      </c>
      <c r="C35" s="57" t="s">
        <v>214</v>
      </c>
      <c r="D35" s="57">
        <f t="shared" si="0"/>
        <v>2147483648</v>
      </c>
      <c r="E35" s="108">
        <f t="shared" si="9"/>
        <v>21474836.48</v>
      </c>
      <c r="F35" s="86">
        <f t="shared" si="2"/>
        <v>4294967296</v>
      </c>
      <c r="G35" s="86">
        <f t="shared" si="6"/>
        <v>2147483648</v>
      </c>
      <c r="H35" s="87">
        <f t="shared" si="7"/>
        <v>2147483648000</v>
      </c>
      <c r="I35" s="57">
        <f t="shared" si="10"/>
        <v>3221225472000</v>
      </c>
      <c r="J35" s="57">
        <f t="shared" si="11"/>
        <v>5368709120000</v>
      </c>
      <c r="K35" s="57">
        <f t="shared" si="12"/>
        <v>7516192768000</v>
      </c>
      <c r="L35" s="57">
        <f t="shared" si="13"/>
        <v>10737418240000</v>
      </c>
      <c r="M35" s="57">
        <f t="shared" si="14"/>
        <v>17179869184000</v>
      </c>
      <c r="N35" s="57">
        <f t="shared" si="15"/>
        <v>25769803776000</v>
      </c>
      <c r="O35" s="57">
        <f t="shared" si="16"/>
        <v>38654705664000</v>
      </c>
      <c r="P35" s="57">
        <f t="shared" si="17"/>
        <v>53687091200000</v>
      </c>
      <c r="Q35" s="57">
        <f t="shared" si="18"/>
        <v>85899345920000</v>
      </c>
      <c r="R35" s="57">
        <f t="shared" si="19"/>
        <v>128849018880000</v>
      </c>
      <c r="S35" s="57">
        <f t="shared" si="20"/>
        <v>193273528320000</v>
      </c>
      <c r="T35" s="57">
        <f t="shared" si="21"/>
        <v>300647710720000</v>
      </c>
      <c r="U35" s="88">
        <f t="shared" si="22"/>
        <v>429496729600000</v>
      </c>
    </row>
    <row r="36" spans="2:21" x14ac:dyDescent="0.35">
      <c r="B36" s="57">
        <v>33</v>
      </c>
      <c r="C36" s="57" t="s">
        <v>215</v>
      </c>
      <c r="D36" s="57">
        <f t="shared" si="0"/>
        <v>4294967296</v>
      </c>
      <c r="E36" s="108">
        <f t="shared" si="9"/>
        <v>42949672.960000001</v>
      </c>
      <c r="F36" s="86">
        <f t="shared" si="2"/>
        <v>8589934592</v>
      </c>
      <c r="G36" s="86">
        <f t="shared" si="6"/>
        <v>4294967296</v>
      </c>
      <c r="H36" s="87">
        <f t="shared" si="7"/>
        <v>4294967296000</v>
      </c>
      <c r="I36" s="57">
        <f t="shared" si="10"/>
        <v>6442450944000</v>
      </c>
      <c r="J36" s="57">
        <f t="shared" si="11"/>
        <v>10737418240000</v>
      </c>
      <c r="K36" s="57">
        <f t="shared" si="12"/>
        <v>15032385536000</v>
      </c>
      <c r="L36" s="57">
        <f t="shared" si="13"/>
        <v>21474836480000</v>
      </c>
      <c r="M36" s="57">
        <f t="shared" si="14"/>
        <v>34359738368000</v>
      </c>
      <c r="N36" s="57">
        <f t="shared" si="15"/>
        <v>51539607552000</v>
      </c>
      <c r="O36" s="57">
        <f t="shared" si="16"/>
        <v>77309411328000</v>
      </c>
      <c r="P36" s="57">
        <f t="shared" si="17"/>
        <v>107374182400000</v>
      </c>
      <c r="Q36" s="57">
        <f t="shared" si="18"/>
        <v>171798691840000</v>
      </c>
      <c r="R36" s="57">
        <f t="shared" si="19"/>
        <v>257698037760000</v>
      </c>
      <c r="S36" s="57">
        <f t="shared" si="20"/>
        <v>386547056640000</v>
      </c>
      <c r="T36" s="57">
        <f t="shared" si="21"/>
        <v>601295421440000</v>
      </c>
      <c r="U36" s="88">
        <f t="shared" si="22"/>
        <v>858993459200000</v>
      </c>
    </row>
    <row r="37" spans="2:21" x14ac:dyDescent="0.35">
      <c r="B37" s="57">
        <v>34</v>
      </c>
      <c r="C37" s="57" t="s">
        <v>216</v>
      </c>
      <c r="D37" s="57">
        <f t="shared" si="0"/>
        <v>8589934592</v>
      </c>
      <c r="E37" s="108">
        <f t="shared" si="9"/>
        <v>85899345.920000002</v>
      </c>
      <c r="F37" s="86">
        <f t="shared" si="2"/>
        <v>17179869184</v>
      </c>
      <c r="G37" s="86">
        <f t="shared" si="6"/>
        <v>8589934592</v>
      </c>
      <c r="H37" s="87">
        <f t="shared" si="7"/>
        <v>8589934592000</v>
      </c>
      <c r="I37" s="57">
        <f t="shared" si="10"/>
        <v>12884901888000</v>
      </c>
      <c r="J37" s="57">
        <f t="shared" si="11"/>
        <v>21474836480000</v>
      </c>
      <c r="K37" s="57">
        <f t="shared" si="12"/>
        <v>30064771072000</v>
      </c>
      <c r="L37" s="57">
        <f t="shared" si="13"/>
        <v>42949672960000</v>
      </c>
      <c r="M37" s="57">
        <f t="shared" si="14"/>
        <v>68719476736000</v>
      </c>
      <c r="N37" s="57">
        <f t="shared" si="15"/>
        <v>103079215104000</v>
      </c>
      <c r="O37" s="57">
        <f t="shared" si="16"/>
        <v>154618822656000</v>
      </c>
      <c r="P37" s="57">
        <f t="shared" si="17"/>
        <v>214748364800000</v>
      </c>
      <c r="Q37" s="57">
        <f t="shared" si="18"/>
        <v>343597383680000</v>
      </c>
      <c r="R37" s="57">
        <f t="shared" si="19"/>
        <v>515396075520000</v>
      </c>
      <c r="S37" s="57">
        <f t="shared" si="20"/>
        <v>773094113280000</v>
      </c>
      <c r="T37" s="57">
        <f t="shared" si="21"/>
        <v>1202590842880000</v>
      </c>
      <c r="U37" s="88">
        <f t="shared" si="22"/>
        <v>1717986918400000</v>
      </c>
    </row>
    <row r="38" spans="2:21" x14ac:dyDescent="0.35">
      <c r="B38" s="57">
        <v>35</v>
      </c>
      <c r="C38" s="57" t="s">
        <v>217</v>
      </c>
      <c r="D38" s="57">
        <f t="shared" si="0"/>
        <v>17179869184</v>
      </c>
      <c r="E38" s="108">
        <f t="shared" si="9"/>
        <v>171798691.84</v>
      </c>
      <c r="F38" s="86">
        <f t="shared" si="2"/>
        <v>34359738368</v>
      </c>
      <c r="G38" s="86">
        <f t="shared" si="6"/>
        <v>17179869184</v>
      </c>
      <c r="H38" s="87">
        <f t="shared" si="7"/>
        <v>17179869184000</v>
      </c>
      <c r="I38" s="57">
        <f t="shared" si="10"/>
        <v>25769803776000</v>
      </c>
      <c r="J38" s="57">
        <f t="shared" si="11"/>
        <v>42949672960000</v>
      </c>
      <c r="K38" s="57">
        <f t="shared" si="12"/>
        <v>60129542144000</v>
      </c>
      <c r="L38" s="57">
        <f t="shared" si="13"/>
        <v>85899345920000</v>
      </c>
      <c r="M38" s="57">
        <f t="shared" si="14"/>
        <v>137438953472000</v>
      </c>
      <c r="N38" s="57">
        <f t="shared" si="15"/>
        <v>206158430208000</v>
      </c>
      <c r="O38" s="57">
        <f t="shared" si="16"/>
        <v>309237645312000</v>
      </c>
      <c r="P38" s="57">
        <f t="shared" si="17"/>
        <v>429496729600000</v>
      </c>
      <c r="Q38" s="57">
        <f t="shared" si="18"/>
        <v>687194767360000</v>
      </c>
      <c r="R38" s="57">
        <f t="shared" si="19"/>
        <v>1030792151040000</v>
      </c>
      <c r="S38" s="57">
        <f t="shared" si="20"/>
        <v>1546188226560000</v>
      </c>
      <c r="T38" s="57">
        <f t="shared" si="21"/>
        <v>2405181685760000</v>
      </c>
      <c r="U38" s="88">
        <f t="shared" si="22"/>
        <v>3435973836800000</v>
      </c>
    </row>
    <row r="39" spans="2:21" x14ac:dyDescent="0.35">
      <c r="B39" s="57">
        <v>36</v>
      </c>
      <c r="C39" s="57" t="s">
        <v>218</v>
      </c>
      <c r="D39" s="57">
        <f t="shared" si="0"/>
        <v>34359738368</v>
      </c>
      <c r="E39" s="108">
        <f t="shared" si="9"/>
        <v>343597383.68000001</v>
      </c>
      <c r="F39" s="86">
        <f t="shared" si="2"/>
        <v>68719476736</v>
      </c>
      <c r="G39" s="86">
        <f t="shared" si="6"/>
        <v>34359738368</v>
      </c>
      <c r="H39" s="87">
        <f t="shared" si="7"/>
        <v>34359738368000</v>
      </c>
      <c r="I39" s="57">
        <f t="shared" si="10"/>
        <v>51539607552000</v>
      </c>
      <c r="J39" s="57">
        <f t="shared" si="11"/>
        <v>85899345920000</v>
      </c>
      <c r="K39" s="57">
        <f t="shared" si="12"/>
        <v>120259084288000</v>
      </c>
      <c r="L39" s="57">
        <f t="shared" si="13"/>
        <v>171798691840000</v>
      </c>
      <c r="M39" s="57">
        <f t="shared" si="14"/>
        <v>274877906944000</v>
      </c>
      <c r="N39" s="57">
        <f t="shared" si="15"/>
        <v>412316860416000</v>
      </c>
      <c r="O39" s="57">
        <f t="shared" si="16"/>
        <v>618475290624000</v>
      </c>
      <c r="P39" s="57">
        <f t="shared" si="17"/>
        <v>858993459200000</v>
      </c>
      <c r="Q39" s="57">
        <f t="shared" si="18"/>
        <v>1374389534720000</v>
      </c>
      <c r="R39" s="57">
        <f t="shared" si="19"/>
        <v>2061584302080000</v>
      </c>
      <c r="S39" s="57">
        <f t="shared" si="20"/>
        <v>3092376453120000</v>
      </c>
      <c r="T39" s="57">
        <f t="shared" si="21"/>
        <v>4810363371520000</v>
      </c>
      <c r="U39" s="88">
        <f t="shared" si="22"/>
        <v>6871947673600000</v>
      </c>
    </row>
    <row r="40" spans="2:21" x14ac:dyDescent="0.35">
      <c r="B40" s="57">
        <v>37</v>
      </c>
      <c r="C40" s="57" t="s">
        <v>219</v>
      </c>
      <c r="D40" s="57">
        <f t="shared" si="0"/>
        <v>68719476736</v>
      </c>
      <c r="E40" s="108">
        <f t="shared" si="9"/>
        <v>687194767.36000001</v>
      </c>
      <c r="F40" s="86">
        <f t="shared" si="2"/>
        <v>137438953472</v>
      </c>
      <c r="G40" s="86">
        <f t="shared" si="6"/>
        <v>68719476736</v>
      </c>
      <c r="H40" s="87">
        <f t="shared" si="7"/>
        <v>68719476736000</v>
      </c>
      <c r="I40" s="57">
        <f t="shared" si="10"/>
        <v>103079215104000</v>
      </c>
      <c r="J40" s="57">
        <f t="shared" si="11"/>
        <v>171798691840000</v>
      </c>
      <c r="K40" s="57">
        <f t="shared" si="12"/>
        <v>240518168576000</v>
      </c>
      <c r="L40" s="57">
        <f t="shared" si="13"/>
        <v>343597383680000</v>
      </c>
      <c r="M40" s="57">
        <f t="shared" si="14"/>
        <v>549755813888000</v>
      </c>
      <c r="N40" s="57">
        <f t="shared" si="15"/>
        <v>824633720832000</v>
      </c>
      <c r="O40" s="57">
        <f t="shared" si="16"/>
        <v>1236950581248000</v>
      </c>
      <c r="P40" s="57">
        <f t="shared" si="17"/>
        <v>1717986918400000</v>
      </c>
      <c r="Q40" s="57">
        <f t="shared" si="18"/>
        <v>2748779069440000</v>
      </c>
      <c r="R40" s="57">
        <f t="shared" si="19"/>
        <v>4123168604160000</v>
      </c>
      <c r="S40" s="57">
        <f t="shared" si="20"/>
        <v>6184752906240000</v>
      </c>
      <c r="T40" s="57">
        <f t="shared" si="21"/>
        <v>9620726743040000</v>
      </c>
      <c r="U40" s="88">
        <f t="shared" si="22"/>
        <v>1.37438953472E+16</v>
      </c>
    </row>
    <row r="41" spans="2:21" x14ac:dyDescent="0.35">
      <c r="B41" s="57">
        <v>38</v>
      </c>
      <c r="C41" s="57" t="s">
        <v>220</v>
      </c>
      <c r="D41" s="57">
        <f t="shared" si="0"/>
        <v>137438953472</v>
      </c>
      <c r="E41" s="108">
        <f t="shared" si="9"/>
        <v>1374389534.72</v>
      </c>
      <c r="F41" s="86">
        <f t="shared" si="2"/>
        <v>274877906944</v>
      </c>
      <c r="G41" s="86">
        <f t="shared" si="6"/>
        <v>137438953472</v>
      </c>
      <c r="H41" s="87">
        <f t="shared" si="7"/>
        <v>137438953472000</v>
      </c>
      <c r="I41" s="57">
        <f t="shared" si="10"/>
        <v>206158430208000</v>
      </c>
      <c r="J41" s="57">
        <f t="shared" si="11"/>
        <v>343597383680000</v>
      </c>
      <c r="K41" s="57">
        <f t="shared" si="12"/>
        <v>481036337152000</v>
      </c>
      <c r="L41" s="57">
        <f t="shared" si="13"/>
        <v>687194767360000</v>
      </c>
      <c r="M41" s="57">
        <f t="shared" si="14"/>
        <v>1099511627776000</v>
      </c>
      <c r="N41" s="57">
        <f t="shared" si="15"/>
        <v>1649267441664000</v>
      </c>
      <c r="O41" s="57">
        <f t="shared" si="16"/>
        <v>2473901162496000</v>
      </c>
      <c r="P41" s="57">
        <f t="shared" si="17"/>
        <v>3435973836800000</v>
      </c>
      <c r="Q41" s="57">
        <f t="shared" si="18"/>
        <v>5497558138880000</v>
      </c>
      <c r="R41" s="57">
        <f t="shared" si="19"/>
        <v>8246337208320000</v>
      </c>
      <c r="S41" s="57">
        <f t="shared" si="20"/>
        <v>1.236950581248E+16</v>
      </c>
      <c r="T41" s="57">
        <f t="shared" si="21"/>
        <v>1.924145348608E+16</v>
      </c>
      <c r="U41" s="88">
        <f t="shared" si="22"/>
        <v>2.74877906944E+16</v>
      </c>
    </row>
    <row r="42" spans="2:21" x14ac:dyDescent="0.35">
      <c r="B42" s="57">
        <v>39</v>
      </c>
      <c r="C42" s="57" t="s">
        <v>221</v>
      </c>
      <c r="D42" s="57">
        <f t="shared" si="0"/>
        <v>274877906944</v>
      </c>
      <c r="E42" s="108">
        <f t="shared" si="9"/>
        <v>2748779069.4400001</v>
      </c>
      <c r="F42" s="86">
        <f t="shared" si="2"/>
        <v>549755813888</v>
      </c>
      <c r="G42" s="86">
        <f t="shared" si="6"/>
        <v>274877906944</v>
      </c>
      <c r="H42" s="87">
        <f t="shared" si="7"/>
        <v>274877906944000</v>
      </c>
      <c r="I42" s="57">
        <f t="shared" si="10"/>
        <v>412316860416000</v>
      </c>
      <c r="J42" s="57">
        <f t="shared" si="11"/>
        <v>687194767360000</v>
      </c>
      <c r="K42" s="57">
        <f t="shared" si="12"/>
        <v>962072674304000</v>
      </c>
      <c r="L42" s="57">
        <f t="shared" si="13"/>
        <v>1374389534720000</v>
      </c>
      <c r="M42" s="57">
        <f t="shared" si="14"/>
        <v>2199023255552000</v>
      </c>
      <c r="N42" s="57">
        <f t="shared" si="15"/>
        <v>3298534883328000</v>
      </c>
      <c r="O42" s="57">
        <f t="shared" si="16"/>
        <v>4947802324992000</v>
      </c>
      <c r="P42" s="57">
        <f t="shared" si="17"/>
        <v>6871947673600000</v>
      </c>
      <c r="Q42" s="57">
        <f t="shared" si="18"/>
        <v>1.099511627776E+16</v>
      </c>
      <c r="R42" s="57">
        <f t="shared" si="19"/>
        <v>1.649267441664E+16</v>
      </c>
      <c r="S42" s="57">
        <f t="shared" si="20"/>
        <v>2.473901162496E+16</v>
      </c>
      <c r="T42" s="57">
        <f t="shared" si="21"/>
        <v>3.848290697216E+16</v>
      </c>
      <c r="U42" s="88">
        <f t="shared" si="22"/>
        <v>5.49755813888E+16</v>
      </c>
    </row>
    <row r="43" spans="2:21" x14ac:dyDescent="0.35">
      <c r="B43" s="57">
        <v>40</v>
      </c>
      <c r="C43" s="57" t="s">
        <v>222</v>
      </c>
      <c r="D43" s="57">
        <f t="shared" si="0"/>
        <v>549755813888</v>
      </c>
      <c r="E43" s="108">
        <f t="shared" si="9"/>
        <v>5497558138.8800001</v>
      </c>
      <c r="F43" s="86">
        <f t="shared" si="2"/>
        <v>1099511627776</v>
      </c>
      <c r="G43" s="86">
        <f t="shared" si="6"/>
        <v>549755813888</v>
      </c>
      <c r="H43" s="87">
        <f t="shared" si="7"/>
        <v>549755813888000</v>
      </c>
      <c r="I43" s="57">
        <f t="shared" si="10"/>
        <v>824633720832000</v>
      </c>
      <c r="J43" s="57">
        <f t="shared" si="11"/>
        <v>1374389534720000</v>
      </c>
      <c r="K43" s="57">
        <f t="shared" si="12"/>
        <v>1924145348608000</v>
      </c>
      <c r="L43" s="57">
        <f t="shared" si="13"/>
        <v>2748779069440000</v>
      </c>
      <c r="M43" s="57">
        <f t="shared" si="14"/>
        <v>4398046511104000</v>
      </c>
      <c r="N43" s="57">
        <f t="shared" si="15"/>
        <v>6597069766656000</v>
      </c>
      <c r="O43" s="57">
        <f t="shared" si="16"/>
        <v>9895604649984000</v>
      </c>
      <c r="P43" s="57">
        <f t="shared" si="17"/>
        <v>1.37438953472E+16</v>
      </c>
      <c r="Q43" s="57">
        <f t="shared" si="18"/>
        <v>2.199023255552E+16</v>
      </c>
      <c r="R43" s="57">
        <f t="shared" si="19"/>
        <v>3.298534883328E+16</v>
      </c>
      <c r="S43" s="57">
        <f t="shared" si="20"/>
        <v>4.947802324992E+16</v>
      </c>
      <c r="T43" s="57">
        <f t="shared" si="21"/>
        <v>7.696581394432E+16</v>
      </c>
      <c r="U43" s="88">
        <f t="shared" si="22"/>
        <v>1.099511627776E+17</v>
      </c>
    </row>
    <row r="44" spans="2:21" x14ac:dyDescent="0.35">
      <c r="B44" s="57">
        <v>41</v>
      </c>
      <c r="C44" s="57" t="s">
        <v>223</v>
      </c>
      <c r="D44" s="57">
        <f t="shared" si="0"/>
        <v>1099511627776</v>
      </c>
      <c r="E44" s="108">
        <f t="shared" si="9"/>
        <v>10995116277.76</v>
      </c>
      <c r="F44" s="86">
        <f t="shared" si="2"/>
        <v>2199023255552</v>
      </c>
      <c r="G44" s="86">
        <f t="shared" si="6"/>
        <v>1099511627776</v>
      </c>
      <c r="H44" s="87">
        <f t="shared" si="7"/>
        <v>1099511627776000</v>
      </c>
      <c r="I44" s="57">
        <f t="shared" si="10"/>
        <v>1649267441664000</v>
      </c>
      <c r="J44" s="57">
        <f t="shared" si="11"/>
        <v>2748779069440000</v>
      </c>
      <c r="K44" s="57">
        <f t="shared" si="12"/>
        <v>3848290697216000</v>
      </c>
      <c r="L44" s="57">
        <f t="shared" si="13"/>
        <v>5497558138880000</v>
      </c>
      <c r="M44" s="57">
        <f t="shared" si="14"/>
        <v>8796093022208000</v>
      </c>
      <c r="N44" s="57">
        <f t="shared" si="15"/>
        <v>1.3194139533312E+16</v>
      </c>
      <c r="O44" s="57">
        <f t="shared" si="16"/>
        <v>1.9791209299968E+16</v>
      </c>
      <c r="P44" s="57">
        <f t="shared" si="17"/>
        <v>2.74877906944E+16</v>
      </c>
      <c r="Q44" s="57">
        <f t="shared" si="18"/>
        <v>4.398046511104E+16</v>
      </c>
      <c r="R44" s="57">
        <f t="shared" si="19"/>
        <v>6.597069766656E+16</v>
      </c>
      <c r="S44" s="57">
        <f t="shared" si="20"/>
        <v>9.895604649984E+16</v>
      </c>
      <c r="T44" s="57">
        <f t="shared" si="21"/>
        <v>1.5393162788864E+17</v>
      </c>
      <c r="U44" s="88">
        <f t="shared" si="22"/>
        <v>2.199023255552E+17</v>
      </c>
    </row>
    <row r="45" spans="2:21" x14ac:dyDescent="0.35">
      <c r="B45" s="57">
        <v>42</v>
      </c>
      <c r="C45" s="57" t="s">
        <v>224</v>
      </c>
      <c r="D45" s="57">
        <f t="shared" si="0"/>
        <v>2199023255552</v>
      </c>
      <c r="E45" s="108">
        <f t="shared" si="9"/>
        <v>21990232555.52</v>
      </c>
      <c r="F45" s="86">
        <f t="shared" si="2"/>
        <v>4398046511104</v>
      </c>
      <c r="G45" s="86">
        <f t="shared" si="6"/>
        <v>2199023255552</v>
      </c>
      <c r="H45" s="87">
        <f t="shared" si="7"/>
        <v>2199023255552000</v>
      </c>
      <c r="I45" s="57">
        <f t="shared" si="10"/>
        <v>3298534883328000</v>
      </c>
      <c r="J45" s="57">
        <f t="shared" si="11"/>
        <v>5497558138880000</v>
      </c>
      <c r="K45" s="57">
        <f t="shared" si="12"/>
        <v>7696581394432000</v>
      </c>
      <c r="L45" s="57">
        <f t="shared" si="13"/>
        <v>1.099511627776E+16</v>
      </c>
      <c r="M45" s="57">
        <f t="shared" si="14"/>
        <v>1.7592186044416E+16</v>
      </c>
      <c r="N45" s="57">
        <f t="shared" si="15"/>
        <v>2.6388279066624E+16</v>
      </c>
      <c r="O45" s="57">
        <f t="shared" si="16"/>
        <v>3.9582418599936E+16</v>
      </c>
      <c r="P45" s="57">
        <f t="shared" si="17"/>
        <v>5.49755813888E+16</v>
      </c>
      <c r="Q45" s="57">
        <f t="shared" si="18"/>
        <v>8.796093022208E+16</v>
      </c>
      <c r="R45" s="57">
        <f t="shared" si="19"/>
        <v>1.3194139533312E+17</v>
      </c>
      <c r="S45" s="57">
        <f t="shared" si="20"/>
        <v>1.9791209299968E+17</v>
      </c>
      <c r="T45" s="57">
        <f t="shared" si="21"/>
        <v>3.0786325577728E+17</v>
      </c>
      <c r="U45" s="88">
        <f t="shared" si="22"/>
        <v>4.398046511104E+17</v>
      </c>
    </row>
    <row r="46" spans="2:21" x14ac:dyDescent="0.35">
      <c r="B46" s="57">
        <v>43</v>
      </c>
      <c r="C46" s="57" t="s">
        <v>225</v>
      </c>
      <c r="D46" s="57">
        <f t="shared" si="0"/>
        <v>4398046511104</v>
      </c>
      <c r="E46" s="108">
        <f t="shared" si="9"/>
        <v>43980465111.040001</v>
      </c>
      <c r="F46" s="86">
        <f t="shared" si="2"/>
        <v>8796093022208</v>
      </c>
      <c r="G46" s="86">
        <f t="shared" si="6"/>
        <v>4398046511104</v>
      </c>
      <c r="H46" s="87">
        <f t="shared" si="7"/>
        <v>4398046511104000</v>
      </c>
      <c r="I46" s="57">
        <f t="shared" si="10"/>
        <v>6597069766656000</v>
      </c>
      <c r="J46" s="57">
        <f t="shared" si="11"/>
        <v>1.099511627776E+16</v>
      </c>
      <c r="K46" s="57">
        <f t="shared" si="12"/>
        <v>1.5393162788864E+16</v>
      </c>
      <c r="L46" s="57">
        <f t="shared" si="13"/>
        <v>2.199023255552E+16</v>
      </c>
      <c r="M46" s="57">
        <f t="shared" si="14"/>
        <v>3.5184372088832E+16</v>
      </c>
      <c r="N46" s="57">
        <f t="shared" si="15"/>
        <v>5.2776558133248E+16</v>
      </c>
      <c r="O46" s="57">
        <f t="shared" si="16"/>
        <v>7.9164837199872E+16</v>
      </c>
      <c r="P46" s="57">
        <f t="shared" si="17"/>
        <v>1.099511627776E+17</v>
      </c>
      <c r="Q46" s="57">
        <f t="shared" si="18"/>
        <v>1.7592186044416E+17</v>
      </c>
      <c r="R46" s="57">
        <f t="shared" si="19"/>
        <v>2.6388279066624E+17</v>
      </c>
      <c r="S46" s="57">
        <f t="shared" si="20"/>
        <v>3.9582418599936E+17</v>
      </c>
      <c r="T46" s="57">
        <f t="shared" si="21"/>
        <v>6.1572651155456E+17</v>
      </c>
      <c r="U46" s="88">
        <f t="shared" si="22"/>
        <v>8.796093022208E+17</v>
      </c>
    </row>
    <row r="47" spans="2:21" x14ac:dyDescent="0.35">
      <c r="B47" s="57">
        <v>44</v>
      </c>
      <c r="C47" s="57" t="s">
        <v>226</v>
      </c>
      <c r="D47" s="57">
        <f t="shared" si="0"/>
        <v>8796093022208</v>
      </c>
      <c r="E47" s="108">
        <f t="shared" si="9"/>
        <v>87960930222.080002</v>
      </c>
      <c r="F47" s="86">
        <f t="shared" si="2"/>
        <v>17592186044416</v>
      </c>
      <c r="G47" s="86">
        <f t="shared" si="6"/>
        <v>8796093022208</v>
      </c>
      <c r="H47" s="87">
        <f t="shared" si="7"/>
        <v>8796093022208000</v>
      </c>
      <c r="I47" s="57">
        <f t="shared" si="10"/>
        <v>1.3194139533312E+16</v>
      </c>
      <c r="J47" s="57">
        <f t="shared" si="11"/>
        <v>2.199023255552E+16</v>
      </c>
      <c r="K47" s="57">
        <f t="shared" si="12"/>
        <v>3.0786325577728E+16</v>
      </c>
      <c r="L47" s="57">
        <f t="shared" si="13"/>
        <v>4.398046511104E+16</v>
      </c>
      <c r="M47" s="57">
        <f t="shared" si="14"/>
        <v>7.0368744177664E+16</v>
      </c>
      <c r="N47" s="57">
        <f t="shared" si="15"/>
        <v>1.05553116266496E+17</v>
      </c>
      <c r="O47" s="57">
        <f t="shared" si="16"/>
        <v>1.58329674399744E+17</v>
      </c>
      <c r="P47" s="57">
        <f t="shared" si="17"/>
        <v>2.199023255552E+17</v>
      </c>
      <c r="Q47" s="57">
        <f t="shared" si="18"/>
        <v>3.5184372088832E+17</v>
      </c>
      <c r="R47" s="57">
        <f t="shared" si="19"/>
        <v>5.2776558133248E+17</v>
      </c>
      <c r="S47" s="57">
        <f t="shared" si="20"/>
        <v>7.9164837199872E+17</v>
      </c>
      <c r="T47" s="57">
        <f t="shared" si="21"/>
        <v>1.23145302310912E+18</v>
      </c>
      <c r="U47" s="88">
        <f t="shared" si="22"/>
        <v>1.7592186044416E+18</v>
      </c>
    </row>
    <row r="48" spans="2:21" x14ac:dyDescent="0.35">
      <c r="B48" s="57">
        <v>45</v>
      </c>
      <c r="C48" s="57" t="s">
        <v>227</v>
      </c>
      <c r="D48" s="57">
        <f t="shared" si="0"/>
        <v>17592186044416</v>
      </c>
      <c r="E48" s="108">
        <f t="shared" si="9"/>
        <v>175921860444.16</v>
      </c>
      <c r="F48" s="86">
        <f t="shared" si="2"/>
        <v>35184372088832</v>
      </c>
      <c r="G48" s="86">
        <f t="shared" si="6"/>
        <v>17592186044416</v>
      </c>
      <c r="H48" s="87">
        <f t="shared" si="7"/>
        <v>1.7592186044416E+16</v>
      </c>
      <c r="I48" s="57">
        <f t="shared" si="10"/>
        <v>2.6388279066624E+16</v>
      </c>
      <c r="J48" s="57">
        <f t="shared" si="11"/>
        <v>4.398046511104E+16</v>
      </c>
      <c r="K48" s="57">
        <f t="shared" si="12"/>
        <v>6.1572651155456E+16</v>
      </c>
      <c r="L48" s="57">
        <f t="shared" si="13"/>
        <v>8.796093022208E+16</v>
      </c>
      <c r="M48" s="57">
        <f t="shared" si="14"/>
        <v>1.40737488355328E+17</v>
      </c>
      <c r="N48" s="57">
        <f t="shared" si="15"/>
        <v>2.11106232532992E+17</v>
      </c>
      <c r="O48" s="57">
        <f t="shared" si="16"/>
        <v>3.16659348799488E+17</v>
      </c>
      <c r="P48" s="57">
        <f t="shared" si="17"/>
        <v>4.398046511104E+17</v>
      </c>
      <c r="Q48" s="57">
        <f t="shared" si="18"/>
        <v>7.0368744177664E+17</v>
      </c>
      <c r="R48" s="57">
        <f t="shared" si="19"/>
        <v>1.05553116266496E+18</v>
      </c>
      <c r="S48" s="57">
        <f t="shared" si="20"/>
        <v>1.58329674399744E+18</v>
      </c>
      <c r="T48" s="57">
        <f t="shared" si="21"/>
        <v>2.46290604621824E+18</v>
      </c>
      <c r="U48" s="88">
        <f t="shared" si="22"/>
        <v>3.5184372088832E+18</v>
      </c>
    </row>
    <row r="49" spans="2:21" x14ac:dyDescent="0.35">
      <c r="B49" s="57">
        <v>46</v>
      </c>
      <c r="C49" s="57" t="s">
        <v>228</v>
      </c>
      <c r="D49" s="57">
        <f t="shared" si="0"/>
        <v>35184372088832</v>
      </c>
      <c r="E49" s="108">
        <f t="shared" si="9"/>
        <v>351843720888.32001</v>
      </c>
      <c r="F49" s="86">
        <f t="shared" si="2"/>
        <v>70368744177664</v>
      </c>
      <c r="G49" s="86">
        <f t="shared" si="6"/>
        <v>35184372088832</v>
      </c>
      <c r="H49" s="87">
        <f t="shared" si="7"/>
        <v>3.5184372088832E+16</v>
      </c>
      <c r="I49" s="57">
        <f t="shared" si="10"/>
        <v>5.2776558133248E+16</v>
      </c>
      <c r="J49" s="57">
        <f t="shared" si="11"/>
        <v>8.796093022208E+16</v>
      </c>
      <c r="K49" s="57">
        <f t="shared" si="12"/>
        <v>1.23145302310912E+17</v>
      </c>
      <c r="L49" s="57">
        <f t="shared" si="13"/>
        <v>1.7592186044416E+17</v>
      </c>
      <c r="M49" s="57">
        <f t="shared" si="14"/>
        <v>2.81474976710656E+17</v>
      </c>
      <c r="N49" s="57">
        <f t="shared" si="15"/>
        <v>4.22212465065984E+17</v>
      </c>
      <c r="O49" s="57">
        <f t="shared" si="16"/>
        <v>6.33318697598976E+17</v>
      </c>
      <c r="P49" s="57">
        <f t="shared" si="17"/>
        <v>8.796093022208E+17</v>
      </c>
      <c r="Q49" s="57">
        <f t="shared" si="18"/>
        <v>1.40737488355328E+18</v>
      </c>
      <c r="R49" s="57">
        <f t="shared" si="19"/>
        <v>2.11106232532992E+18</v>
      </c>
      <c r="S49" s="57">
        <f t="shared" si="20"/>
        <v>3.16659348799488E+18</v>
      </c>
      <c r="T49" s="57">
        <f t="shared" si="21"/>
        <v>4.92581209243648E+18</v>
      </c>
      <c r="U49" s="88">
        <f t="shared" si="22"/>
        <v>7.0368744177664E+18</v>
      </c>
    </row>
    <row r="50" spans="2:21" x14ac:dyDescent="0.35">
      <c r="B50" s="57">
        <v>47</v>
      </c>
      <c r="C50" s="57" t="s">
        <v>229</v>
      </c>
      <c r="D50" s="57">
        <f t="shared" si="0"/>
        <v>70368744177664</v>
      </c>
      <c r="E50" s="108">
        <f t="shared" si="9"/>
        <v>703687441776.64001</v>
      </c>
      <c r="F50" s="86">
        <f t="shared" si="2"/>
        <v>140737488355328</v>
      </c>
      <c r="G50" s="86">
        <f t="shared" si="6"/>
        <v>70368744177664</v>
      </c>
      <c r="H50" s="87">
        <f t="shared" si="7"/>
        <v>7.0368744177664E+16</v>
      </c>
      <c r="I50" s="57">
        <f t="shared" si="10"/>
        <v>1.05553116266496E+17</v>
      </c>
      <c r="J50" s="57">
        <f t="shared" si="11"/>
        <v>1.7592186044416E+17</v>
      </c>
      <c r="K50" s="57">
        <f t="shared" si="12"/>
        <v>2.46290604621824E+17</v>
      </c>
      <c r="L50" s="57">
        <f t="shared" si="13"/>
        <v>3.5184372088832E+17</v>
      </c>
      <c r="M50" s="57">
        <f t="shared" si="14"/>
        <v>5.62949953421312E+17</v>
      </c>
      <c r="N50" s="57">
        <f t="shared" si="15"/>
        <v>8.44424930131968E+17</v>
      </c>
      <c r="O50" s="57">
        <f t="shared" si="16"/>
        <v>1.266637395197952E+18</v>
      </c>
      <c r="P50" s="57">
        <f t="shared" si="17"/>
        <v>1.7592186044416E+18</v>
      </c>
      <c r="Q50" s="57">
        <f t="shared" si="18"/>
        <v>2.81474976710656E+18</v>
      </c>
      <c r="R50" s="57">
        <f t="shared" si="19"/>
        <v>4.22212465065984E+18</v>
      </c>
      <c r="S50" s="57">
        <f t="shared" si="20"/>
        <v>6.33318697598976E+18</v>
      </c>
      <c r="T50" s="57">
        <f t="shared" si="21"/>
        <v>9.85162418487296E+18</v>
      </c>
      <c r="U50" s="88">
        <f t="shared" si="22"/>
        <v>1.40737488355328E+19</v>
      </c>
    </row>
    <row r="51" spans="2:21" x14ac:dyDescent="0.35">
      <c r="B51" s="57">
        <v>48</v>
      </c>
      <c r="C51" s="57" t="s">
        <v>230</v>
      </c>
      <c r="D51" s="57">
        <f t="shared" si="0"/>
        <v>140737488355328</v>
      </c>
      <c r="E51" s="108">
        <f t="shared" si="9"/>
        <v>1407374883553.28</v>
      </c>
      <c r="F51" s="86">
        <f t="shared" si="2"/>
        <v>281474976710656</v>
      </c>
      <c r="G51" s="86">
        <f t="shared" si="6"/>
        <v>140737488355328</v>
      </c>
      <c r="H51" s="87">
        <f t="shared" si="7"/>
        <v>1.40737488355328E+17</v>
      </c>
      <c r="I51" s="57">
        <f t="shared" si="10"/>
        <v>2.11106232532992E+17</v>
      </c>
      <c r="J51" s="57">
        <f t="shared" si="11"/>
        <v>3.5184372088832E+17</v>
      </c>
      <c r="K51" s="57">
        <f t="shared" si="12"/>
        <v>4.92581209243648E+17</v>
      </c>
      <c r="L51" s="57">
        <f t="shared" si="13"/>
        <v>7.0368744177664E+17</v>
      </c>
      <c r="M51" s="57">
        <f t="shared" si="14"/>
        <v>1.125899906842624E+18</v>
      </c>
      <c r="N51" s="57">
        <f t="shared" si="15"/>
        <v>1.688849860263936E+18</v>
      </c>
      <c r="O51" s="57">
        <f t="shared" si="16"/>
        <v>2.533274790395904E+18</v>
      </c>
      <c r="P51" s="57">
        <f t="shared" si="17"/>
        <v>3.5184372088832E+18</v>
      </c>
      <c r="Q51" s="57">
        <f t="shared" si="18"/>
        <v>5.62949953421312E+18</v>
      </c>
      <c r="R51" s="57">
        <f t="shared" si="19"/>
        <v>8.44424930131968E+18</v>
      </c>
      <c r="S51" s="57">
        <f t="shared" si="20"/>
        <v>1.266637395197952E+19</v>
      </c>
      <c r="T51" s="57">
        <f t="shared" si="21"/>
        <v>1.970324836974592E+19</v>
      </c>
      <c r="U51" s="88">
        <f t="shared" si="22"/>
        <v>2.81474976710656E+19</v>
      </c>
    </row>
    <row r="52" spans="2:21" x14ac:dyDescent="0.35">
      <c r="B52" s="57">
        <v>49</v>
      </c>
      <c r="C52" s="57" t="s">
        <v>231</v>
      </c>
      <c r="D52" s="57">
        <f t="shared" si="0"/>
        <v>281474976710656</v>
      </c>
      <c r="E52" s="108">
        <f t="shared" si="9"/>
        <v>2814749767106.5601</v>
      </c>
      <c r="F52" s="86">
        <f t="shared" si="2"/>
        <v>562949953421312</v>
      </c>
      <c r="G52" s="86">
        <f t="shared" si="6"/>
        <v>281474976710656</v>
      </c>
      <c r="H52" s="87">
        <f t="shared" si="7"/>
        <v>2.81474976710656E+17</v>
      </c>
      <c r="I52" s="57">
        <f t="shared" si="10"/>
        <v>4.22212465065984E+17</v>
      </c>
      <c r="J52" s="57">
        <f t="shared" si="11"/>
        <v>7.0368744177664E+17</v>
      </c>
      <c r="K52" s="57">
        <f t="shared" si="12"/>
        <v>9.85162418487296E+17</v>
      </c>
      <c r="L52" s="57">
        <f t="shared" si="13"/>
        <v>1.40737488355328E+18</v>
      </c>
      <c r="M52" s="57">
        <f t="shared" si="14"/>
        <v>2.251799813685248E+18</v>
      </c>
      <c r="N52" s="57">
        <f t="shared" si="15"/>
        <v>3.377699720527872E+18</v>
      </c>
      <c r="O52" s="57">
        <f t="shared" si="16"/>
        <v>5.066549580791808E+18</v>
      </c>
      <c r="P52" s="57">
        <f t="shared" si="17"/>
        <v>7.0368744177664E+18</v>
      </c>
      <c r="Q52" s="57">
        <f t="shared" si="18"/>
        <v>1.125899906842624E+19</v>
      </c>
      <c r="R52" s="57">
        <f t="shared" si="19"/>
        <v>1.688849860263936E+19</v>
      </c>
      <c r="S52" s="57">
        <f t="shared" si="20"/>
        <v>2.533274790395904E+19</v>
      </c>
      <c r="T52" s="57">
        <f t="shared" si="21"/>
        <v>3.940649673949184E+19</v>
      </c>
      <c r="U52" s="88">
        <f t="shared" si="22"/>
        <v>5.62949953421312E+19</v>
      </c>
    </row>
    <row r="53" spans="2:21" ht="17.25" thickBot="1" x14ac:dyDescent="0.4">
      <c r="B53" s="57">
        <v>50</v>
      </c>
      <c r="C53" s="57" t="s">
        <v>232</v>
      </c>
      <c r="D53" s="57">
        <f t="shared" si="0"/>
        <v>562949953421312</v>
      </c>
      <c r="E53" s="108">
        <f t="shared" si="9"/>
        <v>5629499534213.1201</v>
      </c>
      <c r="F53" s="86">
        <f t="shared" si="2"/>
        <v>1125899906842624</v>
      </c>
      <c r="G53" s="86">
        <f t="shared" si="6"/>
        <v>562949953421312</v>
      </c>
      <c r="H53" s="89">
        <f t="shared" si="7"/>
        <v>5.62949953421312E+17</v>
      </c>
      <c r="I53" s="90">
        <f t="shared" si="10"/>
        <v>8.44424930131968E+17</v>
      </c>
      <c r="J53" s="90">
        <f t="shared" si="11"/>
        <v>1.40737488355328E+18</v>
      </c>
      <c r="K53" s="90">
        <f t="shared" si="12"/>
        <v>1.970324836974592E+18</v>
      </c>
      <c r="L53" s="90">
        <f t="shared" si="13"/>
        <v>2.81474976710656E+18</v>
      </c>
      <c r="M53" s="90">
        <f t="shared" si="14"/>
        <v>4.503599627370496E+18</v>
      </c>
      <c r="N53" s="90">
        <f t="shared" si="15"/>
        <v>6.755399441055744E+18</v>
      </c>
      <c r="O53" s="90">
        <f t="shared" si="16"/>
        <v>1.0133099161583616E+19</v>
      </c>
      <c r="P53" s="90">
        <f t="shared" si="17"/>
        <v>1.40737488355328E+19</v>
      </c>
      <c r="Q53" s="90">
        <f t="shared" si="18"/>
        <v>2.251799813685248E+19</v>
      </c>
      <c r="R53" s="90">
        <f t="shared" si="19"/>
        <v>3.377699720527872E+19</v>
      </c>
      <c r="S53" s="90">
        <f t="shared" si="20"/>
        <v>5.066549580791808E+19</v>
      </c>
      <c r="T53" s="90">
        <f t="shared" si="21"/>
        <v>7.881299347898368E+19</v>
      </c>
      <c r="U53" s="91">
        <f t="shared" si="22"/>
        <v>1.125899906842624E+20</v>
      </c>
    </row>
  </sheetData>
  <mergeCells count="1">
    <mergeCell ref="H2:U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4"/>
  <sheetViews>
    <sheetView topLeftCell="F1" workbookViewId="0">
      <pane ySplit="24" topLeftCell="A79" activePane="bottomLeft" state="frozen"/>
      <selection pane="bottomLeft" activeCell="AA5" sqref="AA5:AA18"/>
    </sheetView>
  </sheetViews>
  <sheetFormatPr defaultRowHeight="16.5" x14ac:dyDescent="0.15"/>
  <cols>
    <col min="1" max="2" width="9" style="70"/>
    <col min="3" max="3" width="8" style="70" bestFit="1" customWidth="1"/>
    <col min="4" max="4" width="14" style="81" bestFit="1" customWidth="1"/>
    <col min="5" max="5" width="14" style="70" customWidth="1"/>
    <col min="6" max="6" width="11.375" style="81" bestFit="1" customWidth="1"/>
    <col min="7" max="7" width="12.75" style="99" bestFit="1" customWidth="1"/>
    <col min="8" max="8" width="12.875" style="70" bestFit="1" customWidth="1"/>
    <col min="9" max="9" width="20" style="70" bestFit="1" customWidth="1"/>
    <col min="10" max="10" width="18.625" style="70" bestFit="1" customWidth="1"/>
    <col min="11" max="11" width="22.25" style="70" bestFit="1" customWidth="1"/>
    <col min="12" max="12" width="11.25" style="70" customWidth="1"/>
    <col min="13" max="16" width="9" style="70"/>
    <col min="17" max="17" width="11.375" style="70" bestFit="1" customWidth="1"/>
    <col min="18" max="18" width="15" style="70" bestFit="1" customWidth="1"/>
    <col min="19" max="19" width="12.75" style="70" bestFit="1" customWidth="1"/>
    <col min="20" max="21" width="9" style="70"/>
    <col min="22" max="22" width="11.375" style="70" bestFit="1" customWidth="1"/>
    <col min="23" max="23" width="15" style="70" bestFit="1" customWidth="1"/>
    <col min="24" max="24" width="12.75" style="70" bestFit="1" customWidth="1"/>
    <col min="25" max="26" width="9" style="70"/>
    <col min="27" max="28" width="16.625" style="70" bestFit="1" customWidth="1"/>
    <col min="29" max="16384" width="9" style="70"/>
  </cols>
  <sheetData>
    <row r="1" spans="2:28" x14ac:dyDescent="0.15">
      <c r="E1" s="70">
        <v>360</v>
      </c>
      <c r="F1" s="70"/>
      <c r="G1" s="99">
        <v>5</v>
      </c>
    </row>
    <row r="2" spans="2:28" x14ac:dyDescent="0.15">
      <c r="E2" s="70">
        <v>4000</v>
      </c>
      <c r="F2" s="70"/>
      <c r="G2" s="99">
        <v>100</v>
      </c>
    </row>
    <row r="4" spans="2:28" x14ac:dyDescent="0.15">
      <c r="B4" s="77" t="s">
        <v>264</v>
      </c>
      <c r="C4" s="77" t="s">
        <v>305</v>
      </c>
      <c r="D4" s="83" t="s">
        <v>363</v>
      </c>
      <c r="E4" s="77" t="s">
        <v>369</v>
      </c>
      <c r="F4" s="83" t="s">
        <v>265</v>
      </c>
      <c r="G4" s="101" t="s">
        <v>263</v>
      </c>
      <c r="H4" s="77" t="s">
        <v>343</v>
      </c>
      <c r="I4" s="77" t="s">
        <v>346</v>
      </c>
      <c r="J4" s="77" t="s">
        <v>345</v>
      </c>
      <c r="K4" s="77" t="s">
        <v>344</v>
      </c>
      <c r="M4" s="77" t="s">
        <v>267</v>
      </c>
      <c r="O4" s="77" t="s">
        <v>9</v>
      </c>
      <c r="P4" s="77" t="s">
        <v>34</v>
      </c>
      <c r="Q4" s="77" t="s">
        <v>278</v>
      </c>
      <c r="R4" s="77" t="s">
        <v>273</v>
      </c>
      <c r="S4" s="77" t="s">
        <v>272</v>
      </c>
      <c r="U4" s="77" t="s">
        <v>279</v>
      </c>
      <c r="V4" s="77" t="s">
        <v>280</v>
      </c>
      <c r="W4" s="77" t="s">
        <v>273</v>
      </c>
      <c r="X4" s="77" t="s">
        <v>272</v>
      </c>
      <c r="Z4" s="83" t="s">
        <v>9</v>
      </c>
      <c r="AA4" s="83" t="s">
        <v>374</v>
      </c>
      <c r="AB4" s="83" t="s">
        <v>375</v>
      </c>
    </row>
    <row r="5" spans="2:28" x14ac:dyDescent="0.15">
      <c r="B5" s="77">
        <v>1</v>
      </c>
      <c r="C5" s="77">
        <f t="array" ref="C5">MIN(IF(体力抽奖!$C$48:$C$60&gt;=树木!$B5,体力抽奖!$J$48:$J$60))</f>
        <v>8</v>
      </c>
      <c r="D5" s="83">
        <f>VLOOKUP($C5,猫咪!$B:$E,4,0)</f>
        <v>1.28</v>
      </c>
      <c r="E5" s="109">
        <f>ROUND(B5*$E$1+$E$2,3-LEN(INT(B5*$E$1+$E$2)))</f>
        <v>4360</v>
      </c>
      <c r="F5" s="83">
        <f>E5*(1+D5)</f>
        <v>9940.8000000000011</v>
      </c>
      <c r="G5" s="101">
        <f>ROUND(B5^$G$1+$G$2,2-LEN(INT(B5^$G$1+$G$2)))</f>
        <v>100</v>
      </c>
      <c r="H5" s="77">
        <f>SUM($G$5:$G5)</f>
        <v>100</v>
      </c>
      <c r="I5" s="77">
        <f>H5*2</f>
        <v>200</v>
      </c>
      <c r="J5" s="77">
        <f t="array" ref="J5">MIN(IF(旅店!$U$5:$U$85&gt;=$I5,旅店!$R$5:$R$85))</f>
        <v>0.02</v>
      </c>
      <c r="K5" s="77">
        <f t="array" ref="K5">MIN(IF(旅店!$U$5:$U$85&gt;=$I5,旅店!$Q$5:$Q$85))</f>
        <v>20</v>
      </c>
      <c r="M5" s="77">
        <v>6</v>
      </c>
      <c r="O5" s="77">
        <v>20</v>
      </c>
      <c r="P5" s="77">
        <f>INDEX(等级时间!$U$3:$AU$203,MATCH($O5,等级时间!$U$3:$U$203,0),MATCH(P$4,等级时间!$U$3:$AU$3,0))</f>
        <v>0.02</v>
      </c>
      <c r="Q5" s="77">
        <f>P5</f>
        <v>0.02</v>
      </c>
      <c r="R5" s="77">
        <f t="shared" ref="R5:R36" si="0">INDEX($B$4:$H$104,MATCH($O5,$B$4:$B$104,0),MATCH("每日产出木材",$B$4:$H$4,0))*Q5*IF($O5&gt;=$M$6,2,1)</f>
        <v>510.72000000000008</v>
      </c>
      <c r="S5" s="77">
        <f>SUM($R$5:$R5)</f>
        <v>510.72000000000008</v>
      </c>
      <c r="U5" s="77">
        <f>INDEX(等级时间!$U$3:$AU$203,MATCH($O5,等级时间!$U$3:$U$203,0),MATCH(U$4,等级时间!$U$3:$AU$3,0))</f>
        <v>0.01</v>
      </c>
      <c r="V5" s="77">
        <f>U5</f>
        <v>0.01</v>
      </c>
      <c r="W5" s="77">
        <f t="shared" ref="W5:W36" si="1">INDEX($B$4:$H$104,MATCH($O5,$B$4:$B$104,0),MATCH("每日产出木材",$B$4:$H$4,0))*V5*IF($O5&gt;=$M$6,2,1)</f>
        <v>255.36000000000004</v>
      </c>
      <c r="X5" s="77">
        <f>SUM($W$5:$W5)</f>
        <v>255.36000000000004</v>
      </c>
      <c r="Z5" s="83">
        <v>20</v>
      </c>
      <c r="AA5" s="83">
        <v>1000</v>
      </c>
      <c r="AB5" s="83">
        <f>1/AA5</f>
        <v>1E-3</v>
      </c>
    </row>
    <row r="6" spans="2:28" x14ac:dyDescent="0.15">
      <c r="B6" s="77">
        <v>2</v>
      </c>
      <c r="C6" s="77">
        <f t="array" ref="C6">MIN(IF(体力抽奖!$C$48:$C$60&gt;=树木!$B6,体力抽奖!$J$48:$J$60))</f>
        <v>8</v>
      </c>
      <c r="D6" s="83">
        <f>VLOOKUP($C6,猫咪!$B:$E,4,0)</f>
        <v>1.28</v>
      </c>
      <c r="E6" s="109">
        <f t="shared" ref="E6:E69" si="2">ROUND(B6*$E$1+$E$2,3-LEN(INT(B6*$E$1+$E$2)))</f>
        <v>4720</v>
      </c>
      <c r="F6" s="83">
        <f t="shared" ref="F6:F69" si="3">E6*(1+D6)</f>
        <v>10761.6</v>
      </c>
      <c r="G6" s="101">
        <f t="shared" ref="G6:G69" si="4">ROUND(B6^$G$1+$G$2,2-LEN(INT(B6^$G$1+$G$2)))</f>
        <v>130</v>
      </c>
      <c r="H6" s="77">
        <f>SUM($G$5:$G6)</f>
        <v>230</v>
      </c>
      <c r="I6" s="77">
        <f t="shared" ref="I6:I69" si="5">H6*2</f>
        <v>460</v>
      </c>
      <c r="J6" s="77">
        <f t="array" ref="J6">MIN(IF(旅店!$U$5:$U$85&gt;=$I6,旅店!$R$5:$R$85))</f>
        <v>0.02</v>
      </c>
      <c r="K6" s="77">
        <f t="array" ref="K6">MIN(IF(旅店!$U$5:$U$85&gt;=$I6,旅店!$Q$5:$Q$85))</f>
        <v>20</v>
      </c>
      <c r="M6" s="77">
        <v>40</v>
      </c>
      <c r="O6" s="77">
        <v>21</v>
      </c>
      <c r="P6" s="77">
        <f>INDEX(等级时间!$U$3:$AU$203,MATCH($O6,等级时间!$U$3:$U$203,0),MATCH(P$4,等级时间!$U$3:$AU$3,0))</f>
        <v>0.14000000000000001</v>
      </c>
      <c r="Q6" s="77">
        <f>P6-P5</f>
        <v>0.12000000000000001</v>
      </c>
      <c r="R6" s="77">
        <f t="shared" si="0"/>
        <v>3173.7600000000007</v>
      </c>
      <c r="S6" s="77">
        <f>SUM($R$5:$R6)</f>
        <v>3684.4800000000009</v>
      </c>
      <c r="U6" s="77">
        <f>INDEX(等级时间!$U$3:$AU$203,MATCH($O6,等级时间!$U$3:$U$203,0),MATCH(U$4,等级时间!$U$3:$AU$3,0))</f>
        <v>0.06</v>
      </c>
      <c r="V6" s="77">
        <f>U6-U5</f>
        <v>4.9999999999999996E-2</v>
      </c>
      <c r="W6" s="77">
        <f t="shared" si="1"/>
        <v>1322.4</v>
      </c>
      <c r="X6" s="77">
        <f>SUM($W$5:$W6)</f>
        <v>1577.7600000000002</v>
      </c>
      <c r="Z6" s="83">
        <v>30</v>
      </c>
      <c r="AA6" s="83">
        <v>1500</v>
      </c>
      <c r="AB6" s="83">
        <f t="shared" ref="AB6:AB18" si="6">1/AA6</f>
        <v>6.6666666666666664E-4</v>
      </c>
    </row>
    <row r="7" spans="2:28" x14ac:dyDescent="0.15">
      <c r="B7" s="77">
        <v>3</v>
      </c>
      <c r="C7" s="77">
        <f t="array" ref="C7">MIN(IF(体力抽奖!$C$48:$C$60&gt;=树木!$B7,体力抽奖!$J$48:$J$60))</f>
        <v>8</v>
      </c>
      <c r="D7" s="83">
        <f>VLOOKUP($C7,猫咪!$B:$E,4,0)</f>
        <v>1.28</v>
      </c>
      <c r="E7" s="109">
        <f t="shared" si="2"/>
        <v>5080</v>
      </c>
      <c r="F7" s="83">
        <f t="shared" si="3"/>
        <v>11582.400000000001</v>
      </c>
      <c r="G7" s="101">
        <f t="shared" si="4"/>
        <v>340</v>
      </c>
      <c r="H7" s="77">
        <f>SUM($G$5:$G7)</f>
        <v>570</v>
      </c>
      <c r="I7" s="77">
        <f t="shared" si="5"/>
        <v>1140</v>
      </c>
      <c r="J7" s="77">
        <f t="array" ref="J7">MIN(IF(旅店!$U$5:$U$85&gt;=$I7,旅店!$R$5:$R$85))</f>
        <v>0.02</v>
      </c>
      <c r="K7" s="77">
        <f t="array" ref="K7">MIN(IF(旅店!$U$5:$U$85&gt;=$I7,旅店!$Q$5:$Q$85))</f>
        <v>20</v>
      </c>
      <c r="O7" s="77">
        <v>22</v>
      </c>
      <c r="P7" s="77">
        <f>INDEX(等级时间!$U$3:$AU$203,MATCH($O7,等级时间!$U$3:$U$203,0),MATCH(P$4,等级时间!$U$3:$AU$3,0))</f>
        <v>0.27</v>
      </c>
      <c r="Q7" s="77">
        <f t="shared" ref="Q7:Q70" si="7">P7-P6</f>
        <v>0.13</v>
      </c>
      <c r="R7" s="77">
        <f t="shared" si="0"/>
        <v>3527.1600000000008</v>
      </c>
      <c r="S7" s="77">
        <f>SUM($R$5:$R7)</f>
        <v>7211.6400000000012</v>
      </c>
      <c r="U7" s="77">
        <f>INDEX(等级时间!$U$3:$AU$203,MATCH($O7,等级时间!$U$3:$U$203,0),MATCH(U$4,等级时间!$U$3:$AU$3,0))</f>
        <v>0.11</v>
      </c>
      <c r="V7" s="77">
        <f t="shared" ref="V7:V70" si="8">U7-U6</f>
        <v>0.05</v>
      </c>
      <c r="W7" s="77">
        <f t="shared" si="1"/>
        <v>1356.6000000000004</v>
      </c>
      <c r="X7" s="77">
        <f>SUM($W$5:$W7)</f>
        <v>2934.3600000000006</v>
      </c>
      <c r="Z7" s="83">
        <v>40</v>
      </c>
      <c r="AA7" s="83">
        <v>2500</v>
      </c>
      <c r="AB7" s="83">
        <f t="shared" si="6"/>
        <v>4.0000000000000002E-4</v>
      </c>
    </row>
    <row r="8" spans="2:28" x14ac:dyDescent="0.15">
      <c r="B8" s="77">
        <v>4</v>
      </c>
      <c r="C8" s="77">
        <f t="array" ref="C8">MIN(IF(体力抽奖!$C$48:$C$60&gt;=树木!$B8,体力抽奖!$J$48:$J$60))</f>
        <v>8</v>
      </c>
      <c r="D8" s="83">
        <f>VLOOKUP($C8,猫咪!$B:$E,4,0)</f>
        <v>1.28</v>
      </c>
      <c r="E8" s="109">
        <f t="shared" si="2"/>
        <v>5440</v>
      </c>
      <c r="F8" s="83">
        <f t="shared" si="3"/>
        <v>12403.2</v>
      </c>
      <c r="G8" s="101">
        <f t="shared" si="4"/>
        <v>1100</v>
      </c>
      <c r="H8" s="77">
        <f>SUM($G$5:$G8)</f>
        <v>1670</v>
      </c>
      <c r="I8" s="77">
        <f t="shared" si="5"/>
        <v>3340</v>
      </c>
      <c r="J8" s="77">
        <f t="array" ref="J8">MIN(IF(旅店!$U$5:$U$85&gt;=$I8,旅店!$R$5:$R$85))</f>
        <v>0.02</v>
      </c>
      <c r="K8" s="77">
        <f t="array" ref="K8">MIN(IF(旅店!$U$5:$U$85&gt;=$I8,旅店!$Q$5:$Q$85))</f>
        <v>20</v>
      </c>
      <c r="O8" s="77">
        <v>23</v>
      </c>
      <c r="P8" s="77">
        <f>INDEX(等级时间!$U$3:$AU$203,MATCH($O8,等级时间!$U$3:$U$203,0),MATCH(P$4,等级时间!$U$3:$AU$3,0))</f>
        <v>0.42</v>
      </c>
      <c r="Q8" s="77">
        <f t="shared" si="7"/>
        <v>0.14999999999999997</v>
      </c>
      <c r="R8" s="77">
        <f t="shared" si="0"/>
        <v>4206.5999999999995</v>
      </c>
      <c r="S8" s="77">
        <f>SUM($R$5:$R8)</f>
        <v>11418.240000000002</v>
      </c>
      <c r="U8" s="77">
        <f>INDEX(等级时间!$U$3:$AU$203,MATCH($O8,等级时间!$U$3:$U$203,0),MATCH(U$4,等级时间!$U$3:$AU$3,0))</f>
        <v>0.18</v>
      </c>
      <c r="V8" s="77">
        <f t="shared" si="8"/>
        <v>6.9999999999999993E-2</v>
      </c>
      <c r="W8" s="77">
        <f t="shared" si="1"/>
        <v>1963.0800000000002</v>
      </c>
      <c r="X8" s="77">
        <f>SUM($W$5:$W8)</f>
        <v>4897.4400000000005</v>
      </c>
      <c r="Z8" s="83">
        <v>50</v>
      </c>
      <c r="AA8" s="83">
        <v>3500</v>
      </c>
      <c r="AB8" s="83">
        <f t="shared" si="6"/>
        <v>2.8571428571428574E-4</v>
      </c>
    </row>
    <row r="9" spans="2:28" x14ac:dyDescent="0.15">
      <c r="B9" s="77">
        <v>5</v>
      </c>
      <c r="C9" s="77">
        <f t="array" ref="C9">MIN(IF(体力抽奖!$C$48:$C$60&gt;=树木!$B9,体力抽奖!$J$48:$J$60))</f>
        <v>8</v>
      </c>
      <c r="D9" s="83">
        <f>VLOOKUP($C9,猫咪!$B:$E,4,0)</f>
        <v>1.28</v>
      </c>
      <c r="E9" s="109">
        <f t="shared" si="2"/>
        <v>5800</v>
      </c>
      <c r="F9" s="83">
        <f t="shared" si="3"/>
        <v>13224.000000000002</v>
      </c>
      <c r="G9" s="101">
        <f t="shared" si="4"/>
        <v>3200</v>
      </c>
      <c r="H9" s="77">
        <f>SUM($G$5:$G9)</f>
        <v>4870</v>
      </c>
      <c r="I9" s="77">
        <f t="shared" si="5"/>
        <v>9740</v>
      </c>
      <c r="J9" s="77">
        <f t="array" ref="J9">MIN(IF(旅店!$U$5:$U$85&gt;=$I9,旅店!$R$5:$R$85))</f>
        <v>0.14000000000000001</v>
      </c>
      <c r="K9" s="77">
        <f t="array" ref="K9">MIN(IF(旅店!$U$5:$U$85&gt;=$I9,旅店!$Q$5:$Q$85))</f>
        <v>21</v>
      </c>
      <c r="O9" s="77">
        <v>24</v>
      </c>
      <c r="P9" s="77">
        <f>INDEX(等级时间!$U$3:$AU$203,MATCH($O9,等级时间!$U$3:$U$203,0),MATCH(P$4,等级时间!$U$3:$AU$3,0))</f>
        <v>0.59</v>
      </c>
      <c r="Q9" s="77">
        <f t="shared" si="7"/>
        <v>0.16999999999999998</v>
      </c>
      <c r="R9" s="77">
        <f t="shared" si="0"/>
        <v>4883.76</v>
      </c>
      <c r="S9" s="77">
        <f>SUM($R$5:$R9)</f>
        <v>16302.000000000002</v>
      </c>
      <c r="U9" s="77">
        <f>INDEX(等级时间!$U$3:$AU$203,MATCH($O9,等级时间!$U$3:$U$203,0),MATCH(U$4,等级时间!$U$3:$AU$3,0))</f>
        <v>0.25</v>
      </c>
      <c r="V9" s="77">
        <f t="shared" si="8"/>
        <v>7.0000000000000007E-2</v>
      </c>
      <c r="W9" s="77">
        <f t="shared" si="1"/>
        <v>2010.9600000000005</v>
      </c>
      <c r="X9" s="77">
        <f>SUM($W$5:$W9)</f>
        <v>6908.4000000000015</v>
      </c>
      <c r="Z9" s="83">
        <v>60</v>
      </c>
      <c r="AA9" s="83">
        <v>5000</v>
      </c>
      <c r="AB9" s="83">
        <f t="shared" si="6"/>
        <v>2.0000000000000001E-4</v>
      </c>
    </row>
    <row r="10" spans="2:28" x14ac:dyDescent="0.15">
      <c r="B10" s="77">
        <v>6</v>
      </c>
      <c r="C10" s="77">
        <f t="array" ref="C10">MIN(IF(体力抽奖!$C$48:$C$60&gt;=树木!$B10,体力抽奖!$J$48:$J$60))</f>
        <v>8</v>
      </c>
      <c r="D10" s="83">
        <f>VLOOKUP($C10,猫咪!$B:$E,4,0)</f>
        <v>1.28</v>
      </c>
      <c r="E10" s="109">
        <f t="shared" si="2"/>
        <v>6160</v>
      </c>
      <c r="F10" s="83">
        <f t="shared" si="3"/>
        <v>14044.800000000001</v>
      </c>
      <c r="G10" s="101">
        <f t="shared" si="4"/>
        <v>7900</v>
      </c>
      <c r="H10" s="77">
        <f>SUM($G$5:$G10)</f>
        <v>12770</v>
      </c>
      <c r="I10" s="77">
        <f t="shared" si="5"/>
        <v>25540</v>
      </c>
      <c r="J10" s="77">
        <f t="array" ref="J10">MIN(IF(旅店!$U$5:$U$85&gt;=$I10,旅店!$R$5:$R$85))</f>
        <v>0.14000000000000001</v>
      </c>
      <c r="K10" s="77">
        <f t="array" ref="K10">MIN(IF(旅店!$U$5:$U$85&gt;=$I10,旅店!$Q$5:$Q$85))</f>
        <v>21</v>
      </c>
      <c r="O10" s="77">
        <v>25</v>
      </c>
      <c r="P10" s="77">
        <f>INDEX(等级时间!$U$3:$AU$203,MATCH($O10,等级时间!$U$3:$U$203,0),MATCH(P$4,等级时间!$U$3:$AU$3,0))</f>
        <v>0.77</v>
      </c>
      <c r="Q10" s="77">
        <f t="shared" si="7"/>
        <v>0.18000000000000005</v>
      </c>
      <c r="R10" s="77">
        <f t="shared" si="0"/>
        <v>5335.2000000000025</v>
      </c>
      <c r="S10" s="77">
        <f>SUM($R$5:$R10)</f>
        <v>21637.200000000004</v>
      </c>
      <c r="U10" s="77">
        <f>INDEX(等级时间!$U$3:$AU$203,MATCH($O10,等级时间!$U$3:$U$203,0),MATCH(U$4,等级时间!$U$3:$AU$3,0))</f>
        <v>0.32</v>
      </c>
      <c r="V10" s="77">
        <f t="shared" si="8"/>
        <v>7.0000000000000007E-2</v>
      </c>
      <c r="W10" s="77">
        <f t="shared" si="1"/>
        <v>2074.8000000000006</v>
      </c>
      <c r="X10" s="77">
        <f>SUM($W$5:$W10)</f>
        <v>8983.2000000000025</v>
      </c>
      <c r="Z10" s="83">
        <v>70</v>
      </c>
      <c r="AA10" s="83">
        <v>8000</v>
      </c>
      <c r="AB10" s="83">
        <f t="shared" si="6"/>
        <v>1.25E-4</v>
      </c>
    </row>
    <row r="11" spans="2:28" x14ac:dyDescent="0.15">
      <c r="B11" s="77">
        <v>7</v>
      </c>
      <c r="C11" s="77">
        <f t="array" ref="C11">MIN(IF(体力抽奖!$C$48:$C$60&gt;=树木!$B11,体力抽奖!$J$48:$J$60))</f>
        <v>8</v>
      </c>
      <c r="D11" s="83">
        <f>VLOOKUP($C11,猫咪!$B:$E,4,0)</f>
        <v>1.28</v>
      </c>
      <c r="E11" s="109">
        <f t="shared" si="2"/>
        <v>6520</v>
      </c>
      <c r="F11" s="83">
        <f t="shared" si="3"/>
        <v>14865.600000000002</v>
      </c>
      <c r="G11" s="101">
        <f t="shared" si="4"/>
        <v>17000</v>
      </c>
      <c r="H11" s="77">
        <f>SUM($G$5:$G11)</f>
        <v>29770</v>
      </c>
      <c r="I11" s="77">
        <f t="shared" si="5"/>
        <v>59540</v>
      </c>
      <c r="J11" s="77">
        <f t="array" ref="J11">MIN(IF(旅店!$U$5:$U$85&gt;=$I11,旅店!$R$5:$R$85))</f>
        <v>0.27</v>
      </c>
      <c r="K11" s="77">
        <f t="array" ref="K11">MIN(IF(旅店!$U$5:$U$85&gt;=$I11,旅店!$Q$5:$Q$85))</f>
        <v>22</v>
      </c>
      <c r="O11" s="77">
        <v>26</v>
      </c>
      <c r="P11" s="77">
        <f>INDEX(等级时间!$U$3:$AU$203,MATCH($O11,等级时间!$U$3:$U$203,0),MATCH(P$4,等级时间!$U$3:$AU$3,0))</f>
        <v>0.98</v>
      </c>
      <c r="Q11" s="77">
        <f t="shared" si="7"/>
        <v>0.20999999999999996</v>
      </c>
      <c r="R11" s="77">
        <f t="shared" si="0"/>
        <v>6415.92</v>
      </c>
      <c r="S11" s="77">
        <f>SUM($R$5:$R11)</f>
        <v>28053.120000000003</v>
      </c>
      <c r="U11" s="77">
        <f>INDEX(等级时间!$U$3:$AU$203,MATCH($O11,等级时间!$U$3:$U$203,0),MATCH(U$4,等级时间!$U$3:$AU$3,0))</f>
        <v>0.41</v>
      </c>
      <c r="V11" s="77">
        <f t="shared" si="8"/>
        <v>8.9999999999999969E-2</v>
      </c>
      <c r="W11" s="77">
        <f t="shared" si="1"/>
        <v>2749.6799999999994</v>
      </c>
      <c r="X11" s="77">
        <f>SUM($W$5:$W11)</f>
        <v>11732.880000000001</v>
      </c>
      <c r="Z11" s="83">
        <v>80</v>
      </c>
      <c r="AA11" s="83">
        <v>12000</v>
      </c>
      <c r="AB11" s="83">
        <f t="shared" si="6"/>
        <v>8.3333333333333331E-5</v>
      </c>
    </row>
    <row r="12" spans="2:28" x14ac:dyDescent="0.15">
      <c r="B12" s="77">
        <v>8</v>
      </c>
      <c r="C12" s="77">
        <f t="array" ref="C12">MIN(IF(体力抽奖!$C$48:$C$60&gt;=树木!$B12,体力抽奖!$J$48:$J$60))</f>
        <v>8</v>
      </c>
      <c r="D12" s="83">
        <f>VLOOKUP($C12,猫咪!$B:$E,4,0)</f>
        <v>1.28</v>
      </c>
      <c r="E12" s="109">
        <f t="shared" si="2"/>
        <v>6880</v>
      </c>
      <c r="F12" s="83">
        <f t="shared" si="3"/>
        <v>15686.400000000001</v>
      </c>
      <c r="G12" s="101">
        <f t="shared" si="4"/>
        <v>33000</v>
      </c>
      <c r="H12" s="77">
        <f>SUM($G$5:$G12)</f>
        <v>62770</v>
      </c>
      <c r="I12" s="77">
        <f t="shared" si="5"/>
        <v>125540</v>
      </c>
      <c r="J12" s="77">
        <f t="array" ref="J12">MIN(IF(旅店!$U$5:$U$85&gt;=$I12,旅店!$R$5:$R$85))</f>
        <v>0.59</v>
      </c>
      <c r="K12" s="77">
        <f t="array" ref="K12">MIN(IF(旅店!$U$5:$U$85&gt;=$I12,旅店!$Q$5:$Q$85))</f>
        <v>24</v>
      </c>
      <c r="O12" s="77">
        <v>27</v>
      </c>
      <c r="P12" s="77">
        <f>INDEX(等级时间!$U$3:$AU$203,MATCH($O12,等级时间!$U$3:$U$203,0),MATCH(P$4,等级时间!$U$3:$AU$3,0))</f>
        <v>1.2</v>
      </c>
      <c r="Q12" s="77">
        <f t="shared" si="7"/>
        <v>0.21999999999999997</v>
      </c>
      <c r="R12" s="77">
        <f t="shared" si="0"/>
        <v>6871.92</v>
      </c>
      <c r="S12" s="77">
        <f>SUM($R$5:$R12)</f>
        <v>34925.040000000001</v>
      </c>
      <c r="U12" s="77">
        <f>INDEX(等级时间!$U$3:$AU$203,MATCH($O12,等级时间!$U$3:$U$203,0),MATCH(U$4,等级时间!$U$3:$AU$3,0))</f>
        <v>0.5</v>
      </c>
      <c r="V12" s="77">
        <f t="shared" si="8"/>
        <v>9.0000000000000024E-2</v>
      </c>
      <c r="W12" s="77">
        <f t="shared" si="1"/>
        <v>2811.2400000000011</v>
      </c>
      <c r="X12" s="77">
        <f>SUM($W$5:$W12)</f>
        <v>14544.120000000003</v>
      </c>
      <c r="Z12" s="83">
        <v>90</v>
      </c>
      <c r="AA12" s="83">
        <v>18000</v>
      </c>
      <c r="AB12" s="83">
        <f t="shared" si="6"/>
        <v>5.5555555555555558E-5</v>
      </c>
    </row>
    <row r="13" spans="2:28" x14ac:dyDescent="0.15">
      <c r="B13" s="77">
        <v>9</v>
      </c>
      <c r="C13" s="77">
        <f t="array" ref="C13">MIN(IF(体力抽奖!$C$48:$C$60&gt;=树木!$B13,体力抽奖!$J$48:$J$60))</f>
        <v>8</v>
      </c>
      <c r="D13" s="83">
        <f>VLOOKUP($C13,猫咪!$B:$E,4,0)</f>
        <v>1.28</v>
      </c>
      <c r="E13" s="109">
        <f t="shared" si="2"/>
        <v>7240</v>
      </c>
      <c r="F13" s="83">
        <f t="shared" si="3"/>
        <v>16507.2</v>
      </c>
      <c r="G13" s="101">
        <f t="shared" si="4"/>
        <v>59000</v>
      </c>
      <c r="H13" s="77">
        <f>SUM($G$5:$G13)</f>
        <v>121770</v>
      </c>
      <c r="I13" s="77">
        <f t="shared" si="5"/>
        <v>243540</v>
      </c>
      <c r="J13" s="77">
        <f t="array" ref="J13">MIN(IF(旅店!$U$5:$U$85&gt;=$I13,旅店!$R$5:$R$85))</f>
        <v>1.2</v>
      </c>
      <c r="K13" s="77">
        <f t="array" ref="K13">MIN(IF(旅店!$U$5:$U$85&gt;=$I13,旅店!$Q$5:$Q$85))</f>
        <v>27</v>
      </c>
      <c r="O13" s="77">
        <v>28</v>
      </c>
      <c r="P13" s="77">
        <f>INDEX(等级时间!$U$3:$AU$203,MATCH($O13,等级时间!$U$3:$U$203,0),MATCH(P$4,等级时间!$U$3:$AU$3,0))</f>
        <v>1.44</v>
      </c>
      <c r="Q13" s="77">
        <f t="shared" si="7"/>
        <v>0.24</v>
      </c>
      <c r="R13" s="77">
        <f t="shared" si="0"/>
        <v>7715.52</v>
      </c>
      <c r="S13" s="77">
        <f>SUM($R$5:$R13)</f>
        <v>42640.56</v>
      </c>
      <c r="U13" s="77">
        <f>INDEX(等级时间!$U$3:$AU$203,MATCH($O13,等级时间!$U$3:$U$203,0),MATCH(U$4,等级时间!$U$3:$AU$3,0))</f>
        <v>0.6</v>
      </c>
      <c r="V13" s="77">
        <f t="shared" si="8"/>
        <v>9.9999999999999978E-2</v>
      </c>
      <c r="W13" s="77">
        <f t="shared" si="1"/>
        <v>3214.7999999999997</v>
      </c>
      <c r="X13" s="77">
        <f>SUM($W$5:$W13)</f>
        <v>17758.920000000002</v>
      </c>
      <c r="Z13" s="83">
        <v>100</v>
      </c>
      <c r="AA13" s="83">
        <v>25000</v>
      </c>
      <c r="AB13" s="83">
        <f t="shared" si="6"/>
        <v>4.0000000000000003E-5</v>
      </c>
    </row>
    <row r="14" spans="2:28" x14ac:dyDescent="0.15">
      <c r="B14" s="77">
        <v>10</v>
      </c>
      <c r="C14" s="77">
        <f t="array" ref="C14">MIN(IF(体力抽奖!$C$48:$C$60&gt;=树木!$B14,体力抽奖!$J$48:$J$60))</f>
        <v>8</v>
      </c>
      <c r="D14" s="83">
        <f>VLOOKUP($C14,猫咪!$B:$E,4,0)</f>
        <v>1.28</v>
      </c>
      <c r="E14" s="109">
        <f t="shared" si="2"/>
        <v>7600</v>
      </c>
      <c r="F14" s="83">
        <f t="shared" si="3"/>
        <v>17328.000000000004</v>
      </c>
      <c r="G14" s="101">
        <f t="shared" si="4"/>
        <v>100000</v>
      </c>
      <c r="H14" s="77">
        <f>SUM($G$5:$G14)</f>
        <v>221770</v>
      </c>
      <c r="I14" s="77">
        <f t="shared" si="5"/>
        <v>443540</v>
      </c>
      <c r="J14" s="77">
        <f t="array" ref="J14">MIN(IF(旅店!$U$5:$U$85&gt;=$I14,旅店!$R$5:$R$85))</f>
        <v>1.98</v>
      </c>
      <c r="K14" s="77">
        <f t="array" ref="K14">MIN(IF(旅店!$U$5:$U$85&gt;=$I14,旅店!$Q$5:$Q$85))</f>
        <v>30</v>
      </c>
      <c r="O14" s="77">
        <v>29</v>
      </c>
      <c r="P14" s="77">
        <f>INDEX(等级时间!$U$3:$AU$203,MATCH($O14,等级时间!$U$3:$U$203,0),MATCH(P$4,等级时间!$U$3:$AU$3,0))</f>
        <v>1.7</v>
      </c>
      <c r="Q14" s="77">
        <f t="shared" si="7"/>
        <v>0.26</v>
      </c>
      <c r="R14" s="77">
        <f t="shared" si="0"/>
        <v>8536.32</v>
      </c>
      <c r="S14" s="77">
        <f>SUM($R$5:$R14)</f>
        <v>51176.88</v>
      </c>
      <c r="U14" s="77">
        <f>INDEX(等级时间!$U$3:$AU$203,MATCH($O14,等级时间!$U$3:$U$203,0),MATCH(U$4,等级时间!$U$3:$AU$3,0))</f>
        <v>0.71</v>
      </c>
      <c r="V14" s="77">
        <f t="shared" si="8"/>
        <v>0.10999999999999999</v>
      </c>
      <c r="W14" s="77">
        <f t="shared" si="1"/>
        <v>3611.5199999999995</v>
      </c>
      <c r="X14" s="77">
        <f>SUM($W$5:$W14)</f>
        <v>21370.440000000002</v>
      </c>
      <c r="Z14" s="83">
        <v>110</v>
      </c>
      <c r="AA14" s="83">
        <v>40000</v>
      </c>
      <c r="AB14" s="83">
        <f t="shared" si="6"/>
        <v>2.5000000000000001E-5</v>
      </c>
    </row>
    <row r="15" spans="2:28" x14ac:dyDescent="0.15">
      <c r="B15" s="77">
        <v>11</v>
      </c>
      <c r="C15" s="77">
        <f t="array" ref="C15">MIN(IF(体力抽奖!$C$48:$C$60&gt;=树木!$B15,体力抽奖!$J$48:$J$60))</f>
        <v>8</v>
      </c>
      <c r="D15" s="83">
        <f>VLOOKUP($C15,猫咪!$B:$E,4,0)</f>
        <v>1.28</v>
      </c>
      <c r="E15" s="109">
        <f t="shared" si="2"/>
        <v>7960</v>
      </c>
      <c r="F15" s="83">
        <f t="shared" si="3"/>
        <v>18148.800000000003</v>
      </c>
      <c r="G15" s="101">
        <f t="shared" si="4"/>
        <v>160000</v>
      </c>
      <c r="H15" s="77">
        <f>SUM($G$5:$G15)</f>
        <v>381770</v>
      </c>
      <c r="I15" s="77">
        <f t="shared" si="5"/>
        <v>763540</v>
      </c>
      <c r="J15" s="77">
        <f t="array" ref="J15">MIN(IF(旅店!$U$5:$U$85&gt;=$I15,旅店!$R$5:$R$85))</f>
        <v>2.2799999999999998</v>
      </c>
      <c r="K15" s="77">
        <f t="array" ref="K15">MIN(IF(旅店!$U$5:$U$85&gt;=$I15,旅店!$Q$5:$Q$85))</f>
        <v>31</v>
      </c>
      <c r="O15" s="77">
        <v>30</v>
      </c>
      <c r="P15" s="77">
        <f>INDEX(等级时间!$U$3:$AU$203,MATCH($O15,等级时间!$U$3:$U$203,0),MATCH(P$4,等级时间!$U$3:$AU$3,0))</f>
        <v>1.98</v>
      </c>
      <c r="Q15" s="77">
        <f t="shared" si="7"/>
        <v>0.28000000000000003</v>
      </c>
      <c r="R15" s="77">
        <f t="shared" si="0"/>
        <v>25361.280000000002</v>
      </c>
      <c r="S15" s="77">
        <f>SUM($R$5:$R15)</f>
        <v>76538.16</v>
      </c>
      <c r="U15" s="77">
        <f>INDEX(等级时间!$U$3:$AU$203,MATCH($O15,等级时间!$U$3:$U$203,0),MATCH(U$4,等级时间!$U$3:$AU$3,0))</f>
        <v>0.83</v>
      </c>
      <c r="V15" s="77">
        <f t="shared" si="8"/>
        <v>0.12</v>
      </c>
      <c r="W15" s="77">
        <f t="shared" si="1"/>
        <v>10869.119999999999</v>
      </c>
      <c r="X15" s="77">
        <f>SUM($W$5:$W15)</f>
        <v>32239.56</v>
      </c>
      <c r="Z15" s="83">
        <v>120</v>
      </c>
      <c r="AA15" s="83">
        <v>60000</v>
      </c>
      <c r="AB15" s="83">
        <f t="shared" si="6"/>
        <v>1.6666666666666667E-5</v>
      </c>
    </row>
    <row r="16" spans="2:28" x14ac:dyDescent="0.15">
      <c r="B16" s="77">
        <v>12</v>
      </c>
      <c r="C16" s="77">
        <f t="array" ref="C16">MIN(IF(体力抽奖!$C$48:$C$60&gt;=树木!$B16,体力抽奖!$J$48:$J$60))</f>
        <v>8</v>
      </c>
      <c r="D16" s="83">
        <f>VLOOKUP($C16,猫咪!$B:$E,4,0)</f>
        <v>1.28</v>
      </c>
      <c r="E16" s="109">
        <f t="shared" si="2"/>
        <v>8320</v>
      </c>
      <c r="F16" s="83">
        <f t="shared" si="3"/>
        <v>18969.600000000002</v>
      </c>
      <c r="G16" s="101">
        <f t="shared" si="4"/>
        <v>250000</v>
      </c>
      <c r="H16" s="77">
        <f>SUM($G$5:$G16)</f>
        <v>631770</v>
      </c>
      <c r="I16" s="77">
        <f t="shared" si="5"/>
        <v>1263540</v>
      </c>
      <c r="J16" s="77">
        <f t="array" ref="J16">MIN(IF(旅店!$U$5:$U$85&gt;=$I16,旅店!$R$5:$R$85))</f>
        <v>3.27</v>
      </c>
      <c r="K16" s="77">
        <f t="array" ref="K16">MIN(IF(旅店!$U$5:$U$85&gt;=$I16,旅店!$Q$5:$Q$85))</f>
        <v>34</v>
      </c>
      <c r="O16" s="77">
        <v>31</v>
      </c>
      <c r="P16" s="77">
        <f>INDEX(等级时间!$U$3:$AU$203,MATCH($O16,等级时间!$U$3:$U$203,0),MATCH(P$4,等级时间!$U$3:$AU$3,0))</f>
        <v>2.2799999999999998</v>
      </c>
      <c r="Q16" s="77">
        <f t="shared" si="7"/>
        <v>0.29999999999999982</v>
      </c>
      <c r="R16" s="77">
        <f t="shared" si="0"/>
        <v>27907.199999999983</v>
      </c>
      <c r="S16" s="77">
        <f>SUM($R$5:$R16)</f>
        <v>104445.35999999999</v>
      </c>
      <c r="U16" s="77">
        <f>INDEX(等级时间!$U$3:$AU$203,MATCH($O16,等级时间!$U$3:$U$203,0),MATCH(U$4,等级时间!$U$3:$AU$3,0))</f>
        <v>0.96</v>
      </c>
      <c r="V16" s="77">
        <f t="shared" si="8"/>
        <v>0.13</v>
      </c>
      <c r="W16" s="77">
        <f t="shared" si="1"/>
        <v>12093.12</v>
      </c>
      <c r="X16" s="77">
        <f>SUM($W$5:$W16)</f>
        <v>44332.68</v>
      </c>
      <c r="Z16" s="83">
        <v>130</v>
      </c>
      <c r="AA16" s="83">
        <v>90000</v>
      </c>
      <c r="AB16" s="83">
        <f t="shared" si="6"/>
        <v>1.1111111111111112E-5</v>
      </c>
    </row>
    <row r="17" spans="2:28" x14ac:dyDescent="0.15">
      <c r="B17" s="77">
        <v>13</v>
      </c>
      <c r="C17" s="77">
        <f t="array" ref="C17">MIN(IF(体力抽奖!$C$48:$C$60&gt;=树木!$B17,体力抽奖!$J$48:$J$60))</f>
        <v>8</v>
      </c>
      <c r="D17" s="83">
        <f>VLOOKUP($C17,猫咪!$B:$E,4,0)</f>
        <v>1.28</v>
      </c>
      <c r="E17" s="109">
        <f t="shared" si="2"/>
        <v>8680</v>
      </c>
      <c r="F17" s="83">
        <f t="shared" si="3"/>
        <v>19790.400000000001</v>
      </c>
      <c r="G17" s="101">
        <f t="shared" si="4"/>
        <v>370000</v>
      </c>
      <c r="H17" s="77">
        <f>SUM($G$5:$G17)</f>
        <v>1001770</v>
      </c>
      <c r="I17" s="77">
        <f t="shared" si="5"/>
        <v>2003540</v>
      </c>
      <c r="J17" s="77">
        <f t="array" ref="J17">MIN(IF(旅店!$U$5:$U$85&gt;=$I17,旅店!$R$5:$R$85))</f>
        <v>4.43</v>
      </c>
      <c r="K17" s="77">
        <f t="array" ref="K17">MIN(IF(旅店!$U$5:$U$85&gt;=$I17,旅店!$Q$5:$Q$85))</f>
        <v>37</v>
      </c>
      <c r="O17" s="77">
        <v>32</v>
      </c>
      <c r="P17" s="77">
        <f>INDEX(等级时间!$U$3:$AU$203,MATCH($O17,等级时间!$U$3:$U$203,0),MATCH(P$4,等级时间!$U$3:$AU$3,0))</f>
        <v>2.59</v>
      </c>
      <c r="Q17" s="77">
        <f t="shared" si="7"/>
        <v>0.31000000000000005</v>
      </c>
      <c r="R17" s="77">
        <f t="shared" si="0"/>
        <v>29406.600000000006</v>
      </c>
      <c r="S17" s="77">
        <f>SUM($R$5:$R17)</f>
        <v>133851.96</v>
      </c>
      <c r="U17" s="77">
        <f>INDEX(等级时间!$U$3:$AU$203,MATCH($O17,等级时间!$U$3:$U$203,0),MATCH(U$4,等级时间!$U$3:$AU$3,0))</f>
        <v>1.0900000000000001</v>
      </c>
      <c r="V17" s="77">
        <f t="shared" si="8"/>
        <v>0.13000000000000012</v>
      </c>
      <c r="W17" s="77">
        <f t="shared" si="1"/>
        <v>12331.80000000001</v>
      </c>
      <c r="X17" s="77">
        <f>SUM($W$5:$W17)</f>
        <v>56664.48000000001</v>
      </c>
      <c r="Z17" s="83">
        <v>140</v>
      </c>
      <c r="AA17" s="83">
        <v>140000</v>
      </c>
      <c r="AB17" s="83">
        <f t="shared" si="6"/>
        <v>7.1428571428571427E-6</v>
      </c>
    </row>
    <row r="18" spans="2:28" x14ac:dyDescent="0.15">
      <c r="B18" s="77">
        <v>14</v>
      </c>
      <c r="C18" s="77">
        <f t="array" ref="C18">MIN(IF(体力抽奖!$C$48:$C$60&gt;=树木!$B18,体力抽奖!$J$48:$J$60))</f>
        <v>8</v>
      </c>
      <c r="D18" s="83">
        <f>VLOOKUP($C18,猫咪!$B:$E,4,0)</f>
        <v>1.28</v>
      </c>
      <c r="E18" s="109">
        <f t="shared" si="2"/>
        <v>9040</v>
      </c>
      <c r="F18" s="83">
        <f t="shared" si="3"/>
        <v>20611.2</v>
      </c>
      <c r="G18" s="101">
        <f t="shared" si="4"/>
        <v>540000</v>
      </c>
      <c r="H18" s="77">
        <f>SUM($G$5:$G18)</f>
        <v>1541770</v>
      </c>
      <c r="I18" s="77">
        <f t="shared" si="5"/>
        <v>3083540</v>
      </c>
      <c r="J18" s="77">
        <f t="array" ref="J18">MIN(IF(旅店!$U$5:$U$85&gt;=$I18,旅店!$R$5:$R$85))</f>
        <v>5.8</v>
      </c>
      <c r="K18" s="77">
        <f t="array" ref="K18">MIN(IF(旅店!$U$5:$U$85&gt;=$I18,旅店!$Q$5:$Q$85))</f>
        <v>40</v>
      </c>
      <c r="O18" s="77">
        <v>33</v>
      </c>
      <c r="P18" s="77">
        <f>INDEX(等级时间!$U$3:$AU$203,MATCH($O18,等级时间!$U$3:$U$203,0),MATCH(P$4,等级时间!$U$3:$AU$3,0))</f>
        <v>2.92</v>
      </c>
      <c r="Q18" s="77">
        <f t="shared" si="7"/>
        <v>0.33000000000000007</v>
      </c>
      <c r="R18" s="77">
        <f t="shared" si="0"/>
        <v>32111.640000000007</v>
      </c>
      <c r="S18" s="77">
        <f>SUM($R$5:$R18)</f>
        <v>165963.6</v>
      </c>
      <c r="U18" s="77">
        <f>INDEX(等级时间!$U$3:$AU$203,MATCH($O18,等级时间!$U$3:$U$203,0),MATCH(U$4,等级时间!$U$3:$AU$3,0))</f>
        <v>1.23</v>
      </c>
      <c r="V18" s="77">
        <f t="shared" si="8"/>
        <v>0.1399999999999999</v>
      </c>
      <c r="W18" s="77">
        <f t="shared" si="1"/>
        <v>13623.11999999999</v>
      </c>
      <c r="X18" s="77">
        <f>SUM($W$5:$W18)</f>
        <v>70287.600000000006</v>
      </c>
      <c r="Z18" s="83">
        <v>150</v>
      </c>
      <c r="AA18" s="83">
        <v>200000</v>
      </c>
      <c r="AB18" s="83">
        <f t="shared" si="6"/>
        <v>5.0000000000000004E-6</v>
      </c>
    </row>
    <row r="19" spans="2:28" x14ac:dyDescent="0.15">
      <c r="B19" s="77">
        <v>15</v>
      </c>
      <c r="C19" s="77">
        <f t="array" ref="C19">MIN(IF(体力抽奖!$C$48:$C$60&gt;=树木!$B19,体力抽奖!$J$48:$J$60))</f>
        <v>8</v>
      </c>
      <c r="D19" s="83">
        <f>VLOOKUP($C19,猫咪!$B:$E,4,0)</f>
        <v>1.28</v>
      </c>
      <c r="E19" s="109">
        <f t="shared" si="2"/>
        <v>9400</v>
      </c>
      <c r="F19" s="83">
        <f t="shared" si="3"/>
        <v>21432.000000000004</v>
      </c>
      <c r="G19" s="101">
        <f t="shared" si="4"/>
        <v>760000</v>
      </c>
      <c r="H19" s="77">
        <f>SUM($G$5:$G19)</f>
        <v>2301770</v>
      </c>
      <c r="I19" s="77">
        <f t="shared" si="5"/>
        <v>4603540</v>
      </c>
      <c r="J19" s="77">
        <f t="array" ref="J19">MIN(IF(旅店!$U$5:$U$85&gt;=$I19,旅店!$R$5:$R$85))</f>
        <v>6.32</v>
      </c>
      <c r="K19" s="77">
        <f t="array" ref="K19">MIN(IF(旅店!$U$5:$U$85&gt;=$I19,旅店!$Q$5:$Q$85))</f>
        <v>41</v>
      </c>
      <c r="O19" s="77">
        <v>34</v>
      </c>
      <c r="P19" s="77">
        <f>INDEX(等级时间!$U$3:$AU$203,MATCH($O19,等级时间!$U$3:$U$203,0),MATCH(P$4,等级时间!$U$3:$AU$3,0))</f>
        <v>3.27</v>
      </c>
      <c r="Q19" s="77">
        <f t="shared" si="7"/>
        <v>0.35000000000000009</v>
      </c>
      <c r="R19" s="77">
        <f t="shared" si="0"/>
        <v>34700.400000000009</v>
      </c>
      <c r="S19" s="77">
        <f>SUM($R$5:$R19)</f>
        <v>200664</v>
      </c>
      <c r="U19" s="77">
        <f>INDEX(等级时间!$U$3:$AU$203,MATCH($O19,等级时间!$U$3:$U$203,0),MATCH(U$4,等级时间!$U$3:$AU$3,0))</f>
        <v>1.37</v>
      </c>
      <c r="V19" s="77">
        <f t="shared" si="8"/>
        <v>0.14000000000000012</v>
      </c>
      <c r="W19" s="77">
        <f t="shared" si="1"/>
        <v>13880.160000000013</v>
      </c>
      <c r="X19" s="77">
        <f>SUM($W$5:$W19)</f>
        <v>84167.760000000024</v>
      </c>
    </row>
    <row r="20" spans="2:28" x14ac:dyDescent="0.15">
      <c r="B20" s="77">
        <v>16</v>
      </c>
      <c r="C20" s="77">
        <f t="array" ref="C20">MIN(IF(体力抽奖!$C$48:$C$60&gt;=树木!$B20,体力抽奖!$J$48:$J$60))</f>
        <v>8</v>
      </c>
      <c r="D20" s="83">
        <f>VLOOKUP($C20,猫咪!$B:$E,4,0)</f>
        <v>1.28</v>
      </c>
      <c r="E20" s="109">
        <f t="shared" si="2"/>
        <v>9760</v>
      </c>
      <c r="F20" s="83">
        <f t="shared" si="3"/>
        <v>22252.800000000003</v>
      </c>
      <c r="G20" s="101">
        <f t="shared" si="4"/>
        <v>1000000</v>
      </c>
      <c r="H20" s="77">
        <f>SUM($G$5:$G20)</f>
        <v>3301770</v>
      </c>
      <c r="I20" s="77">
        <f t="shared" si="5"/>
        <v>6603540</v>
      </c>
      <c r="J20" s="77">
        <f t="array" ref="J20">MIN(IF(旅店!$U$5:$U$85&gt;=$I20,旅店!$R$5:$R$85))</f>
        <v>7.43</v>
      </c>
      <c r="K20" s="77">
        <f t="array" ref="K20">MIN(IF(旅店!$U$5:$U$85&gt;=$I20,旅店!$Q$5:$Q$85))</f>
        <v>43</v>
      </c>
      <c r="O20" s="77">
        <v>35</v>
      </c>
      <c r="P20" s="77">
        <f>INDEX(等级时间!$U$3:$AU$203,MATCH($O20,等级时间!$U$3:$U$203,0),MATCH(P$4,等级时间!$U$3:$AU$3,0))</f>
        <v>3.63</v>
      </c>
      <c r="Q20" s="77">
        <f t="shared" si="7"/>
        <v>0.35999999999999988</v>
      </c>
      <c r="R20" s="77">
        <f t="shared" si="0"/>
        <v>36573.119999999988</v>
      </c>
      <c r="S20" s="77">
        <f>SUM($R$5:$R20)</f>
        <v>237237.12</v>
      </c>
      <c r="U20" s="77">
        <f>INDEX(等级时间!$U$3:$AU$203,MATCH($O20,等级时间!$U$3:$U$203,0),MATCH(U$4,等级时间!$U$3:$AU$3,0))</f>
        <v>1.53</v>
      </c>
      <c r="V20" s="77">
        <f t="shared" si="8"/>
        <v>0.15999999999999992</v>
      </c>
      <c r="W20" s="77">
        <f t="shared" si="1"/>
        <v>16254.719999999992</v>
      </c>
      <c r="X20" s="77">
        <f>SUM($W$5:$W20)</f>
        <v>100422.48000000001</v>
      </c>
    </row>
    <row r="21" spans="2:28" x14ac:dyDescent="0.15">
      <c r="B21" s="77">
        <v>17</v>
      </c>
      <c r="C21" s="77">
        <f t="array" ref="C21">MIN(IF(体力抽奖!$C$48:$C$60&gt;=树木!$B21,体力抽奖!$J$48:$J$60))</f>
        <v>8</v>
      </c>
      <c r="D21" s="83">
        <f>VLOOKUP($C21,猫咪!$B:$E,4,0)</f>
        <v>1.28</v>
      </c>
      <c r="E21" s="109">
        <f t="shared" si="2"/>
        <v>10100</v>
      </c>
      <c r="F21" s="83">
        <f t="shared" si="3"/>
        <v>23028.000000000004</v>
      </c>
      <c r="G21" s="101">
        <f t="shared" si="4"/>
        <v>1400000</v>
      </c>
      <c r="H21" s="77">
        <f>SUM($G$5:$G21)</f>
        <v>4701770</v>
      </c>
      <c r="I21" s="77">
        <f t="shared" si="5"/>
        <v>9403540</v>
      </c>
      <c r="J21" s="77">
        <f t="array" ref="J21">MIN(IF(旅店!$U$5:$U$85&gt;=$I21,旅店!$R$5:$R$85))</f>
        <v>8.0399999999999991</v>
      </c>
      <c r="K21" s="77">
        <f t="array" ref="K21">MIN(IF(旅店!$U$5:$U$85&gt;=$I21,旅店!$Q$5:$Q$85))</f>
        <v>44</v>
      </c>
      <c r="O21" s="77">
        <v>36</v>
      </c>
      <c r="P21" s="77">
        <f>INDEX(等级时间!$U$3:$AU$203,MATCH($O21,等级时间!$U$3:$U$203,0),MATCH(P$4,等级时间!$U$3:$AU$3,0))</f>
        <v>4.0199999999999996</v>
      </c>
      <c r="Q21" s="77">
        <f t="shared" si="7"/>
        <v>0.38999999999999968</v>
      </c>
      <c r="R21" s="77">
        <f t="shared" si="0"/>
        <v>40575.599999999969</v>
      </c>
      <c r="S21" s="77">
        <f>SUM($R$5:$R21)</f>
        <v>277812.71999999997</v>
      </c>
      <c r="U21" s="77">
        <f>INDEX(等级时间!$U$3:$AU$203,MATCH($O21,等级时间!$U$3:$U$203,0),MATCH(U$4,等级时间!$U$3:$AU$3,0))</f>
        <v>1.69</v>
      </c>
      <c r="V21" s="77">
        <f t="shared" si="8"/>
        <v>0.15999999999999992</v>
      </c>
      <c r="W21" s="77">
        <f t="shared" si="1"/>
        <v>16646.399999999991</v>
      </c>
      <c r="X21" s="77">
        <f>SUM($W$5:$W21)</f>
        <v>117068.88</v>
      </c>
    </row>
    <row r="22" spans="2:28" x14ac:dyDescent="0.15">
      <c r="B22" s="77">
        <v>18</v>
      </c>
      <c r="C22" s="77">
        <f t="array" ref="C22">MIN(IF(体力抽奖!$C$48:$C$60&gt;=树木!$B22,体力抽奖!$J$48:$J$60))</f>
        <v>8</v>
      </c>
      <c r="D22" s="83">
        <f>VLOOKUP($C22,猫咪!$B:$E,4,0)</f>
        <v>1.28</v>
      </c>
      <c r="E22" s="109">
        <f t="shared" si="2"/>
        <v>10500</v>
      </c>
      <c r="F22" s="83">
        <f t="shared" si="3"/>
        <v>23940.000000000004</v>
      </c>
      <c r="G22" s="101">
        <f t="shared" si="4"/>
        <v>1900000</v>
      </c>
      <c r="H22" s="77">
        <f>SUM($G$5:$G22)</f>
        <v>6601770</v>
      </c>
      <c r="I22" s="77">
        <f t="shared" si="5"/>
        <v>13203540</v>
      </c>
      <c r="J22" s="77">
        <f t="array" ref="J22">MIN(IF(旅店!$U$5:$U$85&gt;=$I22,旅店!$R$5:$R$85))</f>
        <v>10.1</v>
      </c>
      <c r="K22" s="77">
        <f t="array" ref="K22">MIN(IF(旅店!$U$5:$U$85&gt;=$I22,旅店!$Q$5:$Q$85))</f>
        <v>47</v>
      </c>
      <c r="O22" s="77">
        <v>37</v>
      </c>
      <c r="P22" s="77">
        <f>INDEX(等级时间!$U$3:$AU$203,MATCH($O22,等级时间!$U$3:$U$203,0),MATCH(P$4,等级时间!$U$3:$AU$3,0))</f>
        <v>4.43</v>
      </c>
      <c r="Q22" s="77">
        <f t="shared" si="7"/>
        <v>0.41000000000000014</v>
      </c>
      <c r="R22" s="77">
        <f t="shared" si="0"/>
        <v>43409.160000000018</v>
      </c>
      <c r="S22" s="77">
        <f>SUM($R$5:$R22)</f>
        <v>321221.88</v>
      </c>
      <c r="U22" s="77">
        <f>INDEX(等级时间!$U$3:$AU$203,MATCH($O22,等级时间!$U$3:$U$203,0),MATCH(U$4,等级时间!$U$3:$AU$3,0))</f>
        <v>1.86</v>
      </c>
      <c r="V22" s="77">
        <f t="shared" si="8"/>
        <v>0.17000000000000015</v>
      </c>
      <c r="W22" s="77">
        <f t="shared" si="1"/>
        <v>17998.920000000016</v>
      </c>
      <c r="X22" s="77">
        <f>SUM($W$5:$W22)</f>
        <v>135067.80000000002</v>
      </c>
    </row>
    <row r="23" spans="2:28" x14ac:dyDescent="0.15">
      <c r="B23" s="77">
        <v>19</v>
      </c>
      <c r="C23" s="77">
        <f t="array" ref="C23">MIN(IF(体力抽奖!$C$48:$C$60&gt;=树木!$B23,体力抽奖!$J$48:$J$60))</f>
        <v>8</v>
      </c>
      <c r="D23" s="83">
        <f>VLOOKUP($C23,猫咪!$B:$E,4,0)</f>
        <v>1.28</v>
      </c>
      <c r="E23" s="109">
        <f t="shared" si="2"/>
        <v>10800</v>
      </c>
      <c r="F23" s="83">
        <f t="shared" si="3"/>
        <v>24624.000000000004</v>
      </c>
      <c r="G23" s="101">
        <f t="shared" si="4"/>
        <v>2500000</v>
      </c>
      <c r="H23" s="77">
        <f>SUM($G$5:$G23)</f>
        <v>9101770</v>
      </c>
      <c r="I23" s="77">
        <f t="shared" si="5"/>
        <v>18203540</v>
      </c>
      <c r="J23" s="77">
        <f t="array" ref="J23">MIN(IF(旅店!$U$5:$U$85&gt;=$I23,旅店!$R$5:$R$85))</f>
        <v>11.68</v>
      </c>
      <c r="K23" s="77">
        <f t="array" ref="K23">MIN(IF(旅店!$U$5:$U$85&gt;=$I23,旅店!$Q$5:$Q$85))</f>
        <v>49</v>
      </c>
      <c r="O23" s="77">
        <v>38</v>
      </c>
      <c r="P23" s="77">
        <f>INDEX(等级时间!$U$3:$AU$203,MATCH($O23,等级时间!$U$3:$U$203,0),MATCH(P$4,等级时间!$U$3:$AU$3,0))</f>
        <v>4.8600000000000003</v>
      </c>
      <c r="Q23" s="77">
        <f t="shared" si="7"/>
        <v>0.4300000000000006</v>
      </c>
      <c r="R23" s="77">
        <f t="shared" si="0"/>
        <v>46579.320000000065</v>
      </c>
      <c r="S23" s="77">
        <f>SUM($R$5:$R23)</f>
        <v>367801.20000000007</v>
      </c>
      <c r="U23" s="77">
        <f>INDEX(等级时间!$U$3:$AU$203,MATCH($O23,等级时间!$U$3:$U$203,0),MATCH(U$4,等级时间!$U$3:$AU$3,0))</f>
        <v>2.04</v>
      </c>
      <c r="V23" s="77">
        <f t="shared" si="8"/>
        <v>0.17999999999999994</v>
      </c>
      <c r="W23" s="77">
        <f t="shared" si="1"/>
        <v>19498.319999999992</v>
      </c>
      <c r="X23" s="77">
        <f>SUM($W$5:$W23)</f>
        <v>154566.12</v>
      </c>
    </row>
    <row r="24" spans="2:28" x14ac:dyDescent="0.15">
      <c r="B24" s="77">
        <v>20</v>
      </c>
      <c r="C24" s="77">
        <f t="array" ref="C24">MIN(IF(体力抽奖!$C$48:$C$60&gt;=树木!$B24,体力抽奖!$J$48:$J$60))</f>
        <v>8</v>
      </c>
      <c r="D24" s="83">
        <f>VLOOKUP($C24,猫咪!$B:$E,4,0)</f>
        <v>1.28</v>
      </c>
      <c r="E24" s="109">
        <f t="shared" si="2"/>
        <v>11200</v>
      </c>
      <c r="F24" s="83">
        <f t="shared" si="3"/>
        <v>25536.000000000004</v>
      </c>
      <c r="G24" s="101">
        <f t="shared" si="4"/>
        <v>3200000</v>
      </c>
      <c r="H24" s="77">
        <f>SUM($G$5:$G24)</f>
        <v>12301770</v>
      </c>
      <c r="I24" s="77">
        <f t="shared" si="5"/>
        <v>24603540</v>
      </c>
      <c r="J24" s="77">
        <f t="array" ref="J24">MIN(IF(旅店!$U$5:$U$85&gt;=$I24,旅店!$R$5:$R$85))</f>
        <v>13.45</v>
      </c>
      <c r="K24" s="77">
        <f t="array" ref="K24">MIN(IF(旅店!$U$5:$U$85&gt;=$I24,旅店!$Q$5:$Q$85))</f>
        <v>51</v>
      </c>
      <c r="O24" s="77">
        <v>39</v>
      </c>
      <c r="P24" s="77">
        <f>INDEX(等级时间!$U$3:$AU$203,MATCH($O24,等级时间!$U$3:$U$203,0),MATCH(P$4,等级时间!$U$3:$AU$3,0))</f>
        <v>5.32</v>
      </c>
      <c r="Q24" s="77">
        <f t="shared" si="7"/>
        <v>0.45999999999999996</v>
      </c>
      <c r="R24" s="77">
        <f t="shared" si="0"/>
        <v>50673.599999999999</v>
      </c>
      <c r="S24" s="77">
        <f>SUM($R$5:$R24)</f>
        <v>418474.80000000005</v>
      </c>
      <c r="U24" s="77">
        <f>INDEX(等级时间!$U$3:$AU$203,MATCH($O24,等级时间!$U$3:$U$203,0),MATCH(U$4,等级时间!$U$3:$AU$3,0))</f>
        <v>2.23</v>
      </c>
      <c r="V24" s="77">
        <f t="shared" si="8"/>
        <v>0.18999999999999995</v>
      </c>
      <c r="W24" s="77">
        <f t="shared" si="1"/>
        <v>20930.399999999994</v>
      </c>
      <c r="X24" s="77">
        <f>SUM($W$5:$W24)</f>
        <v>175496.52</v>
      </c>
    </row>
    <row r="25" spans="2:28" x14ac:dyDescent="0.15">
      <c r="B25" s="77">
        <v>21</v>
      </c>
      <c r="C25" s="77">
        <f t="array" ref="C25">MIN(IF(体力抽奖!$C$48:$C$60&gt;=树木!$B25,体力抽奖!$J$48:$J$60))</f>
        <v>8</v>
      </c>
      <c r="D25" s="83">
        <f>VLOOKUP($C25,猫咪!$B:$E,4,0)</f>
        <v>1.28</v>
      </c>
      <c r="E25" s="109">
        <f t="shared" si="2"/>
        <v>11600</v>
      </c>
      <c r="F25" s="83">
        <f t="shared" si="3"/>
        <v>26448.000000000004</v>
      </c>
      <c r="G25" s="101">
        <f t="shared" si="4"/>
        <v>4100000</v>
      </c>
      <c r="H25" s="77">
        <f>SUM($G$5:$G25)</f>
        <v>16401770</v>
      </c>
      <c r="I25" s="77">
        <f t="shared" si="5"/>
        <v>32803540</v>
      </c>
      <c r="J25" s="77">
        <f t="array" ref="J25">MIN(IF(旅店!$U$5:$U$85&gt;=$I25,旅店!$R$5:$R$85))</f>
        <v>15.42</v>
      </c>
      <c r="K25" s="77">
        <f t="array" ref="K25">MIN(IF(旅店!$U$5:$U$85&gt;=$I25,旅店!$Q$5:$Q$85))</f>
        <v>53</v>
      </c>
      <c r="O25" s="77">
        <v>40</v>
      </c>
      <c r="P25" s="77">
        <f>INDEX(等级时间!$U$3:$AU$203,MATCH($O25,等级时间!$U$3:$U$203,0),MATCH(P$4,等级时间!$U$3:$AU$3,0))</f>
        <v>5.8</v>
      </c>
      <c r="Q25" s="77">
        <f t="shared" si="7"/>
        <v>0.47999999999999954</v>
      </c>
      <c r="R25" s="77">
        <f t="shared" si="0"/>
        <v>379422.71999999962</v>
      </c>
      <c r="S25" s="77">
        <f>SUM($R$5:$R25)</f>
        <v>797897.51999999967</v>
      </c>
      <c r="U25" s="77">
        <f>INDEX(等级时间!$U$3:$AU$203,MATCH($O25,等级时间!$U$3:$U$203,0),MATCH(U$4,等级时间!$U$3:$AU$3,0))</f>
        <v>2.44</v>
      </c>
      <c r="V25" s="77">
        <f t="shared" si="8"/>
        <v>0.20999999999999996</v>
      </c>
      <c r="W25" s="77">
        <f t="shared" si="1"/>
        <v>165997.43999999997</v>
      </c>
      <c r="X25" s="77">
        <f>SUM($W$5:$W25)</f>
        <v>341493.95999999996</v>
      </c>
    </row>
    <row r="26" spans="2:28" x14ac:dyDescent="0.15">
      <c r="B26" s="77">
        <v>22</v>
      </c>
      <c r="C26" s="77">
        <f t="array" ref="C26">MIN(IF(体力抽奖!$C$48:$C$60&gt;=树木!$B26,体力抽奖!$J$48:$J$60))</f>
        <v>8</v>
      </c>
      <c r="D26" s="83">
        <f>VLOOKUP($C26,猫咪!$B:$E,4,0)</f>
        <v>1.28</v>
      </c>
      <c r="E26" s="109">
        <f t="shared" si="2"/>
        <v>11900</v>
      </c>
      <c r="F26" s="83">
        <f t="shared" si="3"/>
        <v>27132.000000000004</v>
      </c>
      <c r="G26" s="101">
        <f t="shared" si="4"/>
        <v>5200000</v>
      </c>
      <c r="H26" s="77">
        <f>SUM($G$5:$G26)</f>
        <v>21601770</v>
      </c>
      <c r="I26" s="77">
        <f t="shared" si="5"/>
        <v>43203540</v>
      </c>
      <c r="J26" s="77">
        <f t="array" ref="J26">MIN(IF(旅店!$U$5:$U$85&gt;=$I26,旅店!$R$5:$R$85))</f>
        <v>17.63</v>
      </c>
      <c r="K26" s="77">
        <f t="array" ref="K26">MIN(IF(旅店!$U$5:$U$85&gt;=$I26,旅店!$Q$5:$Q$85))</f>
        <v>55</v>
      </c>
      <c r="O26" s="77">
        <v>41</v>
      </c>
      <c r="P26" s="77">
        <f>INDEX(等级时间!$U$3:$AU$203,MATCH($O26,等级时间!$U$3:$U$203,0),MATCH(P$4,等级时间!$U$3:$AU$3,0))</f>
        <v>6.32</v>
      </c>
      <c r="Q26" s="77">
        <f t="shared" si="7"/>
        <v>0.52000000000000046</v>
      </c>
      <c r="R26" s="77">
        <f t="shared" si="0"/>
        <v>419976.96000000037</v>
      </c>
      <c r="S26" s="77">
        <f>SUM($R$5:$R26)</f>
        <v>1217874.48</v>
      </c>
      <c r="U26" s="77">
        <f>INDEX(等级时间!$U$3:$AU$203,MATCH($O26,等级时间!$U$3:$U$203,0),MATCH(U$4,等级时间!$U$3:$AU$3,0))</f>
        <v>2.65</v>
      </c>
      <c r="V26" s="77">
        <f t="shared" si="8"/>
        <v>0.20999999999999996</v>
      </c>
      <c r="W26" s="77">
        <f t="shared" si="1"/>
        <v>169606.07999999996</v>
      </c>
      <c r="X26" s="77">
        <f>SUM($W$5:$W26)</f>
        <v>511100.03999999992</v>
      </c>
    </row>
    <row r="27" spans="2:28" x14ac:dyDescent="0.15">
      <c r="B27" s="77">
        <v>23</v>
      </c>
      <c r="C27" s="77">
        <f t="array" ref="C27">MIN(IF(体力抽奖!$C$48:$C$60&gt;=树木!$B27,体力抽奖!$J$48:$J$60))</f>
        <v>8</v>
      </c>
      <c r="D27" s="83">
        <f>VLOOKUP($C27,猫咪!$B:$E,4,0)</f>
        <v>1.28</v>
      </c>
      <c r="E27" s="109">
        <f t="shared" si="2"/>
        <v>12300</v>
      </c>
      <c r="F27" s="83">
        <f t="shared" si="3"/>
        <v>28044.000000000004</v>
      </c>
      <c r="G27" s="101">
        <f t="shared" si="4"/>
        <v>6400000</v>
      </c>
      <c r="H27" s="77">
        <f>SUM($G$5:$G27)</f>
        <v>28001770</v>
      </c>
      <c r="I27" s="77">
        <f t="shared" si="5"/>
        <v>56003540</v>
      </c>
      <c r="J27" s="77">
        <f t="array" ref="J27">MIN(IF(旅店!$U$5:$U$85&gt;=$I27,旅店!$R$5:$R$85))</f>
        <v>20.079999999999998</v>
      </c>
      <c r="K27" s="77">
        <f t="array" ref="K27">MIN(IF(旅店!$U$5:$U$85&gt;=$I27,旅店!$Q$5:$Q$85))</f>
        <v>57</v>
      </c>
      <c r="O27" s="77">
        <v>42</v>
      </c>
      <c r="P27" s="77">
        <f>INDEX(等级时间!$U$3:$AU$203,MATCH($O27,等级时间!$U$3:$U$203,0),MATCH(P$4,等级时间!$U$3:$AU$3,0))</f>
        <v>6.86</v>
      </c>
      <c r="Q27" s="77">
        <f t="shared" si="7"/>
        <v>0.54</v>
      </c>
      <c r="R27" s="77">
        <f t="shared" si="0"/>
        <v>443089.44</v>
      </c>
      <c r="S27" s="77">
        <f>SUM($R$5:$R27)</f>
        <v>1660963.92</v>
      </c>
      <c r="U27" s="77">
        <f>INDEX(等级时间!$U$3:$AU$203,MATCH($O27,等级时间!$U$3:$U$203,0),MATCH(U$4,等级时间!$U$3:$AU$3,0))</f>
        <v>2.88</v>
      </c>
      <c r="V27" s="77">
        <f t="shared" si="8"/>
        <v>0.22999999999999998</v>
      </c>
      <c r="W27" s="77">
        <f t="shared" si="1"/>
        <v>188723.28</v>
      </c>
      <c r="X27" s="77">
        <f>SUM($W$5:$W27)</f>
        <v>699823.32</v>
      </c>
    </row>
    <row r="28" spans="2:28" x14ac:dyDescent="0.15">
      <c r="B28" s="77">
        <v>24</v>
      </c>
      <c r="C28" s="77">
        <f t="array" ref="C28">MIN(IF(体力抽奖!$C$48:$C$60&gt;=树木!$B28,体力抽奖!$J$48:$J$60))</f>
        <v>8</v>
      </c>
      <c r="D28" s="83">
        <f>VLOOKUP($C28,猫咪!$B:$E,4,0)</f>
        <v>1.28</v>
      </c>
      <c r="E28" s="109">
        <f t="shared" si="2"/>
        <v>12600</v>
      </c>
      <c r="F28" s="83">
        <f t="shared" si="3"/>
        <v>28728.000000000004</v>
      </c>
      <c r="G28" s="101">
        <f t="shared" si="4"/>
        <v>8000000</v>
      </c>
      <c r="H28" s="77">
        <f>SUM($G$5:$G28)</f>
        <v>36001770</v>
      </c>
      <c r="I28" s="77">
        <f t="shared" si="5"/>
        <v>72003540</v>
      </c>
      <c r="J28" s="77">
        <f t="array" ref="J28">MIN(IF(旅店!$U$5:$U$85&gt;=$I28,旅店!$R$5:$R$85))</f>
        <v>22.81</v>
      </c>
      <c r="K28" s="77">
        <f t="array" ref="K28">MIN(IF(旅店!$U$5:$U$85&gt;=$I28,旅店!$Q$5:$Q$85))</f>
        <v>59</v>
      </c>
      <c r="O28" s="77">
        <v>43</v>
      </c>
      <c r="P28" s="77">
        <f>INDEX(等级时间!$U$3:$AU$203,MATCH($O28,等级时间!$U$3:$U$203,0),MATCH(P$4,等级时间!$U$3:$AU$3,0))</f>
        <v>7.43</v>
      </c>
      <c r="Q28" s="77">
        <f t="shared" si="7"/>
        <v>0.5699999999999994</v>
      </c>
      <c r="R28" s="77">
        <f t="shared" si="0"/>
        <v>477500.3999999995</v>
      </c>
      <c r="S28" s="77">
        <f>SUM($R$5:$R28)</f>
        <v>2138464.3199999994</v>
      </c>
      <c r="U28" s="77">
        <f>INDEX(等级时间!$U$3:$AU$203,MATCH($O28,等级时间!$U$3:$U$203,0),MATCH(U$4,等级时间!$U$3:$AU$3,0))</f>
        <v>3.12</v>
      </c>
      <c r="V28" s="77">
        <f t="shared" si="8"/>
        <v>0.24000000000000021</v>
      </c>
      <c r="W28" s="77">
        <f t="shared" si="1"/>
        <v>201052.80000000019</v>
      </c>
      <c r="X28" s="77">
        <f>SUM($W$5:$W28)</f>
        <v>900876.12000000011</v>
      </c>
    </row>
    <row r="29" spans="2:28" x14ac:dyDescent="0.15">
      <c r="B29" s="77">
        <v>25</v>
      </c>
      <c r="C29" s="77">
        <f t="array" ref="C29">MIN(IF(体力抽奖!$C$48:$C$60&gt;=树木!$B29,体力抽奖!$J$48:$J$60))</f>
        <v>8</v>
      </c>
      <c r="D29" s="83">
        <f>VLOOKUP($C29,猫咪!$B:$E,4,0)</f>
        <v>1.28</v>
      </c>
      <c r="E29" s="109">
        <f t="shared" si="2"/>
        <v>13000</v>
      </c>
      <c r="F29" s="83">
        <f t="shared" si="3"/>
        <v>29640.000000000004</v>
      </c>
      <c r="G29" s="101">
        <f t="shared" si="4"/>
        <v>9800000</v>
      </c>
      <c r="H29" s="77">
        <f>SUM($G$5:$G29)</f>
        <v>45801770</v>
      </c>
      <c r="I29" s="77">
        <f t="shared" si="5"/>
        <v>91603540</v>
      </c>
      <c r="J29" s="77">
        <f t="array" ref="J29">MIN(IF(旅店!$U$5:$U$85&gt;=$I29,旅店!$R$5:$R$85))</f>
        <v>24.29</v>
      </c>
      <c r="K29" s="77">
        <f t="array" ref="K29">MIN(IF(旅店!$U$5:$U$85&gt;=$I29,旅店!$Q$5:$Q$85))</f>
        <v>60</v>
      </c>
      <c r="O29" s="77">
        <v>44</v>
      </c>
      <c r="P29" s="77">
        <f>INDEX(等级时间!$U$3:$AU$203,MATCH($O29,等级时间!$U$3:$U$203,0),MATCH(P$4,等级时间!$U$3:$AU$3,0))</f>
        <v>8.0399999999999991</v>
      </c>
      <c r="Q29" s="77">
        <f t="shared" si="7"/>
        <v>0.60999999999999943</v>
      </c>
      <c r="R29" s="77">
        <f t="shared" si="0"/>
        <v>518870.87999999954</v>
      </c>
      <c r="S29" s="77">
        <f>SUM($R$5:$R29)</f>
        <v>2657335.1999999988</v>
      </c>
      <c r="U29" s="77">
        <f>INDEX(等级时间!$U$3:$AU$203,MATCH($O29,等级时间!$U$3:$U$203,0),MATCH(U$4,等级时间!$U$3:$AU$3,0))</f>
        <v>3.38</v>
      </c>
      <c r="V29" s="77">
        <f t="shared" si="8"/>
        <v>0.25999999999999979</v>
      </c>
      <c r="W29" s="77">
        <f t="shared" si="1"/>
        <v>221158.07999999981</v>
      </c>
      <c r="X29" s="77">
        <f>SUM($W$5:$W29)</f>
        <v>1122034.2</v>
      </c>
    </row>
    <row r="30" spans="2:28" x14ac:dyDescent="0.15">
      <c r="B30" s="77">
        <v>26</v>
      </c>
      <c r="C30" s="77">
        <f t="array" ref="C30">MIN(IF(体力抽奖!$C$48:$C$60&gt;=树木!$B30,体力抽奖!$J$48:$J$60))</f>
        <v>8</v>
      </c>
      <c r="D30" s="83">
        <f>VLOOKUP($C30,猫咪!$B:$E,4,0)</f>
        <v>1.28</v>
      </c>
      <c r="E30" s="109">
        <f t="shared" si="2"/>
        <v>13400</v>
      </c>
      <c r="F30" s="83">
        <f t="shared" si="3"/>
        <v>30552.000000000004</v>
      </c>
      <c r="G30" s="101">
        <f t="shared" si="4"/>
        <v>12000000</v>
      </c>
      <c r="H30" s="77">
        <f>SUM($G$5:$G30)</f>
        <v>57801770</v>
      </c>
      <c r="I30" s="77">
        <f t="shared" si="5"/>
        <v>115603540</v>
      </c>
      <c r="J30" s="77">
        <f t="array" ref="J30">MIN(IF(旅店!$U$5:$U$85&gt;=$I30,旅店!$R$5:$R$85))</f>
        <v>24.29</v>
      </c>
      <c r="K30" s="77">
        <f t="array" ref="K30">MIN(IF(旅店!$U$5:$U$85&gt;=$I30,旅店!$Q$5:$Q$85))</f>
        <v>60</v>
      </c>
      <c r="O30" s="77">
        <v>45</v>
      </c>
      <c r="P30" s="77">
        <f>INDEX(等级时间!$U$3:$AU$203,MATCH($O30,等级时间!$U$3:$U$203,0),MATCH(P$4,等级时间!$U$3:$AU$3,0))</f>
        <v>8.69</v>
      </c>
      <c r="Q30" s="77">
        <f t="shared" si="7"/>
        <v>0.65000000000000036</v>
      </c>
      <c r="R30" s="77">
        <f t="shared" si="0"/>
        <v>564064.80000000028</v>
      </c>
      <c r="S30" s="77">
        <f>SUM($R$5:$R30)</f>
        <v>3221399.9999999991</v>
      </c>
      <c r="U30" s="77">
        <f>INDEX(等级时间!$U$3:$AU$203,MATCH($O30,等级时间!$U$3:$U$203,0),MATCH(U$4,等级时间!$U$3:$AU$3,0))</f>
        <v>3.65</v>
      </c>
      <c r="V30" s="77">
        <f t="shared" si="8"/>
        <v>0.27</v>
      </c>
      <c r="W30" s="77">
        <f t="shared" si="1"/>
        <v>234303.84000000003</v>
      </c>
      <c r="X30" s="77">
        <f>SUM($W$5:$W30)</f>
        <v>1356338.04</v>
      </c>
    </row>
    <row r="31" spans="2:28" x14ac:dyDescent="0.15">
      <c r="B31" s="77">
        <v>27</v>
      </c>
      <c r="C31" s="77">
        <f t="array" ref="C31">MIN(IF(体力抽奖!$C$48:$C$60&gt;=树木!$B31,体力抽奖!$J$48:$J$60))</f>
        <v>8</v>
      </c>
      <c r="D31" s="83">
        <f>VLOOKUP($C31,猫咪!$B:$E,4,0)</f>
        <v>1.28</v>
      </c>
      <c r="E31" s="109">
        <f t="shared" si="2"/>
        <v>13700</v>
      </c>
      <c r="F31" s="83">
        <f t="shared" si="3"/>
        <v>31236.000000000004</v>
      </c>
      <c r="G31" s="101">
        <f t="shared" si="4"/>
        <v>14000000</v>
      </c>
      <c r="H31" s="77">
        <f>SUM($G$5:$G31)</f>
        <v>71801770</v>
      </c>
      <c r="I31" s="77">
        <f t="shared" si="5"/>
        <v>143603540</v>
      </c>
      <c r="J31" s="77">
        <f t="array" ref="J31">MIN(IF(旅店!$U$5:$U$85&gt;=$I31,旅店!$R$5:$R$85))</f>
        <v>25.84</v>
      </c>
      <c r="K31" s="77">
        <f t="array" ref="K31">MIN(IF(旅店!$U$5:$U$85&gt;=$I31,旅店!$Q$5:$Q$85))</f>
        <v>61</v>
      </c>
      <c r="O31" s="77">
        <v>46</v>
      </c>
      <c r="P31" s="77">
        <f>INDEX(等级时间!$U$3:$AU$203,MATCH($O31,等级时间!$U$3:$U$203,0),MATCH(P$4,等级时间!$U$3:$AU$3,0))</f>
        <v>9.3800000000000008</v>
      </c>
      <c r="Q31" s="77">
        <f t="shared" si="7"/>
        <v>0.69000000000000128</v>
      </c>
      <c r="R31" s="77">
        <f t="shared" si="0"/>
        <v>610633.44000000111</v>
      </c>
      <c r="S31" s="77">
        <f>SUM($R$5:$R31)</f>
        <v>3832033.4400000004</v>
      </c>
      <c r="U31" s="77">
        <f>INDEX(等级时间!$U$3:$AU$203,MATCH($O31,等级时间!$U$3:$U$203,0),MATCH(U$4,等级时间!$U$3:$AU$3,0))</f>
        <v>3.94</v>
      </c>
      <c r="V31" s="77">
        <f t="shared" si="8"/>
        <v>0.29000000000000004</v>
      </c>
      <c r="W31" s="77">
        <f t="shared" si="1"/>
        <v>256643.04000000004</v>
      </c>
      <c r="X31" s="77">
        <f>SUM($W$5:$W31)</f>
        <v>1612981.08</v>
      </c>
    </row>
    <row r="32" spans="2:28" x14ac:dyDescent="0.15">
      <c r="B32" s="77">
        <v>28</v>
      </c>
      <c r="C32" s="77">
        <f t="array" ref="C32">MIN(IF(体力抽奖!$C$48:$C$60&gt;=树木!$B32,体力抽奖!$J$48:$J$60))</f>
        <v>8</v>
      </c>
      <c r="D32" s="83">
        <f>VLOOKUP($C32,猫咪!$B:$E,4,0)</f>
        <v>1.28</v>
      </c>
      <c r="E32" s="109">
        <f t="shared" si="2"/>
        <v>14100</v>
      </c>
      <c r="F32" s="83">
        <f t="shared" si="3"/>
        <v>32148.000000000004</v>
      </c>
      <c r="G32" s="101">
        <f t="shared" si="4"/>
        <v>17000000</v>
      </c>
      <c r="H32" s="77">
        <f>SUM($G$5:$G32)</f>
        <v>88801770</v>
      </c>
      <c r="I32" s="77">
        <f t="shared" si="5"/>
        <v>177603540</v>
      </c>
      <c r="J32" s="77">
        <f t="array" ref="J32">MIN(IF(旅店!$U$5:$U$85&gt;=$I32,旅店!$R$5:$R$85))</f>
        <v>27.47</v>
      </c>
      <c r="K32" s="77">
        <f t="array" ref="K32">MIN(IF(旅店!$U$5:$U$85&gt;=$I32,旅店!$Q$5:$Q$85))</f>
        <v>62</v>
      </c>
      <c r="O32" s="77">
        <v>47</v>
      </c>
      <c r="P32" s="77">
        <f>INDEX(等级时间!$U$3:$AU$203,MATCH($O32,等级时间!$U$3:$U$203,0),MATCH(P$4,等级时间!$U$3:$AU$3,0))</f>
        <v>10.1</v>
      </c>
      <c r="Q32" s="77">
        <f t="shared" si="7"/>
        <v>0.71999999999999886</v>
      </c>
      <c r="R32" s="77">
        <f t="shared" si="0"/>
        <v>646462.07999999903</v>
      </c>
      <c r="S32" s="77">
        <f>SUM($R$5:$R32)</f>
        <v>4478495.5199999996</v>
      </c>
      <c r="U32" s="77">
        <f>INDEX(等级时间!$U$3:$AU$203,MATCH($O32,等级时间!$U$3:$U$203,0),MATCH(U$4,等级时间!$U$3:$AU$3,0))</f>
        <v>4.24</v>
      </c>
      <c r="V32" s="77">
        <f t="shared" si="8"/>
        <v>0.30000000000000027</v>
      </c>
      <c r="W32" s="77">
        <f t="shared" si="1"/>
        <v>269359.20000000024</v>
      </c>
      <c r="X32" s="77">
        <f>SUM($W$5:$W32)</f>
        <v>1882340.2800000003</v>
      </c>
    </row>
    <row r="33" spans="2:24" x14ac:dyDescent="0.15">
      <c r="B33" s="77">
        <v>29</v>
      </c>
      <c r="C33" s="77">
        <f t="array" ref="C33">MIN(IF(体力抽奖!$C$48:$C$60&gt;=树木!$B33,体力抽奖!$J$48:$J$60))</f>
        <v>8</v>
      </c>
      <c r="D33" s="83">
        <f>VLOOKUP($C33,猫咪!$B:$E,4,0)</f>
        <v>1.28</v>
      </c>
      <c r="E33" s="109">
        <f t="shared" si="2"/>
        <v>14400</v>
      </c>
      <c r="F33" s="83">
        <f t="shared" si="3"/>
        <v>32832</v>
      </c>
      <c r="G33" s="101">
        <f t="shared" si="4"/>
        <v>21000000</v>
      </c>
      <c r="H33" s="77">
        <f>SUM($G$5:$G33)</f>
        <v>109801770</v>
      </c>
      <c r="I33" s="77">
        <f t="shared" si="5"/>
        <v>219603540</v>
      </c>
      <c r="J33" s="77">
        <f t="array" ref="J33">MIN(IF(旅店!$U$5:$U$85&gt;=$I33,旅店!$R$5:$R$85))</f>
        <v>29.19</v>
      </c>
      <c r="K33" s="77">
        <f t="array" ref="K33">MIN(IF(旅店!$U$5:$U$85&gt;=$I33,旅店!$Q$5:$Q$85))</f>
        <v>63</v>
      </c>
      <c r="O33" s="77">
        <v>48</v>
      </c>
      <c r="P33" s="77">
        <f>INDEX(等级时间!$U$3:$AU$203,MATCH($O33,等级时间!$U$3:$U$203,0),MATCH(P$4,等级时间!$U$3:$AU$3,0))</f>
        <v>10.86</v>
      </c>
      <c r="Q33" s="77">
        <f t="shared" si="7"/>
        <v>0.75999999999999979</v>
      </c>
      <c r="R33" s="77">
        <f t="shared" si="0"/>
        <v>695436.47999999975</v>
      </c>
      <c r="S33" s="77">
        <f>SUM($R$5:$R33)</f>
        <v>5173931.9999999991</v>
      </c>
      <c r="U33" s="77">
        <f>INDEX(等级时间!$U$3:$AU$203,MATCH($O33,等级时间!$U$3:$U$203,0),MATCH(U$4,等级时间!$U$3:$AU$3,0))</f>
        <v>4.5599999999999996</v>
      </c>
      <c r="V33" s="77">
        <f t="shared" si="8"/>
        <v>0.3199999999999994</v>
      </c>
      <c r="W33" s="77">
        <f t="shared" si="1"/>
        <v>292815.35999999946</v>
      </c>
      <c r="X33" s="77">
        <f>SUM($W$5:$W33)</f>
        <v>2175155.6399999997</v>
      </c>
    </row>
    <row r="34" spans="2:24" x14ac:dyDescent="0.15">
      <c r="B34" s="77">
        <v>30</v>
      </c>
      <c r="C34" s="77">
        <f t="array" ref="C34">MIN(IF(体力抽奖!$C$48:$C$60&gt;=树木!$B34,体力抽奖!$J$48:$J$60))</f>
        <v>10</v>
      </c>
      <c r="D34" s="83">
        <f>VLOOKUP($C34,猫咪!$B:$E,4,0)</f>
        <v>5.12</v>
      </c>
      <c r="E34" s="109">
        <f t="shared" si="2"/>
        <v>14800</v>
      </c>
      <c r="F34" s="83">
        <f t="shared" si="3"/>
        <v>90576</v>
      </c>
      <c r="G34" s="101">
        <f t="shared" si="4"/>
        <v>24000000</v>
      </c>
      <c r="H34" s="77">
        <f>SUM($G$5:$G34)</f>
        <v>133801770</v>
      </c>
      <c r="I34" s="77">
        <f t="shared" si="5"/>
        <v>267603540</v>
      </c>
      <c r="J34" s="77">
        <f t="array" ref="J34">MIN(IF(旅店!$U$5:$U$85&gt;=$I34,旅店!$R$5:$R$85))</f>
        <v>29.19</v>
      </c>
      <c r="K34" s="77">
        <f t="array" ref="K34">MIN(IF(旅店!$U$5:$U$85&gt;=$I34,旅店!$Q$5:$Q$85))</f>
        <v>63</v>
      </c>
      <c r="O34" s="77">
        <v>49</v>
      </c>
      <c r="P34" s="77">
        <f>INDEX(等级时间!$U$3:$AU$203,MATCH($O34,等级时间!$U$3:$U$203,0),MATCH(P$4,等级时间!$U$3:$AU$3,0))</f>
        <v>11.68</v>
      </c>
      <c r="Q34" s="77">
        <f t="shared" si="7"/>
        <v>0.82000000000000028</v>
      </c>
      <c r="R34" s="77">
        <f t="shared" si="0"/>
        <v>760907.52000000025</v>
      </c>
      <c r="S34" s="77">
        <f>SUM($R$5:$R34)</f>
        <v>5934839.5199999996</v>
      </c>
      <c r="U34" s="77">
        <f>INDEX(等级时间!$U$3:$AU$203,MATCH($O34,等级时间!$U$3:$U$203,0),MATCH(U$4,等级时间!$U$3:$AU$3,0))</f>
        <v>4.91</v>
      </c>
      <c r="V34" s="77">
        <f t="shared" si="8"/>
        <v>0.35000000000000053</v>
      </c>
      <c r="W34" s="77">
        <f t="shared" si="1"/>
        <v>324777.6000000005</v>
      </c>
      <c r="X34" s="77">
        <f>SUM($W$5:$W34)</f>
        <v>2499933.2400000002</v>
      </c>
    </row>
    <row r="35" spans="2:24" x14ac:dyDescent="0.15">
      <c r="B35" s="77">
        <v>31</v>
      </c>
      <c r="C35" s="77">
        <f t="array" ref="C35">MIN(IF(体力抽奖!$C$48:$C$60&gt;=树木!$B35,体力抽奖!$J$48:$J$60))</f>
        <v>10</v>
      </c>
      <c r="D35" s="83">
        <f>VLOOKUP($C35,猫咪!$B:$E,4,0)</f>
        <v>5.12</v>
      </c>
      <c r="E35" s="109">
        <f t="shared" si="2"/>
        <v>15200</v>
      </c>
      <c r="F35" s="83">
        <f t="shared" si="3"/>
        <v>93024</v>
      </c>
      <c r="G35" s="101">
        <f t="shared" si="4"/>
        <v>29000000</v>
      </c>
      <c r="H35" s="77">
        <f>SUM($G$5:$G35)</f>
        <v>162801770</v>
      </c>
      <c r="I35" s="77">
        <f t="shared" si="5"/>
        <v>325603540</v>
      </c>
      <c r="J35" s="77">
        <f t="array" ref="J35">MIN(IF(旅店!$U$5:$U$85&gt;=$I35,旅店!$R$5:$R$85))</f>
        <v>31</v>
      </c>
      <c r="K35" s="77">
        <f t="array" ref="K35">MIN(IF(旅店!$U$5:$U$85&gt;=$I35,旅店!$Q$5:$Q$85))</f>
        <v>64</v>
      </c>
      <c r="O35" s="77">
        <v>50</v>
      </c>
      <c r="P35" s="77">
        <f>INDEX(等级时间!$U$3:$AU$203,MATCH($O35,等级时间!$U$3:$U$203,0),MATCH(P$4,等级时间!$U$3:$AU$3,0))</f>
        <v>12.54</v>
      </c>
      <c r="Q35" s="77">
        <f t="shared" si="7"/>
        <v>0.85999999999999943</v>
      </c>
      <c r="R35" s="77">
        <f t="shared" si="0"/>
        <v>1587766.399999999</v>
      </c>
      <c r="S35" s="77">
        <f>SUM($R$5:$R35)</f>
        <v>7522605.9199999981</v>
      </c>
      <c r="U35" s="77">
        <f>INDEX(等级时间!$U$3:$AU$203,MATCH($O35,等级时间!$U$3:$U$203,0),MATCH(U$4,等级时间!$U$3:$AU$3,0))</f>
        <v>5.27</v>
      </c>
      <c r="V35" s="77">
        <f t="shared" si="8"/>
        <v>0.35999999999999943</v>
      </c>
      <c r="W35" s="77">
        <f t="shared" si="1"/>
        <v>664646.39999999898</v>
      </c>
      <c r="X35" s="77">
        <f>SUM($W$5:$W35)</f>
        <v>3164579.6399999992</v>
      </c>
    </row>
    <row r="36" spans="2:24" x14ac:dyDescent="0.15">
      <c r="B36" s="77">
        <v>32</v>
      </c>
      <c r="C36" s="77">
        <f t="array" ref="C36">MIN(IF(体力抽奖!$C$48:$C$60&gt;=树木!$B36,体力抽奖!$J$48:$J$60))</f>
        <v>10</v>
      </c>
      <c r="D36" s="83">
        <f>VLOOKUP($C36,猫咪!$B:$E,4,0)</f>
        <v>5.12</v>
      </c>
      <c r="E36" s="109">
        <f t="shared" si="2"/>
        <v>15500</v>
      </c>
      <c r="F36" s="83">
        <f t="shared" si="3"/>
        <v>94860</v>
      </c>
      <c r="G36" s="101">
        <f t="shared" si="4"/>
        <v>34000000</v>
      </c>
      <c r="H36" s="77">
        <f>SUM($G$5:$G36)</f>
        <v>196801770</v>
      </c>
      <c r="I36" s="77">
        <f t="shared" si="5"/>
        <v>393603540</v>
      </c>
      <c r="J36" s="77">
        <f t="array" ref="J36">MIN(IF(旅店!$U$5:$U$85&gt;=$I36,旅店!$R$5:$R$85))</f>
        <v>34.89</v>
      </c>
      <c r="K36" s="77">
        <f t="array" ref="K36">MIN(IF(旅店!$U$5:$U$85&gt;=$I36,旅店!$Q$5:$Q$85))</f>
        <v>66</v>
      </c>
      <c r="O36" s="77">
        <v>51</v>
      </c>
      <c r="P36" s="77">
        <f>INDEX(等级时间!$U$3:$AU$203,MATCH($O36,等级时间!$U$3:$U$203,0),MATCH(P$4,等级时间!$U$3:$AU$3,0))</f>
        <v>13.45</v>
      </c>
      <c r="Q36" s="77">
        <f t="shared" si="7"/>
        <v>0.91000000000000014</v>
      </c>
      <c r="R36" s="77">
        <f t="shared" si="0"/>
        <v>1710625.2800000003</v>
      </c>
      <c r="S36" s="77">
        <f>SUM($R$5:$R36)</f>
        <v>9233231.1999999993</v>
      </c>
      <c r="U36" s="77">
        <f>INDEX(等级时间!$U$3:$AU$203,MATCH($O36,等级时间!$U$3:$U$203,0),MATCH(U$4,等级时间!$U$3:$AU$3,0))</f>
        <v>5.65</v>
      </c>
      <c r="V36" s="77">
        <f t="shared" si="8"/>
        <v>0.38000000000000078</v>
      </c>
      <c r="W36" s="77">
        <f t="shared" si="1"/>
        <v>714327.04000000143</v>
      </c>
      <c r="X36" s="77">
        <f>SUM($W$5:$W36)</f>
        <v>3878906.6800000006</v>
      </c>
    </row>
    <row r="37" spans="2:24" x14ac:dyDescent="0.15">
      <c r="B37" s="77">
        <v>33</v>
      </c>
      <c r="C37" s="77">
        <f t="array" ref="C37">MIN(IF(体力抽奖!$C$48:$C$60&gt;=树木!$B37,体力抽奖!$J$48:$J$60))</f>
        <v>10</v>
      </c>
      <c r="D37" s="83">
        <f>VLOOKUP($C37,猫咪!$B:$E,4,0)</f>
        <v>5.12</v>
      </c>
      <c r="E37" s="109">
        <f t="shared" si="2"/>
        <v>15900</v>
      </c>
      <c r="F37" s="83">
        <f t="shared" si="3"/>
        <v>97308</v>
      </c>
      <c r="G37" s="101">
        <f t="shared" si="4"/>
        <v>39000000</v>
      </c>
      <c r="H37" s="77">
        <f>SUM($G$5:$G37)</f>
        <v>235801770</v>
      </c>
      <c r="I37" s="77">
        <f t="shared" si="5"/>
        <v>471603540</v>
      </c>
      <c r="J37" s="77">
        <f t="array" ref="J37">MIN(IF(旅店!$U$5:$U$85&gt;=$I37,旅店!$R$5:$R$85))</f>
        <v>36.979999999999997</v>
      </c>
      <c r="K37" s="77">
        <f t="array" ref="K37">MIN(IF(旅店!$U$5:$U$85&gt;=$I37,旅店!$Q$5:$Q$85))</f>
        <v>67</v>
      </c>
      <c r="O37" s="77">
        <v>52</v>
      </c>
      <c r="P37" s="77">
        <f>INDEX(等级时间!$U$3:$AU$203,MATCH($O37,等级时间!$U$3:$U$203,0),MATCH(P$4,等级时间!$U$3:$AU$3,0))</f>
        <v>14.41</v>
      </c>
      <c r="Q37" s="77">
        <f t="shared" si="7"/>
        <v>0.96000000000000085</v>
      </c>
      <c r="R37" s="77">
        <f t="shared" ref="R37:R68" si="9">INDEX($B$4:$H$104,MATCH($O37,$B$4:$B$104,0),MATCH("每日产出木材",$B$4:$H$4,0))*Q37*IF($O37&gt;=$M$6,2,1)</f>
        <v>1828784.6400000015</v>
      </c>
      <c r="S37" s="77">
        <f>SUM($R$5:$R37)</f>
        <v>11062015.84</v>
      </c>
      <c r="U37" s="77">
        <f>INDEX(等级时间!$U$3:$AU$203,MATCH($O37,等级时间!$U$3:$U$203,0),MATCH(U$4,等级时间!$U$3:$AU$3,0))</f>
        <v>6.05</v>
      </c>
      <c r="V37" s="77">
        <f t="shared" si="8"/>
        <v>0.39999999999999947</v>
      </c>
      <c r="W37" s="77">
        <f t="shared" ref="W37:W68" si="10">INDEX($B$4:$H$104,MATCH($O37,$B$4:$B$104,0),MATCH("每日产出木材",$B$4:$H$4,0))*V37*IF($O37&gt;=$M$6,2,1)</f>
        <v>761993.59999999893</v>
      </c>
      <c r="X37" s="77">
        <f>SUM($W$5:$W37)</f>
        <v>4640900.2799999993</v>
      </c>
    </row>
    <row r="38" spans="2:24" x14ac:dyDescent="0.15">
      <c r="B38" s="77">
        <v>34</v>
      </c>
      <c r="C38" s="77">
        <f t="array" ref="C38">MIN(IF(体力抽奖!$C$48:$C$60&gt;=树木!$B38,体力抽奖!$J$48:$J$60))</f>
        <v>10</v>
      </c>
      <c r="D38" s="83">
        <f>VLOOKUP($C38,猫咪!$B:$E,4,0)</f>
        <v>5.12</v>
      </c>
      <c r="E38" s="109">
        <f t="shared" si="2"/>
        <v>16200</v>
      </c>
      <c r="F38" s="83">
        <f t="shared" si="3"/>
        <v>99144</v>
      </c>
      <c r="G38" s="101">
        <f t="shared" si="4"/>
        <v>45000000</v>
      </c>
      <c r="H38" s="77">
        <f>SUM($G$5:$G38)</f>
        <v>280801770</v>
      </c>
      <c r="I38" s="77">
        <f t="shared" si="5"/>
        <v>561603540</v>
      </c>
      <c r="J38" s="77">
        <f t="array" ref="J38">MIN(IF(旅店!$U$5:$U$85&gt;=$I38,旅店!$R$5:$R$85))</f>
        <v>39.17</v>
      </c>
      <c r="K38" s="77">
        <f t="array" ref="K38">MIN(IF(旅店!$U$5:$U$85&gt;=$I38,旅店!$Q$5:$Q$85))</f>
        <v>68</v>
      </c>
      <c r="O38" s="77">
        <v>53</v>
      </c>
      <c r="P38" s="77">
        <f>INDEX(等级时间!$U$3:$AU$203,MATCH($O38,等级时间!$U$3:$U$203,0),MATCH(P$4,等级时间!$U$3:$AU$3,0))</f>
        <v>15.42</v>
      </c>
      <c r="Q38" s="77">
        <f t="shared" si="7"/>
        <v>1.0099999999999998</v>
      </c>
      <c r="R38" s="77">
        <f t="shared" si="9"/>
        <v>1957937.5199999996</v>
      </c>
      <c r="S38" s="77">
        <f>SUM($R$5:$R38)</f>
        <v>13019953.359999999</v>
      </c>
      <c r="U38" s="77">
        <f>INDEX(等级时间!$U$3:$AU$203,MATCH($O38,等级时间!$U$3:$U$203,0),MATCH(U$4,等级时间!$U$3:$AU$3,0))</f>
        <v>6.48</v>
      </c>
      <c r="V38" s="77">
        <f t="shared" si="8"/>
        <v>0.4300000000000006</v>
      </c>
      <c r="W38" s="77">
        <f t="shared" si="10"/>
        <v>833577.36000000115</v>
      </c>
      <c r="X38" s="77">
        <f>SUM($W$5:$W38)</f>
        <v>5474477.6400000006</v>
      </c>
    </row>
    <row r="39" spans="2:24" x14ac:dyDescent="0.15">
      <c r="B39" s="77">
        <v>35</v>
      </c>
      <c r="C39" s="77">
        <f t="array" ref="C39">MIN(IF(体力抽奖!$C$48:$C$60&gt;=树木!$B39,体力抽奖!$J$48:$J$60))</f>
        <v>10</v>
      </c>
      <c r="D39" s="83">
        <f>VLOOKUP($C39,猫咪!$B:$E,4,0)</f>
        <v>5.12</v>
      </c>
      <c r="E39" s="109">
        <f t="shared" si="2"/>
        <v>16600</v>
      </c>
      <c r="F39" s="83">
        <f t="shared" si="3"/>
        <v>101592</v>
      </c>
      <c r="G39" s="101">
        <f t="shared" si="4"/>
        <v>53000000</v>
      </c>
      <c r="H39" s="77">
        <f>SUM($G$5:$G39)</f>
        <v>333801770</v>
      </c>
      <c r="I39" s="77">
        <f t="shared" si="5"/>
        <v>667603540</v>
      </c>
      <c r="J39" s="77">
        <f t="array" ref="J39">MIN(IF(旅店!$U$5:$U$85&gt;=$I39,旅店!$R$5:$R$85))</f>
        <v>43.88</v>
      </c>
      <c r="K39" s="77">
        <f t="array" ref="K39">MIN(IF(旅店!$U$5:$U$85&gt;=$I39,旅店!$Q$5:$Q$85))</f>
        <v>70</v>
      </c>
      <c r="O39" s="77">
        <v>54</v>
      </c>
      <c r="P39" s="77">
        <f>INDEX(等级时间!$U$3:$AU$203,MATCH($O39,等级时间!$U$3:$U$203,0),MATCH(P$4,等级时间!$U$3:$AU$3,0))</f>
        <v>16.489999999999998</v>
      </c>
      <c r="Q39" s="77">
        <f t="shared" si="7"/>
        <v>1.0699999999999985</v>
      </c>
      <c r="R39" s="77">
        <f t="shared" si="9"/>
        <v>2101188.9599999972</v>
      </c>
      <c r="S39" s="77">
        <f>SUM($R$5:$R39)</f>
        <v>15121142.319999997</v>
      </c>
      <c r="U39" s="77">
        <f>INDEX(等级时间!$U$3:$AU$203,MATCH($O39,等级时间!$U$3:$U$203,0),MATCH(U$4,等级时间!$U$3:$AU$3,0))</f>
        <v>6.93</v>
      </c>
      <c r="V39" s="77">
        <f t="shared" si="8"/>
        <v>0.44999999999999929</v>
      </c>
      <c r="W39" s="77">
        <f t="shared" si="10"/>
        <v>883677.59999999858</v>
      </c>
      <c r="X39" s="77">
        <f>SUM($W$5:$W39)</f>
        <v>6358155.2399999993</v>
      </c>
    </row>
    <row r="40" spans="2:24" x14ac:dyDescent="0.15">
      <c r="B40" s="77">
        <v>36</v>
      </c>
      <c r="C40" s="77">
        <f t="array" ref="C40">MIN(IF(体力抽奖!$C$48:$C$60&gt;=树木!$B40,体力抽奖!$J$48:$J$60))</f>
        <v>10</v>
      </c>
      <c r="D40" s="83">
        <f>VLOOKUP($C40,猫咪!$B:$E,4,0)</f>
        <v>5.12</v>
      </c>
      <c r="E40" s="109">
        <f t="shared" si="2"/>
        <v>17000</v>
      </c>
      <c r="F40" s="83">
        <f t="shared" si="3"/>
        <v>104040</v>
      </c>
      <c r="G40" s="101">
        <f t="shared" si="4"/>
        <v>60000000</v>
      </c>
      <c r="H40" s="77">
        <f>SUM($G$5:$G40)</f>
        <v>393801770</v>
      </c>
      <c r="I40" s="77">
        <f t="shared" si="5"/>
        <v>787603540</v>
      </c>
      <c r="J40" s="77">
        <f t="array" ref="J40">MIN(IF(旅店!$U$5:$U$85&gt;=$I40,旅店!$R$5:$R$85))</f>
        <v>43.88</v>
      </c>
      <c r="K40" s="77">
        <f t="array" ref="K40">MIN(IF(旅店!$U$5:$U$85&gt;=$I40,旅店!$Q$5:$Q$85))</f>
        <v>70</v>
      </c>
      <c r="O40" s="77">
        <v>55</v>
      </c>
      <c r="P40" s="77">
        <f>INDEX(等级时间!$U$3:$AU$203,MATCH($O40,等级时间!$U$3:$U$203,0),MATCH(P$4,等级时间!$U$3:$AU$3,0))</f>
        <v>17.63</v>
      </c>
      <c r="Q40" s="77">
        <f t="shared" si="7"/>
        <v>1.1400000000000006</v>
      </c>
      <c r="R40" s="77">
        <f t="shared" si="9"/>
        <v>2276917.4400000013</v>
      </c>
      <c r="S40" s="77">
        <f>SUM($R$5:$R40)</f>
        <v>17398059.759999998</v>
      </c>
      <c r="U40" s="77">
        <f>INDEX(等级时间!$U$3:$AU$203,MATCH($O40,等级时间!$U$3:$U$203,0),MATCH(U$4,等级时间!$U$3:$AU$3,0))</f>
        <v>7.41</v>
      </c>
      <c r="V40" s="77">
        <f t="shared" si="8"/>
        <v>0.48000000000000043</v>
      </c>
      <c r="W40" s="77">
        <f t="shared" si="10"/>
        <v>958702.08000000089</v>
      </c>
      <c r="X40" s="77">
        <f>SUM($W$5:$W40)</f>
        <v>7316857.3200000003</v>
      </c>
    </row>
    <row r="41" spans="2:24" x14ac:dyDescent="0.15">
      <c r="B41" s="77">
        <v>37</v>
      </c>
      <c r="C41" s="77">
        <f t="array" ref="C41">MIN(IF(体力抽奖!$C$48:$C$60&gt;=树木!$B41,体力抽奖!$J$48:$J$60))</f>
        <v>10</v>
      </c>
      <c r="D41" s="83">
        <f>VLOOKUP($C41,猫咪!$B:$E,4,0)</f>
        <v>5.12</v>
      </c>
      <c r="E41" s="109">
        <f t="shared" si="2"/>
        <v>17300</v>
      </c>
      <c r="F41" s="83">
        <f t="shared" si="3"/>
        <v>105876</v>
      </c>
      <c r="G41" s="101">
        <f t="shared" si="4"/>
        <v>69000000</v>
      </c>
      <c r="H41" s="77">
        <f>SUM($G$5:$G41)</f>
        <v>462801770</v>
      </c>
      <c r="I41" s="77">
        <f t="shared" si="5"/>
        <v>925603540</v>
      </c>
      <c r="J41" s="77">
        <f t="array" ref="J41">MIN(IF(旅店!$U$5:$U$85&gt;=$I41,旅店!$R$5:$R$85))</f>
        <v>43.88</v>
      </c>
      <c r="K41" s="77">
        <f t="array" ref="K41">MIN(IF(旅店!$U$5:$U$85&gt;=$I41,旅店!$Q$5:$Q$85))</f>
        <v>70</v>
      </c>
      <c r="O41" s="77">
        <v>56</v>
      </c>
      <c r="P41" s="77">
        <f>INDEX(等级时间!$U$3:$AU$203,MATCH($O41,等级时间!$U$3:$U$203,0),MATCH(P$4,等级时间!$U$3:$AU$3,0))</f>
        <v>18.82</v>
      </c>
      <c r="Q41" s="77">
        <f t="shared" si="7"/>
        <v>1.1900000000000013</v>
      </c>
      <c r="R41" s="77">
        <f t="shared" si="9"/>
        <v>2416728.1600000025</v>
      </c>
      <c r="S41" s="77">
        <f>SUM($R$5:$R41)</f>
        <v>19814787.920000002</v>
      </c>
      <c r="U41" s="77">
        <f>INDEX(等级时间!$U$3:$AU$203,MATCH($O41,等级时间!$U$3:$U$203,0),MATCH(U$4,等级时间!$U$3:$AU$3,0))</f>
        <v>7.91</v>
      </c>
      <c r="V41" s="77">
        <f t="shared" si="8"/>
        <v>0.5</v>
      </c>
      <c r="W41" s="77">
        <f t="shared" si="10"/>
        <v>1015432</v>
      </c>
      <c r="X41" s="77">
        <f>SUM($W$5:$W41)</f>
        <v>8332289.3200000003</v>
      </c>
    </row>
    <row r="42" spans="2:24" x14ac:dyDescent="0.15">
      <c r="B42" s="77">
        <v>38</v>
      </c>
      <c r="C42" s="77">
        <f t="array" ref="C42">MIN(IF(体力抽奖!$C$48:$C$60&gt;=树木!$B42,体力抽奖!$J$48:$J$60))</f>
        <v>10</v>
      </c>
      <c r="D42" s="83">
        <f>VLOOKUP($C42,猫咪!$B:$E,4,0)</f>
        <v>5.12</v>
      </c>
      <c r="E42" s="109">
        <f t="shared" si="2"/>
        <v>17700</v>
      </c>
      <c r="F42" s="83">
        <f t="shared" si="3"/>
        <v>108324</v>
      </c>
      <c r="G42" s="101">
        <f t="shared" si="4"/>
        <v>79000000</v>
      </c>
      <c r="H42" s="77">
        <f>SUM($G$5:$G42)</f>
        <v>541801770</v>
      </c>
      <c r="I42" s="77">
        <f t="shared" si="5"/>
        <v>1083603540</v>
      </c>
      <c r="J42" s="77">
        <f t="array" ref="J42">MIN(IF(旅店!$U$5:$U$85&gt;=$I42,旅店!$R$5:$R$85))</f>
        <v>46.4</v>
      </c>
      <c r="K42" s="77">
        <f t="array" ref="K42">MIN(IF(旅店!$U$5:$U$85&gt;=$I42,旅店!$Q$5:$Q$85))</f>
        <v>71</v>
      </c>
      <c r="O42" s="77">
        <v>57</v>
      </c>
      <c r="P42" s="77">
        <f>INDEX(等级时间!$U$3:$AU$203,MATCH($O42,等级时间!$U$3:$U$203,0),MATCH(P$4,等级时间!$U$3:$AU$3,0))</f>
        <v>20.079999999999998</v>
      </c>
      <c r="Q42" s="77">
        <f t="shared" si="7"/>
        <v>1.259999999999998</v>
      </c>
      <c r="R42" s="77">
        <f t="shared" si="9"/>
        <v>2590610.3999999957</v>
      </c>
      <c r="S42" s="77">
        <f>SUM($R$5:$R42)</f>
        <v>22405398.319999997</v>
      </c>
      <c r="U42" s="77">
        <f>INDEX(等级时间!$U$3:$AU$203,MATCH($O42,等级时间!$U$3:$U$203,0),MATCH(U$4,等级时间!$U$3:$AU$3,0))</f>
        <v>8.44</v>
      </c>
      <c r="V42" s="77">
        <f t="shared" si="8"/>
        <v>0.52999999999999936</v>
      </c>
      <c r="W42" s="77">
        <f t="shared" si="10"/>
        <v>1089701.1999999988</v>
      </c>
      <c r="X42" s="77">
        <f>SUM($W$5:$W42)</f>
        <v>9421990.5199999996</v>
      </c>
    </row>
    <row r="43" spans="2:24" x14ac:dyDescent="0.15">
      <c r="B43" s="77">
        <v>39</v>
      </c>
      <c r="C43" s="77">
        <f t="array" ref="C43">MIN(IF(体力抽奖!$C$48:$C$60&gt;=树木!$B43,体力抽奖!$J$48:$J$60))</f>
        <v>10</v>
      </c>
      <c r="D43" s="83">
        <f>VLOOKUP($C43,猫咪!$B:$E,4,0)</f>
        <v>5.12</v>
      </c>
      <c r="E43" s="109">
        <f t="shared" si="2"/>
        <v>18000</v>
      </c>
      <c r="F43" s="83">
        <f t="shared" si="3"/>
        <v>110160</v>
      </c>
      <c r="G43" s="101">
        <f t="shared" si="4"/>
        <v>90000000</v>
      </c>
      <c r="H43" s="77">
        <f>SUM($G$5:$G43)</f>
        <v>631801770</v>
      </c>
      <c r="I43" s="77">
        <f t="shared" si="5"/>
        <v>1263603540</v>
      </c>
      <c r="J43" s="77">
        <f t="array" ref="J43">MIN(IF(旅店!$U$5:$U$85&gt;=$I43,旅店!$R$5:$R$85))</f>
        <v>46.4</v>
      </c>
      <c r="K43" s="77">
        <f t="array" ref="K43">MIN(IF(旅店!$U$5:$U$85&gt;=$I43,旅店!$Q$5:$Q$85))</f>
        <v>71</v>
      </c>
      <c r="O43" s="77">
        <v>58</v>
      </c>
      <c r="P43" s="77">
        <f>INDEX(等级时间!$U$3:$AU$203,MATCH($O43,等级时间!$U$3:$U$203,0),MATCH(P$4,等级时间!$U$3:$AU$3,0))</f>
        <v>21.41</v>
      </c>
      <c r="Q43" s="77">
        <f t="shared" si="7"/>
        <v>1.3300000000000018</v>
      </c>
      <c r="R43" s="77">
        <f t="shared" si="9"/>
        <v>2779178.6400000039</v>
      </c>
      <c r="S43" s="77">
        <f>SUM($R$5:$R43)</f>
        <v>25184576.960000001</v>
      </c>
      <c r="U43" s="77">
        <f>INDEX(等级时间!$U$3:$AU$203,MATCH($O43,等级时间!$U$3:$U$203,0),MATCH(U$4,等级时间!$U$3:$AU$3,0))</f>
        <v>9</v>
      </c>
      <c r="V43" s="77">
        <f t="shared" si="8"/>
        <v>0.5600000000000005</v>
      </c>
      <c r="W43" s="77">
        <f t="shared" si="10"/>
        <v>1170180.4800000011</v>
      </c>
      <c r="X43" s="77">
        <f>SUM($W$5:$W43)</f>
        <v>10592171</v>
      </c>
    </row>
    <row r="44" spans="2:24" x14ac:dyDescent="0.15">
      <c r="B44" s="77">
        <v>40</v>
      </c>
      <c r="C44" s="77">
        <f t="array" ref="C44">MIN(IF(体力抽奖!$C$48:$C$60&gt;=树木!$B44,体力抽奖!$J$48:$J$60))</f>
        <v>12</v>
      </c>
      <c r="D44" s="83">
        <f>VLOOKUP($C44,猫咪!$B:$E,4,0)</f>
        <v>20.48</v>
      </c>
      <c r="E44" s="109">
        <f t="shared" si="2"/>
        <v>18400</v>
      </c>
      <c r="F44" s="83">
        <f t="shared" si="3"/>
        <v>395232</v>
      </c>
      <c r="G44" s="101">
        <f t="shared" si="4"/>
        <v>100000000</v>
      </c>
      <c r="H44" s="77">
        <f>SUM($G$5:$G44)</f>
        <v>731801770</v>
      </c>
      <c r="I44" s="77">
        <f t="shared" si="5"/>
        <v>1463603540</v>
      </c>
      <c r="J44" s="77">
        <f t="array" ref="J44">MIN(IF(旅店!$U$5:$U$85&gt;=$I44,旅店!$R$5:$R$85))</f>
        <v>49.05</v>
      </c>
      <c r="K44" s="77">
        <f t="array" ref="K44">MIN(IF(旅店!$U$5:$U$85&gt;=$I44,旅店!$Q$5:$Q$85))</f>
        <v>72</v>
      </c>
      <c r="O44" s="77">
        <v>59</v>
      </c>
      <c r="P44" s="77">
        <f>INDEX(等级时间!$U$3:$AU$203,MATCH($O44,等级时间!$U$3:$U$203,0),MATCH(P$4,等级时间!$U$3:$AU$3,0))</f>
        <v>22.81</v>
      </c>
      <c r="Q44" s="77">
        <f t="shared" si="7"/>
        <v>1.3999999999999986</v>
      </c>
      <c r="R44" s="77">
        <f t="shared" si="9"/>
        <v>2960697.5999999968</v>
      </c>
      <c r="S44" s="77">
        <f>SUM($R$5:$R44)</f>
        <v>28145274.559999999</v>
      </c>
      <c r="U44" s="77">
        <f>INDEX(等级时间!$U$3:$AU$203,MATCH($O44,等级时间!$U$3:$U$203,0),MATCH(U$4,等级时间!$U$3:$AU$3,0))</f>
        <v>9.58</v>
      </c>
      <c r="V44" s="77">
        <f t="shared" si="8"/>
        <v>0.58000000000000007</v>
      </c>
      <c r="W44" s="77">
        <f t="shared" si="10"/>
        <v>1226574.7200000002</v>
      </c>
      <c r="X44" s="77">
        <f>SUM($W$5:$W44)</f>
        <v>11818745.720000001</v>
      </c>
    </row>
    <row r="45" spans="2:24" x14ac:dyDescent="0.15">
      <c r="B45" s="77">
        <v>41</v>
      </c>
      <c r="C45" s="77">
        <f t="array" ref="C45">MIN(IF(体力抽奖!$C$48:$C$60&gt;=树木!$B45,体力抽奖!$J$48:$J$60))</f>
        <v>12</v>
      </c>
      <c r="D45" s="83">
        <f>VLOOKUP($C45,猫咪!$B:$E,4,0)</f>
        <v>20.48</v>
      </c>
      <c r="E45" s="109">
        <f t="shared" si="2"/>
        <v>18800</v>
      </c>
      <c r="F45" s="83">
        <f t="shared" si="3"/>
        <v>403824</v>
      </c>
      <c r="G45" s="101">
        <f t="shared" si="4"/>
        <v>120000000</v>
      </c>
      <c r="H45" s="77">
        <f>SUM($G$5:$G45)</f>
        <v>851801770</v>
      </c>
      <c r="I45" s="77">
        <f t="shared" si="5"/>
        <v>1703603540</v>
      </c>
      <c r="J45" s="77">
        <f t="array" ref="J45">MIN(IF(旅店!$U$5:$U$85&gt;=$I45,旅店!$R$5:$R$85))</f>
        <v>51.81</v>
      </c>
      <c r="K45" s="77">
        <f t="array" ref="K45">MIN(IF(旅店!$U$5:$U$85&gt;=$I45,旅店!$Q$5:$Q$85))</f>
        <v>73</v>
      </c>
      <c r="O45" s="77">
        <v>60</v>
      </c>
      <c r="P45" s="77">
        <f>INDEX(等级时间!$U$3:$AU$203,MATCH($O45,等级时间!$U$3:$U$203,0),MATCH(P$4,等级时间!$U$3:$AU$3,0))</f>
        <v>24.29</v>
      </c>
      <c r="Q45" s="77">
        <f t="shared" si="7"/>
        <v>1.4800000000000004</v>
      </c>
      <c r="R45" s="77">
        <f t="shared" si="9"/>
        <v>12490915.840000004</v>
      </c>
      <c r="S45" s="77">
        <f>SUM($R$5:$R45)</f>
        <v>40636190.400000006</v>
      </c>
      <c r="U45" s="77">
        <f>INDEX(等级时间!$U$3:$AU$203,MATCH($O45,等级时间!$U$3:$U$203,0),MATCH(U$4,等级时间!$U$3:$AU$3,0))</f>
        <v>10.199999999999999</v>
      </c>
      <c r="V45" s="77">
        <f t="shared" si="8"/>
        <v>0.61999999999999922</v>
      </c>
      <c r="W45" s="77">
        <f t="shared" si="10"/>
        <v>5232680.9599999934</v>
      </c>
      <c r="X45" s="77">
        <f>SUM($W$5:$W45)</f>
        <v>17051426.679999992</v>
      </c>
    </row>
    <row r="46" spans="2:24" x14ac:dyDescent="0.15">
      <c r="B46" s="77">
        <v>42</v>
      </c>
      <c r="C46" s="77">
        <f t="array" ref="C46">MIN(IF(体力抽奖!$C$48:$C$60&gt;=树木!$B46,体力抽奖!$J$48:$J$60))</f>
        <v>12</v>
      </c>
      <c r="D46" s="83">
        <f>VLOOKUP($C46,猫咪!$B:$E,4,0)</f>
        <v>20.48</v>
      </c>
      <c r="E46" s="109">
        <f t="shared" si="2"/>
        <v>19100</v>
      </c>
      <c r="F46" s="83">
        <f t="shared" si="3"/>
        <v>410268</v>
      </c>
      <c r="G46" s="101">
        <f t="shared" si="4"/>
        <v>130000000</v>
      </c>
      <c r="H46" s="77">
        <f>SUM($G$5:$G46)</f>
        <v>981801770</v>
      </c>
      <c r="I46" s="77">
        <f t="shared" si="5"/>
        <v>1963603540</v>
      </c>
      <c r="J46" s="77">
        <f t="array" ref="J46">MIN(IF(旅店!$U$5:$U$85&gt;=$I46,旅店!$R$5:$R$85))</f>
        <v>51.81</v>
      </c>
      <c r="K46" s="77">
        <f t="array" ref="K46">MIN(IF(旅店!$U$5:$U$85&gt;=$I46,旅店!$Q$5:$Q$85))</f>
        <v>73</v>
      </c>
      <c r="O46" s="77">
        <v>61</v>
      </c>
      <c r="P46" s="77">
        <f>INDEX(等级时间!$U$3:$AU$203,MATCH($O46,等级时间!$U$3:$U$203,0),MATCH(P$4,等级时间!$U$3:$AU$3,0))</f>
        <v>25.84</v>
      </c>
      <c r="Q46" s="77">
        <f t="shared" si="7"/>
        <v>1.5500000000000007</v>
      </c>
      <c r="R46" s="77">
        <f t="shared" si="9"/>
        <v>13286104.000000006</v>
      </c>
      <c r="S46" s="77">
        <f>SUM($R$5:$R46)</f>
        <v>53922294.400000013</v>
      </c>
      <c r="U46" s="77">
        <f>INDEX(等级时间!$U$3:$AU$203,MATCH($O46,等级时间!$U$3:$U$203,0),MATCH(U$4,等级时间!$U$3:$AU$3,0))</f>
        <v>10.86</v>
      </c>
      <c r="V46" s="77">
        <f t="shared" si="8"/>
        <v>0.66000000000000014</v>
      </c>
      <c r="W46" s="77">
        <f t="shared" si="10"/>
        <v>5657308.8000000017</v>
      </c>
      <c r="X46" s="77">
        <f>SUM($W$5:$W46)</f>
        <v>22708735.479999993</v>
      </c>
    </row>
    <row r="47" spans="2:24" x14ac:dyDescent="0.15">
      <c r="B47" s="77">
        <v>43</v>
      </c>
      <c r="C47" s="77">
        <f t="array" ref="C47">MIN(IF(体力抽奖!$C$48:$C$60&gt;=树木!$B47,体力抽奖!$J$48:$J$60))</f>
        <v>12</v>
      </c>
      <c r="D47" s="83">
        <f>VLOOKUP($C47,猫咪!$B:$E,4,0)</f>
        <v>20.48</v>
      </c>
      <c r="E47" s="109">
        <f t="shared" si="2"/>
        <v>19500</v>
      </c>
      <c r="F47" s="83">
        <f t="shared" si="3"/>
        <v>418860</v>
      </c>
      <c r="G47" s="101">
        <f t="shared" si="4"/>
        <v>150000000</v>
      </c>
      <c r="H47" s="77">
        <f>SUM($G$5:$G47)</f>
        <v>1131801770</v>
      </c>
      <c r="I47" s="77">
        <f t="shared" si="5"/>
        <v>2263603540</v>
      </c>
      <c r="J47" s="77">
        <f t="array" ref="J47">MIN(IF(旅店!$U$5:$U$85&gt;=$I47,旅店!$R$5:$R$85))</f>
        <v>54.7</v>
      </c>
      <c r="K47" s="77">
        <f t="array" ref="K47">MIN(IF(旅店!$U$5:$U$85&gt;=$I47,旅店!$Q$5:$Q$85))</f>
        <v>74</v>
      </c>
      <c r="O47" s="77">
        <v>62</v>
      </c>
      <c r="P47" s="77">
        <f>INDEX(等级时间!$U$3:$AU$203,MATCH($O47,等级时间!$U$3:$U$203,0),MATCH(P$4,等级时间!$U$3:$AU$3,0))</f>
        <v>27.47</v>
      </c>
      <c r="Q47" s="77">
        <f t="shared" si="7"/>
        <v>1.629999999999999</v>
      </c>
      <c r="R47" s="77">
        <f t="shared" si="9"/>
        <v>14133051.919999991</v>
      </c>
      <c r="S47" s="77">
        <f>SUM($R$5:$R47)</f>
        <v>68055346.320000008</v>
      </c>
      <c r="U47" s="77">
        <f>INDEX(等级时间!$U$3:$AU$203,MATCH($O47,等级时间!$U$3:$U$203,0),MATCH(U$4,等级时间!$U$3:$AU$3,0))</f>
        <v>11.54</v>
      </c>
      <c r="V47" s="77">
        <f t="shared" si="8"/>
        <v>0.67999999999999972</v>
      </c>
      <c r="W47" s="77">
        <f t="shared" si="10"/>
        <v>5895997.1199999973</v>
      </c>
      <c r="X47" s="77">
        <f>SUM($W$5:$W47)</f>
        <v>28604732.59999999</v>
      </c>
    </row>
    <row r="48" spans="2:24" x14ac:dyDescent="0.15">
      <c r="B48" s="77">
        <v>44</v>
      </c>
      <c r="C48" s="77">
        <f t="array" ref="C48">MIN(IF(体力抽奖!$C$48:$C$60&gt;=树木!$B48,体力抽奖!$J$48:$J$60))</f>
        <v>12</v>
      </c>
      <c r="D48" s="83">
        <f>VLOOKUP($C48,猫咪!$B:$E,4,0)</f>
        <v>20.48</v>
      </c>
      <c r="E48" s="109">
        <f t="shared" si="2"/>
        <v>19800</v>
      </c>
      <c r="F48" s="83">
        <f t="shared" si="3"/>
        <v>425304</v>
      </c>
      <c r="G48" s="101">
        <f t="shared" si="4"/>
        <v>160000000</v>
      </c>
      <c r="H48" s="77">
        <f>SUM($G$5:$G48)</f>
        <v>1291801770</v>
      </c>
      <c r="I48" s="77">
        <f t="shared" si="5"/>
        <v>2583603540</v>
      </c>
      <c r="J48" s="77">
        <f t="array" ref="J48">MIN(IF(旅店!$U$5:$U$85&gt;=$I48,旅店!$R$5:$R$85))</f>
        <v>57.73</v>
      </c>
      <c r="K48" s="77">
        <f t="array" ref="K48">MIN(IF(旅店!$U$5:$U$85&gt;=$I48,旅店!$Q$5:$Q$85))</f>
        <v>75</v>
      </c>
      <c r="O48" s="77">
        <v>63</v>
      </c>
      <c r="P48" s="77">
        <f>INDEX(等级时间!$U$3:$AU$203,MATCH($O48,等级时间!$U$3:$U$203,0),MATCH(P$4,等级时间!$U$3:$AU$3,0))</f>
        <v>29.19</v>
      </c>
      <c r="Q48" s="77">
        <f t="shared" si="7"/>
        <v>1.7200000000000024</v>
      </c>
      <c r="R48" s="77">
        <f t="shared" si="9"/>
        <v>15140224.320000021</v>
      </c>
      <c r="S48" s="77">
        <f>SUM($R$5:$R48)</f>
        <v>83195570.64000003</v>
      </c>
      <c r="U48" s="77">
        <f>INDEX(等级时间!$U$3:$AU$203,MATCH($O48,等级时间!$U$3:$U$203,0),MATCH(U$4,等级时间!$U$3:$AU$3,0))</f>
        <v>12.26</v>
      </c>
      <c r="V48" s="77">
        <f t="shared" si="8"/>
        <v>0.72000000000000064</v>
      </c>
      <c r="W48" s="77">
        <f t="shared" si="10"/>
        <v>6337768.3200000059</v>
      </c>
      <c r="X48" s="77">
        <f>SUM($W$5:$W48)</f>
        <v>34942500.919999994</v>
      </c>
    </row>
    <row r="49" spans="2:24" x14ac:dyDescent="0.15">
      <c r="B49" s="77">
        <v>45</v>
      </c>
      <c r="C49" s="77">
        <f t="array" ref="C49">MIN(IF(体力抽奖!$C$48:$C$60&gt;=树木!$B49,体力抽奖!$J$48:$J$60))</f>
        <v>12</v>
      </c>
      <c r="D49" s="83">
        <f>VLOOKUP($C49,猫咪!$B:$E,4,0)</f>
        <v>20.48</v>
      </c>
      <c r="E49" s="109">
        <f t="shared" si="2"/>
        <v>20200</v>
      </c>
      <c r="F49" s="83">
        <f t="shared" si="3"/>
        <v>433896</v>
      </c>
      <c r="G49" s="101">
        <f t="shared" si="4"/>
        <v>180000000</v>
      </c>
      <c r="H49" s="77">
        <f>SUM($G$5:$G49)</f>
        <v>1471801770</v>
      </c>
      <c r="I49" s="77">
        <f t="shared" si="5"/>
        <v>2943603540</v>
      </c>
      <c r="J49" s="77">
        <f t="array" ref="J49">MIN(IF(旅店!$U$5:$U$85&gt;=$I49,旅店!$R$5:$R$85))</f>
        <v>60.89</v>
      </c>
      <c r="K49" s="77">
        <f t="array" ref="K49">MIN(IF(旅店!$U$5:$U$85&gt;=$I49,旅店!$Q$5:$Q$85))</f>
        <v>76</v>
      </c>
      <c r="O49" s="77">
        <v>64</v>
      </c>
      <c r="P49" s="77">
        <f>INDEX(等级时间!$U$3:$AU$203,MATCH($O49,等级时间!$U$3:$U$203,0),MATCH(P$4,等级时间!$U$3:$AU$3,0))</f>
        <v>31</v>
      </c>
      <c r="Q49" s="77">
        <f t="shared" si="7"/>
        <v>1.8099999999999987</v>
      </c>
      <c r="R49" s="77">
        <f t="shared" si="9"/>
        <v>16111461.599999988</v>
      </c>
      <c r="S49" s="77">
        <f>SUM($R$5:$R49)</f>
        <v>99307032.240000024</v>
      </c>
      <c r="U49" s="77">
        <f>INDEX(等级时间!$U$3:$AU$203,MATCH($O49,等级时间!$U$3:$U$203,0),MATCH(U$4,等级时间!$U$3:$AU$3,0))</f>
        <v>13.02</v>
      </c>
      <c r="V49" s="77">
        <f t="shared" si="8"/>
        <v>0.75999999999999979</v>
      </c>
      <c r="W49" s="77">
        <f t="shared" si="10"/>
        <v>6765033.5999999978</v>
      </c>
      <c r="X49" s="77">
        <f>SUM($W$5:$W49)</f>
        <v>41707534.519999996</v>
      </c>
    </row>
    <row r="50" spans="2:24" x14ac:dyDescent="0.15">
      <c r="B50" s="77">
        <v>46</v>
      </c>
      <c r="C50" s="77">
        <f t="array" ref="C50">MIN(IF(体力抽奖!$C$48:$C$60&gt;=树木!$B50,体力抽奖!$J$48:$J$60))</f>
        <v>12</v>
      </c>
      <c r="D50" s="83">
        <f>VLOOKUP($C50,猫咪!$B:$E,4,0)</f>
        <v>20.48</v>
      </c>
      <c r="E50" s="109">
        <f t="shared" si="2"/>
        <v>20600</v>
      </c>
      <c r="F50" s="83">
        <f t="shared" si="3"/>
        <v>442488</v>
      </c>
      <c r="G50" s="101">
        <f t="shared" si="4"/>
        <v>210000000</v>
      </c>
      <c r="H50" s="77">
        <f>SUM($G$5:$G50)</f>
        <v>1681801770</v>
      </c>
      <c r="I50" s="77">
        <f t="shared" si="5"/>
        <v>3363603540</v>
      </c>
      <c r="J50" s="77">
        <f t="array" ref="J50">MIN(IF(旅店!$U$5:$U$85&gt;=$I50,旅店!$R$5:$R$85))</f>
        <v>64.180000000000007</v>
      </c>
      <c r="K50" s="77">
        <f t="array" ref="K50">MIN(IF(旅店!$U$5:$U$85&gt;=$I50,旅店!$Q$5:$Q$85))</f>
        <v>77</v>
      </c>
      <c r="O50" s="77">
        <v>65</v>
      </c>
      <c r="P50" s="77">
        <f>INDEX(等级时间!$U$3:$AU$203,MATCH($O50,等级时间!$U$3:$U$203,0),MATCH(P$4,等级时间!$U$3:$AU$3,0))</f>
        <v>32.9</v>
      </c>
      <c r="Q50" s="77">
        <f t="shared" si="7"/>
        <v>1.8999999999999986</v>
      </c>
      <c r="R50" s="77">
        <f t="shared" si="9"/>
        <v>17163140.799999986</v>
      </c>
      <c r="S50" s="77">
        <f>SUM($R$5:$R50)</f>
        <v>116470173.04000001</v>
      </c>
      <c r="U50" s="77">
        <f>INDEX(等级时间!$U$3:$AU$203,MATCH($O50,等级时间!$U$3:$U$203,0),MATCH(U$4,等级时间!$U$3:$AU$3,0))</f>
        <v>13.82</v>
      </c>
      <c r="V50" s="77">
        <f t="shared" si="8"/>
        <v>0.80000000000000071</v>
      </c>
      <c r="W50" s="77">
        <f t="shared" si="10"/>
        <v>7226585.6000000061</v>
      </c>
      <c r="X50" s="77">
        <f>SUM($W$5:$W50)</f>
        <v>48934120.120000005</v>
      </c>
    </row>
    <row r="51" spans="2:24" x14ac:dyDescent="0.15">
      <c r="B51" s="77">
        <v>47</v>
      </c>
      <c r="C51" s="77">
        <f t="array" ref="C51">MIN(IF(体力抽奖!$C$48:$C$60&gt;=树木!$B51,体力抽奖!$J$48:$J$60))</f>
        <v>12</v>
      </c>
      <c r="D51" s="83">
        <f>VLOOKUP($C51,猫咪!$B:$E,4,0)</f>
        <v>20.48</v>
      </c>
      <c r="E51" s="109">
        <f t="shared" si="2"/>
        <v>20900</v>
      </c>
      <c r="F51" s="83">
        <f t="shared" si="3"/>
        <v>448932</v>
      </c>
      <c r="G51" s="101">
        <f t="shared" si="4"/>
        <v>230000000</v>
      </c>
      <c r="H51" s="77">
        <f>SUM($G$5:$G51)</f>
        <v>1911801770</v>
      </c>
      <c r="I51" s="77">
        <f t="shared" si="5"/>
        <v>3823603540</v>
      </c>
      <c r="J51" s="77">
        <f t="array" ref="J51">MIN(IF(旅店!$U$5:$U$85&gt;=$I51,旅店!$R$5:$R$85))</f>
        <v>67.63</v>
      </c>
      <c r="K51" s="77">
        <f t="array" ref="K51">MIN(IF(旅店!$U$5:$U$85&gt;=$I51,旅店!$Q$5:$Q$85))</f>
        <v>78</v>
      </c>
      <c r="O51" s="77">
        <v>66</v>
      </c>
      <c r="P51" s="77">
        <f>INDEX(等级时间!$U$3:$AU$203,MATCH($O51,等级时间!$U$3:$U$203,0),MATCH(P$4,等级时间!$U$3:$AU$3,0))</f>
        <v>34.89</v>
      </c>
      <c r="Q51" s="77">
        <f t="shared" si="7"/>
        <v>1.990000000000002</v>
      </c>
      <c r="R51" s="77">
        <f t="shared" si="9"/>
        <v>18238556.96000002</v>
      </c>
      <c r="S51" s="77">
        <f>SUM($R$5:$R51)</f>
        <v>134708730.00000003</v>
      </c>
      <c r="U51" s="77">
        <f>INDEX(等级时间!$U$3:$AU$203,MATCH($O51,等级时间!$U$3:$U$203,0),MATCH(U$4,等级时间!$U$3:$AU$3,0))</f>
        <v>14.66</v>
      </c>
      <c r="V51" s="77">
        <f t="shared" si="8"/>
        <v>0.83999999999999986</v>
      </c>
      <c r="W51" s="77">
        <f t="shared" si="10"/>
        <v>7698687.3599999985</v>
      </c>
      <c r="X51" s="77">
        <f>SUM($W$5:$W51)</f>
        <v>56632807.480000004</v>
      </c>
    </row>
    <row r="52" spans="2:24" x14ac:dyDescent="0.15">
      <c r="B52" s="77">
        <v>48</v>
      </c>
      <c r="C52" s="77">
        <f t="array" ref="C52">MIN(IF(体力抽奖!$C$48:$C$60&gt;=树木!$B52,体力抽奖!$J$48:$J$60))</f>
        <v>12</v>
      </c>
      <c r="D52" s="83">
        <f>VLOOKUP($C52,猫咪!$B:$E,4,0)</f>
        <v>20.48</v>
      </c>
      <c r="E52" s="109">
        <f t="shared" si="2"/>
        <v>21300</v>
      </c>
      <c r="F52" s="83">
        <f t="shared" si="3"/>
        <v>457524</v>
      </c>
      <c r="G52" s="101">
        <f t="shared" si="4"/>
        <v>250000000</v>
      </c>
      <c r="H52" s="77">
        <f>SUM($G$5:$G52)</f>
        <v>2161801770</v>
      </c>
      <c r="I52" s="77">
        <f t="shared" si="5"/>
        <v>4323603540</v>
      </c>
      <c r="J52" s="77">
        <f t="array" ref="J52">MIN(IF(旅店!$U$5:$U$85&gt;=$I52,旅店!$R$5:$R$85))</f>
        <v>71.22</v>
      </c>
      <c r="K52" s="77">
        <f t="array" ref="K52">MIN(IF(旅店!$U$5:$U$85&gt;=$I52,旅店!$Q$5:$Q$85))</f>
        <v>79</v>
      </c>
      <c r="O52" s="77">
        <v>67</v>
      </c>
      <c r="P52" s="77">
        <f>INDEX(等级时间!$U$3:$AU$203,MATCH($O52,等级时间!$U$3:$U$203,0),MATCH(P$4,等级时间!$U$3:$AU$3,0))</f>
        <v>36.979999999999997</v>
      </c>
      <c r="Q52" s="77">
        <f t="shared" si="7"/>
        <v>2.0899999999999963</v>
      </c>
      <c r="R52" s="77">
        <f t="shared" si="9"/>
        <v>19361776.719999965</v>
      </c>
      <c r="S52" s="77">
        <f>SUM($R$5:$R52)</f>
        <v>154070506.72</v>
      </c>
      <c r="U52" s="77">
        <f>INDEX(等级时间!$U$3:$AU$203,MATCH($O52,等级时间!$U$3:$U$203,0),MATCH(U$4,等级时间!$U$3:$AU$3,0))</f>
        <v>15.54</v>
      </c>
      <c r="V52" s="77">
        <f t="shared" si="8"/>
        <v>0.87999999999999901</v>
      </c>
      <c r="W52" s="77">
        <f t="shared" si="10"/>
        <v>8152327.0399999907</v>
      </c>
      <c r="X52" s="77">
        <f>SUM($W$5:$W52)</f>
        <v>64785134.519999996</v>
      </c>
    </row>
    <row r="53" spans="2:24" x14ac:dyDescent="0.15">
      <c r="B53" s="77">
        <v>49</v>
      </c>
      <c r="C53" s="77">
        <f t="array" ref="C53">MIN(IF(体力抽奖!$C$48:$C$60&gt;=树木!$B53,体力抽奖!$J$48:$J$60))</f>
        <v>12</v>
      </c>
      <c r="D53" s="83">
        <f>VLOOKUP($C53,猫咪!$B:$E,4,0)</f>
        <v>20.48</v>
      </c>
      <c r="E53" s="109">
        <f t="shared" si="2"/>
        <v>21600</v>
      </c>
      <c r="F53" s="83">
        <f t="shared" si="3"/>
        <v>463968</v>
      </c>
      <c r="G53" s="101">
        <f t="shared" si="4"/>
        <v>280000000</v>
      </c>
      <c r="H53" s="77">
        <f>SUM($G$5:$G53)</f>
        <v>2441801770</v>
      </c>
      <c r="I53" s="77">
        <f t="shared" si="5"/>
        <v>4883603540</v>
      </c>
      <c r="J53" s="77">
        <f t="array" ref="J53">MIN(IF(旅店!$U$5:$U$85&gt;=$I53,旅店!$R$5:$R$85))</f>
        <v>74.959999999999994</v>
      </c>
      <c r="K53" s="77">
        <f t="array" ref="K53">MIN(IF(旅店!$U$5:$U$85&gt;=$I53,旅店!$Q$5:$Q$85))</f>
        <v>80</v>
      </c>
      <c r="O53" s="77">
        <v>68</v>
      </c>
      <c r="P53" s="77">
        <f>INDEX(等级时间!$U$3:$AU$203,MATCH($O53,等级时间!$U$3:$U$203,0),MATCH(P$4,等级时间!$U$3:$AU$3,0))</f>
        <v>39.17</v>
      </c>
      <c r="Q53" s="77">
        <f t="shared" si="7"/>
        <v>2.1900000000000048</v>
      </c>
      <c r="R53" s="77">
        <f t="shared" si="9"/>
        <v>20576977.200000044</v>
      </c>
      <c r="S53" s="77">
        <f>SUM($R$5:$R53)</f>
        <v>174647483.92000005</v>
      </c>
      <c r="U53" s="77">
        <f>INDEX(等级时间!$U$3:$AU$203,MATCH($O53,等级时间!$U$3:$U$203,0),MATCH(U$4,等级时间!$U$3:$AU$3,0))</f>
        <v>16.46</v>
      </c>
      <c r="V53" s="77">
        <f t="shared" si="8"/>
        <v>0.92000000000000171</v>
      </c>
      <c r="W53" s="77">
        <f t="shared" si="10"/>
        <v>8644209.6000000164</v>
      </c>
      <c r="X53" s="77">
        <f>SUM($W$5:$W53)</f>
        <v>73429344.120000005</v>
      </c>
    </row>
    <row r="54" spans="2:24" x14ac:dyDescent="0.15">
      <c r="B54" s="77">
        <v>50</v>
      </c>
      <c r="C54" s="77">
        <f t="array" ref="C54">MIN(IF(体力抽奖!$C$48:$C$60&gt;=树木!$B54,体力抽奖!$J$48:$J$60))</f>
        <v>13</v>
      </c>
      <c r="D54" s="83">
        <f>VLOOKUP($C54,猫咪!$B:$E,4,0)</f>
        <v>40.96</v>
      </c>
      <c r="E54" s="109">
        <f t="shared" si="2"/>
        <v>22000</v>
      </c>
      <c r="F54" s="83">
        <f t="shared" si="3"/>
        <v>923120</v>
      </c>
      <c r="G54" s="101">
        <f t="shared" si="4"/>
        <v>310000000</v>
      </c>
      <c r="H54" s="77">
        <f>SUM($G$5:$G54)</f>
        <v>2751801770</v>
      </c>
      <c r="I54" s="77">
        <f t="shared" si="5"/>
        <v>5503603540</v>
      </c>
      <c r="J54" s="77">
        <f t="array" ref="J54">MIN(IF(旅店!$U$5:$U$85&gt;=$I54,旅店!$R$5:$R$85))</f>
        <v>74.959999999999994</v>
      </c>
      <c r="K54" s="77">
        <f t="array" ref="K54">MIN(IF(旅店!$U$5:$U$85&gt;=$I54,旅店!$Q$5:$Q$85))</f>
        <v>80</v>
      </c>
      <c r="O54" s="77">
        <v>69</v>
      </c>
      <c r="P54" s="77">
        <f>INDEX(等级时间!$U$3:$AU$203,MATCH($O54,等级时间!$U$3:$U$203,0),MATCH(P$4,等级时间!$U$3:$AU$3,0))</f>
        <v>41.47</v>
      </c>
      <c r="Q54" s="77">
        <f t="shared" si="7"/>
        <v>2.2999999999999972</v>
      </c>
      <c r="R54" s="77">
        <f t="shared" si="9"/>
        <v>21838003.199999973</v>
      </c>
      <c r="S54" s="77">
        <f>SUM($R$5:$R54)</f>
        <v>196485487.12</v>
      </c>
      <c r="U54" s="77">
        <f>INDEX(等级时间!$U$3:$AU$203,MATCH($O54,等级时间!$U$3:$U$203,0),MATCH(U$4,等级时间!$U$3:$AU$3,0))</f>
        <v>17.420000000000002</v>
      </c>
      <c r="V54" s="77">
        <f t="shared" si="8"/>
        <v>0.96000000000000085</v>
      </c>
      <c r="W54" s="77">
        <f t="shared" si="10"/>
        <v>9114992.640000008</v>
      </c>
      <c r="X54" s="77">
        <f>SUM($W$5:$W54)</f>
        <v>82544336.76000002</v>
      </c>
    </row>
    <row r="55" spans="2:24" x14ac:dyDescent="0.15">
      <c r="B55" s="77">
        <v>51</v>
      </c>
      <c r="C55" s="77">
        <f t="array" ref="C55">MIN(IF(体力抽奖!$C$48:$C$60&gt;=树木!$B55,体力抽奖!$J$48:$J$60))</f>
        <v>13</v>
      </c>
      <c r="D55" s="83">
        <f>VLOOKUP($C55,猫咪!$B:$E,4,0)</f>
        <v>40.96</v>
      </c>
      <c r="E55" s="109">
        <f t="shared" si="2"/>
        <v>22400</v>
      </c>
      <c r="F55" s="83">
        <f t="shared" si="3"/>
        <v>939904</v>
      </c>
      <c r="G55" s="101">
        <f t="shared" si="4"/>
        <v>350000000</v>
      </c>
      <c r="H55" s="77">
        <f>SUM($G$5:$G55)</f>
        <v>3101801770</v>
      </c>
      <c r="I55" s="77">
        <f t="shared" si="5"/>
        <v>6203603540</v>
      </c>
      <c r="J55" s="77">
        <f t="array" ref="J55">MIN(IF(旅店!$U$5:$U$85&gt;=$I55,旅店!$R$5:$R$85))</f>
        <v>78.86</v>
      </c>
      <c r="K55" s="77">
        <f t="array" ref="K55">MIN(IF(旅店!$U$5:$U$85&gt;=$I55,旅店!$Q$5:$Q$85))</f>
        <v>81</v>
      </c>
      <c r="O55" s="77">
        <v>70</v>
      </c>
      <c r="P55" s="77">
        <f>INDEX(等级时间!$U$3:$AU$203,MATCH($O55,等级时间!$U$3:$U$203,0),MATCH(P$4,等级时间!$U$3:$AU$3,0))</f>
        <v>43.88</v>
      </c>
      <c r="Q55" s="77">
        <f t="shared" si="7"/>
        <v>2.4100000000000037</v>
      </c>
      <c r="R55" s="77">
        <f t="shared" si="9"/>
        <v>92378731.840000138</v>
      </c>
      <c r="S55" s="77">
        <f>SUM($R$5:$R55)</f>
        <v>288864218.96000016</v>
      </c>
      <c r="U55" s="77">
        <f>INDEX(等级时间!$U$3:$AU$203,MATCH($O55,等级时间!$U$3:$U$203,0),MATCH(U$4,等级时间!$U$3:$AU$3,0))</f>
        <v>18.440000000000001</v>
      </c>
      <c r="V55" s="77">
        <f t="shared" si="8"/>
        <v>1.0199999999999996</v>
      </c>
      <c r="W55" s="77">
        <f t="shared" si="10"/>
        <v>39098052.479999982</v>
      </c>
      <c r="X55" s="77">
        <f>SUM($W$5:$W55)</f>
        <v>121642389.24000001</v>
      </c>
    </row>
    <row r="56" spans="2:24" x14ac:dyDescent="0.15">
      <c r="B56" s="77">
        <v>52</v>
      </c>
      <c r="C56" s="77">
        <f t="array" ref="C56">MIN(IF(体力抽奖!$C$48:$C$60&gt;=树木!$B56,体力抽奖!$J$48:$J$60))</f>
        <v>13</v>
      </c>
      <c r="D56" s="83">
        <f>VLOOKUP($C56,猫咪!$B:$E,4,0)</f>
        <v>40.96</v>
      </c>
      <c r="E56" s="109">
        <f t="shared" si="2"/>
        <v>22700</v>
      </c>
      <c r="F56" s="83">
        <f t="shared" si="3"/>
        <v>952492</v>
      </c>
      <c r="G56" s="101">
        <f t="shared" si="4"/>
        <v>380000000</v>
      </c>
      <c r="H56" s="77">
        <f>SUM($G$5:$G56)</f>
        <v>3481801770</v>
      </c>
      <c r="I56" s="77">
        <f t="shared" si="5"/>
        <v>6963603540</v>
      </c>
      <c r="J56" s="77">
        <f t="array" ref="J56">MIN(IF(旅店!$U$5:$U$85&gt;=$I56,旅店!$R$5:$R$85))</f>
        <v>82.93</v>
      </c>
      <c r="K56" s="77">
        <f t="array" ref="K56">MIN(IF(旅店!$U$5:$U$85&gt;=$I56,旅店!$Q$5:$Q$85))</f>
        <v>82</v>
      </c>
      <c r="O56" s="77">
        <v>71</v>
      </c>
      <c r="P56" s="77">
        <f>INDEX(等级时间!$U$3:$AU$203,MATCH($O56,等级时间!$U$3:$U$203,0),MATCH(P$4,等级时间!$U$3:$AU$3,0))</f>
        <v>46.4</v>
      </c>
      <c r="Q56" s="77">
        <f t="shared" si="7"/>
        <v>2.519999999999996</v>
      </c>
      <c r="R56" s="77">
        <f t="shared" si="9"/>
        <v>97918410.239999846</v>
      </c>
      <c r="S56" s="77">
        <f>SUM($R$5:$R56)</f>
        <v>386782629.19999999</v>
      </c>
      <c r="U56" s="77">
        <f>INDEX(等级时间!$U$3:$AU$203,MATCH($O56,等级时间!$U$3:$U$203,0),MATCH(U$4,等级时间!$U$3:$AU$3,0))</f>
        <v>19.5</v>
      </c>
      <c r="V56" s="77">
        <f t="shared" si="8"/>
        <v>1.0599999999999987</v>
      </c>
      <c r="W56" s="77">
        <f t="shared" si="10"/>
        <v>41187902.719999947</v>
      </c>
      <c r="X56" s="77">
        <f>SUM($W$5:$W56)</f>
        <v>162830291.95999995</v>
      </c>
    </row>
    <row r="57" spans="2:24" x14ac:dyDescent="0.15">
      <c r="B57" s="77">
        <v>53</v>
      </c>
      <c r="C57" s="77">
        <f t="array" ref="C57">MIN(IF(体力抽奖!$C$48:$C$60&gt;=树木!$B57,体力抽奖!$J$48:$J$60))</f>
        <v>13</v>
      </c>
      <c r="D57" s="83">
        <f>VLOOKUP($C57,猫咪!$B:$E,4,0)</f>
        <v>40.96</v>
      </c>
      <c r="E57" s="109">
        <f t="shared" si="2"/>
        <v>23100</v>
      </c>
      <c r="F57" s="83">
        <f t="shared" si="3"/>
        <v>969276</v>
      </c>
      <c r="G57" s="101">
        <f t="shared" si="4"/>
        <v>420000000</v>
      </c>
      <c r="H57" s="77">
        <f>SUM($G$5:$G57)</f>
        <v>3901801770</v>
      </c>
      <c r="I57" s="77">
        <f t="shared" si="5"/>
        <v>7803603540</v>
      </c>
      <c r="J57" s="77">
        <f t="array" ref="J57">MIN(IF(旅店!$U$5:$U$85&gt;=$I57,旅店!$R$5:$R$85))</f>
        <v>82.93</v>
      </c>
      <c r="K57" s="77">
        <f t="array" ref="K57">MIN(IF(旅店!$U$5:$U$85&gt;=$I57,旅店!$Q$5:$Q$85))</f>
        <v>82</v>
      </c>
      <c r="O57" s="77">
        <v>72</v>
      </c>
      <c r="P57" s="77">
        <f>INDEX(等级时间!$U$3:$AU$203,MATCH($O57,等级时间!$U$3:$U$203,0),MATCH(P$4,等级时间!$U$3:$AU$3,0))</f>
        <v>49.05</v>
      </c>
      <c r="Q57" s="77">
        <f t="shared" si="7"/>
        <v>2.6499999999999986</v>
      </c>
      <c r="R57" s="77">
        <f t="shared" si="9"/>
        <v>104013369.19999994</v>
      </c>
      <c r="S57" s="77">
        <f>SUM($R$5:$R57)</f>
        <v>490795998.39999992</v>
      </c>
      <c r="U57" s="77">
        <f>INDEX(等级时间!$U$3:$AU$203,MATCH($O57,等级时间!$U$3:$U$203,0),MATCH(U$4,等级时间!$U$3:$AU$3,0))</f>
        <v>20.61</v>
      </c>
      <c r="V57" s="77">
        <f t="shared" si="8"/>
        <v>1.1099999999999994</v>
      </c>
      <c r="W57" s="77">
        <f t="shared" si="10"/>
        <v>43567864.079999976</v>
      </c>
      <c r="X57" s="77">
        <f>SUM($W$5:$W57)</f>
        <v>206398156.03999993</v>
      </c>
    </row>
    <row r="58" spans="2:24" x14ac:dyDescent="0.15">
      <c r="B58" s="77">
        <v>54</v>
      </c>
      <c r="C58" s="77">
        <f t="array" ref="C58">MIN(IF(体力抽奖!$C$48:$C$60&gt;=树木!$B58,体力抽奖!$J$48:$J$60))</f>
        <v>13</v>
      </c>
      <c r="D58" s="83">
        <f>VLOOKUP($C58,猫咪!$B:$E,4,0)</f>
        <v>40.96</v>
      </c>
      <c r="E58" s="109">
        <f t="shared" si="2"/>
        <v>23400</v>
      </c>
      <c r="F58" s="83">
        <f t="shared" si="3"/>
        <v>981864</v>
      </c>
      <c r="G58" s="101">
        <f t="shared" si="4"/>
        <v>460000000</v>
      </c>
      <c r="H58" s="77">
        <f>SUM($G$5:$G58)</f>
        <v>4361801770</v>
      </c>
      <c r="I58" s="77">
        <f t="shared" si="5"/>
        <v>8723603540</v>
      </c>
      <c r="J58" s="77">
        <f t="array" ref="J58">MIN(IF(旅店!$U$5:$U$85&gt;=$I58,旅店!$R$5:$R$85))</f>
        <v>87.17</v>
      </c>
      <c r="K58" s="77">
        <f t="array" ref="K58">MIN(IF(旅店!$U$5:$U$85&gt;=$I58,旅店!$Q$5:$Q$85))</f>
        <v>83</v>
      </c>
      <c r="O58" s="77">
        <v>73</v>
      </c>
      <c r="P58" s="77">
        <f>INDEX(等级时间!$U$3:$AU$203,MATCH($O58,等级时间!$U$3:$U$203,0),MATCH(P$4,等级时间!$U$3:$AU$3,0))</f>
        <v>51.81</v>
      </c>
      <c r="Q58" s="77">
        <f t="shared" si="7"/>
        <v>2.7600000000000051</v>
      </c>
      <c r="R58" s="77">
        <f t="shared" si="9"/>
        <v>109780148.16000021</v>
      </c>
      <c r="S58" s="77">
        <f>SUM($R$5:$R58)</f>
        <v>600576146.56000018</v>
      </c>
      <c r="U58" s="77">
        <f>INDEX(等级时间!$U$3:$AU$203,MATCH($O58,等级时间!$U$3:$U$203,0),MATCH(U$4,等级时间!$U$3:$AU$3,0))</f>
        <v>21.77</v>
      </c>
      <c r="V58" s="77">
        <f t="shared" si="8"/>
        <v>1.1600000000000001</v>
      </c>
      <c r="W58" s="77">
        <f t="shared" si="10"/>
        <v>46139482.560000002</v>
      </c>
      <c r="X58" s="77">
        <f>SUM($W$5:$W58)</f>
        <v>252537638.59999993</v>
      </c>
    </row>
    <row r="59" spans="2:24" x14ac:dyDescent="0.15">
      <c r="B59" s="77">
        <v>55</v>
      </c>
      <c r="C59" s="77">
        <f t="array" ref="C59">MIN(IF(体力抽奖!$C$48:$C$60&gt;=树木!$B59,体力抽奖!$J$48:$J$60))</f>
        <v>13</v>
      </c>
      <c r="D59" s="83">
        <f>VLOOKUP($C59,猫咪!$B:$E,4,0)</f>
        <v>40.96</v>
      </c>
      <c r="E59" s="109">
        <f t="shared" si="2"/>
        <v>23800</v>
      </c>
      <c r="F59" s="83">
        <f t="shared" si="3"/>
        <v>998648</v>
      </c>
      <c r="G59" s="101">
        <f t="shared" si="4"/>
        <v>500000000</v>
      </c>
      <c r="H59" s="77">
        <f>SUM($G$5:$G59)</f>
        <v>4861801770</v>
      </c>
      <c r="I59" s="77">
        <f t="shared" si="5"/>
        <v>9723603540</v>
      </c>
      <c r="J59" s="77">
        <f t="array" ref="J59">MIN(IF(旅店!$U$5:$U$85&gt;=$I59,旅店!$R$5:$R$85))</f>
        <v>91.58</v>
      </c>
      <c r="K59" s="77">
        <f t="array" ref="K59">MIN(IF(旅店!$U$5:$U$85&gt;=$I59,旅店!$Q$5:$Q$85))</f>
        <v>84</v>
      </c>
      <c r="O59" s="77">
        <v>74</v>
      </c>
      <c r="P59" s="77">
        <f>INDEX(等级时间!$U$3:$AU$203,MATCH($O59,等级时间!$U$3:$U$203,0),MATCH(P$4,等级时间!$U$3:$AU$3,0))</f>
        <v>54.7</v>
      </c>
      <c r="Q59" s="77">
        <f t="shared" si="7"/>
        <v>2.8900000000000006</v>
      </c>
      <c r="R59" s="77">
        <f t="shared" si="9"/>
        <v>116089080.48000002</v>
      </c>
      <c r="S59" s="77">
        <f>SUM($R$5:$R59)</f>
        <v>716665227.0400002</v>
      </c>
      <c r="U59" s="77">
        <f>INDEX(等级时间!$U$3:$AU$203,MATCH($O59,等级时间!$U$3:$U$203,0),MATCH(U$4,等级时间!$U$3:$AU$3,0))</f>
        <v>22.98</v>
      </c>
      <c r="V59" s="77">
        <f t="shared" si="8"/>
        <v>1.2100000000000009</v>
      </c>
      <c r="W59" s="77">
        <f t="shared" si="10"/>
        <v>48604770.720000036</v>
      </c>
      <c r="X59" s="77">
        <f>SUM($W$5:$W59)</f>
        <v>301142409.31999999</v>
      </c>
    </row>
    <row r="60" spans="2:24" x14ac:dyDescent="0.15">
      <c r="B60" s="77">
        <v>56</v>
      </c>
      <c r="C60" s="77">
        <f t="array" ref="C60">MIN(IF(体力抽奖!$C$48:$C$60&gt;=树木!$B60,体力抽奖!$J$48:$J$60))</f>
        <v>13</v>
      </c>
      <c r="D60" s="83">
        <f>VLOOKUP($C60,猫咪!$B:$E,4,0)</f>
        <v>40.96</v>
      </c>
      <c r="E60" s="109">
        <f t="shared" si="2"/>
        <v>24200</v>
      </c>
      <c r="F60" s="83">
        <f t="shared" si="3"/>
        <v>1015432</v>
      </c>
      <c r="G60" s="101">
        <f t="shared" si="4"/>
        <v>550000000</v>
      </c>
      <c r="H60" s="77">
        <f>SUM($G$5:$G60)</f>
        <v>5411801770</v>
      </c>
      <c r="I60" s="77">
        <f t="shared" si="5"/>
        <v>10823603540</v>
      </c>
      <c r="J60" s="77">
        <f t="array" ref="J60">MIN(IF(旅店!$U$5:$U$85&gt;=$I60,旅店!$R$5:$R$85))</f>
        <v>96.17</v>
      </c>
      <c r="K60" s="77">
        <f t="array" ref="K60">MIN(IF(旅店!$U$5:$U$85&gt;=$I60,旅店!$Q$5:$Q$85))</f>
        <v>85</v>
      </c>
      <c r="O60" s="77">
        <v>75</v>
      </c>
      <c r="P60" s="77">
        <f>INDEX(等级时间!$U$3:$AU$203,MATCH($O60,等级时间!$U$3:$U$203,0),MATCH(P$4,等级时间!$U$3:$AU$3,0))</f>
        <v>57.73</v>
      </c>
      <c r="Q60" s="77">
        <f t="shared" si="7"/>
        <v>3.029999999999994</v>
      </c>
      <c r="R60" s="77">
        <f t="shared" si="9"/>
        <v>123303789.59999976</v>
      </c>
      <c r="S60" s="77">
        <f>SUM($R$5:$R60)</f>
        <v>839969016.63999999</v>
      </c>
      <c r="U60" s="77">
        <f>INDEX(等级时间!$U$3:$AU$203,MATCH($O60,等级时间!$U$3:$U$203,0),MATCH(U$4,等级时间!$U$3:$AU$3,0))</f>
        <v>24.25</v>
      </c>
      <c r="V60" s="77">
        <f t="shared" si="8"/>
        <v>1.2699999999999996</v>
      </c>
      <c r="W60" s="77">
        <f t="shared" si="10"/>
        <v>51681786.399999984</v>
      </c>
      <c r="X60" s="77">
        <f>SUM($W$5:$W60)</f>
        <v>352824195.71999997</v>
      </c>
    </row>
    <row r="61" spans="2:24" x14ac:dyDescent="0.15">
      <c r="B61" s="77">
        <v>57</v>
      </c>
      <c r="C61" s="77">
        <f t="array" ref="C61">MIN(IF(体力抽奖!$C$48:$C$60&gt;=树木!$B61,体力抽奖!$J$48:$J$60))</f>
        <v>13</v>
      </c>
      <c r="D61" s="83">
        <f>VLOOKUP($C61,猫咪!$B:$E,4,0)</f>
        <v>40.96</v>
      </c>
      <c r="E61" s="109">
        <f t="shared" si="2"/>
        <v>24500</v>
      </c>
      <c r="F61" s="83">
        <f t="shared" si="3"/>
        <v>1028020</v>
      </c>
      <c r="G61" s="101">
        <f t="shared" si="4"/>
        <v>600000000</v>
      </c>
      <c r="H61" s="77">
        <f>SUM($G$5:$G61)</f>
        <v>6011801770</v>
      </c>
      <c r="I61" s="77">
        <f t="shared" si="5"/>
        <v>12023603540</v>
      </c>
      <c r="J61" s="77">
        <f t="array" ref="J61">MIN(IF(旅店!$U$5:$U$85&gt;=$I61,旅店!$R$5:$R$85))</f>
        <v>96.17</v>
      </c>
      <c r="K61" s="77">
        <f t="array" ref="K61">MIN(IF(旅店!$U$5:$U$85&gt;=$I61,旅店!$Q$5:$Q$85))</f>
        <v>85</v>
      </c>
      <c r="O61" s="77">
        <v>76</v>
      </c>
      <c r="P61" s="77">
        <f>INDEX(等级时间!$U$3:$AU$203,MATCH($O61,等级时间!$U$3:$U$203,0),MATCH(P$4,等级时间!$U$3:$AU$3,0))</f>
        <v>60.89</v>
      </c>
      <c r="Q61" s="77">
        <f t="shared" si="7"/>
        <v>3.1600000000000037</v>
      </c>
      <c r="R61" s="77">
        <f t="shared" si="9"/>
        <v>130253329.28000015</v>
      </c>
      <c r="S61" s="77">
        <f>SUM($R$5:$R61)</f>
        <v>970222345.92000008</v>
      </c>
      <c r="U61" s="77">
        <f>INDEX(等级时间!$U$3:$AU$203,MATCH($O61,等级时间!$U$3:$U$203,0),MATCH(U$4,等级时间!$U$3:$AU$3,0))</f>
        <v>25.58</v>
      </c>
      <c r="V61" s="77">
        <f t="shared" si="8"/>
        <v>1.3299999999999983</v>
      </c>
      <c r="W61" s="77">
        <f t="shared" si="10"/>
        <v>54821812.639999926</v>
      </c>
      <c r="X61" s="77">
        <f>SUM($W$5:$W61)</f>
        <v>407646008.3599999</v>
      </c>
    </row>
    <row r="62" spans="2:24" x14ac:dyDescent="0.15">
      <c r="B62" s="77">
        <v>58</v>
      </c>
      <c r="C62" s="77">
        <f t="array" ref="C62">MIN(IF(体力抽奖!$C$48:$C$60&gt;=树木!$B62,体力抽奖!$J$48:$J$60))</f>
        <v>13</v>
      </c>
      <c r="D62" s="83">
        <f>VLOOKUP($C62,猫咪!$B:$E,4,0)</f>
        <v>40.96</v>
      </c>
      <c r="E62" s="109">
        <f t="shared" si="2"/>
        <v>24900</v>
      </c>
      <c r="F62" s="83">
        <f t="shared" si="3"/>
        <v>1044804</v>
      </c>
      <c r="G62" s="101">
        <f t="shared" si="4"/>
        <v>660000000</v>
      </c>
      <c r="H62" s="77">
        <f>SUM($G$5:$G62)</f>
        <v>6671801770</v>
      </c>
      <c r="I62" s="77">
        <f t="shared" si="5"/>
        <v>13343603540</v>
      </c>
      <c r="J62" s="77">
        <f t="array" ref="J62">MIN(IF(旅店!$U$5:$U$85&gt;=$I62,旅店!$R$5:$R$85))</f>
        <v>100.95</v>
      </c>
      <c r="K62" s="77">
        <f t="array" ref="K62">MIN(IF(旅店!$U$5:$U$85&gt;=$I62,旅店!$Q$5:$Q$85))</f>
        <v>86</v>
      </c>
      <c r="O62" s="77">
        <v>77</v>
      </c>
      <c r="P62" s="77">
        <f>INDEX(等级时间!$U$3:$AU$203,MATCH($O62,等级时间!$U$3:$U$203,0),MATCH(P$4,等级时间!$U$3:$AU$3,0))</f>
        <v>64.180000000000007</v>
      </c>
      <c r="Q62" s="77">
        <f t="shared" si="7"/>
        <v>3.2900000000000063</v>
      </c>
      <c r="R62" s="77">
        <f t="shared" si="9"/>
        <v>136907506.96000025</v>
      </c>
      <c r="S62" s="77">
        <f>SUM($R$5:$R62)</f>
        <v>1107129852.8800004</v>
      </c>
      <c r="U62" s="77">
        <f>INDEX(等级时间!$U$3:$AU$203,MATCH($O62,等级时间!$U$3:$U$203,0),MATCH(U$4,等级时间!$U$3:$AU$3,0))</f>
        <v>26.96</v>
      </c>
      <c r="V62" s="77">
        <f t="shared" si="8"/>
        <v>1.3800000000000026</v>
      </c>
      <c r="W62" s="77">
        <f t="shared" si="10"/>
        <v>57426249.120000109</v>
      </c>
      <c r="X62" s="77">
        <f>SUM($W$5:$W62)</f>
        <v>465072257.48000002</v>
      </c>
    </row>
    <row r="63" spans="2:24" x14ac:dyDescent="0.15">
      <c r="B63" s="77">
        <v>59</v>
      </c>
      <c r="C63" s="77">
        <f t="array" ref="C63">MIN(IF(体力抽奖!$C$48:$C$60&gt;=树木!$B63,体力抽奖!$J$48:$J$60))</f>
        <v>13</v>
      </c>
      <c r="D63" s="83">
        <f>VLOOKUP($C63,猫咪!$B:$E,4,0)</f>
        <v>40.96</v>
      </c>
      <c r="E63" s="109">
        <f t="shared" si="2"/>
        <v>25200</v>
      </c>
      <c r="F63" s="83">
        <f t="shared" si="3"/>
        <v>1057392</v>
      </c>
      <c r="G63" s="101">
        <f t="shared" si="4"/>
        <v>710000000</v>
      </c>
      <c r="H63" s="77">
        <f>SUM($G$5:$G63)</f>
        <v>7381801770</v>
      </c>
      <c r="I63" s="77">
        <f t="shared" si="5"/>
        <v>14763603540</v>
      </c>
      <c r="J63" s="77">
        <f t="array" ref="J63">MIN(IF(旅店!$U$5:$U$85&gt;=$I63,旅店!$R$5:$R$85))</f>
        <v>105.91</v>
      </c>
      <c r="K63" s="77">
        <f t="array" ref="K63">MIN(IF(旅店!$U$5:$U$85&gt;=$I63,旅店!$Q$5:$Q$85))</f>
        <v>87</v>
      </c>
      <c r="O63" s="77">
        <v>78</v>
      </c>
      <c r="P63" s="77">
        <f>INDEX(等级时间!$U$3:$AU$203,MATCH($O63,等级时间!$U$3:$U$203,0),MATCH(P$4,等级时间!$U$3:$AU$3,0))</f>
        <v>67.63</v>
      </c>
      <c r="Q63" s="77">
        <f t="shared" si="7"/>
        <v>3.4499999999999886</v>
      </c>
      <c r="R63" s="77">
        <f t="shared" si="9"/>
        <v>145377176.39999953</v>
      </c>
      <c r="S63" s="77">
        <f>SUM($R$5:$R63)</f>
        <v>1252507029.28</v>
      </c>
      <c r="U63" s="77">
        <f>INDEX(等级时间!$U$3:$AU$203,MATCH($O63,等级时间!$U$3:$U$203,0),MATCH(U$4,等级时间!$U$3:$AU$3,0))</f>
        <v>28.41</v>
      </c>
      <c r="V63" s="77">
        <f t="shared" si="8"/>
        <v>1.4499999999999993</v>
      </c>
      <c r="W63" s="77">
        <f t="shared" si="10"/>
        <v>61100552.399999969</v>
      </c>
      <c r="X63" s="77">
        <f>SUM($W$5:$W63)</f>
        <v>526172809.88</v>
      </c>
    </row>
    <row r="64" spans="2:24" x14ac:dyDescent="0.15">
      <c r="B64" s="77">
        <v>60</v>
      </c>
      <c r="C64" s="77">
        <f t="array" ref="C64">MIN(IF(体力抽奖!$C$48:$C$60&gt;=树木!$B64,体力抽奖!$J$48:$J$60))</f>
        <v>15</v>
      </c>
      <c r="D64" s="83">
        <f>VLOOKUP($C64,猫咪!$B:$E,4,0)</f>
        <v>163.84</v>
      </c>
      <c r="E64" s="109">
        <f t="shared" si="2"/>
        <v>25600</v>
      </c>
      <c r="F64" s="83">
        <f t="shared" si="3"/>
        <v>4219904</v>
      </c>
      <c r="G64" s="101">
        <f t="shared" si="4"/>
        <v>780000000</v>
      </c>
      <c r="H64" s="77">
        <f>SUM($G$5:$G64)</f>
        <v>8161801770</v>
      </c>
      <c r="I64" s="77">
        <f t="shared" si="5"/>
        <v>16323603540</v>
      </c>
      <c r="J64" s="77">
        <f t="array" ref="J64">MIN(IF(旅店!$U$5:$U$85&gt;=$I64,旅店!$R$5:$R$85))</f>
        <v>111.08</v>
      </c>
      <c r="K64" s="77">
        <f t="array" ref="K64">MIN(IF(旅店!$U$5:$U$85&gt;=$I64,旅店!$Q$5:$Q$85))</f>
        <v>88</v>
      </c>
      <c r="O64" s="77">
        <v>79</v>
      </c>
      <c r="P64" s="77">
        <f>INDEX(等级时间!$U$3:$AU$203,MATCH($O64,等级时间!$U$3:$U$203,0),MATCH(P$4,等级时间!$U$3:$AU$3,0))</f>
        <v>71.22</v>
      </c>
      <c r="Q64" s="77">
        <f t="shared" si="7"/>
        <v>3.5900000000000034</v>
      </c>
      <c r="R64" s="77">
        <f t="shared" si="9"/>
        <v>152690339.52000016</v>
      </c>
      <c r="S64" s="77">
        <f>SUM($R$5:$R64)</f>
        <v>1405197368.8000002</v>
      </c>
      <c r="U64" s="77">
        <f>INDEX(等级时间!$U$3:$AU$203,MATCH($O64,等级时间!$U$3:$U$203,0),MATCH(U$4,等级时间!$U$3:$AU$3,0))</f>
        <v>29.92</v>
      </c>
      <c r="V64" s="77">
        <f t="shared" si="8"/>
        <v>1.5100000000000016</v>
      </c>
      <c r="W64" s="77">
        <f t="shared" si="10"/>
        <v>64223513.280000068</v>
      </c>
      <c r="X64" s="77">
        <f>SUM($W$5:$W64)</f>
        <v>590396323.16000009</v>
      </c>
    </row>
    <row r="65" spans="2:24" x14ac:dyDescent="0.15">
      <c r="B65" s="77">
        <v>61</v>
      </c>
      <c r="C65" s="77">
        <f t="array" ref="C65">MIN(IF(体力抽奖!$C$48:$C$60&gt;=树木!$B65,体力抽奖!$J$48:$J$60))</f>
        <v>15</v>
      </c>
      <c r="D65" s="83">
        <f>VLOOKUP($C65,猫咪!$B:$E,4,0)</f>
        <v>163.84</v>
      </c>
      <c r="E65" s="109">
        <f t="shared" si="2"/>
        <v>26000</v>
      </c>
      <c r="F65" s="83">
        <f t="shared" si="3"/>
        <v>4285840</v>
      </c>
      <c r="G65" s="101">
        <f t="shared" si="4"/>
        <v>840000000</v>
      </c>
      <c r="H65" s="77">
        <f>SUM($G$5:$G65)</f>
        <v>9001801770</v>
      </c>
      <c r="I65" s="77">
        <f t="shared" si="5"/>
        <v>18003603540</v>
      </c>
      <c r="J65" s="77">
        <f t="array" ref="J65">MIN(IF(旅店!$U$5:$U$85&gt;=$I65,旅店!$R$5:$R$85))</f>
        <v>116.44</v>
      </c>
      <c r="K65" s="77">
        <f t="array" ref="K65">MIN(IF(旅店!$U$5:$U$85&gt;=$I65,旅店!$Q$5:$Q$85))</f>
        <v>89</v>
      </c>
      <c r="O65" s="77">
        <v>80</v>
      </c>
      <c r="P65" s="77">
        <f>INDEX(等级时间!$U$3:$AU$203,MATCH($O65,等级时间!$U$3:$U$203,0),MATCH(P$4,等级时间!$U$3:$AU$3,0))</f>
        <v>74.959999999999994</v>
      </c>
      <c r="Q65" s="77">
        <f t="shared" si="7"/>
        <v>3.7399999999999949</v>
      </c>
      <c r="R65" s="77">
        <f t="shared" si="9"/>
        <v>321822631.67999953</v>
      </c>
      <c r="S65" s="77">
        <f>SUM($R$5:$R65)</f>
        <v>1727020000.4799998</v>
      </c>
      <c r="U65" s="77">
        <f>INDEX(等级时间!$U$3:$AU$203,MATCH($O65,等级时间!$U$3:$U$203,0),MATCH(U$4,等级时间!$U$3:$AU$3,0))</f>
        <v>31.49</v>
      </c>
      <c r="V65" s="77">
        <f t="shared" si="8"/>
        <v>1.5699999999999967</v>
      </c>
      <c r="W65" s="77">
        <f t="shared" si="10"/>
        <v>135096666.23999971</v>
      </c>
      <c r="X65" s="77">
        <f>SUM($W$5:$W65)</f>
        <v>725492989.39999986</v>
      </c>
    </row>
    <row r="66" spans="2:24" x14ac:dyDescent="0.15">
      <c r="B66" s="77">
        <v>62</v>
      </c>
      <c r="C66" s="77">
        <f t="array" ref="C66">MIN(IF(体力抽奖!$C$48:$C$60&gt;=树木!$B66,体力抽奖!$J$48:$J$60))</f>
        <v>15</v>
      </c>
      <c r="D66" s="83">
        <f>VLOOKUP($C66,猫咪!$B:$E,4,0)</f>
        <v>163.84</v>
      </c>
      <c r="E66" s="109">
        <f t="shared" si="2"/>
        <v>26300</v>
      </c>
      <c r="F66" s="83">
        <f t="shared" si="3"/>
        <v>4335292</v>
      </c>
      <c r="G66" s="101">
        <f t="shared" si="4"/>
        <v>920000000</v>
      </c>
      <c r="H66" s="77">
        <f>SUM($G$5:$G66)</f>
        <v>9921801770</v>
      </c>
      <c r="I66" s="77">
        <f t="shared" si="5"/>
        <v>19843603540</v>
      </c>
      <c r="J66" s="77">
        <f t="array" ref="J66">MIN(IF(旅店!$U$5:$U$85&gt;=$I66,旅店!$R$5:$R$85))</f>
        <v>122.01</v>
      </c>
      <c r="K66" s="77">
        <f t="array" ref="K66">MIN(IF(旅店!$U$5:$U$85&gt;=$I66,旅店!$Q$5:$Q$85))</f>
        <v>90</v>
      </c>
      <c r="O66" s="77">
        <v>81</v>
      </c>
      <c r="P66" s="77">
        <f>INDEX(等级时间!$U$3:$AU$203,MATCH($O66,等级时间!$U$3:$U$203,0),MATCH(P$4,等级时间!$U$3:$AU$3,0))</f>
        <v>78.86</v>
      </c>
      <c r="Q66" s="77">
        <f t="shared" si="7"/>
        <v>3.9000000000000057</v>
      </c>
      <c r="R66" s="77">
        <f t="shared" si="9"/>
        <v>339683011.20000052</v>
      </c>
      <c r="S66" s="77">
        <f>SUM($R$5:$R66)</f>
        <v>2066703011.6800003</v>
      </c>
      <c r="U66" s="77">
        <f>INDEX(等级时间!$U$3:$AU$203,MATCH($O66,等级时间!$U$3:$U$203,0),MATCH(U$4,等级时间!$U$3:$AU$3,0))</f>
        <v>33.130000000000003</v>
      </c>
      <c r="V66" s="77">
        <f t="shared" si="8"/>
        <v>1.6400000000000041</v>
      </c>
      <c r="W66" s="77">
        <f t="shared" si="10"/>
        <v>142841061.12000036</v>
      </c>
      <c r="X66" s="77">
        <f>SUM($W$5:$W66)</f>
        <v>868334050.52000022</v>
      </c>
    </row>
    <row r="67" spans="2:24" x14ac:dyDescent="0.15">
      <c r="B67" s="77">
        <v>63</v>
      </c>
      <c r="C67" s="77">
        <f t="array" ref="C67">MIN(IF(体力抽奖!$C$48:$C$60&gt;=树木!$B67,体力抽奖!$J$48:$J$60))</f>
        <v>15</v>
      </c>
      <c r="D67" s="83">
        <f>VLOOKUP($C67,猫咪!$B:$E,4,0)</f>
        <v>163.84</v>
      </c>
      <c r="E67" s="109">
        <f t="shared" si="2"/>
        <v>26700</v>
      </c>
      <c r="F67" s="83">
        <f t="shared" si="3"/>
        <v>4401228</v>
      </c>
      <c r="G67" s="101">
        <f t="shared" si="4"/>
        <v>990000000</v>
      </c>
      <c r="H67" s="77">
        <f>SUM($G$5:$G67)</f>
        <v>10911801770</v>
      </c>
      <c r="I67" s="77">
        <f t="shared" si="5"/>
        <v>21823603540</v>
      </c>
      <c r="J67" s="77">
        <f t="array" ref="J67">MIN(IF(旅店!$U$5:$U$85&gt;=$I67,旅店!$R$5:$R$85))</f>
        <v>122.01</v>
      </c>
      <c r="K67" s="77">
        <f t="array" ref="K67">MIN(IF(旅店!$U$5:$U$85&gt;=$I67,旅店!$Q$5:$Q$85))</f>
        <v>90</v>
      </c>
      <c r="O67" s="77">
        <v>82</v>
      </c>
      <c r="P67" s="77">
        <f>INDEX(等级时间!$U$3:$AU$203,MATCH($O67,等级时间!$U$3:$U$203,0),MATCH(P$4,等级时间!$U$3:$AU$3,0))</f>
        <v>82.93</v>
      </c>
      <c r="Q67" s="77">
        <f t="shared" si="7"/>
        <v>4.0700000000000074</v>
      </c>
      <c r="R67" s="77">
        <f t="shared" si="9"/>
        <v>357692926.80000067</v>
      </c>
      <c r="S67" s="77">
        <f>SUM($R$5:$R67)</f>
        <v>2424395938.480001</v>
      </c>
      <c r="U67" s="77">
        <f>INDEX(等级时间!$U$3:$AU$203,MATCH($O67,等级时间!$U$3:$U$203,0),MATCH(U$4,等级时间!$U$3:$AU$3,0))</f>
        <v>34.840000000000003</v>
      </c>
      <c r="V67" s="77">
        <f t="shared" si="8"/>
        <v>1.7100000000000009</v>
      </c>
      <c r="W67" s="77">
        <f t="shared" si="10"/>
        <v>150283760.40000007</v>
      </c>
      <c r="X67" s="77">
        <f>SUM($W$5:$W67)</f>
        <v>1018617810.9200003</v>
      </c>
    </row>
    <row r="68" spans="2:24" x14ac:dyDescent="0.15">
      <c r="B68" s="77">
        <v>64</v>
      </c>
      <c r="C68" s="77">
        <f t="array" ref="C68">MIN(IF(体力抽奖!$C$48:$C$60&gt;=树木!$B68,体力抽奖!$J$48:$J$60))</f>
        <v>15</v>
      </c>
      <c r="D68" s="83">
        <f>VLOOKUP($C68,猫咪!$B:$E,4,0)</f>
        <v>163.84</v>
      </c>
      <c r="E68" s="109">
        <f t="shared" si="2"/>
        <v>27000</v>
      </c>
      <c r="F68" s="83">
        <f t="shared" si="3"/>
        <v>4450680</v>
      </c>
      <c r="G68" s="101">
        <f t="shared" si="4"/>
        <v>1100000000</v>
      </c>
      <c r="H68" s="77">
        <f>SUM($G$5:$G68)</f>
        <v>12011801770</v>
      </c>
      <c r="I68" s="77">
        <f t="shared" si="5"/>
        <v>24023603540</v>
      </c>
      <c r="J68" s="77">
        <f t="array" ref="J68">MIN(IF(旅店!$U$5:$U$85&gt;=$I68,旅店!$R$5:$R$85))</f>
        <v>122.01</v>
      </c>
      <c r="K68" s="77">
        <f t="array" ref="K68">MIN(IF(旅店!$U$5:$U$85&gt;=$I68,旅店!$Q$5:$Q$85))</f>
        <v>90</v>
      </c>
      <c r="O68" s="77">
        <v>83</v>
      </c>
      <c r="P68" s="77">
        <f>INDEX(等级时间!$U$3:$AU$203,MATCH($O68,等级时间!$U$3:$U$203,0),MATCH(P$4,等级时间!$U$3:$AU$3,0))</f>
        <v>87.17</v>
      </c>
      <c r="Q68" s="77">
        <f t="shared" si="7"/>
        <v>4.2399999999999949</v>
      </c>
      <c r="R68" s="77">
        <f t="shared" si="9"/>
        <v>377082771.83999956</v>
      </c>
      <c r="S68" s="77">
        <f>SUM($R$5:$R68)</f>
        <v>2801478710.3200006</v>
      </c>
      <c r="U68" s="77">
        <f>INDEX(等级时间!$U$3:$AU$203,MATCH($O68,等级时间!$U$3:$U$203,0),MATCH(U$4,等级时间!$U$3:$AU$3,0))</f>
        <v>36.619999999999997</v>
      </c>
      <c r="V68" s="77">
        <f t="shared" si="8"/>
        <v>1.779999999999994</v>
      </c>
      <c r="W68" s="77">
        <f t="shared" si="10"/>
        <v>158303616.47999948</v>
      </c>
      <c r="X68" s="77">
        <f>SUM($W$5:$W68)</f>
        <v>1176921427.3999999</v>
      </c>
    </row>
    <row r="69" spans="2:24" x14ac:dyDescent="0.15">
      <c r="B69" s="77">
        <v>65</v>
      </c>
      <c r="C69" s="77">
        <f t="array" ref="C69">MIN(IF(体力抽奖!$C$48:$C$60&gt;=树木!$B69,体力抽奖!$J$48:$J$60))</f>
        <v>15</v>
      </c>
      <c r="D69" s="83">
        <f>VLOOKUP($C69,猫咪!$B:$E,4,0)</f>
        <v>163.84</v>
      </c>
      <c r="E69" s="109">
        <f t="shared" si="2"/>
        <v>27400</v>
      </c>
      <c r="F69" s="83">
        <f t="shared" si="3"/>
        <v>4516616</v>
      </c>
      <c r="G69" s="101">
        <f t="shared" si="4"/>
        <v>1200000000</v>
      </c>
      <c r="H69" s="77">
        <f>SUM($G$5:$G69)</f>
        <v>13211801770</v>
      </c>
      <c r="I69" s="77">
        <f t="shared" si="5"/>
        <v>26423603540</v>
      </c>
      <c r="J69" s="77">
        <f t="array" ref="J69">MIN(IF(旅店!$U$5:$U$85&gt;=$I69,旅店!$R$5:$R$85))</f>
        <v>127.79</v>
      </c>
      <c r="K69" s="77">
        <f t="array" ref="K69">MIN(IF(旅店!$U$5:$U$85&gt;=$I69,旅店!$Q$5:$Q$85))</f>
        <v>91</v>
      </c>
      <c r="O69" s="77">
        <v>84</v>
      </c>
      <c r="P69" s="77">
        <f>INDEX(等级时间!$U$3:$AU$203,MATCH($O69,等级时间!$U$3:$U$203,0),MATCH(P$4,等级时间!$U$3:$AU$3,0))</f>
        <v>91.58</v>
      </c>
      <c r="Q69" s="77">
        <f t="shared" si="7"/>
        <v>4.4099999999999966</v>
      </c>
      <c r="R69" s="77">
        <f t="shared" ref="R69:R85" si="11">INDEX($B$4:$H$104,MATCH($O69,$B$4:$B$104,0),MATCH("每日产出木材",$B$4:$H$4,0))*Q69*IF($O69&gt;=$M$6,2,1)</f>
        <v>395672467.67999971</v>
      </c>
      <c r="S69" s="77">
        <f>SUM($R$5:$R69)</f>
        <v>3197151178.0000005</v>
      </c>
      <c r="U69" s="77">
        <f>INDEX(等级时间!$U$3:$AU$203,MATCH($O69,等级时间!$U$3:$U$203,0),MATCH(U$4,等级时间!$U$3:$AU$3,0))</f>
        <v>38.479999999999997</v>
      </c>
      <c r="V69" s="77">
        <f t="shared" si="8"/>
        <v>1.8599999999999994</v>
      </c>
      <c r="W69" s="77">
        <f t="shared" ref="W69:W85" si="12">INDEX($B$4:$H$104,MATCH($O69,$B$4:$B$104,0),MATCH("每日产出木材",$B$4:$H$4,0))*V69*IF($O69&gt;=$M$6,2,1)</f>
        <v>166882265.27999994</v>
      </c>
      <c r="X69" s="77">
        <f>SUM($W$5:$W69)</f>
        <v>1343803692.6799998</v>
      </c>
    </row>
    <row r="70" spans="2:24" x14ac:dyDescent="0.15">
      <c r="B70" s="77">
        <v>66</v>
      </c>
      <c r="C70" s="77">
        <f t="array" ref="C70">MIN(IF(体力抽奖!$C$48:$C$60&gt;=树木!$B70,体力抽奖!$J$48:$J$60))</f>
        <v>15</v>
      </c>
      <c r="D70" s="83">
        <f>VLOOKUP($C70,猫咪!$B:$E,4,0)</f>
        <v>163.84</v>
      </c>
      <c r="E70" s="109">
        <f t="shared" ref="E70:E104" si="13">ROUND(B70*$E$1+$E$2,3-LEN(INT(B70*$E$1+$E$2)))</f>
        <v>27800</v>
      </c>
      <c r="F70" s="83">
        <f t="shared" ref="F70:F104" si="14">E70*(1+D70)</f>
        <v>4582552</v>
      </c>
      <c r="G70" s="101">
        <f t="shared" ref="G70:G104" si="15">ROUND(B70^$G$1+$G$2,2-LEN(INT(B70^$G$1+$G$2)))</f>
        <v>1300000000</v>
      </c>
      <c r="H70" s="77">
        <f>SUM($G$5:$G70)</f>
        <v>14511801770</v>
      </c>
      <c r="I70" s="77">
        <f t="shared" ref="I70:I104" si="16">H70*2</f>
        <v>29023603540</v>
      </c>
      <c r="J70" s="77">
        <f t="array" ref="J70">MIN(IF(旅店!$U$5:$U$85&gt;=$I70,旅店!$R$5:$R$85))</f>
        <v>127.79</v>
      </c>
      <c r="K70" s="77">
        <f t="array" ref="K70">MIN(IF(旅店!$U$5:$U$85&gt;=$I70,旅店!$Q$5:$Q$85))</f>
        <v>91</v>
      </c>
      <c r="O70" s="77">
        <v>85</v>
      </c>
      <c r="P70" s="77">
        <f>INDEX(等级时间!$U$3:$AU$203,MATCH($O70,等级时间!$U$3:$U$203,0),MATCH(P$4,等级时间!$U$3:$AU$3,0))</f>
        <v>96.17</v>
      </c>
      <c r="Q70" s="77">
        <f t="shared" si="7"/>
        <v>4.5900000000000034</v>
      </c>
      <c r="R70" s="77">
        <f t="shared" si="11"/>
        <v>416639000.16000032</v>
      </c>
      <c r="S70" s="77">
        <f>SUM($R$5:$R70)</f>
        <v>3613790178.1600008</v>
      </c>
      <c r="U70" s="77">
        <f>INDEX(等级时间!$U$3:$AU$203,MATCH($O70,等级时间!$U$3:$U$203,0),MATCH(U$4,等级时间!$U$3:$AU$3,0))</f>
        <v>40.4</v>
      </c>
      <c r="V70" s="77">
        <f t="shared" si="8"/>
        <v>1.9200000000000017</v>
      </c>
      <c r="W70" s="77">
        <f t="shared" si="12"/>
        <v>174280366.08000016</v>
      </c>
      <c r="X70" s="77">
        <f>SUM($W$5:$W70)</f>
        <v>1518084058.76</v>
      </c>
    </row>
    <row r="71" spans="2:24" x14ac:dyDescent="0.15">
      <c r="B71" s="77">
        <v>67</v>
      </c>
      <c r="C71" s="77">
        <f t="array" ref="C71">MIN(IF(体力抽奖!$C$48:$C$60&gt;=树木!$B71,体力抽奖!$J$48:$J$60))</f>
        <v>15</v>
      </c>
      <c r="D71" s="83">
        <f>VLOOKUP($C71,猫咪!$B:$E,4,0)</f>
        <v>163.84</v>
      </c>
      <c r="E71" s="109">
        <f t="shared" si="13"/>
        <v>28100</v>
      </c>
      <c r="F71" s="83">
        <f t="shared" si="14"/>
        <v>4632004</v>
      </c>
      <c r="G71" s="101">
        <f t="shared" si="15"/>
        <v>1400000000</v>
      </c>
      <c r="H71" s="77">
        <f>SUM($G$5:$G71)</f>
        <v>15911801770</v>
      </c>
      <c r="I71" s="77">
        <f t="shared" si="16"/>
        <v>31823603540</v>
      </c>
      <c r="J71" s="77">
        <f t="array" ref="J71">MIN(IF(旅店!$U$5:$U$85&gt;=$I71,旅店!$R$5:$R$85))</f>
        <v>127.79</v>
      </c>
      <c r="K71" s="77">
        <f t="array" ref="K71">MIN(IF(旅店!$U$5:$U$85&gt;=$I71,旅店!$Q$5:$Q$85))</f>
        <v>91</v>
      </c>
      <c r="O71" s="77">
        <v>86</v>
      </c>
      <c r="P71" s="77">
        <f>INDEX(等级时间!$U$3:$AU$203,MATCH($O71,等级时间!$U$3:$U$203,0),MATCH(P$4,等级时间!$U$3:$AU$3,0))</f>
        <v>100.95</v>
      </c>
      <c r="Q71" s="77">
        <f t="shared" ref="Q71:Q85" si="17">P71-P70</f>
        <v>4.7800000000000011</v>
      </c>
      <c r="R71" s="77">
        <f t="shared" si="11"/>
        <v>438901512.00000012</v>
      </c>
      <c r="S71" s="77">
        <f>SUM($R$5:$R71)</f>
        <v>4052691690.1600008</v>
      </c>
      <c r="U71" s="77">
        <f>INDEX(等级时间!$U$3:$AU$203,MATCH($O71,等级时间!$U$3:$U$203,0),MATCH(U$4,等级时间!$U$3:$AU$3,0))</f>
        <v>42.41</v>
      </c>
      <c r="V71" s="77">
        <f t="shared" ref="V71:V85" si="18">U71-U70</f>
        <v>2.009999999999998</v>
      </c>
      <c r="W71" s="77">
        <f t="shared" si="12"/>
        <v>184559003.99999982</v>
      </c>
      <c r="X71" s="77">
        <f>SUM($W$5:$W71)</f>
        <v>1702643062.7599998</v>
      </c>
    </row>
    <row r="72" spans="2:24" x14ac:dyDescent="0.15">
      <c r="B72" s="77">
        <v>68</v>
      </c>
      <c r="C72" s="77">
        <f t="array" ref="C72">MIN(IF(体力抽奖!$C$48:$C$60&gt;=树木!$B72,体力抽奖!$J$48:$J$60))</f>
        <v>15</v>
      </c>
      <c r="D72" s="83">
        <f>VLOOKUP($C72,猫咪!$B:$E,4,0)</f>
        <v>163.84</v>
      </c>
      <c r="E72" s="109">
        <f t="shared" si="13"/>
        <v>28500</v>
      </c>
      <c r="F72" s="83">
        <f t="shared" si="14"/>
        <v>4697940</v>
      </c>
      <c r="G72" s="101">
        <f t="shared" si="15"/>
        <v>1500000000</v>
      </c>
      <c r="H72" s="77">
        <f>SUM($G$5:$G72)</f>
        <v>17411801770</v>
      </c>
      <c r="I72" s="77">
        <f t="shared" si="16"/>
        <v>34823603540</v>
      </c>
      <c r="J72" s="77">
        <f t="array" ref="J72">MIN(IF(旅店!$U$5:$U$85&gt;=$I72,旅店!$R$5:$R$85))</f>
        <v>133.80000000000001</v>
      </c>
      <c r="K72" s="77">
        <f t="array" ref="K72">MIN(IF(旅店!$U$5:$U$85&gt;=$I72,旅店!$Q$5:$Q$85))</f>
        <v>92</v>
      </c>
      <c r="O72" s="77">
        <v>87</v>
      </c>
      <c r="P72" s="77">
        <f>INDEX(等级时间!$U$3:$AU$203,MATCH($O72,等级时间!$U$3:$U$203,0),MATCH(P$4,等级时间!$U$3:$AU$3,0))</f>
        <v>105.91</v>
      </c>
      <c r="Q72" s="77">
        <f t="shared" si="17"/>
        <v>4.9599999999999937</v>
      </c>
      <c r="R72" s="77">
        <f t="shared" si="11"/>
        <v>459332862.71999943</v>
      </c>
      <c r="S72" s="77">
        <f>SUM($R$5:$R72)</f>
        <v>4512024552.8800001</v>
      </c>
      <c r="U72" s="77">
        <f>INDEX(等级时间!$U$3:$AU$203,MATCH($O72,等级时间!$U$3:$U$203,0),MATCH(U$4,等级时间!$U$3:$AU$3,0))</f>
        <v>44.5</v>
      </c>
      <c r="V72" s="77">
        <f t="shared" si="18"/>
        <v>2.0900000000000034</v>
      </c>
      <c r="W72" s="77">
        <f t="shared" si="12"/>
        <v>193549532.88000032</v>
      </c>
      <c r="X72" s="77">
        <f>SUM($W$5:$W72)</f>
        <v>1896192595.6400001</v>
      </c>
    </row>
    <row r="73" spans="2:24" x14ac:dyDescent="0.15">
      <c r="B73" s="77">
        <v>69</v>
      </c>
      <c r="C73" s="77">
        <f t="array" ref="C73">MIN(IF(体力抽奖!$C$48:$C$60&gt;=树木!$B73,体力抽奖!$J$48:$J$60))</f>
        <v>15</v>
      </c>
      <c r="D73" s="83">
        <f>VLOOKUP($C73,猫咪!$B:$E,4,0)</f>
        <v>163.84</v>
      </c>
      <c r="E73" s="109">
        <f t="shared" si="13"/>
        <v>28800</v>
      </c>
      <c r="F73" s="83">
        <f t="shared" si="14"/>
        <v>4747392</v>
      </c>
      <c r="G73" s="101">
        <f t="shared" si="15"/>
        <v>1600000000</v>
      </c>
      <c r="H73" s="77">
        <f>SUM($G$5:$G73)</f>
        <v>19011801770</v>
      </c>
      <c r="I73" s="77">
        <f t="shared" si="16"/>
        <v>38023603540</v>
      </c>
      <c r="J73" s="77">
        <f t="array" ref="J73">MIN(IF(旅店!$U$5:$U$85&gt;=$I73,旅店!$R$5:$R$85))</f>
        <v>133.80000000000001</v>
      </c>
      <c r="K73" s="77">
        <f t="array" ref="K73">MIN(IF(旅店!$U$5:$U$85&gt;=$I73,旅店!$Q$5:$Q$85))</f>
        <v>92</v>
      </c>
      <c r="O73" s="77">
        <v>88</v>
      </c>
      <c r="P73" s="77">
        <f>INDEX(等级时间!$U$3:$AU$203,MATCH($O73,等级时间!$U$3:$U$203,0),MATCH(P$4,等级时间!$U$3:$AU$3,0))</f>
        <v>111.08</v>
      </c>
      <c r="Q73" s="77">
        <f t="shared" si="17"/>
        <v>5.1700000000000017</v>
      </c>
      <c r="R73" s="77">
        <f t="shared" si="11"/>
        <v>484205697.36000013</v>
      </c>
      <c r="S73" s="77">
        <f>SUM($R$5:$R73)</f>
        <v>4996230250.2399998</v>
      </c>
      <c r="U73" s="77">
        <f>INDEX(等级时间!$U$3:$AU$203,MATCH($O73,等级时间!$U$3:$U$203,0),MATCH(U$4,等级时间!$U$3:$AU$3,0))</f>
        <v>46.67</v>
      </c>
      <c r="V73" s="77">
        <f t="shared" si="18"/>
        <v>2.1700000000000017</v>
      </c>
      <c r="W73" s="77">
        <f t="shared" si="12"/>
        <v>203235273.36000016</v>
      </c>
      <c r="X73" s="77">
        <f>SUM($W$5:$W73)</f>
        <v>2099427869.0000002</v>
      </c>
    </row>
    <row r="74" spans="2:24" x14ac:dyDescent="0.15">
      <c r="B74" s="77">
        <v>70</v>
      </c>
      <c r="C74" s="77">
        <f t="array" ref="C74">MIN(IF(体力抽奖!$C$48:$C$60&gt;=树木!$B74,体力抽奖!$J$48:$J$60))</f>
        <v>17</v>
      </c>
      <c r="D74" s="83">
        <f>VLOOKUP($C74,猫咪!$B:$E,4,0)</f>
        <v>655.36</v>
      </c>
      <c r="E74" s="109">
        <f t="shared" si="13"/>
        <v>29200</v>
      </c>
      <c r="F74" s="83">
        <f t="shared" si="14"/>
        <v>19165712</v>
      </c>
      <c r="G74" s="101">
        <f t="shared" si="15"/>
        <v>1700000000</v>
      </c>
      <c r="H74" s="77">
        <f>SUM($G$5:$G74)</f>
        <v>20711801770</v>
      </c>
      <c r="I74" s="77">
        <f t="shared" si="16"/>
        <v>41423603540</v>
      </c>
      <c r="J74" s="77">
        <f t="array" ref="J74">MIN(IF(旅店!$U$5:$U$85&gt;=$I74,旅店!$R$5:$R$85))</f>
        <v>140.03</v>
      </c>
      <c r="K74" s="77">
        <f t="array" ref="K74">MIN(IF(旅店!$U$5:$U$85&gt;=$I74,旅店!$Q$5:$Q$85))</f>
        <v>93</v>
      </c>
      <c r="O74" s="77">
        <v>89</v>
      </c>
      <c r="P74" s="77">
        <f>INDEX(等级时间!$U$3:$AU$203,MATCH($O74,等级时间!$U$3:$U$203,0),MATCH(P$4,等级时间!$U$3:$AU$3,0))</f>
        <v>116.44</v>
      </c>
      <c r="Q74" s="77">
        <f t="shared" si="17"/>
        <v>5.3599999999999994</v>
      </c>
      <c r="R74" s="77">
        <f t="shared" si="11"/>
        <v>506218982.39999992</v>
      </c>
      <c r="S74" s="77">
        <f>SUM($R$5:$R74)</f>
        <v>5502449232.6399994</v>
      </c>
      <c r="U74" s="77">
        <f>INDEX(等级时间!$U$3:$AU$203,MATCH($O74,等级时间!$U$3:$U$203,0),MATCH(U$4,等级时间!$U$3:$AU$3,0))</f>
        <v>48.92</v>
      </c>
      <c r="V74" s="77">
        <f t="shared" si="18"/>
        <v>2.25</v>
      </c>
      <c r="W74" s="77">
        <f t="shared" si="12"/>
        <v>212498640</v>
      </c>
      <c r="X74" s="77">
        <f>SUM($W$5:$W74)</f>
        <v>2311926509</v>
      </c>
    </row>
    <row r="75" spans="2:24" x14ac:dyDescent="0.15">
      <c r="B75" s="77">
        <v>71</v>
      </c>
      <c r="C75" s="77">
        <f t="array" ref="C75">MIN(IF(体力抽奖!$C$48:$C$60&gt;=树木!$B75,体力抽奖!$J$48:$J$60))</f>
        <v>17</v>
      </c>
      <c r="D75" s="83">
        <f>VLOOKUP($C75,猫咪!$B:$E,4,0)</f>
        <v>655.36</v>
      </c>
      <c r="E75" s="109">
        <f t="shared" si="13"/>
        <v>29600</v>
      </c>
      <c r="F75" s="83">
        <f t="shared" si="14"/>
        <v>19428256</v>
      </c>
      <c r="G75" s="101">
        <f t="shared" si="15"/>
        <v>1800000000</v>
      </c>
      <c r="H75" s="77">
        <f>SUM($G$5:$G75)</f>
        <v>22511801770</v>
      </c>
      <c r="I75" s="77">
        <f t="shared" si="16"/>
        <v>45023603540</v>
      </c>
      <c r="J75" s="77">
        <f t="array" ref="J75">MIN(IF(旅店!$U$5:$U$85&gt;=$I75,旅店!$R$5:$R$85))</f>
        <v>140.03</v>
      </c>
      <c r="K75" s="77">
        <f t="array" ref="K75">MIN(IF(旅店!$U$5:$U$85&gt;=$I75,旅店!$Q$5:$Q$85))</f>
        <v>93</v>
      </c>
      <c r="O75" s="77">
        <v>90</v>
      </c>
      <c r="P75" s="77">
        <f>INDEX(等级时间!$U$3:$AU$203,MATCH($O75,等级时间!$U$3:$U$203,0),MATCH(P$4,等级时间!$U$3:$AU$3,0))</f>
        <v>122.01</v>
      </c>
      <c r="Q75" s="77">
        <f t="shared" si="17"/>
        <v>5.5700000000000074</v>
      </c>
      <c r="R75" s="77">
        <f t="shared" si="11"/>
        <v>2126372364.4800029</v>
      </c>
      <c r="S75" s="77">
        <f>SUM($R$5:$R75)</f>
        <v>7628821597.1200027</v>
      </c>
      <c r="U75" s="77">
        <f>INDEX(等级时间!$U$3:$AU$203,MATCH($O75,等级时间!$U$3:$U$203,0),MATCH(U$4,等级时间!$U$3:$AU$3,0))</f>
        <v>51.26</v>
      </c>
      <c r="V75" s="77">
        <f t="shared" si="18"/>
        <v>2.3399999999999963</v>
      </c>
      <c r="W75" s="77">
        <f t="shared" si="12"/>
        <v>893305445.75999856</v>
      </c>
      <c r="X75" s="77">
        <f>SUM($W$5:$W75)</f>
        <v>3205231954.7599983</v>
      </c>
    </row>
    <row r="76" spans="2:24" x14ac:dyDescent="0.15">
      <c r="B76" s="77">
        <v>72</v>
      </c>
      <c r="C76" s="77">
        <f t="array" ref="C76">MIN(IF(体力抽奖!$C$48:$C$60&gt;=树木!$B76,体力抽奖!$J$48:$J$60))</f>
        <v>17</v>
      </c>
      <c r="D76" s="83">
        <f>VLOOKUP($C76,猫咪!$B:$E,4,0)</f>
        <v>655.36</v>
      </c>
      <c r="E76" s="109">
        <f t="shared" si="13"/>
        <v>29900</v>
      </c>
      <c r="F76" s="83">
        <f t="shared" si="14"/>
        <v>19625164</v>
      </c>
      <c r="G76" s="101">
        <f t="shared" si="15"/>
        <v>1900000000</v>
      </c>
      <c r="H76" s="77">
        <f>SUM($G$5:$G76)</f>
        <v>24411801770</v>
      </c>
      <c r="I76" s="77">
        <f t="shared" si="16"/>
        <v>48823603540</v>
      </c>
      <c r="J76" s="77">
        <f t="array" ref="J76">MIN(IF(旅店!$U$5:$U$85&gt;=$I76,旅店!$R$5:$R$85))</f>
        <v>146.47999999999999</v>
      </c>
      <c r="K76" s="77">
        <f t="array" ref="K76">MIN(IF(旅店!$U$5:$U$85&gt;=$I76,旅店!$Q$5:$Q$85))</f>
        <v>94</v>
      </c>
      <c r="O76" s="77">
        <v>91</v>
      </c>
      <c r="P76" s="77">
        <f>INDEX(等级时间!$U$3:$AU$203,MATCH($O76,等级时间!$U$3:$U$203,0),MATCH(P$4,等级时间!$U$3:$AU$3,0))</f>
        <v>127.79</v>
      </c>
      <c r="Q76" s="77">
        <f t="shared" si="17"/>
        <v>5.7800000000000011</v>
      </c>
      <c r="R76" s="77">
        <f t="shared" si="11"/>
        <v>2230788503.0400004</v>
      </c>
      <c r="S76" s="77">
        <f>SUM($R$5:$R76)</f>
        <v>9859610100.1600037</v>
      </c>
      <c r="U76" s="77">
        <f>INDEX(等级时间!$U$3:$AU$203,MATCH($O76,等级时间!$U$3:$U$203,0),MATCH(U$4,等级时间!$U$3:$AU$3,0))</f>
        <v>53.69</v>
      </c>
      <c r="V76" s="77">
        <f t="shared" si="18"/>
        <v>2.4299999999999997</v>
      </c>
      <c r="W76" s="77">
        <f t="shared" si="12"/>
        <v>937857450.23999989</v>
      </c>
      <c r="X76" s="77">
        <f>SUM($W$5:$W76)</f>
        <v>4143089404.9999981</v>
      </c>
    </row>
    <row r="77" spans="2:24" x14ac:dyDescent="0.15">
      <c r="B77" s="77">
        <v>73</v>
      </c>
      <c r="C77" s="77">
        <f t="array" ref="C77">MIN(IF(体力抽奖!$C$48:$C$60&gt;=树木!$B77,体力抽奖!$J$48:$J$60))</f>
        <v>17</v>
      </c>
      <c r="D77" s="83">
        <f>VLOOKUP($C77,猫咪!$B:$E,4,0)</f>
        <v>655.36</v>
      </c>
      <c r="E77" s="109">
        <f t="shared" si="13"/>
        <v>30300</v>
      </c>
      <c r="F77" s="83">
        <f t="shared" si="14"/>
        <v>19887708</v>
      </c>
      <c r="G77" s="101">
        <f t="shared" si="15"/>
        <v>2100000000</v>
      </c>
      <c r="H77" s="77">
        <f>SUM($G$5:$G77)</f>
        <v>26511801770</v>
      </c>
      <c r="I77" s="77">
        <f t="shared" si="16"/>
        <v>53023603540</v>
      </c>
      <c r="J77" s="77">
        <f t="array" ref="J77">MIN(IF(旅店!$U$5:$U$85&gt;=$I77,旅店!$R$5:$R$85))</f>
        <v>146.47999999999999</v>
      </c>
      <c r="K77" s="77">
        <f t="array" ref="K77">MIN(IF(旅店!$U$5:$U$85&gt;=$I77,旅店!$Q$5:$Q$85))</f>
        <v>94</v>
      </c>
      <c r="O77" s="77">
        <v>92</v>
      </c>
      <c r="P77" s="77">
        <f>INDEX(等级时间!$U$3:$AU$203,MATCH($O77,等级时间!$U$3:$U$203,0),MATCH(P$4,等级时间!$U$3:$AU$3,0))</f>
        <v>133.80000000000001</v>
      </c>
      <c r="Q77" s="77">
        <f t="shared" si="17"/>
        <v>6.0100000000000051</v>
      </c>
      <c r="R77" s="77">
        <f t="shared" si="11"/>
        <v>2338466334.9600019</v>
      </c>
      <c r="S77" s="77">
        <f>SUM($R$5:$R77)</f>
        <v>12198076435.120007</v>
      </c>
      <c r="U77" s="77">
        <f>INDEX(等级时间!$U$3:$AU$203,MATCH($O77,等级时间!$U$3:$U$203,0),MATCH(U$4,等级时间!$U$3:$AU$3,0))</f>
        <v>56.21</v>
      </c>
      <c r="V77" s="77">
        <f t="shared" si="18"/>
        <v>2.5200000000000031</v>
      </c>
      <c r="W77" s="77">
        <f t="shared" si="12"/>
        <v>980521657.92000127</v>
      </c>
      <c r="X77" s="77">
        <f>SUM($W$5:$W77)</f>
        <v>5123611062.9199991</v>
      </c>
    </row>
    <row r="78" spans="2:24" x14ac:dyDescent="0.15">
      <c r="B78" s="77">
        <v>74</v>
      </c>
      <c r="C78" s="77">
        <f t="array" ref="C78">MIN(IF(体力抽奖!$C$48:$C$60&gt;=树木!$B78,体力抽奖!$J$48:$J$60))</f>
        <v>17</v>
      </c>
      <c r="D78" s="83">
        <f>VLOOKUP($C78,猫咪!$B:$E,4,0)</f>
        <v>655.36</v>
      </c>
      <c r="E78" s="109">
        <f t="shared" si="13"/>
        <v>30600</v>
      </c>
      <c r="F78" s="83">
        <f t="shared" si="14"/>
        <v>20084616</v>
      </c>
      <c r="G78" s="101">
        <f t="shared" si="15"/>
        <v>2200000000</v>
      </c>
      <c r="H78" s="77">
        <f>SUM($G$5:$G78)</f>
        <v>28711801770</v>
      </c>
      <c r="I78" s="77">
        <f t="shared" si="16"/>
        <v>57423603540</v>
      </c>
      <c r="J78" s="77">
        <f t="array" ref="J78">MIN(IF(旅店!$U$5:$U$85&gt;=$I78,旅店!$R$5:$R$85))</f>
        <v>153.18</v>
      </c>
      <c r="K78" s="77">
        <f t="array" ref="K78">MIN(IF(旅店!$U$5:$U$85&gt;=$I78,旅店!$Q$5:$Q$85))</f>
        <v>95</v>
      </c>
      <c r="O78" s="77">
        <v>93</v>
      </c>
      <c r="P78" s="77">
        <f>INDEX(等级时间!$U$3:$AU$203,MATCH($O78,等级时间!$U$3:$U$203,0),MATCH(P$4,等级时间!$U$3:$AU$3,0))</f>
        <v>140.03</v>
      </c>
      <c r="Q78" s="77">
        <f t="shared" si="17"/>
        <v>6.2299999999999898</v>
      </c>
      <c r="R78" s="77">
        <f t="shared" si="11"/>
        <v>2450202929.9999962</v>
      </c>
      <c r="S78" s="77">
        <f>SUM($R$5:$R78)</f>
        <v>14648279365.120003</v>
      </c>
      <c r="U78" s="77">
        <f>INDEX(等级时间!$U$3:$AU$203,MATCH($O78,等级时间!$U$3:$U$203,0),MATCH(U$4,等级时间!$U$3:$AU$3,0))</f>
        <v>58.83</v>
      </c>
      <c r="V78" s="77">
        <f t="shared" si="18"/>
        <v>2.6199999999999974</v>
      </c>
      <c r="W78" s="77">
        <f t="shared" si="12"/>
        <v>1030422419.999999</v>
      </c>
      <c r="X78" s="77">
        <f>SUM($W$5:$W78)</f>
        <v>6154033482.9199982</v>
      </c>
    </row>
    <row r="79" spans="2:24" x14ac:dyDescent="0.15">
      <c r="B79" s="77">
        <v>75</v>
      </c>
      <c r="C79" s="77">
        <f t="array" ref="C79">MIN(IF(体力抽奖!$C$48:$C$60&gt;=树木!$B79,体力抽奖!$J$48:$J$60))</f>
        <v>17</v>
      </c>
      <c r="D79" s="83">
        <f>VLOOKUP($C79,猫咪!$B:$E,4,0)</f>
        <v>655.36</v>
      </c>
      <c r="E79" s="109">
        <f t="shared" si="13"/>
        <v>31000</v>
      </c>
      <c r="F79" s="83">
        <f t="shared" si="14"/>
        <v>20347160</v>
      </c>
      <c r="G79" s="101">
        <f t="shared" si="15"/>
        <v>2400000000</v>
      </c>
      <c r="H79" s="77">
        <f>SUM($G$5:$G79)</f>
        <v>31111801770</v>
      </c>
      <c r="I79" s="77">
        <f t="shared" si="16"/>
        <v>62223603540</v>
      </c>
      <c r="J79" s="77">
        <f t="array" ref="J79">MIN(IF(旅店!$U$5:$U$85&gt;=$I79,旅店!$R$5:$R$85))</f>
        <v>153.18</v>
      </c>
      <c r="K79" s="77">
        <f t="array" ref="K79">MIN(IF(旅店!$U$5:$U$85&gt;=$I79,旅店!$Q$5:$Q$85))</f>
        <v>95</v>
      </c>
      <c r="O79" s="77">
        <v>94</v>
      </c>
      <c r="P79" s="77">
        <f>INDEX(等级时间!$U$3:$AU$203,MATCH($O79,等级时间!$U$3:$U$203,0),MATCH(P$4,等级时间!$U$3:$AU$3,0))</f>
        <v>146.47999999999999</v>
      </c>
      <c r="Q79" s="77">
        <f t="shared" si="17"/>
        <v>6.4499999999999886</v>
      </c>
      <c r="R79" s="77">
        <f t="shared" si="11"/>
        <v>2557020765.5999956</v>
      </c>
      <c r="S79" s="77">
        <f>SUM($R$5:$R79)</f>
        <v>17205300130.719997</v>
      </c>
      <c r="U79" s="77">
        <f>INDEX(等级时间!$U$3:$AU$203,MATCH($O79,等级时间!$U$3:$U$203,0),MATCH(U$4,等级时间!$U$3:$AU$3,0))</f>
        <v>61.54</v>
      </c>
      <c r="V79" s="77">
        <f t="shared" si="18"/>
        <v>2.7100000000000009</v>
      </c>
      <c r="W79" s="77">
        <f t="shared" si="12"/>
        <v>1074345158.8800004</v>
      </c>
      <c r="X79" s="77">
        <f>SUM($W$5:$W79)</f>
        <v>7228378641.7999983</v>
      </c>
    </row>
    <row r="80" spans="2:24" x14ac:dyDescent="0.15">
      <c r="B80" s="77">
        <v>76</v>
      </c>
      <c r="C80" s="77">
        <f t="array" ref="C80">MIN(IF(体力抽奖!$C$48:$C$60&gt;=树木!$B80,体力抽奖!$J$48:$J$60))</f>
        <v>17</v>
      </c>
      <c r="D80" s="83">
        <f>VLOOKUP($C80,猫咪!$B:$E,4,0)</f>
        <v>655.36</v>
      </c>
      <c r="E80" s="109">
        <f t="shared" si="13"/>
        <v>31400</v>
      </c>
      <c r="F80" s="83">
        <f t="shared" si="14"/>
        <v>20609704</v>
      </c>
      <c r="G80" s="101">
        <f t="shared" si="15"/>
        <v>2500000000</v>
      </c>
      <c r="H80" s="77">
        <f>SUM($G$5:$G80)</f>
        <v>33611801770</v>
      </c>
      <c r="I80" s="77">
        <f t="shared" si="16"/>
        <v>67223603540</v>
      </c>
      <c r="J80" s="77">
        <f t="array" ref="J80">MIN(IF(旅店!$U$5:$U$85&gt;=$I80,旅店!$R$5:$R$85))</f>
        <v>160.12</v>
      </c>
      <c r="K80" s="77">
        <f t="array" ref="K80">MIN(IF(旅店!$U$5:$U$85&gt;=$I80,旅店!$Q$5:$Q$85))</f>
        <v>96</v>
      </c>
      <c r="O80" s="77">
        <v>95</v>
      </c>
      <c r="P80" s="77">
        <f>INDEX(等级时间!$U$3:$AU$203,MATCH($O80,等级时间!$U$3:$U$203,0),MATCH(P$4,等级时间!$U$3:$AU$3,0))</f>
        <v>153.18</v>
      </c>
      <c r="Q80" s="77">
        <f t="shared" si="17"/>
        <v>6.7000000000000171</v>
      </c>
      <c r="R80" s="77">
        <f t="shared" si="11"/>
        <v>2684237294.4000068</v>
      </c>
      <c r="S80" s="77">
        <f>SUM($R$5:$R80)</f>
        <v>19889537425.120003</v>
      </c>
      <c r="U80" s="77">
        <f>INDEX(等级时间!$U$3:$AU$203,MATCH($O80,等级时间!$U$3:$U$203,0),MATCH(U$4,等级时间!$U$3:$AU$3,0))</f>
        <v>64.36</v>
      </c>
      <c r="V80" s="77">
        <f t="shared" si="18"/>
        <v>2.8200000000000003</v>
      </c>
      <c r="W80" s="77">
        <f t="shared" si="12"/>
        <v>1129783458.24</v>
      </c>
      <c r="X80" s="77">
        <f>SUM($W$5:$W80)</f>
        <v>8358162100.0399981</v>
      </c>
    </row>
    <row r="81" spans="2:24" x14ac:dyDescent="0.15">
      <c r="B81" s="77">
        <v>77</v>
      </c>
      <c r="C81" s="77">
        <f t="array" ref="C81">MIN(IF(体力抽奖!$C$48:$C$60&gt;=树木!$B81,体力抽奖!$J$48:$J$60))</f>
        <v>17</v>
      </c>
      <c r="D81" s="83">
        <f>VLOOKUP($C81,猫咪!$B:$E,4,0)</f>
        <v>655.36</v>
      </c>
      <c r="E81" s="109">
        <f t="shared" si="13"/>
        <v>31700</v>
      </c>
      <c r="F81" s="83">
        <f t="shared" si="14"/>
        <v>20806612</v>
      </c>
      <c r="G81" s="101">
        <f t="shared" si="15"/>
        <v>2700000000</v>
      </c>
      <c r="H81" s="77">
        <f>SUM($G$5:$G81)</f>
        <v>36311801770</v>
      </c>
      <c r="I81" s="77">
        <f t="shared" si="16"/>
        <v>72623603540</v>
      </c>
      <c r="J81" s="77">
        <f t="array" ref="J81">MIN(IF(旅店!$U$5:$U$85&gt;=$I81,旅店!$R$5:$R$85))</f>
        <v>160.12</v>
      </c>
      <c r="K81" s="77">
        <f t="array" ref="K81">MIN(IF(旅店!$U$5:$U$85&gt;=$I81,旅店!$Q$5:$Q$85))</f>
        <v>96</v>
      </c>
      <c r="O81" s="77">
        <v>96</v>
      </c>
      <c r="P81" s="77">
        <f>INDEX(等级时间!$U$3:$AU$203,MATCH($O81,等级时间!$U$3:$U$203,0),MATCH(P$4,等级时间!$U$3:$AU$3,0))</f>
        <v>160.12</v>
      </c>
      <c r="Q81" s="77">
        <f t="shared" si="17"/>
        <v>6.9399999999999977</v>
      </c>
      <c r="R81" s="77">
        <f t="shared" si="11"/>
        <v>2809503099.8399992</v>
      </c>
      <c r="S81" s="77">
        <f>SUM($R$5:$R81)</f>
        <v>22699040524.960003</v>
      </c>
      <c r="U81" s="77">
        <f>INDEX(等级时间!$U$3:$AU$203,MATCH($O81,等级时间!$U$3:$U$203,0),MATCH(U$4,等级时间!$U$3:$AU$3,0))</f>
        <v>67.27</v>
      </c>
      <c r="V81" s="77">
        <f t="shared" si="18"/>
        <v>2.9099999999999966</v>
      </c>
      <c r="W81" s="77">
        <f t="shared" si="12"/>
        <v>1178048129.7599986</v>
      </c>
      <c r="X81" s="77">
        <f>SUM($W$5:$W81)</f>
        <v>9536210229.7999973</v>
      </c>
    </row>
    <row r="82" spans="2:24" x14ac:dyDescent="0.15">
      <c r="B82" s="77">
        <v>78</v>
      </c>
      <c r="C82" s="77">
        <f t="array" ref="C82">MIN(IF(体力抽奖!$C$48:$C$60&gt;=树木!$B82,体力抽奖!$J$48:$J$60))</f>
        <v>17</v>
      </c>
      <c r="D82" s="83">
        <f>VLOOKUP($C82,猫咪!$B:$E,4,0)</f>
        <v>655.36</v>
      </c>
      <c r="E82" s="109">
        <f t="shared" si="13"/>
        <v>32100</v>
      </c>
      <c r="F82" s="83">
        <f t="shared" si="14"/>
        <v>21069156</v>
      </c>
      <c r="G82" s="101">
        <f t="shared" si="15"/>
        <v>2900000000</v>
      </c>
      <c r="H82" s="77">
        <f>SUM($G$5:$G82)</f>
        <v>39211801770</v>
      </c>
      <c r="I82" s="77">
        <f t="shared" si="16"/>
        <v>78423603540</v>
      </c>
      <c r="J82" s="77">
        <f t="array" ref="J82">MIN(IF(旅店!$U$5:$U$85&gt;=$I82,旅店!$R$5:$R$85))</f>
        <v>167.31</v>
      </c>
      <c r="K82" s="77">
        <f t="array" ref="K82">MIN(IF(旅店!$U$5:$U$85&gt;=$I82,旅店!$Q$5:$Q$85))</f>
        <v>97</v>
      </c>
      <c r="O82" s="77">
        <v>97</v>
      </c>
      <c r="P82" s="77">
        <f>INDEX(等级时间!$U$3:$AU$203,MATCH($O82,等级时间!$U$3:$U$203,0),MATCH(P$4,等级时间!$U$3:$AU$3,0))</f>
        <v>167.31</v>
      </c>
      <c r="Q82" s="77">
        <f t="shared" si="17"/>
        <v>7.1899999999999977</v>
      </c>
      <c r="R82" s="77">
        <f t="shared" si="11"/>
        <v>2933332082.1599989</v>
      </c>
      <c r="S82" s="77">
        <f>SUM($R$5:$R82)</f>
        <v>25632372607.120003</v>
      </c>
      <c r="U82" s="77">
        <f>INDEX(等级时间!$U$3:$AU$203,MATCH($O82,等级时间!$U$3:$U$203,0),MATCH(U$4,等级时间!$U$3:$AU$3,0))</f>
        <v>70.290000000000006</v>
      </c>
      <c r="V82" s="77">
        <f t="shared" si="18"/>
        <v>3.0200000000000102</v>
      </c>
      <c r="W82" s="77">
        <f t="shared" si="12"/>
        <v>1232081069.2800043</v>
      </c>
      <c r="X82" s="77">
        <f>SUM($W$5:$W82)</f>
        <v>10768291299.080002</v>
      </c>
    </row>
    <row r="83" spans="2:24" x14ac:dyDescent="0.15">
      <c r="B83" s="77">
        <v>79</v>
      </c>
      <c r="C83" s="77">
        <f t="array" ref="C83">MIN(IF(体力抽奖!$C$48:$C$60&gt;=树木!$B83,体力抽奖!$J$48:$J$60))</f>
        <v>17</v>
      </c>
      <c r="D83" s="83">
        <f>VLOOKUP($C83,猫咪!$B:$E,4,0)</f>
        <v>655.36</v>
      </c>
      <c r="E83" s="109">
        <f t="shared" si="13"/>
        <v>32400</v>
      </c>
      <c r="F83" s="83">
        <f t="shared" si="14"/>
        <v>21266064</v>
      </c>
      <c r="G83" s="101">
        <f t="shared" si="15"/>
        <v>3100000000</v>
      </c>
      <c r="H83" s="77">
        <f>SUM($G$5:$G83)</f>
        <v>42311801770</v>
      </c>
      <c r="I83" s="77">
        <f t="shared" si="16"/>
        <v>84623603540</v>
      </c>
      <c r="J83" s="77">
        <f t="array" ref="J83">MIN(IF(旅店!$U$5:$U$85&gt;=$I83,旅店!$R$5:$R$85))</f>
        <v>174.76</v>
      </c>
      <c r="K83" s="77">
        <f t="array" ref="K83">MIN(IF(旅店!$U$5:$U$85&gt;=$I83,旅店!$Q$5:$Q$85))</f>
        <v>98</v>
      </c>
      <c r="O83" s="77">
        <v>98</v>
      </c>
      <c r="P83" s="77">
        <f>INDEX(等级时间!$U$3:$AU$203,MATCH($O83,等级时间!$U$3:$U$203,0),MATCH(P$4,等级时间!$U$3:$AU$3,0))</f>
        <v>174.76</v>
      </c>
      <c r="Q83" s="77">
        <f t="shared" si="17"/>
        <v>7.4499999999999886</v>
      </c>
      <c r="R83" s="77">
        <f t="shared" si="11"/>
        <v>3070658811.5999951</v>
      </c>
      <c r="S83" s="77">
        <f>SUM($R$5:$R83)</f>
        <v>28703031418.719997</v>
      </c>
      <c r="U83" s="77">
        <f>INDEX(等级时间!$U$3:$AU$203,MATCH($O83,等级时间!$U$3:$U$203,0),MATCH(U$4,等级时间!$U$3:$AU$3,0))</f>
        <v>73.42</v>
      </c>
      <c r="V83" s="77">
        <f t="shared" si="18"/>
        <v>3.1299999999999955</v>
      </c>
      <c r="W83" s="77">
        <f t="shared" si="12"/>
        <v>1290088869.839998</v>
      </c>
      <c r="X83" s="77">
        <f>SUM($W$5:$W83)</f>
        <v>12058380168.92</v>
      </c>
    </row>
    <row r="84" spans="2:24" x14ac:dyDescent="0.15">
      <c r="B84" s="77">
        <v>80</v>
      </c>
      <c r="C84" s="77">
        <f t="array" ref="C84">MIN(IF(体力抽奖!$C$48:$C$60&gt;=树木!$B84,体力抽奖!$J$48:$J$60))</f>
        <v>18</v>
      </c>
      <c r="D84" s="83">
        <f>VLOOKUP($C84,猫咪!$B:$E,4,0)</f>
        <v>1310.72</v>
      </c>
      <c r="E84" s="109">
        <f t="shared" si="13"/>
        <v>32800</v>
      </c>
      <c r="F84" s="83">
        <f t="shared" si="14"/>
        <v>43024416</v>
      </c>
      <c r="G84" s="101">
        <f t="shared" si="15"/>
        <v>3300000000</v>
      </c>
      <c r="H84" s="77">
        <f>SUM($G$5:$G84)</f>
        <v>45611801770</v>
      </c>
      <c r="I84" s="77">
        <f t="shared" si="16"/>
        <v>91223603540</v>
      </c>
      <c r="J84" s="77">
        <f t="array" ref="J84">MIN(IF(旅店!$U$5:$U$85&gt;=$I84,旅店!$R$5:$R$85))</f>
        <v>174.76</v>
      </c>
      <c r="K84" s="77">
        <f t="array" ref="K84">MIN(IF(旅店!$U$5:$U$85&gt;=$I84,旅店!$Q$5:$Q$85))</f>
        <v>98</v>
      </c>
      <c r="O84" s="77">
        <v>99</v>
      </c>
      <c r="P84" s="77">
        <f>INDEX(等级时间!$U$3:$AU$203,MATCH($O84,等级时间!$U$3:$U$203,0),MATCH(P$4,等级时间!$U$3:$AU$3,0))</f>
        <v>182.47</v>
      </c>
      <c r="Q84" s="77">
        <f t="shared" si="17"/>
        <v>7.710000000000008</v>
      </c>
      <c r="R84" s="77">
        <f t="shared" si="11"/>
        <v>3202080932.1600032</v>
      </c>
      <c r="S84" s="77">
        <f>SUM($R$5:$R84)</f>
        <v>31905112350.880001</v>
      </c>
      <c r="U84" s="77">
        <f>INDEX(等级时间!$U$3:$AU$203,MATCH($O84,等级时间!$U$3:$U$203,0),MATCH(U$4,等级时间!$U$3:$AU$3,0))</f>
        <v>76.66</v>
      </c>
      <c r="V84" s="77">
        <f t="shared" si="18"/>
        <v>3.2399999999999949</v>
      </c>
      <c r="W84" s="77">
        <f t="shared" si="12"/>
        <v>1345621559.0399978</v>
      </c>
      <c r="X84" s="77">
        <f>SUM($W$5:$W84)</f>
        <v>13404001727.959997</v>
      </c>
    </row>
    <row r="85" spans="2:24" x14ac:dyDescent="0.15">
      <c r="B85" s="77">
        <v>81</v>
      </c>
      <c r="C85" s="77">
        <f t="array" ref="C85">MIN(IF(体力抽奖!$C$48:$C$60&gt;=树木!$B85,体力抽奖!$J$48:$J$60))</f>
        <v>18</v>
      </c>
      <c r="D85" s="83">
        <f>VLOOKUP($C85,猫咪!$B:$E,4,0)</f>
        <v>1310.72</v>
      </c>
      <c r="E85" s="109">
        <f t="shared" si="13"/>
        <v>33200</v>
      </c>
      <c r="F85" s="83">
        <f t="shared" si="14"/>
        <v>43549104</v>
      </c>
      <c r="G85" s="101">
        <f t="shared" si="15"/>
        <v>3500000000</v>
      </c>
      <c r="H85" s="77">
        <f>SUM($G$5:$G85)</f>
        <v>49111801770</v>
      </c>
      <c r="I85" s="77">
        <f t="shared" si="16"/>
        <v>98223603540</v>
      </c>
      <c r="J85" s="77">
        <f t="array" ref="J85">MIN(IF(旅店!$U$5:$U$85&gt;=$I85,旅店!$R$5:$R$85))</f>
        <v>182.47</v>
      </c>
      <c r="K85" s="77">
        <f t="array" ref="K85">MIN(IF(旅店!$U$5:$U$85&gt;=$I85,旅店!$Q$5:$Q$85))</f>
        <v>99</v>
      </c>
      <c r="O85" s="77">
        <v>100</v>
      </c>
      <c r="P85" s="77">
        <f>INDEX(等级时间!$U$3:$AU$203,MATCH($O85,等级时间!$U$3:$U$203,0),MATCH(P$4,等级时间!$U$3:$AU$3,0))</f>
        <v>190.45</v>
      </c>
      <c r="Q85" s="77">
        <f t="shared" si="17"/>
        <v>7.9799999999999898</v>
      </c>
      <c r="R85" s="77">
        <f t="shared" si="11"/>
        <v>6694747583.9999914</v>
      </c>
      <c r="S85" s="77">
        <f>SUM($R$5:$R85)</f>
        <v>38599859934.87999</v>
      </c>
      <c r="U85" s="77">
        <f>INDEX(等级时间!$U$3:$AU$203,MATCH($O85,等级时间!$U$3:$U$203,0),MATCH(U$4,等级时间!$U$3:$AU$3,0))</f>
        <v>80.010000000000005</v>
      </c>
      <c r="V85" s="77">
        <f t="shared" si="18"/>
        <v>3.3500000000000085</v>
      </c>
      <c r="W85" s="77">
        <f t="shared" si="12"/>
        <v>2810451680.0000072</v>
      </c>
      <c r="X85" s="77">
        <f>SUM($W$5:$W85)</f>
        <v>16214453407.960005</v>
      </c>
    </row>
    <row r="86" spans="2:24" x14ac:dyDescent="0.15">
      <c r="B86" s="77">
        <v>82</v>
      </c>
      <c r="C86" s="77">
        <f t="array" ref="C86">MIN(IF(体力抽奖!$C$48:$C$60&gt;=树木!$B86,体力抽奖!$J$48:$J$60))</f>
        <v>18</v>
      </c>
      <c r="D86" s="83">
        <f>VLOOKUP($C86,猫咪!$B:$E,4,0)</f>
        <v>1310.72</v>
      </c>
      <c r="E86" s="109">
        <f t="shared" si="13"/>
        <v>33500</v>
      </c>
      <c r="F86" s="83">
        <f t="shared" si="14"/>
        <v>43942620</v>
      </c>
      <c r="G86" s="101">
        <f t="shared" si="15"/>
        <v>3700000000</v>
      </c>
      <c r="H86" s="77">
        <f>SUM($G$5:$G86)</f>
        <v>52811801770</v>
      </c>
      <c r="I86" s="77">
        <f t="shared" si="16"/>
        <v>105623603540</v>
      </c>
      <c r="J86" s="77">
        <f t="array" ref="J86">MIN(IF(旅店!$U$5:$U$85&gt;=$I86,旅店!$R$5:$R$85))</f>
        <v>190.45</v>
      </c>
      <c r="K86" s="77">
        <f t="array" ref="K86">MIN(IF(旅店!$U$5:$U$85&gt;=$I86,旅店!$Q$5:$Q$85))</f>
        <v>100</v>
      </c>
    </row>
    <row r="87" spans="2:24" x14ac:dyDescent="0.15">
      <c r="B87" s="77">
        <v>83</v>
      </c>
      <c r="C87" s="77">
        <f t="array" ref="C87">MIN(IF(体力抽奖!$C$48:$C$60&gt;=树木!$B87,体力抽奖!$J$48:$J$60))</f>
        <v>18</v>
      </c>
      <c r="D87" s="83">
        <f>VLOOKUP($C87,猫咪!$B:$E,4,0)</f>
        <v>1310.72</v>
      </c>
      <c r="E87" s="109">
        <f t="shared" si="13"/>
        <v>33900</v>
      </c>
      <c r="F87" s="83">
        <f t="shared" si="14"/>
        <v>44467308</v>
      </c>
      <c r="G87" s="101">
        <f t="shared" si="15"/>
        <v>3900000000</v>
      </c>
      <c r="H87" s="77">
        <f>SUM($G$5:$G87)</f>
        <v>56711801770</v>
      </c>
      <c r="I87" s="77">
        <f t="shared" si="16"/>
        <v>113423603540</v>
      </c>
      <c r="J87" s="77">
        <f t="array" ref="J87">MIN(IF(旅店!$U$5:$U$85&gt;=$I87,旅店!$R$5:$R$85))</f>
        <v>190.45</v>
      </c>
      <c r="K87" s="77">
        <f t="array" ref="K87">MIN(IF(旅店!$U$5:$U$85&gt;=$I87,旅店!$Q$5:$Q$85))</f>
        <v>100</v>
      </c>
    </row>
    <row r="88" spans="2:24" x14ac:dyDescent="0.15">
      <c r="B88" s="77">
        <v>84</v>
      </c>
      <c r="C88" s="77">
        <f t="array" ref="C88">MIN(IF(体力抽奖!$C$48:$C$60&gt;=树木!$B88,体力抽奖!$J$48:$J$60))</f>
        <v>18</v>
      </c>
      <c r="D88" s="83">
        <f>VLOOKUP($C88,猫咪!$B:$E,4,0)</f>
        <v>1310.72</v>
      </c>
      <c r="E88" s="109">
        <f t="shared" si="13"/>
        <v>34200</v>
      </c>
      <c r="F88" s="83">
        <f t="shared" si="14"/>
        <v>44860824</v>
      </c>
      <c r="G88" s="101">
        <f t="shared" si="15"/>
        <v>4200000000</v>
      </c>
      <c r="H88" s="77">
        <f>SUM($G$5:$G88)</f>
        <v>60911801770</v>
      </c>
      <c r="I88" s="77">
        <f t="shared" si="16"/>
        <v>121823603540</v>
      </c>
      <c r="J88" s="77">
        <f t="array" ref="J88">MIN(IF(旅店!$U$5:$U$85&gt;=$I88,旅店!$R$5:$R$85))</f>
        <v>190.45</v>
      </c>
      <c r="K88" s="77">
        <f t="array" ref="K88">MIN(IF(旅店!$U$5:$U$85&gt;=$I88,旅店!$Q$5:$Q$85))</f>
        <v>100</v>
      </c>
    </row>
    <row r="89" spans="2:24" x14ac:dyDescent="0.15">
      <c r="B89" s="77">
        <v>85</v>
      </c>
      <c r="C89" s="77">
        <f t="array" ref="C89">MIN(IF(体力抽奖!$C$48:$C$60&gt;=树木!$B89,体力抽奖!$J$48:$J$60))</f>
        <v>18</v>
      </c>
      <c r="D89" s="83">
        <f>VLOOKUP($C89,猫咪!$B:$E,4,0)</f>
        <v>1310.72</v>
      </c>
      <c r="E89" s="109">
        <f t="shared" si="13"/>
        <v>34600</v>
      </c>
      <c r="F89" s="83">
        <f t="shared" si="14"/>
        <v>45385512</v>
      </c>
      <c r="G89" s="101">
        <f t="shared" si="15"/>
        <v>4400000000</v>
      </c>
      <c r="H89" s="77">
        <f>SUM($G$5:$G89)</f>
        <v>65311801770</v>
      </c>
      <c r="I89" s="77">
        <f t="shared" si="16"/>
        <v>130623603540</v>
      </c>
      <c r="J89" s="77">
        <f t="array" ref="J89">MIN(IF(旅店!$U$5:$U$85&gt;=$I89,旅店!$R$5:$R$85))</f>
        <v>0</v>
      </c>
      <c r="K89" s="77">
        <f t="array" ref="K89">MIN(IF(旅店!$U$5:$U$85&gt;=$I89,旅店!$Q$5:$Q$85))</f>
        <v>0</v>
      </c>
    </row>
    <row r="90" spans="2:24" x14ac:dyDescent="0.15">
      <c r="B90" s="77">
        <v>86</v>
      </c>
      <c r="C90" s="77">
        <f t="array" ref="C90">MIN(IF(体力抽奖!$C$48:$C$60&gt;=树木!$B90,体力抽奖!$J$48:$J$60))</f>
        <v>18</v>
      </c>
      <c r="D90" s="83">
        <f>VLOOKUP($C90,猫咪!$B:$E,4,0)</f>
        <v>1310.72</v>
      </c>
      <c r="E90" s="109">
        <f t="shared" si="13"/>
        <v>35000</v>
      </c>
      <c r="F90" s="83">
        <f t="shared" si="14"/>
        <v>45910200</v>
      </c>
      <c r="G90" s="101">
        <f t="shared" si="15"/>
        <v>4700000000</v>
      </c>
      <c r="H90" s="77">
        <f>SUM($G$5:$G90)</f>
        <v>70011801770</v>
      </c>
      <c r="I90" s="77">
        <f t="shared" si="16"/>
        <v>140023603540</v>
      </c>
      <c r="J90" s="77">
        <f t="array" ref="J90">MIN(IF(旅店!$U$5:$U$85&gt;=$I90,旅店!$R$5:$R$85))</f>
        <v>0</v>
      </c>
      <c r="K90" s="77">
        <f t="array" ref="K90">MIN(IF(旅店!$U$5:$U$85&gt;=$I90,旅店!$Q$5:$Q$85))</f>
        <v>0</v>
      </c>
    </row>
    <row r="91" spans="2:24" x14ac:dyDescent="0.15">
      <c r="B91" s="77">
        <v>87</v>
      </c>
      <c r="C91" s="77">
        <f t="array" ref="C91">MIN(IF(体力抽奖!$C$48:$C$60&gt;=树木!$B91,体力抽奖!$J$48:$J$60))</f>
        <v>18</v>
      </c>
      <c r="D91" s="83">
        <f>VLOOKUP($C91,猫咪!$B:$E,4,0)</f>
        <v>1310.72</v>
      </c>
      <c r="E91" s="109">
        <f t="shared" si="13"/>
        <v>35300</v>
      </c>
      <c r="F91" s="83">
        <f t="shared" si="14"/>
        <v>46303716</v>
      </c>
      <c r="G91" s="101">
        <f t="shared" si="15"/>
        <v>5000000000</v>
      </c>
      <c r="H91" s="77">
        <f>SUM($G$5:$G91)</f>
        <v>75011801770</v>
      </c>
      <c r="I91" s="77">
        <f t="shared" si="16"/>
        <v>150023603540</v>
      </c>
      <c r="J91" s="77">
        <f t="array" ref="J91">MIN(IF(旅店!$U$5:$U$85&gt;=$I91,旅店!$R$5:$R$85))</f>
        <v>0</v>
      </c>
      <c r="K91" s="77">
        <f t="array" ref="K91">MIN(IF(旅店!$U$5:$U$85&gt;=$I91,旅店!$Q$5:$Q$85))</f>
        <v>0</v>
      </c>
    </row>
    <row r="92" spans="2:24" x14ac:dyDescent="0.15">
      <c r="B92" s="77">
        <v>88</v>
      </c>
      <c r="C92" s="77">
        <f t="array" ref="C92">MIN(IF(体力抽奖!$C$48:$C$60&gt;=树木!$B92,体力抽奖!$J$48:$J$60))</f>
        <v>18</v>
      </c>
      <c r="D92" s="83">
        <f>VLOOKUP($C92,猫咪!$B:$E,4,0)</f>
        <v>1310.72</v>
      </c>
      <c r="E92" s="109">
        <f t="shared" si="13"/>
        <v>35700</v>
      </c>
      <c r="F92" s="83">
        <f t="shared" si="14"/>
        <v>46828404</v>
      </c>
      <c r="G92" s="101">
        <f t="shared" si="15"/>
        <v>5300000000</v>
      </c>
      <c r="H92" s="77">
        <f>SUM($G$5:$G92)</f>
        <v>80311801770</v>
      </c>
      <c r="I92" s="77">
        <f t="shared" si="16"/>
        <v>160623603540</v>
      </c>
      <c r="J92" s="77">
        <f t="array" ref="J92">MIN(IF(旅店!$U$5:$U$85&gt;=$I92,旅店!$R$5:$R$85))</f>
        <v>0</v>
      </c>
      <c r="K92" s="77">
        <f t="array" ref="K92">MIN(IF(旅店!$U$5:$U$85&gt;=$I92,旅店!$Q$5:$Q$85))</f>
        <v>0</v>
      </c>
    </row>
    <row r="93" spans="2:24" x14ac:dyDescent="0.15">
      <c r="B93" s="77">
        <v>89</v>
      </c>
      <c r="C93" s="77">
        <f t="array" ref="C93">MIN(IF(体力抽奖!$C$48:$C$60&gt;=树木!$B93,体力抽奖!$J$48:$J$60))</f>
        <v>18</v>
      </c>
      <c r="D93" s="83">
        <f>VLOOKUP($C93,猫咪!$B:$E,4,0)</f>
        <v>1310.72</v>
      </c>
      <c r="E93" s="109">
        <f t="shared" si="13"/>
        <v>36000</v>
      </c>
      <c r="F93" s="83">
        <f t="shared" si="14"/>
        <v>47221920</v>
      </c>
      <c r="G93" s="101">
        <f t="shared" si="15"/>
        <v>5600000000</v>
      </c>
      <c r="H93" s="77">
        <f>SUM($G$5:$G93)</f>
        <v>85911801770</v>
      </c>
      <c r="I93" s="77">
        <f t="shared" si="16"/>
        <v>171823603540</v>
      </c>
      <c r="J93" s="77">
        <f t="array" ref="J93">MIN(IF(旅店!$U$5:$U$85&gt;=$I93,旅店!$R$5:$R$85))</f>
        <v>0</v>
      </c>
      <c r="K93" s="77">
        <f t="array" ref="K93">MIN(IF(旅店!$U$5:$U$85&gt;=$I93,旅店!$Q$5:$Q$85))</f>
        <v>0</v>
      </c>
    </row>
    <row r="94" spans="2:24" x14ac:dyDescent="0.15">
      <c r="B94" s="77">
        <v>90</v>
      </c>
      <c r="C94" s="77">
        <f t="array" ref="C94">MIN(IF(体力抽奖!$C$48:$C$60&gt;=树木!$B94,体力抽奖!$J$48:$J$60))</f>
        <v>20</v>
      </c>
      <c r="D94" s="83">
        <f>VLOOKUP($C94,猫咪!$B:$E,4,0)</f>
        <v>5242.88</v>
      </c>
      <c r="E94" s="109">
        <f t="shared" si="13"/>
        <v>36400</v>
      </c>
      <c r="F94" s="83">
        <f t="shared" si="14"/>
        <v>190877232</v>
      </c>
      <c r="G94" s="101">
        <f t="shared" si="15"/>
        <v>5900000000</v>
      </c>
      <c r="H94" s="77">
        <f>SUM($G$5:$G94)</f>
        <v>91811801770</v>
      </c>
      <c r="I94" s="77">
        <f t="shared" si="16"/>
        <v>183623603540</v>
      </c>
      <c r="J94" s="77">
        <f t="array" ref="J94">MIN(IF(旅店!$U$5:$U$85&gt;=$I94,旅店!$R$5:$R$85))</f>
        <v>0</v>
      </c>
      <c r="K94" s="77">
        <f t="array" ref="K94">MIN(IF(旅店!$U$5:$U$85&gt;=$I94,旅店!$Q$5:$Q$85))</f>
        <v>0</v>
      </c>
    </row>
    <row r="95" spans="2:24" x14ac:dyDescent="0.15">
      <c r="B95" s="77">
        <v>91</v>
      </c>
      <c r="C95" s="77">
        <f t="array" ref="C95">MIN(IF(体力抽奖!$C$48:$C$60&gt;=树木!$B95,体力抽奖!$J$48:$J$60))</f>
        <v>20</v>
      </c>
      <c r="D95" s="83">
        <f>VLOOKUP($C95,猫咪!$B:$E,4,0)</f>
        <v>5242.88</v>
      </c>
      <c r="E95" s="109">
        <f t="shared" si="13"/>
        <v>36800</v>
      </c>
      <c r="F95" s="83">
        <f t="shared" si="14"/>
        <v>192974784</v>
      </c>
      <c r="G95" s="101">
        <f t="shared" si="15"/>
        <v>6200000000</v>
      </c>
      <c r="H95" s="77">
        <f>SUM($G$5:$G95)</f>
        <v>98011801770</v>
      </c>
      <c r="I95" s="77">
        <f t="shared" si="16"/>
        <v>196023603540</v>
      </c>
      <c r="J95" s="77">
        <f t="array" ref="J95">MIN(IF(旅店!$U$5:$U$85&gt;=$I95,旅店!$R$5:$R$85))</f>
        <v>0</v>
      </c>
      <c r="K95" s="77">
        <f t="array" ref="K95">MIN(IF(旅店!$U$5:$U$85&gt;=$I95,旅店!$Q$5:$Q$85))</f>
        <v>0</v>
      </c>
    </row>
    <row r="96" spans="2:24" x14ac:dyDescent="0.15">
      <c r="B96" s="77">
        <v>92</v>
      </c>
      <c r="C96" s="77">
        <f t="array" ref="C96">MIN(IF(体力抽奖!$C$48:$C$60&gt;=树木!$B96,体力抽奖!$J$48:$J$60))</f>
        <v>20</v>
      </c>
      <c r="D96" s="83">
        <f>VLOOKUP($C96,猫咪!$B:$E,4,0)</f>
        <v>5242.88</v>
      </c>
      <c r="E96" s="109">
        <f t="shared" si="13"/>
        <v>37100</v>
      </c>
      <c r="F96" s="83">
        <f t="shared" si="14"/>
        <v>194547948</v>
      </c>
      <c r="G96" s="101">
        <f t="shared" si="15"/>
        <v>6600000000</v>
      </c>
      <c r="H96" s="77">
        <f>SUM($G$5:$G96)</f>
        <v>104611801770</v>
      </c>
      <c r="I96" s="77">
        <f t="shared" si="16"/>
        <v>209223603540</v>
      </c>
      <c r="J96" s="77">
        <f t="array" ref="J96">MIN(IF(旅店!$U$5:$U$85&gt;=$I96,旅店!$R$5:$R$85))</f>
        <v>0</v>
      </c>
      <c r="K96" s="77">
        <f t="array" ref="K96">MIN(IF(旅店!$U$5:$U$85&gt;=$I96,旅店!$Q$5:$Q$85))</f>
        <v>0</v>
      </c>
    </row>
    <row r="97" spans="2:11" x14ac:dyDescent="0.15">
      <c r="B97" s="77">
        <v>93</v>
      </c>
      <c r="C97" s="77">
        <f t="array" ref="C97">MIN(IF(体力抽奖!$C$48:$C$60&gt;=树木!$B97,体力抽奖!$J$48:$J$60))</f>
        <v>20</v>
      </c>
      <c r="D97" s="83">
        <f>VLOOKUP($C97,猫咪!$B:$E,4,0)</f>
        <v>5242.88</v>
      </c>
      <c r="E97" s="109">
        <f t="shared" si="13"/>
        <v>37500</v>
      </c>
      <c r="F97" s="83">
        <f t="shared" si="14"/>
        <v>196645500</v>
      </c>
      <c r="G97" s="101">
        <f t="shared" si="15"/>
        <v>7000000000</v>
      </c>
      <c r="H97" s="77">
        <f>SUM($G$5:$G97)</f>
        <v>111611801770</v>
      </c>
      <c r="I97" s="77">
        <f t="shared" si="16"/>
        <v>223223603540</v>
      </c>
      <c r="J97" s="77">
        <f t="array" ref="J97">MIN(IF(旅店!$U$5:$U$85&gt;=$I97,旅店!$R$5:$R$85))</f>
        <v>0</v>
      </c>
      <c r="K97" s="77">
        <f t="array" ref="K97">MIN(IF(旅店!$U$5:$U$85&gt;=$I97,旅店!$Q$5:$Q$85))</f>
        <v>0</v>
      </c>
    </row>
    <row r="98" spans="2:11" x14ac:dyDescent="0.15">
      <c r="B98" s="77">
        <v>94</v>
      </c>
      <c r="C98" s="77">
        <f t="array" ref="C98">MIN(IF(体力抽奖!$C$48:$C$60&gt;=树木!$B98,体力抽奖!$J$48:$J$60))</f>
        <v>20</v>
      </c>
      <c r="D98" s="83">
        <f>VLOOKUP($C98,猫咪!$B:$E,4,0)</f>
        <v>5242.88</v>
      </c>
      <c r="E98" s="109">
        <f t="shared" si="13"/>
        <v>37800</v>
      </c>
      <c r="F98" s="83">
        <f t="shared" si="14"/>
        <v>198218664</v>
      </c>
      <c r="G98" s="101">
        <f t="shared" si="15"/>
        <v>7300000000</v>
      </c>
      <c r="H98" s="77">
        <f>SUM($G$5:$G98)</f>
        <v>118911801770</v>
      </c>
      <c r="I98" s="77">
        <f t="shared" si="16"/>
        <v>237823603540</v>
      </c>
      <c r="J98" s="77">
        <f t="array" ref="J98">MIN(IF(旅店!$U$5:$U$85&gt;=$I98,旅店!$R$5:$R$85))</f>
        <v>0</v>
      </c>
      <c r="K98" s="77">
        <f t="array" ref="K98">MIN(IF(旅店!$U$5:$U$85&gt;=$I98,旅店!$Q$5:$Q$85))</f>
        <v>0</v>
      </c>
    </row>
    <row r="99" spans="2:11" x14ac:dyDescent="0.15">
      <c r="B99" s="77">
        <v>95</v>
      </c>
      <c r="C99" s="77">
        <f t="array" ref="C99">MIN(IF(体力抽奖!$C$48:$C$60&gt;=树木!$B99,体力抽奖!$J$48:$J$60))</f>
        <v>20</v>
      </c>
      <c r="D99" s="83">
        <f>VLOOKUP($C99,猫咪!$B:$E,4,0)</f>
        <v>5242.88</v>
      </c>
      <c r="E99" s="109">
        <f t="shared" si="13"/>
        <v>38200</v>
      </c>
      <c r="F99" s="83">
        <f t="shared" si="14"/>
        <v>200316216</v>
      </c>
      <c r="G99" s="101">
        <f t="shared" si="15"/>
        <v>7700000000</v>
      </c>
      <c r="H99" s="77">
        <f>SUM($G$5:$G99)</f>
        <v>126611801770</v>
      </c>
      <c r="I99" s="77">
        <f t="shared" si="16"/>
        <v>253223603540</v>
      </c>
      <c r="J99" s="77">
        <f t="array" ref="J99">MIN(IF(旅店!$U$5:$U$85&gt;=$I99,旅店!$R$5:$R$85))</f>
        <v>0</v>
      </c>
      <c r="K99" s="77">
        <f t="array" ref="K99">MIN(IF(旅店!$U$5:$U$85&gt;=$I99,旅店!$Q$5:$Q$85))</f>
        <v>0</v>
      </c>
    </row>
    <row r="100" spans="2:11" x14ac:dyDescent="0.15">
      <c r="B100" s="77">
        <v>96</v>
      </c>
      <c r="C100" s="77">
        <f t="array" ref="C100">MIN(IF(体力抽奖!$C$48:$C$60&gt;=树木!$B100,体力抽奖!$J$48:$J$60))</f>
        <v>20</v>
      </c>
      <c r="D100" s="83">
        <f>VLOOKUP($C100,猫咪!$B:$E,4,0)</f>
        <v>5242.88</v>
      </c>
      <c r="E100" s="109">
        <f t="shared" si="13"/>
        <v>38600</v>
      </c>
      <c r="F100" s="83">
        <f t="shared" si="14"/>
        <v>202413768</v>
      </c>
      <c r="G100" s="101">
        <f t="shared" si="15"/>
        <v>8200000000</v>
      </c>
      <c r="H100" s="77">
        <f>SUM($G$5:$G100)</f>
        <v>134811801770</v>
      </c>
      <c r="I100" s="77">
        <f t="shared" si="16"/>
        <v>269623603540</v>
      </c>
      <c r="J100" s="77">
        <f t="array" ref="J100">MIN(IF(旅店!$U$5:$U$85&gt;=$I100,旅店!$R$5:$R$85))</f>
        <v>0</v>
      </c>
      <c r="K100" s="77">
        <f t="array" ref="K100">MIN(IF(旅店!$U$5:$U$85&gt;=$I100,旅店!$Q$5:$Q$85))</f>
        <v>0</v>
      </c>
    </row>
    <row r="101" spans="2:11" x14ac:dyDescent="0.15">
      <c r="B101" s="77">
        <v>97</v>
      </c>
      <c r="C101" s="77">
        <f t="array" ref="C101">MIN(IF(体力抽奖!$C$48:$C$60&gt;=树木!$B101,体力抽奖!$J$48:$J$60))</f>
        <v>20</v>
      </c>
      <c r="D101" s="83">
        <f>VLOOKUP($C101,猫咪!$B:$E,4,0)</f>
        <v>5242.88</v>
      </c>
      <c r="E101" s="109">
        <f t="shared" si="13"/>
        <v>38900</v>
      </c>
      <c r="F101" s="83">
        <f t="shared" si="14"/>
        <v>203986932</v>
      </c>
      <c r="G101" s="101">
        <f t="shared" si="15"/>
        <v>8600000000</v>
      </c>
      <c r="H101" s="77">
        <f>SUM($G$5:$G101)</f>
        <v>143411801770</v>
      </c>
      <c r="I101" s="77">
        <f t="shared" si="16"/>
        <v>286823603540</v>
      </c>
      <c r="J101" s="77">
        <f t="array" ref="J101">MIN(IF(旅店!$U$5:$U$85&gt;=$I101,旅店!$R$5:$R$85))</f>
        <v>0</v>
      </c>
      <c r="K101" s="77">
        <f t="array" ref="K101">MIN(IF(旅店!$U$5:$U$85&gt;=$I101,旅店!$Q$5:$Q$85))</f>
        <v>0</v>
      </c>
    </row>
    <row r="102" spans="2:11" x14ac:dyDescent="0.15">
      <c r="B102" s="77">
        <v>98</v>
      </c>
      <c r="C102" s="77">
        <f t="array" ref="C102">MIN(IF(体力抽奖!$C$48:$C$60&gt;=树木!$B102,体力抽奖!$J$48:$J$60))</f>
        <v>20</v>
      </c>
      <c r="D102" s="83">
        <f>VLOOKUP($C102,猫咪!$B:$E,4,0)</f>
        <v>5242.88</v>
      </c>
      <c r="E102" s="109">
        <f t="shared" si="13"/>
        <v>39300</v>
      </c>
      <c r="F102" s="83">
        <f t="shared" si="14"/>
        <v>206084484</v>
      </c>
      <c r="G102" s="101">
        <f t="shared" si="15"/>
        <v>9000000000</v>
      </c>
      <c r="H102" s="77">
        <f>SUM($G$5:$G102)</f>
        <v>152411801770</v>
      </c>
      <c r="I102" s="77">
        <f t="shared" si="16"/>
        <v>304823603540</v>
      </c>
      <c r="J102" s="77">
        <f t="array" ref="J102">MIN(IF(旅店!$U$5:$U$85&gt;=$I102,旅店!$R$5:$R$85))</f>
        <v>0</v>
      </c>
      <c r="K102" s="77">
        <f t="array" ref="K102">MIN(IF(旅店!$U$5:$U$85&gt;=$I102,旅店!$Q$5:$Q$85))</f>
        <v>0</v>
      </c>
    </row>
    <row r="103" spans="2:11" x14ac:dyDescent="0.15">
      <c r="B103" s="77">
        <v>99</v>
      </c>
      <c r="C103" s="77">
        <f t="array" ref="C103">MIN(IF(体力抽奖!$C$48:$C$60&gt;=树木!$B103,体力抽奖!$J$48:$J$60))</f>
        <v>20</v>
      </c>
      <c r="D103" s="83">
        <f>VLOOKUP($C103,猫咪!$B:$E,4,0)</f>
        <v>5242.88</v>
      </c>
      <c r="E103" s="109">
        <f t="shared" si="13"/>
        <v>39600</v>
      </c>
      <c r="F103" s="83">
        <f t="shared" si="14"/>
        <v>207657648</v>
      </c>
      <c r="G103" s="101">
        <f t="shared" si="15"/>
        <v>9500000000</v>
      </c>
      <c r="H103" s="77">
        <f>SUM($G$5:$G103)</f>
        <v>161911801770</v>
      </c>
      <c r="I103" s="77">
        <f t="shared" si="16"/>
        <v>323823603540</v>
      </c>
      <c r="J103" s="77">
        <f t="array" ref="J103">MIN(IF(旅店!$U$5:$U$85&gt;=$I103,旅店!$R$5:$R$85))</f>
        <v>0</v>
      </c>
      <c r="K103" s="77">
        <f t="array" ref="K103">MIN(IF(旅店!$U$5:$U$85&gt;=$I103,旅店!$Q$5:$Q$85))</f>
        <v>0</v>
      </c>
    </row>
    <row r="104" spans="2:11" x14ac:dyDescent="0.15">
      <c r="B104" s="77">
        <v>100</v>
      </c>
      <c r="C104" s="77">
        <f t="array" ref="C104">MIN(IF(体力抽奖!$C$48:$C$60&gt;=树木!$B104,体力抽奖!$J$48:$J$60))</f>
        <v>21</v>
      </c>
      <c r="D104" s="83">
        <f>VLOOKUP($C104,猫咪!$B:$E,4,0)</f>
        <v>10485.76</v>
      </c>
      <c r="E104" s="109">
        <f t="shared" si="13"/>
        <v>40000</v>
      </c>
      <c r="F104" s="83">
        <f t="shared" si="14"/>
        <v>419470400</v>
      </c>
      <c r="G104" s="101">
        <f t="shared" si="15"/>
        <v>10000000000</v>
      </c>
      <c r="H104" s="77">
        <f>SUM($G$5:$G104)</f>
        <v>171911801770</v>
      </c>
      <c r="I104" s="77">
        <f t="shared" si="16"/>
        <v>343823603540</v>
      </c>
      <c r="J104" s="77">
        <f t="array" ref="J104">MIN(IF(旅店!$U$5:$U$85&gt;=$I104,旅店!$R$5:$R$85))</f>
        <v>0</v>
      </c>
      <c r="K104" s="77">
        <f t="array" ref="K104">MIN(IF(旅店!$U$5:$U$85&gt;=$I104,旅店!$Q$5:$Q$85))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4"/>
  <sheetViews>
    <sheetView topLeftCell="B1" workbookViewId="0">
      <pane ySplit="24" topLeftCell="A25" activePane="bottomLeft" state="frozen"/>
      <selection pane="bottomLeft" activeCell="G32" sqref="G32"/>
    </sheetView>
  </sheetViews>
  <sheetFormatPr defaultRowHeight="16.5" x14ac:dyDescent="0.15"/>
  <cols>
    <col min="1" max="1" width="9" style="70"/>
    <col min="2" max="2" width="9" style="81"/>
    <col min="3" max="3" width="8" style="70" bestFit="1" customWidth="1"/>
    <col min="4" max="4" width="14" style="81" bestFit="1" customWidth="1"/>
    <col min="5" max="5" width="14" style="70" customWidth="1"/>
    <col min="6" max="6" width="11.375" style="81" bestFit="1" customWidth="1"/>
    <col min="7" max="7" width="12.75" style="99" bestFit="1" customWidth="1"/>
    <col min="8" max="8" width="12.875" style="70" bestFit="1" customWidth="1"/>
    <col min="9" max="9" width="20" style="70" bestFit="1" customWidth="1"/>
    <col min="10" max="10" width="18.625" style="70" bestFit="1" customWidth="1"/>
    <col min="11" max="11" width="22.25" style="70" bestFit="1" customWidth="1"/>
    <col min="12" max="16" width="9" style="70"/>
    <col min="17" max="17" width="11.375" style="70" bestFit="1" customWidth="1"/>
    <col min="18" max="18" width="15" style="70" bestFit="1" customWidth="1"/>
    <col min="19" max="19" width="12.75" style="70" bestFit="1" customWidth="1"/>
    <col min="20" max="21" width="9" style="70"/>
    <col min="22" max="22" width="11.375" style="70" bestFit="1" customWidth="1"/>
    <col min="23" max="23" width="15" style="70" bestFit="1" customWidth="1"/>
    <col min="24" max="24" width="12.75" style="70" bestFit="1" customWidth="1"/>
    <col min="25" max="26" width="9" style="70"/>
    <col min="27" max="28" width="16.625" style="70" bestFit="1" customWidth="1"/>
    <col min="29" max="16384" width="9" style="70"/>
  </cols>
  <sheetData>
    <row r="1" spans="2:28" x14ac:dyDescent="0.15">
      <c r="E1" s="70">
        <v>360</v>
      </c>
      <c r="F1" s="70"/>
      <c r="G1" s="99">
        <v>5</v>
      </c>
    </row>
    <row r="2" spans="2:28" x14ac:dyDescent="0.15">
      <c r="E2" s="70">
        <v>4000</v>
      </c>
      <c r="F2" s="70"/>
      <c r="G2" s="99">
        <v>100</v>
      </c>
    </row>
    <row r="4" spans="2:28" x14ac:dyDescent="0.15">
      <c r="B4" s="83" t="s">
        <v>364</v>
      </c>
      <c r="C4" s="77" t="s">
        <v>305</v>
      </c>
      <c r="D4" s="83" t="s">
        <v>363</v>
      </c>
      <c r="E4" s="77" t="s">
        <v>368</v>
      </c>
      <c r="F4" s="83" t="s">
        <v>286</v>
      </c>
      <c r="G4" s="101" t="s">
        <v>263</v>
      </c>
      <c r="H4" s="77" t="s">
        <v>343</v>
      </c>
      <c r="I4" s="77" t="s">
        <v>365</v>
      </c>
      <c r="J4" s="77" t="s">
        <v>366</v>
      </c>
      <c r="K4" s="77" t="s">
        <v>367</v>
      </c>
      <c r="M4" s="77" t="s">
        <v>267</v>
      </c>
      <c r="O4" s="77" t="s">
        <v>9</v>
      </c>
      <c r="P4" s="77" t="s">
        <v>34</v>
      </c>
      <c r="Q4" s="77" t="s">
        <v>278</v>
      </c>
      <c r="R4" s="77" t="s">
        <v>274</v>
      </c>
      <c r="S4" s="77" t="s">
        <v>275</v>
      </c>
      <c r="U4" s="77" t="s">
        <v>279</v>
      </c>
      <c r="V4" s="77" t="s">
        <v>280</v>
      </c>
      <c r="W4" s="77" t="s">
        <v>274</v>
      </c>
      <c r="X4" s="77" t="s">
        <v>275</v>
      </c>
      <c r="Z4" s="83" t="s">
        <v>9</v>
      </c>
      <c r="AA4" s="83" t="s">
        <v>376</v>
      </c>
      <c r="AB4" s="83" t="s">
        <v>377</v>
      </c>
    </row>
    <row r="5" spans="2:28" x14ac:dyDescent="0.15">
      <c r="B5" s="83">
        <v>1</v>
      </c>
      <c r="C5" s="77">
        <f t="array" ref="C5">MIN(IF(体力抽奖!$C$48:$C$60&gt;=矿山!$B5,体力抽奖!$J$48:$J$60))</f>
        <v>8</v>
      </c>
      <c r="D5" s="83">
        <f>VLOOKUP($C5,猫咪!$B:$E,4,0)</f>
        <v>1.28</v>
      </c>
      <c r="E5" s="109">
        <f>ROUND(B5*$E$1+$E$2,3-LEN(INT(B5*$E$1+$E$2)))</f>
        <v>4360</v>
      </c>
      <c r="F5" s="83">
        <f>E5*(1+D5)</f>
        <v>9940.8000000000011</v>
      </c>
      <c r="G5" s="101">
        <f>ROUND(B5^$G$1+$G$2,2-LEN(B5^$G$1+$G$2))</f>
        <v>100</v>
      </c>
      <c r="H5" s="77">
        <f>SUM($G$5:$G5)</f>
        <v>100</v>
      </c>
      <c r="I5" s="77">
        <f>H5*2</f>
        <v>200</v>
      </c>
      <c r="J5" s="77">
        <f t="array" ref="J5">MIN(IF(旅店!$U$5:$U$85&gt;=$I5,旅店!$R$5:$R$85))</f>
        <v>0.02</v>
      </c>
      <c r="K5" s="77">
        <f t="array" ref="K5">MIN(IF(旅店!$U$5:$U$85&gt;=$I5,旅店!$Q$5:$Q$85))</f>
        <v>20</v>
      </c>
      <c r="M5" s="77">
        <v>10</v>
      </c>
      <c r="O5" s="77">
        <v>20</v>
      </c>
      <c r="P5" s="77">
        <f>INDEX(等级时间!$U$3:$AU$203,MATCH($O5,等级时间!$U$3:$U$203,0),MATCH(P$4,等级时间!$U$3:$AU$3,0))</f>
        <v>0.02</v>
      </c>
      <c r="Q5" s="77">
        <f>P5</f>
        <v>0.02</v>
      </c>
      <c r="R5" s="77">
        <f t="shared" ref="R5:R36" si="0">INDEX($B$4:$H$104,MATCH($O5,$B$4:$B$104,0),MATCH("每日产出矿石",$B$4:$H$4,0))*Q5*IF($O5&gt;=$M$6,2,1)</f>
        <v>510.72000000000008</v>
      </c>
      <c r="S5" s="77">
        <f>SUM($R$5:$R5)</f>
        <v>510.72000000000008</v>
      </c>
      <c r="U5" s="77">
        <f>INDEX(等级时间!$U$3:$AU$203,MATCH($O5,等级时间!$U$3:$U$203,0),MATCH(U$4,等级时间!$U$3:$AU$3,0))</f>
        <v>0.01</v>
      </c>
      <c r="V5" s="77">
        <f>U5</f>
        <v>0.01</v>
      </c>
      <c r="W5" s="77">
        <f t="shared" ref="W5:W36" si="1">INDEX($B$4:$H$104,MATCH($O5,$B$4:$B$104,0),MATCH("每日产出矿石",$B$4:$H$4,0))*V5*IF($O5&gt;=$M$6,2,1)</f>
        <v>255.36000000000004</v>
      </c>
      <c r="X5" s="77">
        <f>SUM($W$5:$W5)</f>
        <v>255.36000000000004</v>
      </c>
      <c r="Z5" s="83">
        <v>20</v>
      </c>
      <c r="AA5" s="83">
        <v>1000</v>
      </c>
      <c r="AB5" s="83">
        <f>1/AA5</f>
        <v>1E-3</v>
      </c>
    </row>
    <row r="6" spans="2:28" x14ac:dyDescent="0.15">
      <c r="B6" s="83">
        <v>2</v>
      </c>
      <c r="C6" s="77">
        <f t="array" ref="C6">MIN(IF(体力抽奖!$C$48:$C$60&gt;=矿山!$B6,体力抽奖!$J$48:$J$60))</f>
        <v>8</v>
      </c>
      <c r="D6" s="83">
        <f>VLOOKUP($C6,猫咪!$B:$E,4,0)</f>
        <v>1.28</v>
      </c>
      <c r="E6" s="109">
        <f t="shared" ref="E6:E69" si="2">ROUND(B6*$E$1+$E$2,3-LEN(INT(B6*$E$1+$E$2)))</f>
        <v>4720</v>
      </c>
      <c r="F6" s="83">
        <f t="shared" ref="F6:F69" si="3">E6*(1+D6)</f>
        <v>10761.6</v>
      </c>
      <c r="G6" s="101">
        <f t="shared" ref="G6:G69" si="4">ROUND(B6^$G$1+$G$2,2-LEN(B6^$G$1+$G$2))</f>
        <v>130</v>
      </c>
      <c r="H6" s="77">
        <f>SUM($G$5:$G6)</f>
        <v>230</v>
      </c>
      <c r="I6" s="77">
        <f t="shared" ref="I6:I69" si="5">H6*2</f>
        <v>460</v>
      </c>
      <c r="J6" s="77">
        <f t="array" ref="J6">MIN(IF(旅店!$U$5:$U$85&gt;=$I6,旅店!$R$5:$R$85))</f>
        <v>0.02</v>
      </c>
      <c r="K6" s="77">
        <f t="array" ref="K6">MIN(IF(旅店!$U$5:$U$85&gt;=$I6,旅店!$Q$5:$Q$85))</f>
        <v>20</v>
      </c>
      <c r="M6" s="77">
        <v>50</v>
      </c>
      <c r="O6" s="77">
        <v>21</v>
      </c>
      <c r="P6" s="77">
        <f>INDEX(等级时间!$U$3:$AU$203,MATCH($O6,等级时间!$U$3:$U$203,0),MATCH(P$4,等级时间!$U$3:$AU$3,0))</f>
        <v>0.14000000000000001</v>
      </c>
      <c r="Q6" s="77">
        <f>P6-P5</f>
        <v>0.12000000000000001</v>
      </c>
      <c r="R6" s="77">
        <f t="shared" si="0"/>
        <v>3173.7600000000007</v>
      </c>
      <c r="S6" s="77">
        <f>SUM($R$5:$R6)</f>
        <v>3684.4800000000009</v>
      </c>
      <c r="U6" s="77">
        <f>INDEX(等级时间!$U$3:$AU$203,MATCH($O6,等级时间!$U$3:$U$203,0),MATCH(U$4,等级时间!$U$3:$AU$3,0))</f>
        <v>0.06</v>
      </c>
      <c r="V6" s="77">
        <f>U6-U5</f>
        <v>4.9999999999999996E-2</v>
      </c>
      <c r="W6" s="77">
        <f t="shared" si="1"/>
        <v>1322.4</v>
      </c>
      <c r="X6" s="77">
        <f>SUM($W$5:$W6)</f>
        <v>1577.7600000000002</v>
      </c>
      <c r="Z6" s="83">
        <v>30</v>
      </c>
      <c r="AA6" s="83">
        <v>1500</v>
      </c>
      <c r="AB6" s="83">
        <f t="shared" ref="AB6:AB18" si="6">1/AA6</f>
        <v>6.6666666666666664E-4</v>
      </c>
    </row>
    <row r="7" spans="2:28" x14ac:dyDescent="0.15">
      <c r="B7" s="83">
        <v>3</v>
      </c>
      <c r="C7" s="77">
        <f t="array" ref="C7">MIN(IF(体力抽奖!$C$48:$C$60&gt;=矿山!$B7,体力抽奖!$J$48:$J$60))</f>
        <v>8</v>
      </c>
      <c r="D7" s="83">
        <f>VLOOKUP($C7,猫咪!$B:$E,4,0)</f>
        <v>1.28</v>
      </c>
      <c r="E7" s="109">
        <f t="shared" si="2"/>
        <v>5080</v>
      </c>
      <c r="F7" s="83">
        <f t="shared" si="3"/>
        <v>11582.400000000001</v>
      </c>
      <c r="G7" s="101">
        <f t="shared" si="4"/>
        <v>340</v>
      </c>
      <c r="H7" s="77">
        <f>SUM($G$5:$G7)</f>
        <v>570</v>
      </c>
      <c r="I7" s="77">
        <f t="shared" si="5"/>
        <v>1140</v>
      </c>
      <c r="J7" s="77">
        <f t="array" ref="J7">MIN(IF(旅店!$U$5:$U$85&gt;=$I7,旅店!$R$5:$R$85))</f>
        <v>0.02</v>
      </c>
      <c r="K7" s="77">
        <f t="array" ref="K7">MIN(IF(旅店!$U$5:$U$85&gt;=$I7,旅店!$Q$5:$Q$85))</f>
        <v>20</v>
      </c>
      <c r="O7" s="77">
        <v>22</v>
      </c>
      <c r="P7" s="77">
        <f>INDEX(等级时间!$U$3:$AU$203,MATCH($O7,等级时间!$U$3:$U$203,0),MATCH(P$4,等级时间!$U$3:$AU$3,0))</f>
        <v>0.27</v>
      </c>
      <c r="Q7" s="77">
        <f t="shared" ref="Q7:Q70" si="7">P7-P6</f>
        <v>0.13</v>
      </c>
      <c r="R7" s="77">
        <f t="shared" si="0"/>
        <v>3527.1600000000008</v>
      </c>
      <c r="S7" s="77">
        <f>SUM($R$5:$R7)</f>
        <v>7211.6400000000012</v>
      </c>
      <c r="U7" s="77">
        <f>INDEX(等级时间!$U$3:$AU$203,MATCH($O7,等级时间!$U$3:$U$203,0),MATCH(U$4,等级时间!$U$3:$AU$3,0))</f>
        <v>0.11</v>
      </c>
      <c r="V7" s="77">
        <f t="shared" ref="V7:V70" si="8">U7-U6</f>
        <v>0.05</v>
      </c>
      <c r="W7" s="77">
        <f t="shared" si="1"/>
        <v>1356.6000000000004</v>
      </c>
      <c r="X7" s="77">
        <f>SUM($W$5:$W7)</f>
        <v>2934.3600000000006</v>
      </c>
      <c r="Z7" s="83">
        <v>40</v>
      </c>
      <c r="AA7" s="83">
        <v>2500</v>
      </c>
      <c r="AB7" s="83">
        <f t="shared" si="6"/>
        <v>4.0000000000000002E-4</v>
      </c>
    </row>
    <row r="8" spans="2:28" x14ac:dyDescent="0.15">
      <c r="B8" s="83">
        <v>4</v>
      </c>
      <c r="C8" s="77">
        <f t="array" ref="C8">MIN(IF(体力抽奖!$C$48:$C$60&gt;=矿山!$B8,体力抽奖!$J$48:$J$60))</f>
        <v>8</v>
      </c>
      <c r="D8" s="83">
        <f>VLOOKUP($C8,猫咪!$B:$E,4,0)</f>
        <v>1.28</v>
      </c>
      <c r="E8" s="109">
        <f t="shared" si="2"/>
        <v>5440</v>
      </c>
      <c r="F8" s="83">
        <f t="shared" si="3"/>
        <v>12403.2</v>
      </c>
      <c r="G8" s="101">
        <f t="shared" si="4"/>
        <v>1100</v>
      </c>
      <c r="H8" s="77">
        <f>SUM($G$5:$G8)</f>
        <v>1670</v>
      </c>
      <c r="I8" s="77">
        <f t="shared" si="5"/>
        <v>3340</v>
      </c>
      <c r="J8" s="77">
        <f t="array" ref="J8">MIN(IF(旅店!$U$5:$U$85&gt;=$I8,旅店!$R$5:$R$85))</f>
        <v>0.02</v>
      </c>
      <c r="K8" s="77">
        <f t="array" ref="K8">MIN(IF(旅店!$U$5:$U$85&gt;=$I8,旅店!$Q$5:$Q$85))</f>
        <v>20</v>
      </c>
      <c r="O8" s="77">
        <v>23</v>
      </c>
      <c r="P8" s="77">
        <f>INDEX(等级时间!$U$3:$AU$203,MATCH($O8,等级时间!$U$3:$U$203,0),MATCH(P$4,等级时间!$U$3:$AU$3,0))</f>
        <v>0.42</v>
      </c>
      <c r="Q8" s="77">
        <f t="shared" si="7"/>
        <v>0.14999999999999997</v>
      </c>
      <c r="R8" s="77">
        <f t="shared" si="0"/>
        <v>4206.5999999999995</v>
      </c>
      <c r="S8" s="77">
        <f>SUM($R$5:$R8)</f>
        <v>11418.240000000002</v>
      </c>
      <c r="U8" s="77">
        <f>INDEX(等级时间!$U$3:$AU$203,MATCH($O8,等级时间!$U$3:$U$203,0),MATCH(U$4,等级时间!$U$3:$AU$3,0))</f>
        <v>0.18</v>
      </c>
      <c r="V8" s="77">
        <f t="shared" si="8"/>
        <v>6.9999999999999993E-2</v>
      </c>
      <c r="W8" s="77">
        <f t="shared" si="1"/>
        <v>1963.0800000000002</v>
      </c>
      <c r="X8" s="77">
        <f>SUM($W$5:$W8)</f>
        <v>4897.4400000000005</v>
      </c>
      <c r="Z8" s="83">
        <v>50</v>
      </c>
      <c r="AA8" s="83">
        <v>3500</v>
      </c>
      <c r="AB8" s="83">
        <f t="shared" si="6"/>
        <v>2.8571428571428574E-4</v>
      </c>
    </row>
    <row r="9" spans="2:28" x14ac:dyDescent="0.15">
      <c r="B9" s="83">
        <v>5</v>
      </c>
      <c r="C9" s="77">
        <f t="array" ref="C9">MIN(IF(体力抽奖!$C$48:$C$60&gt;=矿山!$B9,体力抽奖!$J$48:$J$60))</f>
        <v>8</v>
      </c>
      <c r="D9" s="83">
        <f>VLOOKUP($C9,猫咪!$B:$E,4,0)</f>
        <v>1.28</v>
      </c>
      <c r="E9" s="109">
        <f t="shared" si="2"/>
        <v>5800</v>
      </c>
      <c r="F9" s="83">
        <f t="shared" si="3"/>
        <v>13224.000000000002</v>
      </c>
      <c r="G9" s="101">
        <f t="shared" si="4"/>
        <v>3200</v>
      </c>
      <c r="H9" s="77">
        <f>SUM($G$5:$G9)</f>
        <v>4870</v>
      </c>
      <c r="I9" s="77">
        <f t="shared" si="5"/>
        <v>9740</v>
      </c>
      <c r="J9" s="77">
        <f t="array" ref="J9">MIN(IF(旅店!$U$5:$U$85&gt;=$I9,旅店!$R$5:$R$85))</f>
        <v>0.14000000000000001</v>
      </c>
      <c r="K9" s="77">
        <f t="array" ref="K9">MIN(IF(旅店!$U$5:$U$85&gt;=$I9,旅店!$Q$5:$Q$85))</f>
        <v>21</v>
      </c>
      <c r="O9" s="77">
        <v>24</v>
      </c>
      <c r="P9" s="77">
        <f>INDEX(等级时间!$U$3:$AU$203,MATCH($O9,等级时间!$U$3:$U$203,0),MATCH(P$4,等级时间!$U$3:$AU$3,0))</f>
        <v>0.59</v>
      </c>
      <c r="Q9" s="77">
        <f t="shared" si="7"/>
        <v>0.16999999999999998</v>
      </c>
      <c r="R9" s="77">
        <f t="shared" si="0"/>
        <v>4883.76</v>
      </c>
      <c r="S9" s="77">
        <f>SUM($R$5:$R9)</f>
        <v>16302.000000000002</v>
      </c>
      <c r="U9" s="77">
        <f>INDEX(等级时间!$U$3:$AU$203,MATCH($O9,等级时间!$U$3:$U$203,0),MATCH(U$4,等级时间!$U$3:$AU$3,0))</f>
        <v>0.25</v>
      </c>
      <c r="V9" s="77">
        <f t="shared" si="8"/>
        <v>7.0000000000000007E-2</v>
      </c>
      <c r="W9" s="77">
        <f t="shared" si="1"/>
        <v>2010.9600000000005</v>
      </c>
      <c r="X9" s="77">
        <f>SUM($W$5:$W9)</f>
        <v>6908.4000000000015</v>
      </c>
      <c r="Z9" s="83">
        <v>60</v>
      </c>
      <c r="AA9" s="83">
        <v>5000</v>
      </c>
      <c r="AB9" s="83">
        <f t="shared" si="6"/>
        <v>2.0000000000000001E-4</v>
      </c>
    </row>
    <row r="10" spans="2:28" x14ac:dyDescent="0.15">
      <c r="B10" s="83">
        <v>6</v>
      </c>
      <c r="C10" s="77">
        <f t="array" ref="C10">MIN(IF(体力抽奖!$C$48:$C$60&gt;=矿山!$B10,体力抽奖!$J$48:$J$60))</f>
        <v>8</v>
      </c>
      <c r="D10" s="83">
        <f>VLOOKUP($C10,猫咪!$B:$E,4,0)</f>
        <v>1.28</v>
      </c>
      <c r="E10" s="109">
        <f t="shared" si="2"/>
        <v>6160</v>
      </c>
      <c r="F10" s="83">
        <f t="shared" si="3"/>
        <v>14044.800000000001</v>
      </c>
      <c r="G10" s="101">
        <f t="shared" si="4"/>
        <v>7900</v>
      </c>
      <c r="H10" s="77">
        <f>SUM($G$5:$G10)</f>
        <v>12770</v>
      </c>
      <c r="I10" s="77">
        <f t="shared" si="5"/>
        <v>25540</v>
      </c>
      <c r="J10" s="77">
        <f t="array" ref="J10">MIN(IF(旅店!$U$5:$U$85&gt;=$I10,旅店!$R$5:$R$85))</f>
        <v>0.14000000000000001</v>
      </c>
      <c r="K10" s="77">
        <f t="array" ref="K10">MIN(IF(旅店!$U$5:$U$85&gt;=$I10,旅店!$Q$5:$Q$85))</f>
        <v>21</v>
      </c>
      <c r="O10" s="77">
        <v>25</v>
      </c>
      <c r="P10" s="77">
        <f>INDEX(等级时间!$U$3:$AU$203,MATCH($O10,等级时间!$U$3:$U$203,0),MATCH(P$4,等级时间!$U$3:$AU$3,0))</f>
        <v>0.77</v>
      </c>
      <c r="Q10" s="77">
        <f t="shared" si="7"/>
        <v>0.18000000000000005</v>
      </c>
      <c r="R10" s="77">
        <f t="shared" si="0"/>
        <v>5335.2000000000025</v>
      </c>
      <c r="S10" s="77">
        <f>SUM($R$5:$R10)</f>
        <v>21637.200000000004</v>
      </c>
      <c r="U10" s="77">
        <f>INDEX(等级时间!$U$3:$AU$203,MATCH($O10,等级时间!$U$3:$U$203,0),MATCH(U$4,等级时间!$U$3:$AU$3,0))</f>
        <v>0.32</v>
      </c>
      <c r="V10" s="77">
        <f t="shared" si="8"/>
        <v>7.0000000000000007E-2</v>
      </c>
      <c r="W10" s="77">
        <f t="shared" si="1"/>
        <v>2074.8000000000006</v>
      </c>
      <c r="X10" s="77">
        <f>SUM($W$5:$W10)</f>
        <v>8983.2000000000025</v>
      </c>
      <c r="Z10" s="83">
        <v>70</v>
      </c>
      <c r="AA10" s="83">
        <v>8000</v>
      </c>
      <c r="AB10" s="83">
        <f t="shared" si="6"/>
        <v>1.25E-4</v>
      </c>
    </row>
    <row r="11" spans="2:28" x14ac:dyDescent="0.15">
      <c r="B11" s="83">
        <v>7</v>
      </c>
      <c r="C11" s="77">
        <f t="array" ref="C11">MIN(IF(体力抽奖!$C$48:$C$60&gt;=矿山!$B11,体力抽奖!$J$48:$J$60))</f>
        <v>8</v>
      </c>
      <c r="D11" s="83">
        <f>VLOOKUP($C11,猫咪!$B:$E,4,0)</f>
        <v>1.28</v>
      </c>
      <c r="E11" s="109">
        <f t="shared" si="2"/>
        <v>6520</v>
      </c>
      <c r="F11" s="83">
        <f t="shared" si="3"/>
        <v>14865.600000000002</v>
      </c>
      <c r="G11" s="101">
        <f t="shared" si="4"/>
        <v>17000</v>
      </c>
      <c r="H11" s="77">
        <f>SUM($G$5:$G11)</f>
        <v>29770</v>
      </c>
      <c r="I11" s="77">
        <f t="shared" si="5"/>
        <v>59540</v>
      </c>
      <c r="J11" s="77">
        <f t="array" ref="J11">MIN(IF(旅店!$U$5:$U$85&gt;=$I11,旅店!$R$5:$R$85))</f>
        <v>0.27</v>
      </c>
      <c r="K11" s="77">
        <f t="array" ref="K11">MIN(IF(旅店!$U$5:$U$85&gt;=$I11,旅店!$Q$5:$Q$85))</f>
        <v>22</v>
      </c>
      <c r="O11" s="77">
        <v>26</v>
      </c>
      <c r="P11" s="77">
        <f>INDEX(等级时间!$U$3:$AU$203,MATCH($O11,等级时间!$U$3:$U$203,0),MATCH(P$4,等级时间!$U$3:$AU$3,0))</f>
        <v>0.98</v>
      </c>
      <c r="Q11" s="77">
        <f t="shared" si="7"/>
        <v>0.20999999999999996</v>
      </c>
      <c r="R11" s="77">
        <f t="shared" si="0"/>
        <v>6415.92</v>
      </c>
      <c r="S11" s="77">
        <f>SUM($R$5:$R11)</f>
        <v>28053.120000000003</v>
      </c>
      <c r="U11" s="77">
        <f>INDEX(等级时间!$U$3:$AU$203,MATCH($O11,等级时间!$U$3:$U$203,0),MATCH(U$4,等级时间!$U$3:$AU$3,0))</f>
        <v>0.41</v>
      </c>
      <c r="V11" s="77">
        <f t="shared" si="8"/>
        <v>8.9999999999999969E-2</v>
      </c>
      <c r="W11" s="77">
        <f t="shared" si="1"/>
        <v>2749.6799999999994</v>
      </c>
      <c r="X11" s="77">
        <f>SUM($W$5:$W11)</f>
        <v>11732.880000000001</v>
      </c>
      <c r="Z11" s="83">
        <v>80</v>
      </c>
      <c r="AA11" s="83">
        <v>12000</v>
      </c>
      <c r="AB11" s="83">
        <f t="shared" si="6"/>
        <v>8.3333333333333331E-5</v>
      </c>
    </row>
    <row r="12" spans="2:28" x14ac:dyDescent="0.15">
      <c r="B12" s="83">
        <v>8</v>
      </c>
      <c r="C12" s="77">
        <f t="array" ref="C12">MIN(IF(体力抽奖!$C$48:$C$60&gt;=矿山!$B12,体力抽奖!$J$48:$J$60))</f>
        <v>8</v>
      </c>
      <c r="D12" s="83">
        <f>VLOOKUP($C12,猫咪!$B:$E,4,0)</f>
        <v>1.28</v>
      </c>
      <c r="E12" s="109">
        <f t="shared" si="2"/>
        <v>6880</v>
      </c>
      <c r="F12" s="83">
        <f t="shared" si="3"/>
        <v>15686.400000000001</v>
      </c>
      <c r="G12" s="101">
        <f t="shared" si="4"/>
        <v>33000</v>
      </c>
      <c r="H12" s="77">
        <f>SUM($G$5:$G12)</f>
        <v>62770</v>
      </c>
      <c r="I12" s="77">
        <f t="shared" si="5"/>
        <v>125540</v>
      </c>
      <c r="J12" s="77">
        <f t="array" ref="J12">MIN(IF(旅店!$U$5:$U$85&gt;=$I12,旅店!$R$5:$R$85))</f>
        <v>0.59</v>
      </c>
      <c r="K12" s="77">
        <f t="array" ref="K12">MIN(IF(旅店!$U$5:$U$85&gt;=$I12,旅店!$Q$5:$Q$85))</f>
        <v>24</v>
      </c>
      <c r="O12" s="77">
        <v>27</v>
      </c>
      <c r="P12" s="77">
        <f>INDEX(等级时间!$U$3:$AU$203,MATCH($O12,等级时间!$U$3:$U$203,0),MATCH(P$4,等级时间!$U$3:$AU$3,0))</f>
        <v>1.2</v>
      </c>
      <c r="Q12" s="77">
        <f t="shared" si="7"/>
        <v>0.21999999999999997</v>
      </c>
      <c r="R12" s="77">
        <f t="shared" si="0"/>
        <v>6871.92</v>
      </c>
      <c r="S12" s="77">
        <f>SUM($R$5:$R12)</f>
        <v>34925.040000000001</v>
      </c>
      <c r="U12" s="77">
        <f>INDEX(等级时间!$U$3:$AU$203,MATCH($O12,等级时间!$U$3:$U$203,0),MATCH(U$4,等级时间!$U$3:$AU$3,0))</f>
        <v>0.5</v>
      </c>
      <c r="V12" s="77">
        <f t="shared" si="8"/>
        <v>9.0000000000000024E-2</v>
      </c>
      <c r="W12" s="77">
        <f t="shared" si="1"/>
        <v>2811.2400000000011</v>
      </c>
      <c r="X12" s="77">
        <f>SUM($W$5:$W12)</f>
        <v>14544.120000000003</v>
      </c>
      <c r="Z12" s="83">
        <v>90</v>
      </c>
      <c r="AA12" s="83">
        <v>18000</v>
      </c>
      <c r="AB12" s="83">
        <f t="shared" si="6"/>
        <v>5.5555555555555558E-5</v>
      </c>
    </row>
    <row r="13" spans="2:28" x14ac:dyDescent="0.15">
      <c r="B13" s="83">
        <v>9</v>
      </c>
      <c r="C13" s="77">
        <f t="array" ref="C13">MIN(IF(体力抽奖!$C$48:$C$60&gt;=矿山!$B13,体力抽奖!$J$48:$J$60))</f>
        <v>8</v>
      </c>
      <c r="D13" s="83">
        <f>VLOOKUP($C13,猫咪!$B:$E,4,0)</f>
        <v>1.28</v>
      </c>
      <c r="E13" s="109">
        <f t="shared" si="2"/>
        <v>7240</v>
      </c>
      <c r="F13" s="83">
        <f t="shared" si="3"/>
        <v>16507.2</v>
      </c>
      <c r="G13" s="101">
        <f t="shared" si="4"/>
        <v>59000</v>
      </c>
      <c r="H13" s="77">
        <f>SUM($G$5:$G13)</f>
        <v>121770</v>
      </c>
      <c r="I13" s="77">
        <f t="shared" si="5"/>
        <v>243540</v>
      </c>
      <c r="J13" s="77">
        <f t="array" ref="J13">MIN(IF(旅店!$U$5:$U$85&gt;=$I13,旅店!$R$5:$R$85))</f>
        <v>1.2</v>
      </c>
      <c r="K13" s="77">
        <f t="array" ref="K13">MIN(IF(旅店!$U$5:$U$85&gt;=$I13,旅店!$Q$5:$Q$85))</f>
        <v>27</v>
      </c>
      <c r="O13" s="77">
        <v>28</v>
      </c>
      <c r="P13" s="77">
        <f>INDEX(等级时间!$U$3:$AU$203,MATCH($O13,等级时间!$U$3:$U$203,0),MATCH(P$4,等级时间!$U$3:$AU$3,0))</f>
        <v>1.44</v>
      </c>
      <c r="Q13" s="77">
        <f t="shared" si="7"/>
        <v>0.24</v>
      </c>
      <c r="R13" s="77">
        <f t="shared" si="0"/>
        <v>7715.52</v>
      </c>
      <c r="S13" s="77">
        <f>SUM($R$5:$R13)</f>
        <v>42640.56</v>
      </c>
      <c r="U13" s="77">
        <f>INDEX(等级时间!$U$3:$AU$203,MATCH($O13,等级时间!$U$3:$U$203,0),MATCH(U$4,等级时间!$U$3:$AU$3,0))</f>
        <v>0.6</v>
      </c>
      <c r="V13" s="77">
        <f t="shared" si="8"/>
        <v>9.9999999999999978E-2</v>
      </c>
      <c r="W13" s="77">
        <f t="shared" si="1"/>
        <v>3214.7999999999997</v>
      </c>
      <c r="X13" s="77">
        <f>SUM($W$5:$W13)</f>
        <v>17758.920000000002</v>
      </c>
      <c r="Z13" s="83">
        <v>100</v>
      </c>
      <c r="AA13" s="83">
        <v>25000</v>
      </c>
      <c r="AB13" s="83">
        <f t="shared" si="6"/>
        <v>4.0000000000000003E-5</v>
      </c>
    </row>
    <row r="14" spans="2:28" x14ac:dyDescent="0.15">
      <c r="B14" s="83">
        <v>10</v>
      </c>
      <c r="C14" s="77">
        <f t="array" ref="C14">MIN(IF(体力抽奖!$C$48:$C$60&gt;=矿山!$B14,体力抽奖!$J$48:$J$60))</f>
        <v>8</v>
      </c>
      <c r="D14" s="83">
        <f>VLOOKUP($C14,猫咪!$B:$E,4,0)</f>
        <v>1.28</v>
      </c>
      <c r="E14" s="109">
        <f t="shared" si="2"/>
        <v>7600</v>
      </c>
      <c r="F14" s="83">
        <f t="shared" si="3"/>
        <v>17328.000000000004</v>
      </c>
      <c r="G14" s="101">
        <f t="shared" si="4"/>
        <v>100000</v>
      </c>
      <c r="H14" s="77">
        <f>SUM($G$5:$G14)</f>
        <v>221770</v>
      </c>
      <c r="I14" s="77">
        <f t="shared" si="5"/>
        <v>443540</v>
      </c>
      <c r="J14" s="77">
        <f t="array" ref="J14">MIN(IF(旅店!$U$5:$U$85&gt;=$I14,旅店!$R$5:$R$85))</f>
        <v>1.98</v>
      </c>
      <c r="K14" s="77">
        <f t="array" ref="K14">MIN(IF(旅店!$U$5:$U$85&gt;=$I14,旅店!$Q$5:$Q$85))</f>
        <v>30</v>
      </c>
      <c r="O14" s="77">
        <v>29</v>
      </c>
      <c r="P14" s="77">
        <f>INDEX(等级时间!$U$3:$AU$203,MATCH($O14,等级时间!$U$3:$U$203,0),MATCH(P$4,等级时间!$U$3:$AU$3,0))</f>
        <v>1.7</v>
      </c>
      <c r="Q14" s="77">
        <f t="shared" si="7"/>
        <v>0.26</v>
      </c>
      <c r="R14" s="77">
        <f t="shared" si="0"/>
        <v>8536.32</v>
      </c>
      <c r="S14" s="77">
        <f>SUM($R$5:$R14)</f>
        <v>51176.88</v>
      </c>
      <c r="U14" s="77">
        <f>INDEX(等级时间!$U$3:$AU$203,MATCH($O14,等级时间!$U$3:$U$203,0),MATCH(U$4,等级时间!$U$3:$AU$3,0))</f>
        <v>0.71</v>
      </c>
      <c r="V14" s="77">
        <f t="shared" si="8"/>
        <v>0.10999999999999999</v>
      </c>
      <c r="W14" s="77">
        <f t="shared" si="1"/>
        <v>3611.5199999999995</v>
      </c>
      <c r="X14" s="77">
        <f>SUM($W$5:$W14)</f>
        <v>21370.440000000002</v>
      </c>
      <c r="Z14" s="83">
        <v>110</v>
      </c>
      <c r="AA14" s="83">
        <v>40000</v>
      </c>
      <c r="AB14" s="83">
        <f t="shared" si="6"/>
        <v>2.5000000000000001E-5</v>
      </c>
    </row>
    <row r="15" spans="2:28" x14ac:dyDescent="0.15">
      <c r="B15" s="83">
        <v>11</v>
      </c>
      <c r="C15" s="77">
        <f t="array" ref="C15">MIN(IF(体力抽奖!$C$48:$C$60&gt;=矿山!$B15,体力抽奖!$J$48:$J$60))</f>
        <v>8</v>
      </c>
      <c r="D15" s="83">
        <f>VLOOKUP($C15,猫咪!$B:$E,4,0)</f>
        <v>1.28</v>
      </c>
      <c r="E15" s="109">
        <f t="shared" si="2"/>
        <v>7960</v>
      </c>
      <c r="F15" s="83">
        <f t="shared" si="3"/>
        <v>18148.800000000003</v>
      </c>
      <c r="G15" s="101">
        <f t="shared" si="4"/>
        <v>160000</v>
      </c>
      <c r="H15" s="77">
        <f>SUM($G$5:$G15)</f>
        <v>381770</v>
      </c>
      <c r="I15" s="77">
        <f t="shared" si="5"/>
        <v>763540</v>
      </c>
      <c r="J15" s="77">
        <f t="array" ref="J15">MIN(IF(旅店!$U$5:$U$85&gt;=$I15,旅店!$R$5:$R$85))</f>
        <v>2.2799999999999998</v>
      </c>
      <c r="K15" s="77">
        <f t="array" ref="K15">MIN(IF(旅店!$U$5:$U$85&gt;=$I15,旅店!$Q$5:$Q$85))</f>
        <v>31</v>
      </c>
      <c r="O15" s="77">
        <v>30</v>
      </c>
      <c r="P15" s="77">
        <f>INDEX(等级时间!$U$3:$AU$203,MATCH($O15,等级时间!$U$3:$U$203,0),MATCH(P$4,等级时间!$U$3:$AU$3,0))</f>
        <v>1.98</v>
      </c>
      <c r="Q15" s="77">
        <f t="shared" si="7"/>
        <v>0.28000000000000003</v>
      </c>
      <c r="R15" s="77">
        <f t="shared" si="0"/>
        <v>25361.280000000002</v>
      </c>
      <c r="S15" s="77">
        <f>SUM($R$5:$R15)</f>
        <v>76538.16</v>
      </c>
      <c r="U15" s="77">
        <f>INDEX(等级时间!$U$3:$AU$203,MATCH($O15,等级时间!$U$3:$U$203,0),MATCH(U$4,等级时间!$U$3:$AU$3,0))</f>
        <v>0.83</v>
      </c>
      <c r="V15" s="77">
        <f t="shared" si="8"/>
        <v>0.12</v>
      </c>
      <c r="W15" s="77">
        <f t="shared" si="1"/>
        <v>10869.119999999999</v>
      </c>
      <c r="X15" s="77">
        <f>SUM($W$5:$W15)</f>
        <v>32239.56</v>
      </c>
      <c r="Z15" s="83">
        <v>120</v>
      </c>
      <c r="AA15" s="83">
        <v>60000</v>
      </c>
      <c r="AB15" s="83">
        <f t="shared" si="6"/>
        <v>1.6666666666666667E-5</v>
      </c>
    </row>
    <row r="16" spans="2:28" x14ac:dyDescent="0.15">
      <c r="B16" s="83">
        <v>12</v>
      </c>
      <c r="C16" s="77">
        <f t="array" ref="C16">MIN(IF(体力抽奖!$C$48:$C$60&gt;=矿山!$B16,体力抽奖!$J$48:$J$60))</f>
        <v>8</v>
      </c>
      <c r="D16" s="83">
        <f>VLOOKUP($C16,猫咪!$B:$E,4,0)</f>
        <v>1.28</v>
      </c>
      <c r="E16" s="109">
        <f t="shared" si="2"/>
        <v>8320</v>
      </c>
      <c r="F16" s="83">
        <f t="shared" si="3"/>
        <v>18969.600000000002</v>
      </c>
      <c r="G16" s="101">
        <f t="shared" si="4"/>
        <v>250000</v>
      </c>
      <c r="H16" s="77">
        <f>SUM($G$5:$G16)</f>
        <v>631770</v>
      </c>
      <c r="I16" s="77">
        <f t="shared" si="5"/>
        <v>1263540</v>
      </c>
      <c r="J16" s="77">
        <f t="array" ref="J16">MIN(IF(旅店!$U$5:$U$85&gt;=$I16,旅店!$R$5:$R$85))</f>
        <v>3.27</v>
      </c>
      <c r="K16" s="77">
        <f t="array" ref="K16">MIN(IF(旅店!$U$5:$U$85&gt;=$I16,旅店!$Q$5:$Q$85))</f>
        <v>34</v>
      </c>
      <c r="O16" s="77">
        <v>31</v>
      </c>
      <c r="P16" s="77">
        <f>INDEX(等级时间!$U$3:$AU$203,MATCH($O16,等级时间!$U$3:$U$203,0),MATCH(P$4,等级时间!$U$3:$AU$3,0))</f>
        <v>2.2799999999999998</v>
      </c>
      <c r="Q16" s="77">
        <f t="shared" si="7"/>
        <v>0.29999999999999982</v>
      </c>
      <c r="R16" s="77">
        <f t="shared" si="0"/>
        <v>27907.199999999983</v>
      </c>
      <c r="S16" s="77">
        <f>SUM($R$5:$R16)</f>
        <v>104445.35999999999</v>
      </c>
      <c r="U16" s="77">
        <f>INDEX(等级时间!$U$3:$AU$203,MATCH($O16,等级时间!$U$3:$U$203,0),MATCH(U$4,等级时间!$U$3:$AU$3,0))</f>
        <v>0.96</v>
      </c>
      <c r="V16" s="77">
        <f t="shared" si="8"/>
        <v>0.13</v>
      </c>
      <c r="W16" s="77">
        <f t="shared" si="1"/>
        <v>12093.12</v>
      </c>
      <c r="X16" s="77">
        <f>SUM($W$5:$W16)</f>
        <v>44332.68</v>
      </c>
      <c r="Z16" s="83">
        <v>130</v>
      </c>
      <c r="AA16" s="83">
        <v>90000</v>
      </c>
      <c r="AB16" s="83">
        <f t="shared" si="6"/>
        <v>1.1111111111111112E-5</v>
      </c>
    </row>
    <row r="17" spans="2:28" x14ac:dyDescent="0.15">
      <c r="B17" s="83">
        <v>13</v>
      </c>
      <c r="C17" s="77">
        <f t="array" ref="C17">MIN(IF(体力抽奖!$C$48:$C$60&gt;=矿山!$B17,体力抽奖!$J$48:$J$60))</f>
        <v>8</v>
      </c>
      <c r="D17" s="83">
        <f>VLOOKUP($C17,猫咪!$B:$E,4,0)</f>
        <v>1.28</v>
      </c>
      <c r="E17" s="109">
        <f t="shared" si="2"/>
        <v>8680</v>
      </c>
      <c r="F17" s="83">
        <f t="shared" si="3"/>
        <v>19790.400000000001</v>
      </c>
      <c r="G17" s="101">
        <f t="shared" si="4"/>
        <v>370000</v>
      </c>
      <c r="H17" s="77">
        <f>SUM($G$5:$G17)</f>
        <v>1001770</v>
      </c>
      <c r="I17" s="77">
        <f t="shared" si="5"/>
        <v>2003540</v>
      </c>
      <c r="J17" s="77">
        <f t="array" ref="J17">MIN(IF(旅店!$U$5:$U$85&gt;=$I17,旅店!$R$5:$R$85))</f>
        <v>4.43</v>
      </c>
      <c r="K17" s="77">
        <f t="array" ref="K17">MIN(IF(旅店!$U$5:$U$85&gt;=$I17,旅店!$Q$5:$Q$85))</f>
        <v>37</v>
      </c>
      <c r="O17" s="77">
        <v>32</v>
      </c>
      <c r="P17" s="77">
        <f>INDEX(等级时间!$U$3:$AU$203,MATCH($O17,等级时间!$U$3:$U$203,0),MATCH(P$4,等级时间!$U$3:$AU$3,0))</f>
        <v>2.59</v>
      </c>
      <c r="Q17" s="77">
        <f t="shared" si="7"/>
        <v>0.31000000000000005</v>
      </c>
      <c r="R17" s="77">
        <f t="shared" si="0"/>
        <v>29406.600000000006</v>
      </c>
      <c r="S17" s="77">
        <f>SUM($R$5:$R17)</f>
        <v>133851.96</v>
      </c>
      <c r="U17" s="77">
        <f>INDEX(等级时间!$U$3:$AU$203,MATCH($O17,等级时间!$U$3:$U$203,0),MATCH(U$4,等级时间!$U$3:$AU$3,0))</f>
        <v>1.0900000000000001</v>
      </c>
      <c r="V17" s="77">
        <f t="shared" si="8"/>
        <v>0.13000000000000012</v>
      </c>
      <c r="W17" s="77">
        <f t="shared" si="1"/>
        <v>12331.80000000001</v>
      </c>
      <c r="X17" s="77">
        <f>SUM($W$5:$W17)</f>
        <v>56664.48000000001</v>
      </c>
      <c r="Z17" s="83">
        <v>140</v>
      </c>
      <c r="AA17" s="83">
        <v>140000</v>
      </c>
      <c r="AB17" s="83">
        <f t="shared" si="6"/>
        <v>7.1428571428571427E-6</v>
      </c>
    </row>
    <row r="18" spans="2:28" x14ac:dyDescent="0.15">
      <c r="B18" s="83">
        <v>14</v>
      </c>
      <c r="C18" s="77">
        <f t="array" ref="C18">MIN(IF(体力抽奖!$C$48:$C$60&gt;=矿山!$B18,体力抽奖!$J$48:$J$60))</f>
        <v>8</v>
      </c>
      <c r="D18" s="83">
        <f>VLOOKUP($C18,猫咪!$B:$E,4,0)</f>
        <v>1.28</v>
      </c>
      <c r="E18" s="109">
        <f t="shared" si="2"/>
        <v>9040</v>
      </c>
      <c r="F18" s="83">
        <f t="shared" si="3"/>
        <v>20611.2</v>
      </c>
      <c r="G18" s="101">
        <f t="shared" si="4"/>
        <v>540000</v>
      </c>
      <c r="H18" s="77">
        <f>SUM($G$5:$G18)</f>
        <v>1541770</v>
      </c>
      <c r="I18" s="77">
        <f t="shared" si="5"/>
        <v>3083540</v>
      </c>
      <c r="J18" s="77">
        <f t="array" ref="J18">MIN(IF(旅店!$U$5:$U$85&gt;=$I18,旅店!$R$5:$R$85))</f>
        <v>5.8</v>
      </c>
      <c r="K18" s="77">
        <f t="array" ref="K18">MIN(IF(旅店!$U$5:$U$85&gt;=$I18,旅店!$Q$5:$Q$85))</f>
        <v>40</v>
      </c>
      <c r="O18" s="77">
        <v>33</v>
      </c>
      <c r="P18" s="77">
        <f>INDEX(等级时间!$U$3:$AU$203,MATCH($O18,等级时间!$U$3:$U$203,0),MATCH(P$4,等级时间!$U$3:$AU$3,0))</f>
        <v>2.92</v>
      </c>
      <c r="Q18" s="77">
        <f t="shared" si="7"/>
        <v>0.33000000000000007</v>
      </c>
      <c r="R18" s="77">
        <f t="shared" si="0"/>
        <v>32111.640000000007</v>
      </c>
      <c r="S18" s="77">
        <f>SUM($R$5:$R18)</f>
        <v>165963.6</v>
      </c>
      <c r="U18" s="77">
        <f>INDEX(等级时间!$U$3:$AU$203,MATCH($O18,等级时间!$U$3:$U$203,0),MATCH(U$4,等级时间!$U$3:$AU$3,0))</f>
        <v>1.23</v>
      </c>
      <c r="V18" s="77">
        <f t="shared" si="8"/>
        <v>0.1399999999999999</v>
      </c>
      <c r="W18" s="77">
        <f t="shared" si="1"/>
        <v>13623.11999999999</v>
      </c>
      <c r="X18" s="77">
        <f>SUM($W$5:$W18)</f>
        <v>70287.600000000006</v>
      </c>
      <c r="Z18" s="83">
        <v>150</v>
      </c>
      <c r="AA18" s="83">
        <v>200000</v>
      </c>
      <c r="AB18" s="83">
        <f t="shared" si="6"/>
        <v>5.0000000000000004E-6</v>
      </c>
    </row>
    <row r="19" spans="2:28" x14ac:dyDescent="0.15">
      <c r="B19" s="83">
        <v>15</v>
      </c>
      <c r="C19" s="77">
        <f t="array" ref="C19">MIN(IF(体力抽奖!$C$48:$C$60&gt;=矿山!$B19,体力抽奖!$J$48:$J$60))</f>
        <v>8</v>
      </c>
      <c r="D19" s="83">
        <f>VLOOKUP($C19,猫咪!$B:$E,4,0)</f>
        <v>1.28</v>
      </c>
      <c r="E19" s="109">
        <f t="shared" si="2"/>
        <v>9400</v>
      </c>
      <c r="F19" s="83">
        <f t="shared" si="3"/>
        <v>21432.000000000004</v>
      </c>
      <c r="G19" s="101">
        <f t="shared" si="4"/>
        <v>760000</v>
      </c>
      <c r="H19" s="77">
        <f>SUM($G$5:$G19)</f>
        <v>2301770</v>
      </c>
      <c r="I19" s="77">
        <f t="shared" si="5"/>
        <v>4603540</v>
      </c>
      <c r="J19" s="77">
        <f t="array" ref="J19">MIN(IF(旅店!$U$5:$U$85&gt;=$I19,旅店!$R$5:$R$85))</f>
        <v>6.32</v>
      </c>
      <c r="K19" s="77">
        <f t="array" ref="K19">MIN(IF(旅店!$U$5:$U$85&gt;=$I19,旅店!$Q$5:$Q$85))</f>
        <v>41</v>
      </c>
      <c r="O19" s="77">
        <v>34</v>
      </c>
      <c r="P19" s="77">
        <f>INDEX(等级时间!$U$3:$AU$203,MATCH($O19,等级时间!$U$3:$U$203,0),MATCH(P$4,等级时间!$U$3:$AU$3,0))</f>
        <v>3.27</v>
      </c>
      <c r="Q19" s="77">
        <f t="shared" si="7"/>
        <v>0.35000000000000009</v>
      </c>
      <c r="R19" s="77">
        <f t="shared" si="0"/>
        <v>34700.400000000009</v>
      </c>
      <c r="S19" s="77">
        <f>SUM($R$5:$R19)</f>
        <v>200664</v>
      </c>
      <c r="U19" s="77">
        <f>INDEX(等级时间!$U$3:$AU$203,MATCH($O19,等级时间!$U$3:$U$203,0),MATCH(U$4,等级时间!$U$3:$AU$3,0))</f>
        <v>1.37</v>
      </c>
      <c r="V19" s="77">
        <f t="shared" si="8"/>
        <v>0.14000000000000012</v>
      </c>
      <c r="W19" s="77">
        <f t="shared" si="1"/>
        <v>13880.160000000013</v>
      </c>
      <c r="X19" s="77">
        <f>SUM($W$5:$W19)</f>
        <v>84167.760000000024</v>
      </c>
    </row>
    <row r="20" spans="2:28" x14ac:dyDescent="0.15">
      <c r="B20" s="83">
        <v>16</v>
      </c>
      <c r="C20" s="77">
        <f t="array" ref="C20">MIN(IF(体力抽奖!$C$48:$C$60&gt;=矿山!$B20,体力抽奖!$J$48:$J$60))</f>
        <v>8</v>
      </c>
      <c r="D20" s="83">
        <f>VLOOKUP($C20,猫咪!$B:$E,4,0)</f>
        <v>1.28</v>
      </c>
      <c r="E20" s="109">
        <f t="shared" si="2"/>
        <v>9760</v>
      </c>
      <c r="F20" s="83">
        <f t="shared" si="3"/>
        <v>22252.800000000003</v>
      </c>
      <c r="G20" s="101">
        <f t="shared" si="4"/>
        <v>1000000</v>
      </c>
      <c r="H20" s="77">
        <f>SUM($G$5:$G20)</f>
        <v>3301770</v>
      </c>
      <c r="I20" s="77">
        <f t="shared" si="5"/>
        <v>6603540</v>
      </c>
      <c r="J20" s="77">
        <f t="array" ref="J20">MIN(IF(旅店!$U$5:$U$85&gt;=$I20,旅店!$R$5:$R$85))</f>
        <v>7.43</v>
      </c>
      <c r="K20" s="77">
        <f t="array" ref="K20">MIN(IF(旅店!$U$5:$U$85&gt;=$I20,旅店!$Q$5:$Q$85))</f>
        <v>43</v>
      </c>
      <c r="O20" s="77">
        <v>35</v>
      </c>
      <c r="P20" s="77">
        <f>INDEX(等级时间!$U$3:$AU$203,MATCH($O20,等级时间!$U$3:$U$203,0),MATCH(P$4,等级时间!$U$3:$AU$3,0))</f>
        <v>3.63</v>
      </c>
      <c r="Q20" s="77">
        <f t="shared" si="7"/>
        <v>0.35999999999999988</v>
      </c>
      <c r="R20" s="77">
        <f t="shared" si="0"/>
        <v>36573.119999999988</v>
      </c>
      <c r="S20" s="77">
        <f>SUM($R$5:$R20)</f>
        <v>237237.12</v>
      </c>
      <c r="U20" s="77">
        <f>INDEX(等级时间!$U$3:$AU$203,MATCH($O20,等级时间!$U$3:$U$203,0),MATCH(U$4,等级时间!$U$3:$AU$3,0))</f>
        <v>1.53</v>
      </c>
      <c r="V20" s="77">
        <f t="shared" si="8"/>
        <v>0.15999999999999992</v>
      </c>
      <c r="W20" s="77">
        <f t="shared" si="1"/>
        <v>16254.719999999992</v>
      </c>
      <c r="X20" s="77">
        <f>SUM($W$5:$W20)</f>
        <v>100422.48000000001</v>
      </c>
    </row>
    <row r="21" spans="2:28" x14ac:dyDescent="0.15">
      <c r="B21" s="83">
        <v>17</v>
      </c>
      <c r="C21" s="77">
        <f t="array" ref="C21">MIN(IF(体力抽奖!$C$48:$C$60&gt;=矿山!$B21,体力抽奖!$J$48:$J$60))</f>
        <v>8</v>
      </c>
      <c r="D21" s="83">
        <f>VLOOKUP($C21,猫咪!$B:$E,4,0)</f>
        <v>1.28</v>
      </c>
      <c r="E21" s="109">
        <f t="shared" si="2"/>
        <v>10100</v>
      </c>
      <c r="F21" s="83">
        <f t="shared" si="3"/>
        <v>23028.000000000004</v>
      </c>
      <c r="G21" s="101">
        <f t="shared" si="4"/>
        <v>1400000</v>
      </c>
      <c r="H21" s="77">
        <f>SUM($G$5:$G21)</f>
        <v>4701770</v>
      </c>
      <c r="I21" s="77">
        <f t="shared" si="5"/>
        <v>9403540</v>
      </c>
      <c r="J21" s="77">
        <f t="array" ref="J21">MIN(IF(旅店!$U$5:$U$85&gt;=$I21,旅店!$R$5:$R$85))</f>
        <v>8.0399999999999991</v>
      </c>
      <c r="K21" s="77">
        <f t="array" ref="K21">MIN(IF(旅店!$U$5:$U$85&gt;=$I21,旅店!$Q$5:$Q$85))</f>
        <v>44</v>
      </c>
      <c r="O21" s="77">
        <v>36</v>
      </c>
      <c r="P21" s="77">
        <f>INDEX(等级时间!$U$3:$AU$203,MATCH($O21,等级时间!$U$3:$U$203,0),MATCH(P$4,等级时间!$U$3:$AU$3,0))</f>
        <v>4.0199999999999996</v>
      </c>
      <c r="Q21" s="77">
        <f t="shared" si="7"/>
        <v>0.38999999999999968</v>
      </c>
      <c r="R21" s="77">
        <f t="shared" si="0"/>
        <v>40575.599999999969</v>
      </c>
      <c r="S21" s="77">
        <f>SUM($R$5:$R21)</f>
        <v>277812.71999999997</v>
      </c>
      <c r="U21" s="77">
        <f>INDEX(等级时间!$U$3:$AU$203,MATCH($O21,等级时间!$U$3:$U$203,0),MATCH(U$4,等级时间!$U$3:$AU$3,0))</f>
        <v>1.69</v>
      </c>
      <c r="V21" s="77">
        <f t="shared" si="8"/>
        <v>0.15999999999999992</v>
      </c>
      <c r="W21" s="77">
        <f t="shared" si="1"/>
        <v>16646.399999999991</v>
      </c>
      <c r="X21" s="77">
        <f>SUM($W$5:$W21)</f>
        <v>117068.88</v>
      </c>
    </row>
    <row r="22" spans="2:28" x14ac:dyDescent="0.15">
      <c r="B22" s="83">
        <v>18</v>
      </c>
      <c r="C22" s="77">
        <f t="array" ref="C22">MIN(IF(体力抽奖!$C$48:$C$60&gt;=矿山!$B22,体力抽奖!$J$48:$J$60))</f>
        <v>8</v>
      </c>
      <c r="D22" s="83">
        <f>VLOOKUP($C22,猫咪!$B:$E,4,0)</f>
        <v>1.28</v>
      </c>
      <c r="E22" s="109">
        <f t="shared" si="2"/>
        <v>10500</v>
      </c>
      <c r="F22" s="83">
        <f t="shared" si="3"/>
        <v>23940.000000000004</v>
      </c>
      <c r="G22" s="101">
        <f t="shared" si="4"/>
        <v>1900000</v>
      </c>
      <c r="H22" s="77">
        <f>SUM($G$5:$G22)</f>
        <v>6601770</v>
      </c>
      <c r="I22" s="77">
        <f t="shared" si="5"/>
        <v>13203540</v>
      </c>
      <c r="J22" s="77">
        <f t="array" ref="J22">MIN(IF(旅店!$U$5:$U$85&gt;=$I22,旅店!$R$5:$R$85))</f>
        <v>10.1</v>
      </c>
      <c r="K22" s="77">
        <f t="array" ref="K22">MIN(IF(旅店!$U$5:$U$85&gt;=$I22,旅店!$Q$5:$Q$85))</f>
        <v>47</v>
      </c>
      <c r="O22" s="77">
        <v>37</v>
      </c>
      <c r="P22" s="77">
        <f>INDEX(等级时间!$U$3:$AU$203,MATCH($O22,等级时间!$U$3:$U$203,0),MATCH(P$4,等级时间!$U$3:$AU$3,0))</f>
        <v>4.43</v>
      </c>
      <c r="Q22" s="77">
        <f t="shared" si="7"/>
        <v>0.41000000000000014</v>
      </c>
      <c r="R22" s="77">
        <f t="shared" si="0"/>
        <v>43409.160000000018</v>
      </c>
      <c r="S22" s="77">
        <f>SUM($R$5:$R22)</f>
        <v>321221.88</v>
      </c>
      <c r="U22" s="77">
        <f>INDEX(等级时间!$U$3:$AU$203,MATCH($O22,等级时间!$U$3:$U$203,0),MATCH(U$4,等级时间!$U$3:$AU$3,0))</f>
        <v>1.86</v>
      </c>
      <c r="V22" s="77">
        <f t="shared" si="8"/>
        <v>0.17000000000000015</v>
      </c>
      <c r="W22" s="77">
        <f t="shared" si="1"/>
        <v>17998.920000000016</v>
      </c>
      <c r="X22" s="77">
        <f>SUM($W$5:$W22)</f>
        <v>135067.80000000002</v>
      </c>
    </row>
    <row r="23" spans="2:28" x14ac:dyDescent="0.15">
      <c r="B23" s="83">
        <v>19</v>
      </c>
      <c r="C23" s="77">
        <f t="array" ref="C23">MIN(IF(体力抽奖!$C$48:$C$60&gt;=矿山!$B23,体力抽奖!$J$48:$J$60))</f>
        <v>8</v>
      </c>
      <c r="D23" s="83">
        <f>VLOOKUP($C23,猫咪!$B:$E,4,0)</f>
        <v>1.28</v>
      </c>
      <c r="E23" s="109">
        <f t="shared" si="2"/>
        <v>10800</v>
      </c>
      <c r="F23" s="83">
        <f t="shared" si="3"/>
        <v>24624.000000000004</v>
      </c>
      <c r="G23" s="101">
        <f t="shared" si="4"/>
        <v>2500000</v>
      </c>
      <c r="H23" s="77">
        <f>SUM($G$5:$G23)</f>
        <v>9101770</v>
      </c>
      <c r="I23" s="77">
        <f t="shared" si="5"/>
        <v>18203540</v>
      </c>
      <c r="J23" s="77">
        <f t="array" ref="J23">MIN(IF(旅店!$U$5:$U$85&gt;=$I23,旅店!$R$5:$R$85))</f>
        <v>11.68</v>
      </c>
      <c r="K23" s="77">
        <f t="array" ref="K23">MIN(IF(旅店!$U$5:$U$85&gt;=$I23,旅店!$Q$5:$Q$85))</f>
        <v>49</v>
      </c>
      <c r="O23" s="77">
        <v>38</v>
      </c>
      <c r="P23" s="77">
        <f>INDEX(等级时间!$U$3:$AU$203,MATCH($O23,等级时间!$U$3:$U$203,0),MATCH(P$4,等级时间!$U$3:$AU$3,0))</f>
        <v>4.8600000000000003</v>
      </c>
      <c r="Q23" s="77">
        <f t="shared" si="7"/>
        <v>0.4300000000000006</v>
      </c>
      <c r="R23" s="77">
        <f t="shared" si="0"/>
        <v>46579.320000000065</v>
      </c>
      <c r="S23" s="77">
        <f>SUM($R$5:$R23)</f>
        <v>367801.20000000007</v>
      </c>
      <c r="U23" s="77">
        <f>INDEX(等级时间!$U$3:$AU$203,MATCH($O23,等级时间!$U$3:$U$203,0),MATCH(U$4,等级时间!$U$3:$AU$3,0))</f>
        <v>2.04</v>
      </c>
      <c r="V23" s="77">
        <f t="shared" si="8"/>
        <v>0.17999999999999994</v>
      </c>
      <c r="W23" s="77">
        <f t="shared" si="1"/>
        <v>19498.319999999992</v>
      </c>
      <c r="X23" s="77">
        <f>SUM($W$5:$W23)</f>
        <v>154566.12</v>
      </c>
    </row>
    <row r="24" spans="2:28" x14ac:dyDescent="0.15">
      <c r="B24" s="83">
        <v>20</v>
      </c>
      <c r="C24" s="77">
        <f t="array" ref="C24">MIN(IF(体力抽奖!$C$48:$C$60&gt;=矿山!$B24,体力抽奖!$J$48:$J$60))</f>
        <v>8</v>
      </c>
      <c r="D24" s="83">
        <f>VLOOKUP($C24,猫咪!$B:$E,4,0)</f>
        <v>1.28</v>
      </c>
      <c r="E24" s="109">
        <f t="shared" si="2"/>
        <v>11200</v>
      </c>
      <c r="F24" s="83">
        <f t="shared" si="3"/>
        <v>25536.000000000004</v>
      </c>
      <c r="G24" s="101">
        <f t="shared" si="4"/>
        <v>3200000</v>
      </c>
      <c r="H24" s="77">
        <f>SUM($G$5:$G24)</f>
        <v>12301770</v>
      </c>
      <c r="I24" s="77">
        <f t="shared" si="5"/>
        <v>24603540</v>
      </c>
      <c r="J24" s="77">
        <f t="array" ref="J24">MIN(IF(旅店!$U$5:$U$85&gt;=$I24,旅店!$R$5:$R$85))</f>
        <v>13.45</v>
      </c>
      <c r="K24" s="77">
        <f t="array" ref="K24">MIN(IF(旅店!$U$5:$U$85&gt;=$I24,旅店!$Q$5:$Q$85))</f>
        <v>51</v>
      </c>
      <c r="O24" s="77">
        <v>39</v>
      </c>
      <c r="P24" s="77">
        <f>INDEX(等级时间!$U$3:$AU$203,MATCH($O24,等级时间!$U$3:$U$203,0),MATCH(P$4,等级时间!$U$3:$AU$3,0))</f>
        <v>5.32</v>
      </c>
      <c r="Q24" s="77">
        <f t="shared" si="7"/>
        <v>0.45999999999999996</v>
      </c>
      <c r="R24" s="77">
        <f t="shared" si="0"/>
        <v>50673.599999999999</v>
      </c>
      <c r="S24" s="77">
        <f>SUM($R$5:$R24)</f>
        <v>418474.80000000005</v>
      </c>
      <c r="U24" s="77">
        <f>INDEX(等级时间!$U$3:$AU$203,MATCH($O24,等级时间!$U$3:$U$203,0),MATCH(U$4,等级时间!$U$3:$AU$3,0))</f>
        <v>2.23</v>
      </c>
      <c r="V24" s="77">
        <f t="shared" si="8"/>
        <v>0.18999999999999995</v>
      </c>
      <c r="W24" s="77">
        <f t="shared" si="1"/>
        <v>20930.399999999994</v>
      </c>
      <c r="X24" s="77">
        <f>SUM($W$5:$W24)</f>
        <v>175496.52</v>
      </c>
    </row>
    <row r="25" spans="2:28" x14ac:dyDescent="0.15">
      <c r="B25" s="83">
        <v>21</v>
      </c>
      <c r="C25" s="77">
        <f t="array" ref="C25">MIN(IF(体力抽奖!$C$48:$C$60&gt;=矿山!$B25,体力抽奖!$J$48:$J$60))</f>
        <v>8</v>
      </c>
      <c r="D25" s="83">
        <f>VLOOKUP($C25,猫咪!$B:$E,4,0)</f>
        <v>1.28</v>
      </c>
      <c r="E25" s="109">
        <f t="shared" si="2"/>
        <v>11600</v>
      </c>
      <c r="F25" s="83">
        <f t="shared" si="3"/>
        <v>26448.000000000004</v>
      </c>
      <c r="G25" s="101">
        <f t="shared" si="4"/>
        <v>4100000</v>
      </c>
      <c r="H25" s="77">
        <f>SUM($G$5:$G25)</f>
        <v>16401770</v>
      </c>
      <c r="I25" s="77">
        <f t="shared" si="5"/>
        <v>32803540</v>
      </c>
      <c r="J25" s="77">
        <f t="array" ref="J25">MIN(IF(旅店!$U$5:$U$85&gt;=$I25,旅店!$R$5:$R$85))</f>
        <v>15.42</v>
      </c>
      <c r="K25" s="77">
        <f t="array" ref="K25">MIN(IF(旅店!$U$5:$U$85&gt;=$I25,旅店!$Q$5:$Q$85))</f>
        <v>53</v>
      </c>
      <c r="O25" s="77">
        <v>40</v>
      </c>
      <c r="P25" s="77">
        <f>INDEX(等级时间!$U$3:$AU$203,MATCH($O25,等级时间!$U$3:$U$203,0),MATCH(P$4,等级时间!$U$3:$AU$3,0))</f>
        <v>5.8</v>
      </c>
      <c r="Q25" s="77">
        <f t="shared" si="7"/>
        <v>0.47999999999999954</v>
      </c>
      <c r="R25" s="77">
        <f t="shared" si="0"/>
        <v>189711.35999999981</v>
      </c>
      <c r="S25" s="77">
        <f>SUM($R$5:$R25)</f>
        <v>608186.15999999992</v>
      </c>
      <c r="U25" s="77">
        <f>INDEX(等级时间!$U$3:$AU$203,MATCH($O25,等级时间!$U$3:$U$203,0),MATCH(U$4,等级时间!$U$3:$AU$3,0))</f>
        <v>2.44</v>
      </c>
      <c r="V25" s="77">
        <f t="shared" si="8"/>
        <v>0.20999999999999996</v>
      </c>
      <c r="W25" s="77">
        <f t="shared" si="1"/>
        <v>82998.719999999987</v>
      </c>
      <c r="X25" s="77">
        <f>SUM($W$5:$W25)</f>
        <v>258495.24</v>
      </c>
    </row>
    <row r="26" spans="2:28" x14ac:dyDescent="0.15">
      <c r="B26" s="83">
        <v>22</v>
      </c>
      <c r="C26" s="77">
        <f t="array" ref="C26">MIN(IF(体力抽奖!$C$48:$C$60&gt;=矿山!$B26,体力抽奖!$J$48:$J$60))</f>
        <v>8</v>
      </c>
      <c r="D26" s="83">
        <f>VLOOKUP($C26,猫咪!$B:$E,4,0)</f>
        <v>1.28</v>
      </c>
      <c r="E26" s="109">
        <f t="shared" si="2"/>
        <v>11900</v>
      </c>
      <c r="F26" s="83">
        <f t="shared" si="3"/>
        <v>27132.000000000004</v>
      </c>
      <c r="G26" s="101">
        <f t="shared" si="4"/>
        <v>5200000</v>
      </c>
      <c r="H26" s="77">
        <f>SUM($G$5:$G26)</f>
        <v>21601770</v>
      </c>
      <c r="I26" s="77">
        <f t="shared" si="5"/>
        <v>43203540</v>
      </c>
      <c r="J26" s="77">
        <f t="array" ref="J26">MIN(IF(旅店!$U$5:$U$85&gt;=$I26,旅店!$R$5:$R$85))</f>
        <v>17.63</v>
      </c>
      <c r="K26" s="77">
        <f t="array" ref="K26">MIN(IF(旅店!$U$5:$U$85&gt;=$I26,旅店!$Q$5:$Q$85))</f>
        <v>55</v>
      </c>
      <c r="O26" s="77">
        <v>41</v>
      </c>
      <c r="P26" s="77">
        <f>INDEX(等级时间!$U$3:$AU$203,MATCH($O26,等级时间!$U$3:$U$203,0),MATCH(P$4,等级时间!$U$3:$AU$3,0))</f>
        <v>6.32</v>
      </c>
      <c r="Q26" s="77">
        <f t="shared" si="7"/>
        <v>0.52000000000000046</v>
      </c>
      <c r="R26" s="77">
        <f t="shared" si="0"/>
        <v>209988.48000000019</v>
      </c>
      <c r="S26" s="77">
        <f>SUM($R$5:$R26)</f>
        <v>818174.64000000013</v>
      </c>
      <c r="U26" s="77">
        <f>INDEX(等级时间!$U$3:$AU$203,MATCH($O26,等级时间!$U$3:$U$203,0),MATCH(U$4,等级时间!$U$3:$AU$3,0))</f>
        <v>2.65</v>
      </c>
      <c r="V26" s="77">
        <f t="shared" si="8"/>
        <v>0.20999999999999996</v>
      </c>
      <c r="W26" s="77">
        <f t="shared" si="1"/>
        <v>84803.039999999979</v>
      </c>
      <c r="X26" s="77">
        <f>SUM($W$5:$W26)</f>
        <v>343298.27999999997</v>
      </c>
    </row>
    <row r="27" spans="2:28" x14ac:dyDescent="0.15">
      <c r="B27" s="83">
        <v>23</v>
      </c>
      <c r="C27" s="77">
        <f t="array" ref="C27">MIN(IF(体力抽奖!$C$48:$C$60&gt;=矿山!$B27,体力抽奖!$J$48:$J$60))</f>
        <v>8</v>
      </c>
      <c r="D27" s="83">
        <f>VLOOKUP($C27,猫咪!$B:$E,4,0)</f>
        <v>1.28</v>
      </c>
      <c r="E27" s="109">
        <f t="shared" si="2"/>
        <v>12300</v>
      </c>
      <c r="F27" s="83">
        <f t="shared" si="3"/>
        <v>28044.000000000004</v>
      </c>
      <c r="G27" s="101">
        <f t="shared" si="4"/>
        <v>6400000</v>
      </c>
      <c r="H27" s="77">
        <f>SUM($G$5:$G27)</f>
        <v>28001770</v>
      </c>
      <c r="I27" s="77">
        <f t="shared" si="5"/>
        <v>56003540</v>
      </c>
      <c r="J27" s="77">
        <f t="array" ref="J27">MIN(IF(旅店!$U$5:$U$85&gt;=$I27,旅店!$R$5:$R$85))</f>
        <v>20.079999999999998</v>
      </c>
      <c r="K27" s="77">
        <f t="array" ref="K27">MIN(IF(旅店!$U$5:$U$85&gt;=$I27,旅店!$Q$5:$Q$85))</f>
        <v>57</v>
      </c>
      <c r="O27" s="77">
        <v>42</v>
      </c>
      <c r="P27" s="77">
        <f>INDEX(等级时间!$U$3:$AU$203,MATCH($O27,等级时间!$U$3:$U$203,0),MATCH(P$4,等级时间!$U$3:$AU$3,0))</f>
        <v>6.86</v>
      </c>
      <c r="Q27" s="77">
        <f t="shared" si="7"/>
        <v>0.54</v>
      </c>
      <c r="R27" s="77">
        <f t="shared" si="0"/>
        <v>221544.72</v>
      </c>
      <c r="S27" s="77">
        <f>SUM($R$5:$R27)</f>
        <v>1039719.3600000001</v>
      </c>
      <c r="U27" s="77">
        <f>INDEX(等级时间!$U$3:$AU$203,MATCH($O27,等级时间!$U$3:$U$203,0),MATCH(U$4,等级时间!$U$3:$AU$3,0))</f>
        <v>2.88</v>
      </c>
      <c r="V27" s="77">
        <f t="shared" si="8"/>
        <v>0.22999999999999998</v>
      </c>
      <c r="W27" s="77">
        <f t="shared" si="1"/>
        <v>94361.64</v>
      </c>
      <c r="X27" s="77">
        <f>SUM($W$5:$W27)</f>
        <v>437659.92</v>
      </c>
    </row>
    <row r="28" spans="2:28" x14ac:dyDescent="0.15">
      <c r="B28" s="83">
        <v>24</v>
      </c>
      <c r="C28" s="77">
        <f t="array" ref="C28">MIN(IF(体力抽奖!$C$48:$C$60&gt;=矿山!$B28,体力抽奖!$J$48:$J$60))</f>
        <v>8</v>
      </c>
      <c r="D28" s="83">
        <f>VLOOKUP($C28,猫咪!$B:$E,4,0)</f>
        <v>1.28</v>
      </c>
      <c r="E28" s="109">
        <f t="shared" si="2"/>
        <v>12600</v>
      </c>
      <c r="F28" s="83">
        <f t="shared" si="3"/>
        <v>28728.000000000004</v>
      </c>
      <c r="G28" s="101">
        <f t="shared" si="4"/>
        <v>8000000</v>
      </c>
      <c r="H28" s="77">
        <f>SUM($G$5:$G28)</f>
        <v>36001770</v>
      </c>
      <c r="I28" s="77">
        <f t="shared" si="5"/>
        <v>72003540</v>
      </c>
      <c r="J28" s="77">
        <f t="array" ref="J28">MIN(IF(旅店!$U$5:$U$85&gt;=$I28,旅店!$R$5:$R$85))</f>
        <v>22.81</v>
      </c>
      <c r="K28" s="77">
        <f t="array" ref="K28">MIN(IF(旅店!$U$5:$U$85&gt;=$I28,旅店!$Q$5:$Q$85))</f>
        <v>59</v>
      </c>
      <c r="O28" s="77">
        <v>43</v>
      </c>
      <c r="P28" s="77">
        <f>INDEX(等级时间!$U$3:$AU$203,MATCH($O28,等级时间!$U$3:$U$203,0),MATCH(P$4,等级时间!$U$3:$AU$3,0))</f>
        <v>7.43</v>
      </c>
      <c r="Q28" s="77">
        <f t="shared" si="7"/>
        <v>0.5699999999999994</v>
      </c>
      <c r="R28" s="77">
        <f t="shared" si="0"/>
        <v>238750.19999999975</v>
      </c>
      <c r="S28" s="77">
        <f>SUM($R$5:$R28)</f>
        <v>1278469.5599999998</v>
      </c>
      <c r="U28" s="77">
        <f>INDEX(等级时间!$U$3:$AU$203,MATCH($O28,等级时间!$U$3:$U$203,0),MATCH(U$4,等级时间!$U$3:$AU$3,0))</f>
        <v>3.12</v>
      </c>
      <c r="V28" s="77">
        <f t="shared" si="8"/>
        <v>0.24000000000000021</v>
      </c>
      <c r="W28" s="77">
        <f t="shared" si="1"/>
        <v>100526.4000000001</v>
      </c>
      <c r="X28" s="77">
        <f>SUM($W$5:$W28)</f>
        <v>538186.32000000007</v>
      </c>
    </row>
    <row r="29" spans="2:28" x14ac:dyDescent="0.15">
      <c r="B29" s="83">
        <v>25</v>
      </c>
      <c r="C29" s="77">
        <f t="array" ref="C29">MIN(IF(体力抽奖!$C$48:$C$60&gt;=矿山!$B29,体力抽奖!$J$48:$J$60))</f>
        <v>8</v>
      </c>
      <c r="D29" s="83">
        <f>VLOOKUP($C29,猫咪!$B:$E,4,0)</f>
        <v>1.28</v>
      </c>
      <c r="E29" s="109">
        <f t="shared" si="2"/>
        <v>13000</v>
      </c>
      <c r="F29" s="83">
        <f t="shared" si="3"/>
        <v>29640.000000000004</v>
      </c>
      <c r="G29" s="101">
        <f t="shared" si="4"/>
        <v>9800000</v>
      </c>
      <c r="H29" s="77">
        <f>SUM($G$5:$G29)</f>
        <v>45801770</v>
      </c>
      <c r="I29" s="77">
        <f t="shared" si="5"/>
        <v>91603540</v>
      </c>
      <c r="J29" s="77">
        <f t="array" ref="J29">MIN(IF(旅店!$U$5:$U$85&gt;=$I29,旅店!$R$5:$R$85))</f>
        <v>24.29</v>
      </c>
      <c r="K29" s="77">
        <f t="array" ref="K29">MIN(IF(旅店!$U$5:$U$85&gt;=$I29,旅店!$Q$5:$Q$85))</f>
        <v>60</v>
      </c>
      <c r="O29" s="77">
        <v>44</v>
      </c>
      <c r="P29" s="77">
        <f>INDEX(等级时间!$U$3:$AU$203,MATCH($O29,等级时间!$U$3:$U$203,0),MATCH(P$4,等级时间!$U$3:$AU$3,0))</f>
        <v>8.0399999999999991</v>
      </c>
      <c r="Q29" s="77">
        <f t="shared" si="7"/>
        <v>0.60999999999999943</v>
      </c>
      <c r="R29" s="77">
        <f t="shared" si="0"/>
        <v>259435.43999999977</v>
      </c>
      <c r="S29" s="77">
        <f>SUM($R$5:$R29)</f>
        <v>1537904.9999999995</v>
      </c>
      <c r="U29" s="77">
        <f>INDEX(等级时间!$U$3:$AU$203,MATCH($O29,等级时间!$U$3:$U$203,0),MATCH(U$4,等级时间!$U$3:$AU$3,0))</f>
        <v>3.38</v>
      </c>
      <c r="V29" s="77">
        <f t="shared" si="8"/>
        <v>0.25999999999999979</v>
      </c>
      <c r="W29" s="77">
        <f t="shared" si="1"/>
        <v>110579.03999999991</v>
      </c>
      <c r="X29" s="77">
        <f>SUM($W$5:$W29)</f>
        <v>648765.36</v>
      </c>
    </row>
    <row r="30" spans="2:28" x14ac:dyDescent="0.15">
      <c r="B30" s="83">
        <v>26</v>
      </c>
      <c r="C30" s="77">
        <f t="array" ref="C30">MIN(IF(体力抽奖!$C$48:$C$60&gt;=矿山!$B30,体力抽奖!$J$48:$J$60))</f>
        <v>8</v>
      </c>
      <c r="D30" s="83">
        <f>VLOOKUP($C30,猫咪!$B:$E,4,0)</f>
        <v>1.28</v>
      </c>
      <c r="E30" s="109">
        <f t="shared" si="2"/>
        <v>13400</v>
      </c>
      <c r="F30" s="83">
        <f t="shared" si="3"/>
        <v>30552.000000000004</v>
      </c>
      <c r="G30" s="101">
        <f t="shared" si="4"/>
        <v>12000000</v>
      </c>
      <c r="H30" s="77">
        <f>SUM($G$5:$G30)</f>
        <v>57801770</v>
      </c>
      <c r="I30" s="77">
        <f t="shared" si="5"/>
        <v>115603540</v>
      </c>
      <c r="J30" s="77">
        <f t="array" ref="J30">MIN(IF(旅店!$U$5:$U$85&gt;=$I30,旅店!$R$5:$R$85))</f>
        <v>24.29</v>
      </c>
      <c r="K30" s="77">
        <f t="array" ref="K30">MIN(IF(旅店!$U$5:$U$85&gt;=$I30,旅店!$Q$5:$Q$85))</f>
        <v>60</v>
      </c>
      <c r="O30" s="77">
        <v>45</v>
      </c>
      <c r="P30" s="77">
        <f>INDEX(等级时间!$U$3:$AU$203,MATCH($O30,等级时间!$U$3:$U$203,0),MATCH(P$4,等级时间!$U$3:$AU$3,0))</f>
        <v>8.69</v>
      </c>
      <c r="Q30" s="77">
        <f t="shared" si="7"/>
        <v>0.65000000000000036</v>
      </c>
      <c r="R30" s="77">
        <f t="shared" si="0"/>
        <v>282032.40000000014</v>
      </c>
      <c r="S30" s="77">
        <f>SUM($R$5:$R30)</f>
        <v>1819937.3999999997</v>
      </c>
      <c r="U30" s="77">
        <f>INDEX(等级时间!$U$3:$AU$203,MATCH($O30,等级时间!$U$3:$U$203,0),MATCH(U$4,等级时间!$U$3:$AU$3,0))</f>
        <v>3.65</v>
      </c>
      <c r="V30" s="77">
        <f t="shared" si="8"/>
        <v>0.27</v>
      </c>
      <c r="W30" s="77">
        <f t="shared" si="1"/>
        <v>117151.92000000001</v>
      </c>
      <c r="X30" s="77">
        <f>SUM($W$5:$W30)</f>
        <v>765917.28</v>
      </c>
    </row>
    <row r="31" spans="2:28" x14ac:dyDescent="0.15">
      <c r="B31" s="83">
        <v>27</v>
      </c>
      <c r="C31" s="77">
        <f t="array" ref="C31">MIN(IF(体力抽奖!$C$48:$C$60&gt;=矿山!$B31,体力抽奖!$J$48:$J$60))</f>
        <v>8</v>
      </c>
      <c r="D31" s="83">
        <f>VLOOKUP($C31,猫咪!$B:$E,4,0)</f>
        <v>1.28</v>
      </c>
      <c r="E31" s="109">
        <f t="shared" si="2"/>
        <v>13700</v>
      </c>
      <c r="F31" s="83">
        <f t="shared" si="3"/>
        <v>31236.000000000004</v>
      </c>
      <c r="G31" s="101">
        <f t="shared" si="4"/>
        <v>14000000</v>
      </c>
      <c r="H31" s="77">
        <f>SUM($G$5:$G31)</f>
        <v>71801770</v>
      </c>
      <c r="I31" s="77">
        <f t="shared" si="5"/>
        <v>143603540</v>
      </c>
      <c r="J31" s="77">
        <f t="array" ref="J31">MIN(IF(旅店!$U$5:$U$85&gt;=$I31,旅店!$R$5:$R$85))</f>
        <v>25.84</v>
      </c>
      <c r="K31" s="77">
        <f t="array" ref="K31">MIN(IF(旅店!$U$5:$U$85&gt;=$I31,旅店!$Q$5:$Q$85))</f>
        <v>61</v>
      </c>
      <c r="O31" s="77">
        <v>46</v>
      </c>
      <c r="P31" s="77">
        <f>INDEX(等级时间!$U$3:$AU$203,MATCH($O31,等级时间!$U$3:$U$203,0),MATCH(P$4,等级时间!$U$3:$AU$3,0))</f>
        <v>9.3800000000000008</v>
      </c>
      <c r="Q31" s="77">
        <f t="shared" si="7"/>
        <v>0.69000000000000128</v>
      </c>
      <c r="R31" s="77">
        <f t="shared" si="0"/>
        <v>305316.72000000055</v>
      </c>
      <c r="S31" s="77">
        <f>SUM($R$5:$R31)</f>
        <v>2125254.12</v>
      </c>
      <c r="U31" s="77">
        <f>INDEX(等级时间!$U$3:$AU$203,MATCH($O31,等级时间!$U$3:$U$203,0),MATCH(U$4,等级时间!$U$3:$AU$3,0))</f>
        <v>3.94</v>
      </c>
      <c r="V31" s="77">
        <f t="shared" si="8"/>
        <v>0.29000000000000004</v>
      </c>
      <c r="W31" s="77">
        <f t="shared" si="1"/>
        <v>128321.52000000002</v>
      </c>
      <c r="X31" s="77">
        <f>SUM($W$5:$W31)</f>
        <v>894238.8</v>
      </c>
    </row>
    <row r="32" spans="2:28" x14ac:dyDescent="0.15">
      <c r="B32" s="83">
        <v>28</v>
      </c>
      <c r="C32" s="77">
        <f t="array" ref="C32">MIN(IF(体力抽奖!$C$48:$C$60&gt;=矿山!$B32,体力抽奖!$J$48:$J$60))</f>
        <v>8</v>
      </c>
      <c r="D32" s="83">
        <f>VLOOKUP($C32,猫咪!$B:$E,4,0)</f>
        <v>1.28</v>
      </c>
      <c r="E32" s="109">
        <f t="shared" si="2"/>
        <v>14100</v>
      </c>
      <c r="F32" s="83">
        <f t="shared" si="3"/>
        <v>32148.000000000004</v>
      </c>
      <c r="G32" s="101">
        <f t="shared" si="4"/>
        <v>17000000</v>
      </c>
      <c r="H32" s="77">
        <f>SUM($G$5:$G32)</f>
        <v>88801770</v>
      </c>
      <c r="I32" s="77">
        <f t="shared" si="5"/>
        <v>177603540</v>
      </c>
      <c r="J32" s="77">
        <f t="array" ref="J32">MIN(IF(旅店!$U$5:$U$85&gt;=$I32,旅店!$R$5:$R$85))</f>
        <v>27.47</v>
      </c>
      <c r="K32" s="77">
        <f t="array" ref="K32">MIN(IF(旅店!$U$5:$U$85&gt;=$I32,旅店!$Q$5:$Q$85))</f>
        <v>62</v>
      </c>
      <c r="O32" s="77">
        <v>47</v>
      </c>
      <c r="P32" s="77">
        <f>INDEX(等级时间!$U$3:$AU$203,MATCH($O32,等级时间!$U$3:$U$203,0),MATCH(P$4,等级时间!$U$3:$AU$3,0))</f>
        <v>10.1</v>
      </c>
      <c r="Q32" s="77">
        <f t="shared" si="7"/>
        <v>0.71999999999999886</v>
      </c>
      <c r="R32" s="77">
        <f t="shared" si="0"/>
        <v>323231.03999999951</v>
      </c>
      <c r="S32" s="77">
        <f>SUM($R$5:$R32)</f>
        <v>2448485.1599999997</v>
      </c>
      <c r="U32" s="77">
        <f>INDEX(等级时间!$U$3:$AU$203,MATCH($O32,等级时间!$U$3:$U$203,0),MATCH(U$4,等级时间!$U$3:$AU$3,0))</f>
        <v>4.24</v>
      </c>
      <c r="V32" s="77">
        <f t="shared" si="8"/>
        <v>0.30000000000000027</v>
      </c>
      <c r="W32" s="77">
        <f t="shared" si="1"/>
        <v>134679.60000000012</v>
      </c>
      <c r="X32" s="77">
        <f>SUM($W$5:$W32)</f>
        <v>1028918.4000000001</v>
      </c>
    </row>
    <row r="33" spans="2:24" x14ac:dyDescent="0.15">
      <c r="B33" s="83">
        <v>29</v>
      </c>
      <c r="C33" s="77">
        <f t="array" ref="C33">MIN(IF(体力抽奖!$C$48:$C$60&gt;=矿山!$B33,体力抽奖!$J$48:$J$60))</f>
        <v>8</v>
      </c>
      <c r="D33" s="83">
        <f>VLOOKUP($C33,猫咪!$B:$E,4,0)</f>
        <v>1.28</v>
      </c>
      <c r="E33" s="109">
        <f t="shared" si="2"/>
        <v>14400</v>
      </c>
      <c r="F33" s="83">
        <f t="shared" si="3"/>
        <v>32832</v>
      </c>
      <c r="G33" s="101">
        <f t="shared" si="4"/>
        <v>21000000</v>
      </c>
      <c r="H33" s="77">
        <f>SUM($G$5:$G33)</f>
        <v>109801770</v>
      </c>
      <c r="I33" s="77">
        <f t="shared" si="5"/>
        <v>219603540</v>
      </c>
      <c r="J33" s="77">
        <f t="array" ref="J33">MIN(IF(旅店!$U$5:$U$85&gt;=$I33,旅店!$R$5:$R$85))</f>
        <v>29.19</v>
      </c>
      <c r="K33" s="77">
        <f t="array" ref="K33">MIN(IF(旅店!$U$5:$U$85&gt;=$I33,旅店!$Q$5:$Q$85))</f>
        <v>63</v>
      </c>
      <c r="O33" s="77">
        <v>48</v>
      </c>
      <c r="P33" s="77">
        <f>INDEX(等级时间!$U$3:$AU$203,MATCH($O33,等级时间!$U$3:$U$203,0),MATCH(P$4,等级时间!$U$3:$AU$3,0))</f>
        <v>10.86</v>
      </c>
      <c r="Q33" s="77">
        <f t="shared" si="7"/>
        <v>0.75999999999999979</v>
      </c>
      <c r="R33" s="77">
        <f t="shared" si="0"/>
        <v>347718.23999999987</v>
      </c>
      <c r="S33" s="77">
        <f>SUM($R$5:$R33)</f>
        <v>2796203.3999999994</v>
      </c>
      <c r="U33" s="77">
        <f>INDEX(等级时间!$U$3:$AU$203,MATCH($O33,等级时间!$U$3:$U$203,0),MATCH(U$4,等级时间!$U$3:$AU$3,0))</f>
        <v>4.5599999999999996</v>
      </c>
      <c r="V33" s="77">
        <f t="shared" si="8"/>
        <v>0.3199999999999994</v>
      </c>
      <c r="W33" s="77">
        <f t="shared" si="1"/>
        <v>146407.67999999973</v>
      </c>
      <c r="X33" s="77">
        <f>SUM($W$5:$W33)</f>
        <v>1175326.0799999998</v>
      </c>
    </row>
    <row r="34" spans="2:24" x14ac:dyDescent="0.15">
      <c r="B34" s="83">
        <v>30</v>
      </c>
      <c r="C34" s="77">
        <f t="array" ref="C34">MIN(IF(体力抽奖!$C$48:$C$60&gt;=矿山!$B34,体力抽奖!$J$48:$J$60))</f>
        <v>10</v>
      </c>
      <c r="D34" s="83">
        <f>VLOOKUP($C34,猫咪!$B:$E,4,0)</f>
        <v>5.12</v>
      </c>
      <c r="E34" s="109">
        <f t="shared" si="2"/>
        <v>14800</v>
      </c>
      <c r="F34" s="83">
        <f t="shared" si="3"/>
        <v>90576</v>
      </c>
      <c r="G34" s="101">
        <f t="shared" si="4"/>
        <v>24000000</v>
      </c>
      <c r="H34" s="77">
        <f>SUM($G$5:$G34)</f>
        <v>133801770</v>
      </c>
      <c r="I34" s="77">
        <f t="shared" si="5"/>
        <v>267603540</v>
      </c>
      <c r="J34" s="77">
        <f t="array" ref="J34">MIN(IF(旅店!$U$5:$U$85&gt;=$I34,旅店!$R$5:$R$85))</f>
        <v>29.19</v>
      </c>
      <c r="K34" s="77">
        <f t="array" ref="K34">MIN(IF(旅店!$U$5:$U$85&gt;=$I34,旅店!$Q$5:$Q$85))</f>
        <v>63</v>
      </c>
      <c r="O34" s="77">
        <v>49</v>
      </c>
      <c r="P34" s="77">
        <f>INDEX(等级时间!$U$3:$AU$203,MATCH($O34,等级时间!$U$3:$U$203,0),MATCH(P$4,等级时间!$U$3:$AU$3,0))</f>
        <v>11.68</v>
      </c>
      <c r="Q34" s="77">
        <f t="shared" si="7"/>
        <v>0.82000000000000028</v>
      </c>
      <c r="R34" s="77">
        <f t="shared" si="0"/>
        <v>380453.76000000013</v>
      </c>
      <c r="S34" s="77">
        <f>SUM($R$5:$R34)</f>
        <v>3176657.1599999997</v>
      </c>
      <c r="U34" s="77">
        <f>INDEX(等级时间!$U$3:$AU$203,MATCH($O34,等级时间!$U$3:$U$203,0),MATCH(U$4,等级时间!$U$3:$AU$3,0))</f>
        <v>4.91</v>
      </c>
      <c r="V34" s="77">
        <f t="shared" si="8"/>
        <v>0.35000000000000053</v>
      </c>
      <c r="W34" s="77">
        <f t="shared" si="1"/>
        <v>162388.80000000025</v>
      </c>
      <c r="X34" s="77">
        <f>SUM($W$5:$W34)</f>
        <v>1337714.8800000001</v>
      </c>
    </row>
    <row r="35" spans="2:24" x14ac:dyDescent="0.15">
      <c r="B35" s="83">
        <v>31</v>
      </c>
      <c r="C35" s="77">
        <f t="array" ref="C35">MIN(IF(体力抽奖!$C$48:$C$60&gt;=矿山!$B35,体力抽奖!$J$48:$J$60))</f>
        <v>10</v>
      </c>
      <c r="D35" s="83">
        <f>VLOOKUP($C35,猫咪!$B:$E,4,0)</f>
        <v>5.12</v>
      </c>
      <c r="E35" s="109">
        <f t="shared" si="2"/>
        <v>15200</v>
      </c>
      <c r="F35" s="83">
        <f t="shared" si="3"/>
        <v>93024</v>
      </c>
      <c r="G35" s="101">
        <f t="shared" si="4"/>
        <v>29000000</v>
      </c>
      <c r="H35" s="77">
        <f>SUM($G$5:$G35)</f>
        <v>162801770</v>
      </c>
      <c r="I35" s="77">
        <f t="shared" si="5"/>
        <v>325603540</v>
      </c>
      <c r="J35" s="77">
        <f t="array" ref="J35">MIN(IF(旅店!$U$5:$U$85&gt;=$I35,旅店!$R$5:$R$85))</f>
        <v>31</v>
      </c>
      <c r="K35" s="77">
        <f t="array" ref="K35">MIN(IF(旅店!$U$5:$U$85&gt;=$I35,旅店!$Q$5:$Q$85))</f>
        <v>64</v>
      </c>
      <c r="O35" s="77">
        <v>50</v>
      </c>
      <c r="P35" s="77">
        <f>INDEX(等级时间!$U$3:$AU$203,MATCH($O35,等级时间!$U$3:$U$203,0),MATCH(P$4,等级时间!$U$3:$AU$3,0))</f>
        <v>12.54</v>
      </c>
      <c r="Q35" s="77">
        <f t="shared" si="7"/>
        <v>0.85999999999999943</v>
      </c>
      <c r="R35" s="77">
        <f t="shared" si="0"/>
        <v>1587766.399999999</v>
      </c>
      <c r="S35" s="77">
        <f>SUM($R$5:$R35)</f>
        <v>4764423.5599999987</v>
      </c>
      <c r="U35" s="77">
        <f>INDEX(等级时间!$U$3:$AU$203,MATCH($O35,等级时间!$U$3:$U$203,0),MATCH(U$4,等级时间!$U$3:$AU$3,0))</f>
        <v>5.27</v>
      </c>
      <c r="V35" s="77">
        <f t="shared" si="8"/>
        <v>0.35999999999999943</v>
      </c>
      <c r="W35" s="77">
        <f t="shared" si="1"/>
        <v>664646.39999999898</v>
      </c>
      <c r="X35" s="77">
        <f>SUM($W$5:$W35)</f>
        <v>2002361.2799999991</v>
      </c>
    </row>
    <row r="36" spans="2:24" x14ac:dyDescent="0.15">
      <c r="B36" s="83">
        <v>32</v>
      </c>
      <c r="C36" s="77">
        <f t="array" ref="C36">MIN(IF(体力抽奖!$C$48:$C$60&gt;=矿山!$B36,体力抽奖!$J$48:$J$60))</f>
        <v>10</v>
      </c>
      <c r="D36" s="83">
        <f>VLOOKUP($C36,猫咪!$B:$E,4,0)</f>
        <v>5.12</v>
      </c>
      <c r="E36" s="109">
        <f t="shared" si="2"/>
        <v>15500</v>
      </c>
      <c r="F36" s="83">
        <f t="shared" si="3"/>
        <v>94860</v>
      </c>
      <c r="G36" s="101">
        <f t="shared" si="4"/>
        <v>34000000</v>
      </c>
      <c r="H36" s="77">
        <f>SUM($G$5:$G36)</f>
        <v>196801770</v>
      </c>
      <c r="I36" s="77">
        <f t="shared" si="5"/>
        <v>393603540</v>
      </c>
      <c r="J36" s="77">
        <f t="array" ref="J36">MIN(IF(旅店!$U$5:$U$85&gt;=$I36,旅店!$R$5:$R$85))</f>
        <v>34.89</v>
      </c>
      <c r="K36" s="77">
        <f t="array" ref="K36">MIN(IF(旅店!$U$5:$U$85&gt;=$I36,旅店!$Q$5:$Q$85))</f>
        <v>66</v>
      </c>
      <c r="O36" s="77">
        <v>51</v>
      </c>
      <c r="P36" s="77">
        <f>INDEX(等级时间!$U$3:$AU$203,MATCH($O36,等级时间!$U$3:$U$203,0),MATCH(P$4,等级时间!$U$3:$AU$3,0))</f>
        <v>13.45</v>
      </c>
      <c r="Q36" s="77">
        <f t="shared" si="7"/>
        <v>0.91000000000000014</v>
      </c>
      <c r="R36" s="77">
        <f t="shared" si="0"/>
        <v>1710625.2800000003</v>
      </c>
      <c r="S36" s="77">
        <f>SUM($R$5:$R36)</f>
        <v>6475048.8399999989</v>
      </c>
      <c r="U36" s="77">
        <f>INDEX(等级时间!$U$3:$AU$203,MATCH($O36,等级时间!$U$3:$U$203,0),MATCH(U$4,等级时间!$U$3:$AU$3,0))</f>
        <v>5.65</v>
      </c>
      <c r="V36" s="77">
        <f t="shared" si="8"/>
        <v>0.38000000000000078</v>
      </c>
      <c r="W36" s="77">
        <f t="shared" si="1"/>
        <v>714327.04000000143</v>
      </c>
      <c r="X36" s="77">
        <f>SUM($W$5:$W36)</f>
        <v>2716688.3200000003</v>
      </c>
    </row>
    <row r="37" spans="2:24" x14ac:dyDescent="0.15">
      <c r="B37" s="83">
        <v>33</v>
      </c>
      <c r="C37" s="77">
        <f t="array" ref="C37">MIN(IF(体力抽奖!$C$48:$C$60&gt;=矿山!$B37,体力抽奖!$J$48:$J$60))</f>
        <v>10</v>
      </c>
      <c r="D37" s="83">
        <f>VLOOKUP($C37,猫咪!$B:$E,4,0)</f>
        <v>5.12</v>
      </c>
      <c r="E37" s="109">
        <f t="shared" si="2"/>
        <v>15900</v>
      </c>
      <c r="F37" s="83">
        <f t="shared" si="3"/>
        <v>97308</v>
      </c>
      <c r="G37" s="101">
        <f t="shared" si="4"/>
        <v>39000000</v>
      </c>
      <c r="H37" s="77">
        <f>SUM($G$5:$G37)</f>
        <v>235801770</v>
      </c>
      <c r="I37" s="77">
        <f t="shared" si="5"/>
        <v>471603540</v>
      </c>
      <c r="J37" s="77">
        <f t="array" ref="J37">MIN(IF(旅店!$U$5:$U$85&gt;=$I37,旅店!$R$5:$R$85))</f>
        <v>36.979999999999997</v>
      </c>
      <c r="K37" s="77">
        <f t="array" ref="K37">MIN(IF(旅店!$U$5:$U$85&gt;=$I37,旅店!$Q$5:$Q$85))</f>
        <v>67</v>
      </c>
      <c r="O37" s="77">
        <v>52</v>
      </c>
      <c r="P37" s="77">
        <f>INDEX(等级时间!$U$3:$AU$203,MATCH($O37,等级时间!$U$3:$U$203,0),MATCH(P$4,等级时间!$U$3:$AU$3,0))</f>
        <v>14.41</v>
      </c>
      <c r="Q37" s="77">
        <f t="shared" si="7"/>
        <v>0.96000000000000085</v>
      </c>
      <c r="R37" s="77">
        <f t="shared" ref="R37:R68" si="9">INDEX($B$4:$H$104,MATCH($O37,$B$4:$B$104,0),MATCH("每日产出矿石",$B$4:$H$4,0))*Q37*IF($O37&gt;=$M$6,2,1)</f>
        <v>1828784.6400000015</v>
      </c>
      <c r="S37" s="77">
        <f>SUM($R$5:$R37)</f>
        <v>8303833.4800000004</v>
      </c>
      <c r="U37" s="77">
        <f>INDEX(等级时间!$U$3:$AU$203,MATCH($O37,等级时间!$U$3:$U$203,0),MATCH(U$4,等级时间!$U$3:$AU$3,0))</f>
        <v>6.05</v>
      </c>
      <c r="V37" s="77">
        <f t="shared" si="8"/>
        <v>0.39999999999999947</v>
      </c>
      <c r="W37" s="77">
        <f t="shared" ref="W37:W68" si="10">INDEX($B$4:$H$104,MATCH($O37,$B$4:$B$104,0),MATCH("每日产出矿石",$B$4:$H$4,0))*V37*IF($O37&gt;=$M$6,2,1)</f>
        <v>761993.59999999893</v>
      </c>
      <c r="X37" s="77">
        <f>SUM($W$5:$W37)</f>
        <v>3478681.919999999</v>
      </c>
    </row>
    <row r="38" spans="2:24" x14ac:dyDescent="0.15">
      <c r="B38" s="83">
        <v>34</v>
      </c>
      <c r="C38" s="77">
        <f t="array" ref="C38">MIN(IF(体力抽奖!$C$48:$C$60&gt;=矿山!$B38,体力抽奖!$J$48:$J$60))</f>
        <v>10</v>
      </c>
      <c r="D38" s="83">
        <f>VLOOKUP($C38,猫咪!$B:$E,4,0)</f>
        <v>5.12</v>
      </c>
      <c r="E38" s="109">
        <f t="shared" si="2"/>
        <v>16200</v>
      </c>
      <c r="F38" s="83">
        <f t="shared" si="3"/>
        <v>99144</v>
      </c>
      <c r="G38" s="101">
        <f t="shared" si="4"/>
        <v>45000000</v>
      </c>
      <c r="H38" s="77">
        <f>SUM($G$5:$G38)</f>
        <v>280801770</v>
      </c>
      <c r="I38" s="77">
        <f t="shared" si="5"/>
        <v>561603540</v>
      </c>
      <c r="J38" s="77">
        <f t="array" ref="J38">MIN(IF(旅店!$U$5:$U$85&gt;=$I38,旅店!$R$5:$R$85))</f>
        <v>39.17</v>
      </c>
      <c r="K38" s="77">
        <f t="array" ref="K38">MIN(IF(旅店!$U$5:$U$85&gt;=$I38,旅店!$Q$5:$Q$85))</f>
        <v>68</v>
      </c>
      <c r="O38" s="77">
        <v>53</v>
      </c>
      <c r="P38" s="77">
        <f>INDEX(等级时间!$U$3:$AU$203,MATCH($O38,等级时间!$U$3:$U$203,0),MATCH(P$4,等级时间!$U$3:$AU$3,0))</f>
        <v>15.42</v>
      </c>
      <c r="Q38" s="77">
        <f t="shared" si="7"/>
        <v>1.0099999999999998</v>
      </c>
      <c r="R38" s="77">
        <f t="shared" si="9"/>
        <v>1957937.5199999996</v>
      </c>
      <c r="S38" s="77">
        <f>SUM($R$5:$R38)</f>
        <v>10261771</v>
      </c>
      <c r="U38" s="77">
        <f>INDEX(等级时间!$U$3:$AU$203,MATCH($O38,等级时间!$U$3:$U$203,0),MATCH(U$4,等级时间!$U$3:$AU$3,0))</f>
        <v>6.48</v>
      </c>
      <c r="V38" s="77">
        <f t="shared" si="8"/>
        <v>0.4300000000000006</v>
      </c>
      <c r="W38" s="77">
        <f t="shared" si="10"/>
        <v>833577.36000000115</v>
      </c>
      <c r="X38" s="77">
        <f>SUM($W$5:$W38)</f>
        <v>4312259.28</v>
      </c>
    </row>
    <row r="39" spans="2:24" x14ac:dyDescent="0.15">
      <c r="B39" s="83">
        <v>35</v>
      </c>
      <c r="C39" s="77">
        <f t="array" ref="C39">MIN(IF(体力抽奖!$C$48:$C$60&gt;=矿山!$B39,体力抽奖!$J$48:$J$60))</f>
        <v>10</v>
      </c>
      <c r="D39" s="83">
        <f>VLOOKUP($C39,猫咪!$B:$E,4,0)</f>
        <v>5.12</v>
      </c>
      <c r="E39" s="109">
        <f t="shared" si="2"/>
        <v>16600</v>
      </c>
      <c r="F39" s="83">
        <f t="shared" si="3"/>
        <v>101592</v>
      </c>
      <c r="G39" s="101">
        <f t="shared" si="4"/>
        <v>53000000</v>
      </c>
      <c r="H39" s="77">
        <f>SUM($G$5:$G39)</f>
        <v>333801770</v>
      </c>
      <c r="I39" s="77">
        <f t="shared" si="5"/>
        <v>667603540</v>
      </c>
      <c r="J39" s="77">
        <f t="array" ref="J39">MIN(IF(旅店!$U$5:$U$85&gt;=$I39,旅店!$R$5:$R$85))</f>
        <v>43.88</v>
      </c>
      <c r="K39" s="77">
        <f t="array" ref="K39">MIN(IF(旅店!$U$5:$U$85&gt;=$I39,旅店!$Q$5:$Q$85))</f>
        <v>70</v>
      </c>
      <c r="O39" s="77">
        <v>54</v>
      </c>
      <c r="P39" s="77">
        <f>INDEX(等级时间!$U$3:$AU$203,MATCH($O39,等级时间!$U$3:$U$203,0),MATCH(P$4,等级时间!$U$3:$AU$3,0))</f>
        <v>16.489999999999998</v>
      </c>
      <c r="Q39" s="77">
        <f t="shared" si="7"/>
        <v>1.0699999999999985</v>
      </c>
      <c r="R39" s="77">
        <f t="shared" si="9"/>
        <v>2101188.9599999972</v>
      </c>
      <c r="S39" s="77">
        <f>SUM($R$5:$R39)</f>
        <v>12362959.959999997</v>
      </c>
      <c r="U39" s="77">
        <f>INDEX(等级时间!$U$3:$AU$203,MATCH($O39,等级时间!$U$3:$U$203,0),MATCH(U$4,等级时间!$U$3:$AU$3,0))</f>
        <v>6.93</v>
      </c>
      <c r="V39" s="77">
        <f t="shared" si="8"/>
        <v>0.44999999999999929</v>
      </c>
      <c r="W39" s="77">
        <f t="shared" si="10"/>
        <v>883677.59999999858</v>
      </c>
      <c r="X39" s="77">
        <f>SUM($W$5:$W39)</f>
        <v>5195936.879999999</v>
      </c>
    </row>
    <row r="40" spans="2:24" x14ac:dyDescent="0.15">
      <c r="B40" s="83">
        <v>36</v>
      </c>
      <c r="C40" s="77">
        <f t="array" ref="C40">MIN(IF(体力抽奖!$C$48:$C$60&gt;=矿山!$B40,体力抽奖!$J$48:$J$60))</f>
        <v>10</v>
      </c>
      <c r="D40" s="83">
        <f>VLOOKUP($C40,猫咪!$B:$E,4,0)</f>
        <v>5.12</v>
      </c>
      <c r="E40" s="109">
        <f t="shared" si="2"/>
        <v>17000</v>
      </c>
      <c r="F40" s="83">
        <f t="shared" si="3"/>
        <v>104040</v>
      </c>
      <c r="G40" s="101">
        <f t="shared" si="4"/>
        <v>60000000</v>
      </c>
      <c r="H40" s="77">
        <f>SUM($G$5:$G40)</f>
        <v>393801770</v>
      </c>
      <c r="I40" s="77">
        <f t="shared" si="5"/>
        <v>787603540</v>
      </c>
      <c r="J40" s="77">
        <f t="array" ref="J40">MIN(IF(旅店!$U$5:$U$85&gt;=$I40,旅店!$R$5:$R$85))</f>
        <v>43.88</v>
      </c>
      <c r="K40" s="77">
        <f t="array" ref="K40">MIN(IF(旅店!$U$5:$U$85&gt;=$I40,旅店!$Q$5:$Q$85))</f>
        <v>70</v>
      </c>
      <c r="O40" s="77">
        <v>55</v>
      </c>
      <c r="P40" s="77">
        <f>INDEX(等级时间!$U$3:$AU$203,MATCH($O40,等级时间!$U$3:$U$203,0),MATCH(P$4,等级时间!$U$3:$AU$3,0))</f>
        <v>17.63</v>
      </c>
      <c r="Q40" s="77">
        <f t="shared" si="7"/>
        <v>1.1400000000000006</v>
      </c>
      <c r="R40" s="77">
        <f t="shared" si="9"/>
        <v>2276917.4400000013</v>
      </c>
      <c r="S40" s="77">
        <f>SUM($R$5:$R40)</f>
        <v>14639877.399999999</v>
      </c>
      <c r="U40" s="77">
        <f>INDEX(等级时间!$U$3:$AU$203,MATCH($O40,等级时间!$U$3:$U$203,0),MATCH(U$4,等级时间!$U$3:$AU$3,0))</f>
        <v>7.41</v>
      </c>
      <c r="V40" s="77">
        <f t="shared" si="8"/>
        <v>0.48000000000000043</v>
      </c>
      <c r="W40" s="77">
        <f t="shared" si="10"/>
        <v>958702.08000000089</v>
      </c>
      <c r="X40" s="77">
        <f>SUM($W$5:$W40)</f>
        <v>6154638.96</v>
      </c>
    </row>
    <row r="41" spans="2:24" x14ac:dyDescent="0.15">
      <c r="B41" s="83">
        <v>37</v>
      </c>
      <c r="C41" s="77">
        <f t="array" ref="C41">MIN(IF(体力抽奖!$C$48:$C$60&gt;=矿山!$B41,体力抽奖!$J$48:$J$60))</f>
        <v>10</v>
      </c>
      <c r="D41" s="83">
        <f>VLOOKUP($C41,猫咪!$B:$E,4,0)</f>
        <v>5.12</v>
      </c>
      <c r="E41" s="109">
        <f t="shared" si="2"/>
        <v>17300</v>
      </c>
      <c r="F41" s="83">
        <f t="shared" si="3"/>
        <v>105876</v>
      </c>
      <c r="G41" s="101">
        <f t="shared" si="4"/>
        <v>69000000</v>
      </c>
      <c r="H41" s="77">
        <f>SUM($G$5:$G41)</f>
        <v>462801770</v>
      </c>
      <c r="I41" s="77">
        <f t="shared" si="5"/>
        <v>925603540</v>
      </c>
      <c r="J41" s="77">
        <f t="array" ref="J41">MIN(IF(旅店!$U$5:$U$85&gt;=$I41,旅店!$R$5:$R$85))</f>
        <v>43.88</v>
      </c>
      <c r="K41" s="77">
        <f t="array" ref="K41">MIN(IF(旅店!$U$5:$U$85&gt;=$I41,旅店!$Q$5:$Q$85))</f>
        <v>70</v>
      </c>
      <c r="O41" s="77">
        <v>56</v>
      </c>
      <c r="P41" s="77">
        <f>INDEX(等级时间!$U$3:$AU$203,MATCH($O41,等级时间!$U$3:$U$203,0),MATCH(P$4,等级时间!$U$3:$AU$3,0))</f>
        <v>18.82</v>
      </c>
      <c r="Q41" s="77">
        <f t="shared" si="7"/>
        <v>1.1900000000000013</v>
      </c>
      <c r="R41" s="77">
        <f t="shared" si="9"/>
        <v>2416728.1600000025</v>
      </c>
      <c r="S41" s="77">
        <f>SUM($R$5:$R41)</f>
        <v>17056605.560000002</v>
      </c>
      <c r="U41" s="77">
        <f>INDEX(等级时间!$U$3:$AU$203,MATCH($O41,等级时间!$U$3:$U$203,0),MATCH(U$4,等级时间!$U$3:$AU$3,0))</f>
        <v>7.91</v>
      </c>
      <c r="V41" s="77">
        <f t="shared" si="8"/>
        <v>0.5</v>
      </c>
      <c r="W41" s="77">
        <f t="shared" si="10"/>
        <v>1015432</v>
      </c>
      <c r="X41" s="77">
        <f>SUM($W$5:$W41)</f>
        <v>7170070.96</v>
      </c>
    </row>
    <row r="42" spans="2:24" x14ac:dyDescent="0.15">
      <c r="B42" s="83">
        <v>38</v>
      </c>
      <c r="C42" s="77">
        <f t="array" ref="C42">MIN(IF(体力抽奖!$C$48:$C$60&gt;=矿山!$B42,体力抽奖!$J$48:$J$60))</f>
        <v>10</v>
      </c>
      <c r="D42" s="83">
        <f>VLOOKUP($C42,猫咪!$B:$E,4,0)</f>
        <v>5.12</v>
      </c>
      <c r="E42" s="109">
        <f t="shared" si="2"/>
        <v>17700</v>
      </c>
      <c r="F42" s="83">
        <f t="shared" si="3"/>
        <v>108324</v>
      </c>
      <c r="G42" s="101">
        <f t="shared" si="4"/>
        <v>79000000</v>
      </c>
      <c r="H42" s="77">
        <f>SUM($G$5:$G42)</f>
        <v>541801770</v>
      </c>
      <c r="I42" s="77">
        <f t="shared" si="5"/>
        <v>1083603540</v>
      </c>
      <c r="J42" s="77">
        <f t="array" ref="J42">MIN(IF(旅店!$U$5:$U$85&gt;=$I42,旅店!$R$5:$R$85))</f>
        <v>46.4</v>
      </c>
      <c r="K42" s="77">
        <f t="array" ref="K42">MIN(IF(旅店!$U$5:$U$85&gt;=$I42,旅店!$Q$5:$Q$85))</f>
        <v>71</v>
      </c>
      <c r="O42" s="77">
        <v>57</v>
      </c>
      <c r="P42" s="77">
        <f>INDEX(等级时间!$U$3:$AU$203,MATCH($O42,等级时间!$U$3:$U$203,0),MATCH(P$4,等级时间!$U$3:$AU$3,0))</f>
        <v>20.079999999999998</v>
      </c>
      <c r="Q42" s="77">
        <f t="shared" si="7"/>
        <v>1.259999999999998</v>
      </c>
      <c r="R42" s="77">
        <f t="shared" si="9"/>
        <v>2590610.3999999957</v>
      </c>
      <c r="S42" s="77">
        <f>SUM($R$5:$R42)</f>
        <v>19647215.959999997</v>
      </c>
      <c r="U42" s="77">
        <f>INDEX(等级时间!$U$3:$AU$203,MATCH($O42,等级时间!$U$3:$U$203,0),MATCH(U$4,等级时间!$U$3:$AU$3,0))</f>
        <v>8.44</v>
      </c>
      <c r="V42" s="77">
        <f t="shared" si="8"/>
        <v>0.52999999999999936</v>
      </c>
      <c r="W42" s="77">
        <f t="shared" si="10"/>
        <v>1089701.1999999988</v>
      </c>
      <c r="X42" s="77">
        <f>SUM($W$5:$W42)</f>
        <v>8259772.1599999983</v>
      </c>
    </row>
    <row r="43" spans="2:24" x14ac:dyDescent="0.15">
      <c r="B43" s="83">
        <v>39</v>
      </c>
      <c r="C43" s="77">
        <f t="array" ref="C43">MIN(IF(体力抽奖!$C$48:$C$60&gt;=矿山!$B43,体力抽奖!$J$48:$J$60))</f>
        <v>10</v>
      </c>
      <c r="D43" s="83">
        <f>VLOOKUP($C43,猫咪!$B:$E,4,0)</f>
        <v>5.12</v>
      </c>
      <c r="E43" s="109">
        <f t="shared" si="2"/>
        <v>18000</v>
      </c>
      <c r="F43" s="83">
        <f t="shared" si="3"/>
        <v>110160</v>
      </c>
      <c r="G43" s="101">
        <f t="shared" si="4"/>
        <v>90000000</v>
      </c>
      <c r="H43" s="77">
        <f>SUM($G$5:$G43)</f>
        <v>631801770</v>
      </c>
      <c r="I43" s="77">
        <f t="shared" si="5"/>
        <v>1263603540</v>
      </c>
      <c r="J43" s="77">
        <f t="array" ref="J43">MIN(IF(旅店!$U$5:$U$85&gt;=$I43,旅店!$R$5:$R$85))</f>
        <v>46.4</v>
      </c>
      <c r="K43" s="77">
        <f t="array" ref="K43">MIN(IF(旅店!$U$5:$U$85&gt;=$I43,旅店!$Q$5:$Q$85))</f>
        <v>71</v>
      </c>
      <c r="O43" s="77">
        <v>58</v>
      </c>
      <c r="P43" s="77">
        <f>INDEX(等级时间!$U$3:$AU$203,MATCH($O43,等级时间!$U$3:$U$203,0),MATCH(P$4,等级时间!$U$3:$AU$3,0))</f>
        <v>21.41</v>
      </c>
      <c r="Q43" s="77">
        <f t="shared" si="7"/>
        <v>1.3300000000000018</v>
      </c>
      <c r="R43" s="77">
        <f t="shared" si="9"/>
        <v>2779178.6400000039</v>
      </c>
      <c r="S43" s="77">
        <f>SUM($R$5:$R43)</f>
        <v>22426394.600000001</v>
      </c>
      <c r="U43" s="77">
        <f>INDEX(等级时间!$U$3:$AU$203,MATCH($O43,等级时间!$U$3:$U$203,0),MATCH(U$4,等级时间!$U$3:$AU$3,0))</f>
        <v>9</v>
      </c>
      <c r="V43" s="77">
        <f t="shared" si="8"/>
        <v>0.5600000000000005</v>
      </c>
      <c r="W43" s="77">
        <f t="shared" si="10"/>
        <v>1170180.4800000011</v>
      </c>
      <c r="X43" s="77">
        <f>SUM($W$5:$W43)</f>
        <v>9429952.6399999987</v>
      </c>
    </row>
    <row r="44" spans="2:24" x14ac:dyDescent="0.15">
      <c r="B44" s="83">
        <v>40</v>
      </c>
      <c r="C44" s="77">
        <f t="array" ref="C44">MIN(IF(体力抽奖!$C$48:$C$60&gt;=矿山!$B44,体力抽奖!$J$48:$J$60))</f>
        <v>12</v>
      </c>
      <c r="D44" s="83">
        <f>VLOOKUP($C44,猫咪!$B:$E,4,0)</f>
        <v>20.48</v>
      </c>
      <c r="E44" s="109">
        <f t="shared" si="2"/>
        <v>18400</v>
      </c>
      <c r="F44" s="83">
        <f t="shared" si="3"/>
        <v>395232</v>
      </c>
      <c r="G44" s="101">
        <f t="shared" si="4"/>
        <v>100000000</v>
      </c>
      <c r="H44" s="77">
        <f>SUM($G$5:$G44)</f>
        <v>731801770</v>
      </c>
      <c r="I44" s="77">
        <f t="shared" si="5"/>
        <v>1463603540</v>
      </c>
      <c r="J44" s="77">
        <f t="array" ref="J44">MIN(IF(旅店!$U$5:$U$85&gt;=$I44,旅店!$R$5:$R$85))</f>
        <v>49.05</v>
      </c>
      <c r="K44" s="77">
        <f t="array" ref="K44">MIN(IF(旅店!$U$5:$U$85&gt;=$I44,旅店!$Q$5:$Q$85))</f>
        <v>72</v>
      </c>
      <c r="O44" s="77">
        <v>59</v>
      </c>
      <c r="P44" s="77">
        <f>INDEX(等级时间!$U$3:$AU$203,MATCH($O44,等级时间!$U$3:$U$203,0),MATCH(P$4,等级时间!$U$3:$AU$3,0))</f>
        <v>22.81</v>
      </c>
      <c r="Q44" s="77">
        <f t="shared" si="7"/>
        <v>1.3999999999999986</v>
      </c>
      <c r="R44" s="77">
        <f t="shared" si="9"/>
        <v>2960697.5999999968</v>
      </c>
      <c r="S44" s="77">
        <f>SUM($R$5:$R44)</f>
        <v>25387092.199999999</v>
      </c>
      <c r="U44" s="77">
        <f>INDEX(等级时间!$U$3:$AU$203,MATCH($O44,等级时间!$U$3:$U$203,0),MATCH(U$4,等级时间!$U$3:$AU$3,0))</f>
        <v>9.58</v>
      </c>
      <c r="V44" s="77">
        <f t="shared" si="8"/>
        <v>0.58000000000000007</v>
      </c>
      <c r="W44" s="77">
        <f t="shared" si="10"/>
        <v>1226574.7200000002</v>
      </c>
      <c r="X44" s="77">
        <f>SUM($W$5:$W44)</f>
        <v>10656527.359999999</v>
      </c>
    </row>
    <row r="45" spans="2:24" x14ac:dyDescent="0.15">
      <c r="B45" s="83">
        <v>41</v>
      </c>
      <c r="C45" s="77">
        <f t="array" ref="C45">MIN(IF(体力抽奖!$C$48:$C$60&gt;=矿山!$B45,体力抽奖!$J$48:$J$60))</f>
        <v>12</v>
      </c>
      <c r="D45" s="83">
        <f>VLOOKUP($C45,猫咪!$B:$E,4,0)</f>
        <v>20.48</v>
      </c>
      <c r="E45" s="109">
        <f t="shared" si="2"/>
        <v>18800</v>
      </c>
      <c r="F45" s="83">
        <f t="shared" si="3"/>
        <v>403824</v>
      </c>
      <c r="G45" s="101">
        <f t="shared" si="4"/>
        <v>120000000</v>
      </c>
      <c r="H45" s="77">
        <f>SUM($G$5:$G45)</f>
        <v>851801770</v>
      </c>
      <c r="I45" s="77">
        <f t="shared" si="5"/>
        <v>1703603540</v>
      </c>
      <c r="J45" s="77">
        <f t="array" ref="J45">MIN(IF(旅店!$U$5:$U$85&gt;=$I45,旅店!$R$5:$R$85))</f>
        <v>51.81</v>
      </c>
      <c r="K45" s="77">
        <f t="array" ref="K45">MIN(IF(旅店!$U$5:$U$85&gt;=$I45,旅店!$Q$5:$Q$85))</f>
        <v>73</v>
      </c>
      <c r="O45" s="77">
        <v>60</v>
      </c>
      <c r="P45" s="77">
        <f>INDEX(等级时间!$U$3:$AU$203,MATCH($O45,等级时间!$U$3:$U$203,0),MATCH(P$4,等级时间!$U$3:$AU$3,0))</f>
        <v>24.29</v>
      </c>
      <c r="Q45" s="77">
        <f t="shared" si="7"/>
        <v>1.4800000000000004</v>
      </c>
      <c r="R45" s="77">
        <f t="shared" si="9"/>
        <v>12490915.840000004</v>
      </c>
      <c r="S45" s="77">
        <f>SUM($R$5:$R45)</f>
        <v>37878008.040000007</v>
      </c>
      <c r="U45" s="77">
        <f>INDEX(等级时间!$U$3:$AU$203,MATCH($O45,等级时间!$U$3:$U$203,0),MATCH(U$4,等级时间!$U$3:$AU$3,0))</f>
        <v>10.199999999999999</v>
      </c>
      <c r="V45" s="77">
        <f t="shared" si="8"/>
        <v>0.61999999999999922</v>
      </c>
      <c r="W45" s="77">
        <f t="shared" si="10"/>
        <v>5232680.9599999934</v>
      </c>
      <c r="X45" s="77">
        <f>SUM($W$5:$W45)</f>
        <v>15889208.319999993</v>
      </c>
    </row>
    <row r="46" spans="2:24" x14ac:dyDescent="0.15">
      <c r="B46" s="83">
        <v>42</v>
      </c>
      <c r="C46" s="77">
        <f t="array" ref="C46">MIN(IF(体力抽奖!$C$48:$C$60&gt;=矿山!$B46,体力抽奖!$J$48:$J$60))</f>
        <v>12</v>
      </c>
      <c r="D46" s="83">
        <f>VLOOKUP($C46,猫咪!$B:$E,4,0)</f>
        <v>20.48</v>
      </c>
      <c r="E46" s="109">
        <f t="shared" si="2"/>
        <v>19100</v>
      </c>
      <c r="F46" s="83">
        <f t="shared" si="3"/>
        <v>410268</v>
      </c>
      <c r="G46" s="101">
        <f t="shared" si="4"/>
        <v>130000000</v>
      </c>
      <c r="H46" s="77">
        <f>SUM($G$5:$G46)</f>
        <v>981801770</v>
      </c>
      <c r="I46" s="77">
        <f t="shared" si="5"/>
        <v>1963603540</v>
      </c>
      <c r="J46" s="77">
        <f t="array" ref="J46">MIN(IF(旅店!$U$5:$U$85&gt;=$I46,旅店!$R$5:$R$85))</f>
        <v>51.81</v>
      </c>
      <c r="K46" s="77">
        <f t="array" ref="K46">MIN(IF(旅店!$U$5:$U$85&gt;=$I46,旅店!$Q$5:$Q$85))</f>
        <v>73</v>
      </c>
      <c r="O46" s="77">
        <v>61</v>
      </c>
      <c r="P46" s="77">
        <f>INDEX(等级时间!$U$3:$AU$203,MATCH($O46,等级时间!$U$3:$U$203,0),MATCH(P$4,等级时间!$U$3:$AU$3,0))</f>
        <v>25.84</v>
      </c>
      <c r="Q46" s="77">
        <f t="shared" si="7"/>
        <v>1.5500000000000007</v>
      </c>
      <c r="R46" s="77">
        <f t="shared" si="9"/>
        <v>13286104.000000006</v>
      </c>
      <c r="S46" s="77">
        <f>SUM($R$5:$R46)</f>
        <v>51164112.040000014</v>
      </c>
      <c r="U46" s="77">
        <f>INDEX(等级时间!$U$3:$AU$203,MATCH($O46,等级时间!$U$3:$U$203,0),MATCH(U$4,等级时间!$U$3:$AU$3,0))</f>
        <v>10.86</v>
      </c>
      <c r="V46" s="77">
        <f t="shared" si="8"/>
        <v>0.66000000000000014</v>
      </c>
      <c r="W46" s="77">
        <f t="shared" si="10"/>
        <v>5657308.8000000017</v>
      </c>
      <c r="X46" s="77">
        <f>SUM($W$5:$W46)</f>
        <v>21546517.119999994</v>
      </c>
    </row>
    <row r="47" spans="2:24" x14ac:dyDescent="0.15">
      <c r="B47" s="83">
        <v>43</v>
      </c>
      <c r="C47" s="77">
        <f t="array" ref="C47">MIN(IF(体力抽奖!$C$48:$C$60&gt;=矿山!$B47,体力抽奖!$J$48:$J$60))</f>
        <v>12</v>
      </c>
      <c r="D47" s="83">
        <f>VLOOKUP($C47,猫咪!$B:$E,4,0)</f>
        <v>20.48</v>
      </c>
      <c r="E47" s="109">
        <f t="shared" si="2"/>
        <v>19500</v>
      </c>
      <c r="F47" s="83">
        <f t="shared" si="3"/>
        <v>418860</v>
      </c>
      <c r="G47" s="101">
        <f t="shared" si="4"/>
        <v>150000000</v>
      </c>
      <c r="H47" s="77">
        <f>SUM($G$5:$G47)</f>
        <v>1131801770</v>
      </c>
      <c r="I47" s="77">
        <f t="shared" si="5"/>
        <v>2263603540</v>
      </c>
      <c r="J47" s="77">
        <f t="array" ref="J47">MIN(IF(旅店!$U$5:$U$85&gt;=$I47,旅店!$R$5:$R$85))</f>
        <v>54.7</v>
      </c>
      <c r="K47" s="77">
        <f t="array" ref="K47">MIN(IF(旅店!$U$5:$U$85&gt;=$I47,旅店!$Q$5:$Q$85))</f>
        <v>74</v>
      </c>
      <c r="O47" s="77">
        <v>62</v>
      </c>
      <c r="P47" s="77">
        <f>INDEX(等级时间!$U$3:$AU$203,MATCH($O47,等级时间!$U$3:$U$203,0),MATCH(P$4,等级时间!$U$3:$AU$3,0))</f>
        <v>27.47</v>
      </c>
      <c r="Q47" s="77">
        <f t="shared" si="7"/>
        <v>1.629999999999999</v>
      </c>
      <c r="R47" s="77">
        <f t="shared" si="9"/>
        <v>14133051.919999991</v>
      </c>
      <c r="S47" s="77">
        <f>SUM($R$5:$R47)</f>
        <v>65297163.960000008</v>
      </c>
      <c r="U47" s="77">
        <f>INDEX(等级时间!$U$3:$AU$203,MATCH($O47,等级时间!$U$3:$U$203,0),MATCH(U$4,等级时间!$U$3:$AU$3,0))</f>
        <v>11.54</v>
      </c>
      <c r="V47" s="77">
        <f t="shared" si="8"/>
        <v>0.67999999999999972</v>
      </c>
      <c r="W47" s="77">
        <f t="shared" si="10"/>
        <v>5895997.1199999973</v>
      </c>
      <c r="X47" s="77">
        <f>SUM($W$5:$W47)</f>
        <v>27442514.239999991</v>
      </c>
    </row>
    <row r="48" spans="2:24" x14ac:dyDescent="0.15">
      <c r="B48" s="83">
        <v>44</v>
      </c>
      <c r="C48" s="77">
        <f t="array" ref="C48">MIN(IF(体力抽奖!$C$48:$C$60&gt;=矿山!$B48,体力抽奖!$J$48:$J$60))</f>
        <v>12</v>
      </c>
      <c r="D48" s="83">
        <f>VLOOKUP($C48,猫咪!$B:$E,4,0)</f>
        <v>20.48</v>
      </c>
      <c r="E48" s="109">
        <f t="shared" si="2"/>
        <v>19800</v>
      </c>
      <c r="F48" s="83">
        <f t="shared" si="3"/>
        <v>425304</v>
      </c>
      <c r="G48" s="101">
        <f t="shared" si="4"/>
        <v>160000000</v>
      </c>
      <c r="H48" s="77">
        <f>SUM($G$5:$G48)</f>
        <v>1291801770</v>
      </c>
      <c r="I48" s="77">
        <f t="shared" si="5"/>
        <v>2583603540</v>
      </c>
      <c r="J48" s="77">
        <f t="array" ref="J48">MIN(IF(旅店!$U$5:$U$85&gt;=$I48,旅店!$R$5:$R$85))</f>
        <v>57.73</v>
      </c>
      <c r="K48" s="77">
        <f t="array" ref="K48">MIN(IF(旅店!$U$5:$U$85&gt;=$I48,旅店!$Q$5:$Q$85))</f>
        <v>75</v>
      </c>
      <c r="O48" s="77">
        <v>63</v>
      </c>
      <c r="P48" s="77">
        <f>INDEX(等级时间!$U$3:$AU$203,MATCH($O48,等级时间!$U$3:$U$203,0),MATCH(P$4,等级时间!$U$3:$AU$3,0))</f>
        <v>29.19</v>
      </c>
      <c r="Q48" s="77">
        <f t="shared" si="7"/>
        <v>1.7200000000000024</v>
      </c>
      <c r="R48" s="77">
        <f t="shared" si="9"/>
        <v>15140224.320000021</v>
      </c>
      <c r="S48" s="77">
        <f>SUM($R$5:$R48)</f>
        <v>80437388.280000031</v>
      </c>
      <c r="U48" s="77">
        <f>INDEX(等级时间!$U$3:$AU$203,MATCH($O48,等级时间!$U$3:$U$203,0),MATCH(U$4,等级时间!$U$3:$AU$3,0))</f>
        <v>12.26</v>
      </c>
      <c r="V48" s="77">
        <f t="shared" si="8"/>
        <v>0.72000000000000064</v>
      </c>
      <c r="W48" s="77">
        <f t="shared" si="10"/>
        <v>6337768.3200000059</v>
      </c>
      <c r="X48" s="77">
        <f>SUM($W$5:$W48)</f>
        <v>33780282.559999995</v>
      </c>
    </row>
    <row r="49" spans="2:24" x14ac:dyDescent="0.15">
      <c r="B49" s="83">
        <v>45</v>
      </c>
      <c r="C49" s="77">
        <f t="array" ref="C49">MIN(IF(体力抽奖!$C$48:$C$60&gt;=矿山!$B49,体力抽奖!$J$48:$J$60))</f>
        <v>12</v>
      </c>
      <c r="D49" s="83">
        <f>VLOOKUP($C49,猫咪!$B:$E,4,0)</f>
        <v>20.48</v>
      </c>
      <c r="E49" s="109">
        <f t="shared" si="2"/>
        <v>20200</v>
      </c>
      <c r="F49" s="83">
        <f t="shared" si="3"/>
        <v>433896</v>
      </c>
      <c r="G49" s="101">
        <f t="shared" si="4"/>
        <v>180000000</v>
      </c>
      <c r="H49" s="77">
        <f>SUM($G$5:$G49)</f>
        <v>1471801770</v>
      </c>
      <c r="I49" s="77">
        <f t="shared" si="5"/>
        <v>2943603540</v>
      </c>
      <c r="J49" s="77">
        <f t="array" ref="J49">MIN(IF(旅店!$U$5:$U$85&gt;=$I49,旅店!$R$5:$R$85))</f>
        <v>60.89</v>
      </c>
      <c r="K49" s="77">
        <f t="array" ref="K49">MIN(IF(旅店!$U$5:$U$85&gt;=$I49,旅店!$Q$5:$Q$85))</f>
        <v>76</v>
      </c>
      <c r="O49" s="77">
        <v>64</v>
      </c>
      <c r="P49" s="77">
        <f>INDEX(等级时间!$U$3:$AU$203,MATCH($O49,等级时间!$U$3:$U$203,0),MATCH(P$4,等级时间!$U$3:$AU$3,0))</f>
        <v>31</v>
      </c>
      <c r="Q49" s="77">
        <f t="shared" si="7"/>
        <v>1.8099999999999987</v>
      </c>
      <c r="R49" s="77">
        <f t="shared" si="9"/>
        <v>16111461.599999988</v>
      </c>
      <c r="S49" s="77">
        <f>SUM($R$5:$R49)</f>
        <v>96548849.880000025</v>
      </c>
      <c r="U49" s="77">
        <f>INDEX(等级时间!$U$3:$AU$203,MATCH($O49,等级时间!$U$3:$U$203,0),MATCH(U$4,等级时间!$U$3:$AU$3,0))</f>
        <v>13.02</v>
      </c>
      <c r="V49" s="77">
        <f t="shared" si="8"/>
        <v>0.75999999999999979</v>
      </c>
      <c r="W49" s="77">
        <f t="shared" si="10"/>
        <v>6765033.5999999978</v>
      </c>
      <c r="X49" s="77">
        <f>SUM($W$5:$W49)</f>
        <v>40545316.159999996</v>
      </c>
    </row>
    <row r="50" spans="2:24" x14ac:dyDescent="0.15">
      <c r="B50" s="83">
        <v>46</v>
      </c>
      <c r="C50" s="77">
        <f t="array" ref="C50">MIN(IF(体力抽奖!$C$48:$C$60&gt;=矿山!$B50,体力抽奖!$J$48:$J$60))</f>
        <v>12</v>
      </c>
      <c r="D50" s="83">
        <f>VLOOKUP($C50,猫咪!$B:$E,4,0)</f>
        <v>20.48</v>
      </c>
      <c r="E50" s="109">
        <f t="shared" si="2"/>
        <v>20600</v>
      </c>
      <c r="F50" s="83">
        <f t="shared" si="3"/>
        <v>442488</v>
      </c>
      <c r="G50" s="101">
        <f t="shared" si="4"/>
        <v>210000000</v>
      </c>
      <c r="H50" s="77">
        <f>SUM($G$5:$G50)</f>
        <v>1681801770</v>
      </c>
      <c r="I50" s="77">
        <f t="shared" si="5"/>
        <v>3363603540</v>
      </c>
      <c r="J50" s="77">
        <f t="array" ref="J50">MIN(IF(旅店!$U$5:$U$85&gt;=$I50,旅店!$R$5:$R$85))</f>
        <v>64.180000000000007</v>
      </c>
      <c r="K50" s="77">
        <f t="array" ref="K50">MIN(IF(旅店!$U$5:$U$85&gt;=$I50,旅店!$Q$5:$Q$85))</f>
        <v>77</v>
      </c>
      <c r="O50" s="77">
        <v>65</v>
      </c>
      <c r="P50" s="77">
        <f>INDEX(等级时间!$U$3:$AU$203,MATCH($O50,等级时间!$U$3:$U$203,0),MATCH(P$4,等级时间!$U$3:$AU$3,0))</f>
        <v>32.9</v>
      </c>
      <c r="Q50" s="77">
        <f t="shared" si="7"/>
        <v>1.8999999999999986</v>
      </c>
      <c r="R50" s="77">
        <f t="shared" si="9"/>
        <v>17163140.799999986</v>
      </c>
      <c r="S50" s="77">
        <f>SUM($R$5:$R50)</f>
        <v>113711990.68000001</v>
      </c>
      <c r="U50" s="77">
        <f>INDEX(等级时间!$U$3:$AU$203,MATCH($O50,等级时间!$U$3:$U$203,0),MATCH(U$4,等级时间!$U$3:$AU$3,0))</f>
        <v>13.82</v>
      </c>
      <c r="V50" s="77">
        <f t="shared" si="8"/>
        <v>0.80000000000000071</v>
      </c>
      <c r="W50" s="77">
        <f t="shared" si="10"/>
        <v>7226585.6000000061</v>
      </c>
      <c r="X50" s="77">
        <f>SUM($W$5:$W50)</f>
        <v>47771901.760000005</v>
      </c>
    </row>
    <row r="51" spans="2:24" x14ac:dyDescent="0.15">
      <c r="B51" s="83">
        <v>47</v>
      </c>
      <c r="C51" s="77">
        <f t="array" ref="C51">MIN(IF(体力抽奖!$C$48:$C$60&gt;=矿山!$B51,体力抽奖!$J$48:$J$60))</f>
        <v>12</v>
      </c>
      <c r="D51" s="83">
        <f>VLOOKUP($C51,猫咪!$B:$E,4,0)</f>
        <v>20.48</v>
      </c>
      <c r="E51" s="109">
        <f t="shared" si="2"/>
        <v>20900</v>
      </c>
      <c r="F51" s="83">
        <f t="shared" si="3"/>
        <v>448932</v>
      </c>
      <c r="G51" s="101">
        <f t="shared" si="4"/>
        <v>230000000</v>
      </c>
      <c r="H51" s="77">
        <f>SUM($G$5:$G51)</f>
        <v>1911801770</v>
      </c>
      <c r="I51" s="77">
        <f t="shared" si="5"/>
        <v>3823603540</v>
      </c>
      <c r="J51" s="77">
        <f t="array" ref="J51">MIN(IF(旅店!$U$5:$U$85&gt;=$I51,旅店!$R$5:$R$85))</f>
        <v>67.63</v>
      </c>
      <c r="K51" s="77">
        <f t="array" ref="K51">MIN(IF(旅店!$U$5:$U$85&gt;=$I51,旅店!$Q$5:$Q$85))</f>
        <v>78</v>
      </c>
      <c r="O51" s="77">
        <v>66</v>
      </c>
      <c r="P51" s="77">
        <f>INDEX(等级时间!$U$3:$AU$203,MATCH($O51,等级时间!$U$3:$U$203,0),MATCH(P$4,等级时间!$U$3:$AU$3,0))</f>
        <v>34.89</v>
      </c>
      <c r="Q51" s="77">
        <f t="shared" si="7"/>
        <v>1.990000000000002</v>
      </c>
      <c r="R51" s="77">
        <f t="shared" si="9"/>
        <v>18238556.96000002</v>
      </c>
      <c r="S51" s="77">
        <f>SUM($R$5:$R51)</f>
        <v>131950547.64000003</v>
      </c>
      <c r="U51" s="77">
        <f>INDEX(等级时间!$U$3:$AU$203,MATCH($O51,等级时间!$U$3:$U$203,0),MATCH(U$4,等级时间!$U$3:$AU$3,0))</f>
        <v>14.66</v>
      </c>
      <c r="V51" s="77">
        <f t="shared" si="8"/>
        <v>0.83999999999999986</v>
      </c>
      <c r="W51" s="77">
        <f t="shared" si="10"/>
        <v>7698687.3599999985</v>
      </c>
      <c r="X51" s="77">
        <f>SUM($W$5:$W51)</f>
        <v>55470589.120000005</v>
      </c>
    </row>
    <row r="52" spans="2:24" x14ac:dyDescent="0.15">
      <c r="B52" s="83">
        <v>48</v>
      </c>
      <c r="C52" s="77">
        <f t="array" ref="C52">MIN(IF(体力抽奖!$C$48:$C$60&gt;=矿山!$B52,体力抽奖!$J$48:$J$60))</f>
        <v>12</v>
      </c>
      <c r="D52" s="83">
        <f>VLOOKUP($C52,猫咪!$B:$E,4,0)</f>
        <v>20.48</v>
      </c>
      <c r="E52" s="109">
        <f t="shared" si="2"/>
        <v>21300</v>
      </c>
      <c r="F52" s="83">
        <f t="shared" si="3"/>
        <v>457524</v>
      </c>
      <c r="G52" s="101">
        <f t="shared" si="4"/>
        <v>250000000</v>
      </c>
      <c r="H52" s="77">
        <f>SUM($G$5:$G52)</f>
        <v>2161801770</v>
      </c>
      <c r="I52" s="77">
        <f t="shared" si="5"/>
        <v>4323603540</v>
      </c>
      <c r="J52" s="77">
        <f t="array" ref="J52">MIN(IF(旅店!$U$5:$U$85&gt;=$I52,旅店!$R$5:$R$85))</f>
        <v>71.22</v>
      </c>
      <c r="K52" s="77">
        <f t="array" ref="K52">MIN(IF(旅店!$U$5:$U$85&gt;=$I52,旅店!$Q$5:$Q$85))</f>
        <v>79</v>
      </c>
      <c r="O52" s="77">
        <v>67</v>
      </c>
      <c r="P52" s="77">
        <f>INDEX(等级时间!$U$3:$AU$203,MATCH($O52,等级时间!$U$3:$U$203,0),MATCH(P$4,等级时间!$U$3:$AU$3,0))</f>
        <v>36.979999999999997</v>
      </c>
      <c r="Q52" s="77">
        <f t="shared" si="7"/>
        <v>2.0899999999999963</v>
      </c>
      <c r="R52" s="77">
        <f t="shared" si="9"/>
        <v>19361776.719999965</v>
      </c>
      <c r="S52" s="77">
        <f>SUM($R$5:$R52)</f>
        <v>151312324.35999998</v>
      </c>
      <c r="U52" s="77">
        <f>INDEX(等级时间!$U$3:$AU$203,MATCH($O52,等级时间!$U$3:$U$203,0),MATCH(U$4,等级时间!$U$3:$AU$3,0))</f>
        <v>15.54</v>
      </c>
      <c r="V52" s="77">
        <f t="shared" si="8"/>
        <v>0.87999999999999901</v>
      </c>
      <c r="W52" s="77">
        <f t="shared" si="10"/>
        <v>8152327.0399999907</v>
      </c>
      <c r="X52" s="77">
        <f>SUM($W$5:$W52)</f>
        <v>63622916.159999996</v>
      </c>
    </row>
    <row r="53" spans="2:24" x14ac:dyDescent="0.15">
      <c r="B53" s="83">
        <v>49</v>
      </c>
      <c r="C53" s="77">
        <f t="array" ref="C53">MIN(IF(体力抽奖!$C$48:$C$60&gt;=矿山!$B53,体力抽奖!$J$48:$J$60))</f>
        <v>12</v>
      </c>
      <c r="D53" s="83">
        <f>VLOOKUP($C53,猫咪!$B:$E,4,0)</f>
        <v>20.48</v>
      </c>
      <c r="E53" s="109">
        <f t="shared" si="2"/>
        <v>21600</v>
      </c>
      <c r="F53" s="83">
        <f t="shared" si="3"/>
        <v>463968</v>
      </c>
      <c r="G53" s="101">
        <f t="shared" si="4"/>
        <v>280000000</v>
      </c>
      <c r="H53" s="77">
        <f>SUM($G$5:$G53)</f>
        <v>2441801770</v>
      </c>
      <c r="I53" s="77">
        <f t="shared" si="5"/>
        <v>4883603540</v>
      </c>
      <c r="J53" s="77">
        <f t="array" ref="J53">MIN(IF(旅店!$U$5:$U$85&gt;=$I53,旅店!$R$5:$R$85))</f>
        <v>74.959999999999994</v>
      </c>
      <c r="K53" s="77">
        <f t="array" ref="K53">MIN(IF(旅店!$U$5:$U$85&gt;=$I53,旅店!$Q$5:$Q$85))</f>
        <v>80</v>
      </c>
      <c r="O53" s="77">
        <v>68</v>
      </c>
      <c r="P53" s="77">
        <f>INDEX(等级时间!$U$3:$AU$203,MATCH($O53,等级时间!$U$3:$U$203,0),MATCH(P$4,等级时间!$U$3:$AU$3,0))</f>
        <v>39.17</v>
      </c>
      <c r="Q53" s="77">
        <f t="shared" si="7"/>
        <v>2.1900000000000048</v>
      </c>
      <c r="R53" s="77">
        <f t="shared" si="9"/>
        <v>20576977.200000044</v>
      </c>
      <c r="S53" s="77">
        <f>SUM($R$5:$R53)</f>
        <v>171889301.56000003</v>
      </c>
      <c r="U53" s="77">
        <f>INDEX(等级时间!$U$3:$AU$203,MATCH($O53,等级时间!$U$3:$U$203,0),MATCH(U$4,等级时间!$U$3:$AU$3,0))</f>
        <v>16.46</v>
      </c>
      <c r="V53" s="77">
        <f t="shared" si="8"/>
        <v>0.92000000000000171</v>
      </c>
      <c r="W53" s="77">
        <f t="shared" si="10"/>
        <v>8644209.6000000164</v>
      </c>
      <c r="X53" s="77">
        <f>SUM($W$5:$W53)</f>
        <v>72267125.76000002</v>
      </c>
    </row>
    <row r="54" spans="2:24" x14ac:dyDescent="0.15">
      <c r="B54" s="83">
        <v>50</v>
      </c>
      <c r="C54" s="77">
        <f t="array" ref="C54">MIN(IF(体力抽奖!$C$48:$C$60&gt;=矿山!$B54,体力抽奖!$J$48:$J$60))</f>
        <v>13</v>
      </c>
      <c r="D54" s="83">
        <f>VLOOKUP($C54,猫咪!$B:$E,4,0)</f>
        <v>40.96</v>
      </c>
      <c r="E54" s="109">
        <f t="shared" si="2"/>
        <v>22000</v>
      </c>
      <c r="F54" s="83">
        <f t="shared" si="3"/>
        <v>923120</v>
      </c>
      <c r="G54" s="101">
        <f t="shared" si="4"/>
        <v>310000000</v>
      </c>
      <c r="H54" s="77">
        <f>SUM($G$5:$G54)</f>
        <v>2751801770</v>
      </c>
      <c r="I54" s="77">
        <f t="shared" si="5"/>
        <v>5503603540</v>
      </c>
      <c r="J54" s="77">
        <f t="array" ref="J54">MIN(IF(旅店!$U$5:$U$85&gt;=$I54,旅店!$R$5:$R$85))</f>
        <v>74.959999999999994</v>
      </c>
      <c r="K54" s="77">
        <f t="array" ref="K54">MIN(IF(旅店!$U$5:$U$85&gt;=$I54,旅店!$Q$5:$Q$85))</f>
        <v>80</v>
      </c>
      <c r="O54" s="77">
        <v>69</v>
      </c>
      <c r="P54" s="77">
        <f>INDEX(等级时间!$U$3:$AU$203,MATCH($O54,等级时间!$U$3:$U$203,0),MATCH(P$4,等级时间!$U$3:$AU$3,0))</f>
        <v>41.47</v>
      </c>
      <c r="Q54" s="77">
        <f t="shared" si="7"/>
        <v>2.2999999999999972</v>
      </c>
      <c r="R54" s="77">
        <f t="shared" si="9"/>
        <v>21838003.199999973</v>
      </c>
      <c r="S54" s="77">
        <f>SUM($R$5:$R54)</f>
        <v>193727304.75999999</v>
      </c>
      <c r="U54" s="77">
        <f>INDEX(等级时间!$U$3:$AU$203,MATCH($O54,等级时间!$U$3:$U$203,0),MATCH(U$4,等级时间!$U$3:$AU$3,0))</f>
        <v>17.420000000000002</v>
      </c>
      <c r="V54" s="77">
        <f t="shared" si="8"/>
        <v>0.96000000000000085</v>
      </c>
      <c r="W54" s="77">
        <f t="shared" si="10"/>
        <v>9114992.640000008</v>
      </c>
      <c r="X54" s="77">
        <f>SUM($W$5:$W54)</f>
        <v>81382118.400000036</v>
      </c>
    </row>
    <row r="55" spans="2:24" x14ac:dyDescent="0.15">
      <c r="B55" s="83">
        <v>51</v>
      </c>
      <c r="C55" s="77">
        <f t="array" ref="C55">MIN(IF(体力抽奖!$C$48:$C$60&gt;=矿山!$B55,体力抽奖!$J$48:$J$60))</f>
        <v>13</v>
      </c>
      <c r="D55" s="83">
        <f>VLOOKUP($C55,猫咪!$B:$E,4,0)</f>
        <v>40.96</v>
      </c>
      <c r="E55" s="109">
        <f t="shared" si="2"/>
        <v>22400</v>
      </c>
      <c r="F55" s="83">
        <f t="shared" si="3"/>
        <v>939904</v>
      </c>
      <c r="G55" s="101">
        <f t="shared" si="4"/>
        <v>350000000</v>
      </c>
      <c r="H55" s="77">
        <f>SUM($G$5:$G55)</f>
        <v>3101801770</v>
      </c>
      <c r="I55" s="77">
        <f t="shared" si="5"/>
        <v>6203603540</v>
      </c>
      <c r="J55" s="77">
        <f t="array" ref="J55">MIN(IF(旅店!$U$5:$U$85&gt;=$I55,旅店!$R$5:$R$85))</f>
        <v>78.86</v>
      </c>
      <c r="K55" s="77">
        <f t="array" ref="K55">MIN(IF(旅店!$U$5:$U$85&gt;=$I55,旅店!$Q$5:$Q$85))</f>
        <v>81</v>
      </c>
      <c r="O55" s="77">
        <v>70</v>
      </c>
      <c r="P55" s="77">
        <f>INDEX(等级时间!$U$3:$AU$203,MATCH($O55,等级时间!$U$3:$U$203,0),MATCH(P$4,等级时间!$U$3:$AU$3,0))</f>
        <v>43.88</v>
      </c>
      <c r="Q55" s="77">
        <f t="shared" si="7"/>
        <v>2.4100000000000037</v>
      </c>
      <c r="R55" s="77">
        <f t="shared" si="9"/>
        <v>92378731.840000138</v>
      </c>
      <c r="S55" s="77">
        <f>SUM($R$5:$R55)</f>
        <v>286106036.60000014</v>
      </c>
      <c r="U55" s="77">
        <f>INDEX(等级时间!$U$3:$AU$203,MATCH($O55,等级时间!$U$3:$U$203,0),MATCH(U$4,等级时间!$U$3:$AU$3,0))</f>
        <v>18.440000000000001</v>
      </c>
      <c r="V55" s="77">
        <f t="shared" si="8"/>
        <v>1.0199999999999996</v>
      </c>
      <c r="W55" s="77">
        <f t="shared" si="10"/>
        <v>39098052.479999982</v>
      </c>
      <c r="X55" s="77">
        <f>SUM($W$5:$W55)</f>
        <v>120480170.88000003</v>
      </c>
    </row>
    <row r="56" spans="2:24" x14ac:dyDescent="0.15">
      <c r="B56" s="83">
        <v>52</v>
      </c>
      <c r="C56" s="77">
        <f t="array" ref="C56">MIN(IF(体力抽奖!$C$48:$C$60&gt;=矿山!$B56,体力抽奖!$J$48:$J$60))</f>
        <v>13</v>
      </c>
      <c r="D56" s="83">
        <f>VLOOKUP($C56,猫咪!$B:$E,4,0)</f>
        <v>40.96</v>
      </c>
      <c r="E56" s="109">
        <f t="shared" si="2"/>
        <v>22700</v>
      </c>
      <c r="F56" s="83">
        <f t="shared" si="3"/>
        <v>952492</v>
      </c>
      <c r="G56" s="101">
        <f t="shared" si="4"/>
        <v>380000000</v>
      </c>
      <c r="H56" s="77">
        <f>SUM($G$5:$G56)</f>
        <v>3481801770</v>
      </c>
      <c r="I56" s="77">
        <f t="shared" si="5"/>
        <v>6963603540</v>
      </c>
      <c r="J56" s="77">
        <f t="array" ref="J56">MIN(IF(旅店!$U$5:$U$85&gt;=$I56,旅店!$R$5:$R$85))</f>
        <v>82.93</v>
      </c>
      <c r="K56" s="77">
        <f t="array" ref="K56">MIN(IF(旅店!$U$5:$U$85&gt;=$I56,旅店!$Q$5:$Q$85))</f>
        <v>82</v>
      </c>
      <c r="O56" s="77">
        <v>71</v>
      </c>
      <c r="P56" s="77">
        <f>INDEX(等级时间!$U$3:$AU$203,MATCH($O56,等级时间!$U$3:$U$203,0),MATCH(P$4,等级时间!$U$3:$AU$3,0))</f>
        <v>46.4</v>
      </c>
      <c r="Q56" s="77">
        <f t="shared" si="7"/>
        <v>2.519999999999996</v>
      </c>
      <c r="R56" s="77">
        <f t="shared" si="9"/>
        <v>97918410.239999846</v>
      </c>
      <c r="S56" s="77">
        <f>SUM($R$5:$R56)</f>
        <v>384024446.83999997</v>
      </c>
      <c r="U56" s="77">
        <f>INDEX(等级时间!$U$3:$AU$203,MATCH($O56,等级时间!$U$3:$U$203,0),MATCH(U$4,等级时间!$U$3:$AU$3,0))</f>
        <v>19.5</v>
      </c>
      <c r="V56" s="77">
        <f t="shared" si="8"/>
        <v>1.0599999999999987</v>
      </c>
      <c r="W56" s="77">
        <f t="shared" si="10"/>
        <v>41187902.719999947</v>
      </c>
      <c r="X56" s="77">
        <f>SUM($W$5:$W56)</f>
        <v>161668073.59999996</v>
      </c>
    </row>
    <row r="57" spans="2:24" x14ac:dyDescent="0.15">
      <c r="B57" s="83">
        <v>53</v>
      </c>
      <c r="C57" s="77">
        <f t="array" ref="C57">MIN(IF(体力抽奖!$C$48:$C$60&gt;=矿山!$B57,体力抽奖!$J$48:$J$60))</f>
        <v>13</v>
      </c>
      <c r="D57" s="83">
        <f>VLOOKUP($C57,猫咪!$B:$E,4,0)</f>
        <v>40.96</v>
      </c>
      <c r="E57" s="109">
        <f t="shared" si="2"/>
        <v>23100</v>
      </c>
      <c r="F57" s="83">
        <f t="shared" si="3"/>
        <v>969276</v>
      </c>
      <c r="G57" s="101">
        <f t="shared" si="4"/>
        <v>420000000</v>
      </c>
      <c r="H57" s="77">
        <f>SUM($G$5:$G57)</f>
        <v>3901801770</v>
      </c>
      <c r="I57" s="77">
        <f t="shared" si="5"/>
        <v>7803603540</v>
      </c>
      <c r="J57" s="77">
        <f t="array" ref="J57">MIN(IF(旅店!$U$5:$U$85&gt;=$I57,旅店!$R$5:$R$85))</f>
        <v>82.93</v>
      </c>
      <c r="K57" s="77">
        <f t="array" ref="K57">MIN(IF(旅店!$U$5:$U$85&gt;=$I57,旅店!$Q$5:$Q$85))</f>
        <v>82</v>
      </c>
      <c r="O57" s="77">
        <v>72</v>
      </c>
      <c r="P57" s="77">
        <f>INDEX(等级时间!$U$3:$AU$203,MATCH($O57,等级时间!$U$3:$U$203,0),MATCH(P$4,等级时间!$U$3:$AU$3,0))</f>
        <v>49.05</v>
      </c>
      <c r="Q57" s="77">
        <f t="shared" si="7"/>
        <v>2.6499999999999986</v>
      </c>
      <c r="R57" s="77">
        <f t="shared" si="9"/>
        <v>104013369.19999994</v>
      </c>
      <c r="S57" s="77">
        <f>SUM($R$5:$R57)</f>
        <v>488037816.0399999</v>
      </c>
      <c r="U57" s="77">
        <f>INDEX(等级时间!$U$3:$AU$203,MATCH($O57,等级时间!$U$3:$U$203,0),MATCH(U$4,等级时间!$U$3:$AU$3,0))</f>
        <v>20.61</v>
      </c>
      <c r="V57" s="77">
        <f t="shared" si="8"/>
        <v>1.1099999999999994</v>
      </c>
      <c r="W57" s="77">
        <f t="shared" si="10"/>
        <v>43567864.079999976</v>
      </c>
      <c r="X57" s="77">
        <f>SUM($W$5:$W57)</f>
        <v>205235937.67999995</v>
      </c>
    </row>
    <row r="58" spans="2:24" x14ac:dyDescent="0.15">
      <c r="B58" s="83">
        <v>54</v>
      </c>
      <c r="C58" s="77">
        <f t="array" ref="C58">MIN(IF(体力抽奖!$C$48:$C$60&gt;=矿山!$B58,体力抽奖!$J$48:$J$60))</f>
        <v>13</v>
      </c>
      <c r="D58" s="83">
        <f>VLOOKUP($C58,猫咪!$B:$E,4,0)</f>
        <v>40.96</v>
      </c>
      <c r="E58" s="109">
        <f t="shared" si="2"/>
        <v>23400</v>
      </c>
      <c r="F58" s="83">
        <f t="shared" si="3"/>
        <v>981864</v>
      </c>
      <c r="G58" s="101">
        <f t="shared" si="4"/>
        <v>460000000</v>
      </c>
      <c r="H58" s="77">
        <f>SUM($G$5:$G58)</f>
        <v>4361801770</v>
      </c>
      <c r="I58" s="77">
        <f t="shared" si="5"/>
        <v>8723603540</v>
      </c>
      <c r="J58" s="77">
        <f t="array" ref="J58">MIN(IF(旅店!$U$5:$U$85&gt;=$I58,旅店!$R$5:$R$85))</f>
        <v>87.17</v>
      </c>
      <c r="K58" s="77">
        <f t="array" ref="K58">MIN(IF(旅店!$U$5:$U$85&gt;=$I58,旅店!$Q$5:$Q$85))</f>
        <v>83</v>
      </c>
      <c r="O58" s="77">
        <v>73</v>
      </c>
      <c r="P58" s="77">
        <f>INDEX(等级时间!$U$3:$AU$203,MATCH($O58,等级时间!$U$3:$U$203,0),MATCH(P$4,等级时间!$U$3:$AU$3,0))</f>
        <v>51.81</v>
      </c>
      <c r="Q58" s="77">
        <f t="shared" si="7"/>
        <v>2.7600000000000051</v>
      </c>
      <c r="R58" s="77">
        <f t="shared" si="9"/>
        <v>109780148.16000021</v>
      </c>
      <c r="S58" s="77">
        <f>SUM($R$5:$R58)</f>
        <v>597817964.20000005</v>
      </c>
      <c r="U58" s="77">
        <f>INDEX(等级时间!$U$3:$AU$203,MATCH($O58,等级时间!$U$3:$U$203,0),MATCH(U$4,等级时间!$U$3:$AU$3,0))</f>
        <v>21.77</v>
      </c>
      <c r="V58" s="77">
        <f t="shared" si="8"/>
        <v>1.1600000000000001</v>
      </c>
      <c r="W58" s="77">
        <f t="shared" si="10"/>
        <v>46139482.560000002</v>
      </c>
      <c r="X58" s="77">
        <f>SUM($W$5:$W58)</f>
        <v>251375420.23999995</v>
      </c>
    </row>
    <row r="59" spans="2:24" x14ac:dyDescent="0.15">
      <c r="B59" s="83">
        <v>55</v>
      </c>
      <c r="C59" s="77">
        <f t="array" ref="C59">MIN(IF(体力抽奖!$C$48:$C$60&gt;=矿山!$B59,体力抽奖!$J$48:$J$60))</f>
        <v>13</v>
      </c>
      <c r="D59" s="83">
        <f>VLOOKUP($C59,猫咪!$B:$E,4,0)</f>
        <v>40.96</v>
      </c>
      <c r="E59" s="109">
        <f t="shared" si="2"/>
        <v>23800</v>
      </c>
      <c r="F59" s="83">
        <f t="shared" si="3"/>
        <v>998648</v>
      </c>
      <c r="G59" s="101">
        <f t="shared" si="4"/>
        <v>500000000</v>
      </c>
      <c r="H59" s="77">
        <f>SUM($G$5:$G59)</f>
        <v>4861801770</v>
      </c>
      <c r="I59" s="77">
        <f t="shared" si="5"/>
        <v>9723603540</v>
      </c>
      <c r="J59" s="77">
        <f t="array" ref="J59">MIN(IF(旅店!$U$5:$U$85&gt;=$I59,旅店!$R$5:$R$85))</f>
        <v>91.58</v>
      </c>
      <c r="K59" s="77">
        <f t="array" ref="K59">MIN(IF(旅店!$U$5:$U$85&gt;=$I59,旅店!$Q$5:$Q$85))</f>
        <v>84</v>
      </c>
      <c r="O59" s="77">
        <v>74</v>
      </c>
      <c r="P59" s="77">
        <f>INDEX(等级时间!$U$3:$AU$203,MATCH($O59,等级时间!$U$3:$U$203,0),MATCH(P$4,等级时间!$U$3:$AU$3,0))</f>
        <v>54.7</v>
      </c>
      <c r="Q59" s="77">
        <f t="shared" si="7"/>
        <v>2.8900000000000006</v>
      </c>
      <c r="R59" s="77">
        <f t="shared" si="9"/>
        <v>116089080.48000002</v>
      </c>
      <c r="S59" s="77">
        <f>SUM($R$5:$R59)</f>
        <v>713907044.68000007</v>
      </c>
      <c r="U59" s="77">
        <f>INDEX(等级时间!$U$3:$AU$203,MATCH($O59,等级时间!$U$3:$U$203,0),MATCH(U$4,等级时间!$U$3:$AU$3,0))</f>
        <v>22.98</v>
      </c>
      <c r="V59" s="77">
        <f t="shared" si="8"/>
        <v>1.2100000000000009</v>
      </c>
      <c r="W59" s="77">
        <f t="shared" si="10"/>
        <v>48604770.720000036</v>
      </c>
      <c r="X59" s="77">
        <f>SUM($W$5:$W59)</f>
        <v>299980190.95999998</v>
      </c>
    </row>
    <row r="60" spans="2:24" x14ac:dyDescent="0.15">
      <c r="B60" s="83">
        <v>56</v>
      </c>
      <c r="C60" s="77">
        <f t="array" ref="C60">MIN(IF(体力抽奖!$C$48:$C$60&gt;=矿山!$B60,体力抽奖!$J$48:$J$60))</f>
        <v>13</v>
      </c>
      <c r="D60" s="83">
        <f>VLOOKUP($C60,猫咪!$B:$E,4,0)</f>
        <v>40.96</v>
      </c>
      <c r="E60" s="109">
        <f t="shared" si="2"/>
        <v>24200</v>
      </c>
      <c r="F60" s="83">
        <f t="shared" si="3"/>
        <v>1015432</v>
      </c>
      <c r="G60" s="101">
        <f t="shared" si="4"/>
        <v>550000000</v>
      </c>
      <c r="H60" s="77">
        <f>SUM($G$5:$G60)</f>
        <v>5411801770</v>
      </c>
      <c r="I60" s="77">
        <f t="shared" si="5"/>
        <v>10823603540</v>
      </c>
      <c r="J60" s="77">
        <f t="array" ref="J60">MIN(IF(旅店!$U$5:$U$85&gt;=$I60,旅店!$R$5:$R$85))</f>
        <v>96.17</v>
      </c>
      <c r="K60" s="77">
        <f t="array" ref="K60">MIN(IF(旅店!$U$5:$U$85&gt;=$I60,旅店!$Q$5:$Q$85))</f>
        <v>85</v>
      </c>
      <c r="O60" s="77">
        <v>75</v>
      </c>
      <c r="P60" s="77">
        <f>INDEX(等级时间!$U$3:$AU$203,MATCH($O60,等级时间!$U$3:$U$203,0),MATCH(P$4,等级时间!$U$3:$AU$3,0))</f>
        <v>57.73</v>
      </c>
      <c r="Q60" s="77">
        <f t="shared" si="7"/>
        <v>3.029999999999994</v>
      </c>
      <c r="R60" s="77">
        <f t="shared" si="9"/>
        <v>123303789.59999976</v>
      </c>
      <c r="S60" s="77">
        <f>SUM($R$5:$R60)</f>
        <v>837210834.27999985</v>
      </c>
      <c r="U60" s="77">
        <f>INDEX(等级时间!$U$3:$AU$203,MATCH($O60,等级时间!$U$3:$U$203,0),MATCH(U$4,等级时间!$U$3:$AU$3,0))</f>
        <v>24.25</v>
      </c>
      <c r="V60" s="77">
        <f t="shared" si="8"/>
        <v>1.2699999999999996</v>
      </c>
      <c r="W60" s="77">
        <f t="shared" si="10"/>
        <v>51681786.399999984</v>
      </c>
      <c r="X60" s="77">
        <f>SUM($W$5:$W60)</f>
        <v>351661977.35999995</v>
      </c>
    </row>
    <row r="61" spans="2:24" x14ac:dyDescent="0.15">
      <c r="B61" s="83">
        <v>57</v>
      </c>
      <c r="C61" s="77">
        <f t="array" ref="C61">MIN(IF(体力抽奖!$C$48:$C$60&gt;=矿山!$B61,体力抽奖!$J$48:$J$60))</f>
        <v>13</v>
      </c>
      <c r="D61" s="83">
        <f>VLOOKUP($C61,猫咪!$B:$E,4,0)</f>
        <v>40.96</v>
      </c>
      <c r="E61" s="109">
        <f t="shared" si="2"/>
        <v>24500</v>
      </c>
      <c r="F61" s="83">
        <f t="shared" si="3"/>
        <v>1028020</v>
      </c>
      <c r="G61" s="101">
        <f t="shared" si="4"/>
        <v>600000000</v>
      </c>
      <c r="H61" s="77">
        <f>SUM($G$5:$G61)</f>
        <v>6011801770</v>
      </c>
      <c r="I61" s="77">
        <f t="shared" si="5"/>
        <v>12023603540</v>
      </c>
      <c r="J61" s="77">
        <f t="array" ref="J61">MIN(IF(旅店!$U$5:$U$85&gt;=$I61,旅店!$R$5:$R$85))</f>
        <v>96.17</v>
      </c>
      <c r="K61" s="77">
        <f t="array" ref="K61">MIN(IF(旅店!$U$5:$U$85&gt;=$I61,旅店!$Q$5:$Q$85))</f>
        <v>85</v>
      </c>
      <c r="O61" s="77">
        <v>76</v>
      </c>
      <c r="P61" s="77">
        <f>INDEX(等级时间!$U$3:$AU$203,MATCH($O61,等级时间!$U$3:$U$203,0),MATCH(P$4,等级时间!$U$3:$AU$3,0))</f>
        <v>60.89</v>
      </c>
      <c r="Q61" s="77">
        <f t="shared" si="7"/>
        <v>3.1600000000000037</v>
      </c>
      <c r="R61" s="77">
        <f t="shared" si="9"/>
        <v>130253329.28000015</v>
      </c>
      <c r="S61" s="77">
        <f>SUM($R$5:$R61)</f>
        <v>967464163.55999994</v>
      </c>
      <c r="U61" s="77">
        <f>INDEX(等级时间!$U$3:$AU$203,MATCH($O61,等级时间!$U$3:$U$203,0),MATCH(U$4,等级时间!$U$3:$AU$3,0))</f>
        <v>25.58</v>
      </c>
      <c r="V61" s="77">
        <f t="shared" si="8"/>
        <v>1.3299999999999983</v>
      </c>
      <c r="W61" s="77">
        <f t="shared" si="10"/>
        <v>54821812.639999926</v>
      </c>
      <c r="X61" s="77">
        <f>SUM($W$5:$W61)</f>
        <v>406483789.99999988</v>
      </c>
    </row>
    <row r="62" spans="2:24" x14ac:dyDescent="0.15">
      <c r="B62" s="83">
        <v>58</v>
      </c>
      <c r="C62" s="77">
        <f t="array" ref="C62">MIN(IF(体力抽奖!$C$48:$C$60&gt;=矿山!$B62,体力抽奖!$J$48:$J$60))</f>
        <v>13</v>
      </c>
      <c r="D62" s="83">
        <f>VLOOKUP($C62,猫咪!$B:$E,4,0)</f>
        <v>40.96</v>
      </c>
      <c r="E62" s="109">
        <f t="shared" si="2"/>
        <v>24900</v>
      </c>
      <c r="F62" s="83">
        <f t="shared" si="3"/>
        <v>1044804</v>
      </c>
      <c r="G62" s="101">
        <f t="shared" si="4"/>
        <v>660000000</v>
      </c>
      <c r="H62" s="77">
        <f>SUM($G$5:$G62)</f>
        <v>6671801770</v>
      </c>
      <c r="I62" s="77">
        <f t="shared" si="5"/>
        <v>13343603540</v>
      </c>
      <c r="J62" s="77">
        <f t="array" ref="J62">MIN(IF(旅店!$U$5:$U$85&gt;=$I62,旅店!$R$5:$R$85))</f>
        <v>100.95</v>
      </c>
      <c r="K62" s="77">
        <f t="array" ref="K62">MIN(IF(旅店!$U$5:$U$85&gt;=$I62,旅店!$Q$5:$Q$85))</f>
        <v>86</v>
      </c>
      <c r="O62" s="77">
        <v>77</v>
      </c>
      <c r="P62" s="77">
        <f>INDEX(等级时间!$U$3:$AU$203,MATCH($O62,等级时间!$U$3:$U$203,0),MATCH(P$4,等级时间!$U$3:$AU$3,0))</f>
        <v>64.180000000000007</v>
      </c>
      <c r="Q62" s="77">
        <f t="shared" si="7"/>
        <v>3.2900000000000063</v>
      </c>
      <c r="R62" s="77">
        <f t="shared" si="9"/>
        <v>136907506.96000025</v>
      </c>
      <c r="S62" s="77">
        <f>SUM($R$5:$R62)</f>
        <v>1104371670.5200002</v>
      </c>
      <c r="U62" s="77">
        <f>INDEX(等级时间!$U$3:$AU$203,MATCH($O62,等级时间!$U$3:$U$203,0),MATCH(U$4,等级时间!$U$3:$AU$3,0))</f>
        <v>26.96</v>
      </c>
      <c r="V62" s="77">
        <f t="shared" si="8"/>
        <v>1.3800000000000026</v>
      </c>
      <c r="W62" s="77">
        <f t="shared" si="10"/>
        <v>57426249.120000109</v>
      </c>
      <c r="X62" s="77">
        <f>SUM($W$5:$W62)</f>
        <v>463910039.12</v>
      </c>
    </row>
    <row r="63" spans="2:24" x14ac:dyDescent="0.15">
      <c r="B63" s="83">
        <v>59</v>
      </c>
      <c r="C63" s="77">
        <f t="array" ref="C63">MIN(IF(体力抽奖!$C$48:$C$60&gt;=矿山!$B63,体力抽奖!$J$48:$J$60))</f>
        <v>13</v>
      </c>
      <c r="D63" s="83">
        <f>VLOOKUP($C63,猫咪!$B:$E,4,0)</f>
        <v>40.96</v>
      </c>
      <c r="E63" s="109">
        <f t="shared" si="2"/>
        <v>25200</v>
      </c>
      <c r="F63" s="83">
        <f t="shared" si="3"/>
        <v>1057392</v>
      </c>
      <c r="G63" s="101">
        <f t="shared" si="4"/>
        <v>710000000</v>
      </c>
      <c r="H63" s="77">
        <f>SUM($G$5:$G63)</f>
        <v>7381801770</v>
      </c>
      <c r="I63" s="77">
        <f t="shared" si="5"/>
        <v>14763603540</v>
      </c>
      <c r="J63" s="77">
        <f t="array" ref="J63">MIN(IF(旅店!$U$5:$U$85&gt;=$I63,旅店!$R$5:$R$85))</f>
        <v>105.91</v>
      </c>
      <c r="K63" s="77">
        <f t="array" ref="K63">MIN(IF(旅店!$U$5:$U$85&gt;=$I63,旅店!$Q$5:$Q$85))</f>
        <v>87</v>
      </c>
      <c r="O63" s="77">
        <v>78</v>
      </c>
      <c r="P63" s="77">
        <f>INDEX(等级时间!$U$3:$AU$203,MATCH($O63,等级时间!$U$3:$U$203,0),MATCH(P$4,等级时间!$U$3:$AU$3,0))</f>
        <v>67.63</v>
      </c>
      <c r="Q63" s="77">
        <f t="shared" si="7"/>
        <v>3.4499999999999886</v>
      </c>
      <c r="R63" s="77">
        <f t="shared" si="9"/>
        <v>145377176.39999953</v>
      </c>
      <c r="S63" s="77">
        <f>SUM($R$5:$R63)</f>
        <v>1249748846.9199998</v>
      </c>
      <c r="U63" s="77">
        <f>INDEX(等级时间!$U$3:$AU$203,MATCH($O63,等级时间!$U$3:$U$203,0),MATCH(U$4,等级时间!$U$3:$AU$3,0))</f>
        <v>28.41</v>
      </c>
      <c r="V63" s="77">
        <f t="shared" si="8"/>
        <v>1.4499999999999993</v>
      </c>
      <c r="W63" s="77">
        <f t="shared" si="10"/>
        <v>61100552.399999969</v>
      </c>
      <c r="X63" s="77">
        <f>SUM($W$5:$W63)</f>
        <v>525010591.51999998</v>
      </c>
    </row>
    <row r="64" spans="2:24" x14ac:dyDescent="0.15">
      <c r="B64" s="83">
        <v>60</v>
      </c>
      <c r="C64" s="77">
        <f t="array" ref="C64">MIN(IF(体力抽奖!$C$48:$C$60&gt;=矿山!$B64,体力抽奖!$J$48:$J$60))</f>
        <v>15</v>
      </c>
      <c r="D64" s="83">
        <f>VLOOKUP($C64,猫咪!$B:$E,4,0)</f>
        <v>163.84</v>
      </c>
      <c r="E64" s="109">
        <f t="shared" si="2"/>
        <v>25600</v>
      </c>
      <c r="F64" s="83">
        <f t="shared" si="3"/>
        <v>4219904</v>
      </c>
      <c r="G64" s="101">
        <f t="shared" si="4"/>
        <v>780000000</v>
      </c>
      <c r="H64" s="77">
        <f>SUM($G$5:$G64)</f>
        <v>8161801770</v>
      </c>
      <c r="I64" s="77">
        <f t="shared" si="5"/>
        <v>16323603540</v>
      </c>
      <c r="J64" s="77">
        <f t="array" ref="J64">MIN(IF(旅店!$U$5:$U$85&gt;=$I64,旅店!$R$5:$R$85))</f>
        <v>111.08</v>
      </c>
      <c r="K64" s="77">
        <f t="array" ref="K64">MIN(IF(旅店!$U$5:$U$85&gt;=$I64,旅店!$Q$5:$Q$85))</f>
        <v>88</v>
      </c>
      <c r="O64" s="77">
        <v>79</v>
      </c>
      <c r="P64" s="77">
        <f>INDEX(等级时间!$U$3:$AU$203,MATCH($O64,等级时间!$U$3:$U$203,0),MATCH(P$4,等级时间!$U$3:$AU$3,0))</f>
        <v>71.22</v>
      </c>
      <c r="Q64" s="77">
        <f t="shared" si="7"/>
        <v>3.5900000000000034</v>
      </c>
      <c r="R64" s="77">
        <f t="shared" si="9"/>
        <v>152690339.52000016</v>
      </c>
      <c r="S64" s="77">
        <f>SUM($R$5:$R64)</f>
        <v>1402439186.4400001</v>
      </c>
      <c r="U64" s="77">
        <f>INDEX(等级时间!$U$3:$AU$203,MATCH($O64,等级时间!$U$3:$U$203,0),MATCH(U$4,等级时间!$U$3:$AU$3,0))</f>
        <v>29.92</v>
      </c>
      <c r="V64" s="77">
        <f t="shared" si="8"/>
        <v>1.5100000000000016</v>
      </c>
      <c r="W64" s="77">
        <f t="shared" si="10"/>
        <v>64223513.280000068</v>
      </c>
      <c r="X64" s="77">
        <f>SUM($W$5:$W64)</f>
        <v>589234104.80000007</v>
      </c>
    </row>
    <row r="65" spans="2:24" x14ac:dyDescent="0.15">
      <c r="B65" s="83">
        <v>61</v>
      </c>
      <c r="C65" s="77">
        <f t="array" ref="C65">MIN(IF(体力抽奖!$C$48:$C$60&gt;=矿山!$B65,体力抽奖!$J$48:$J$60))</f>
        <v>15</v>
      </c>
      <c r="D65" s="83">
        <f>VLOOKUP($C65,猫咪!$B:$E,4,0)</f>
        <v>163.84</v>
      </c>
      <c r="E65" s="109">
        <f t="shared" si="2"/>
        <v>26000</v>
      </c>
      <c r="F65" s="83">
        <f t="shared" si="3"/>
        <v>4285840</v>
      </c>
      <c r="G65" s="101">
        <f t="shared" si="4"/>
        <v>840000000</v>
      </c>
      <c r="H65" s="77">
        <f>SUM($G$5:$G65)</f>
        <v>9001801770</v>
      </c>
      <c r="I65" s="77">
        <f t="shared" si="5"/>
        <v>18003603540</v>
      </c>
      <c r="J65" s="77">
        <f t="array" ref="J65">MIN(IF(旅店!$U$5:$U$85&gt;=$I65,旅店!$R$5:$R$85))</f>
        <v>116.44</v>
      </c>
      <c r="K65" s="77">
        <f t="array" ref="K65">MIN(IF(旅店!$U$5:$U$85&gt;=$I65,旅店!$Q$5:$Q$85))</f>
        <v>89</v>
      </c>
      <c r="O65" s="77">
        <v>80</v>
      </c>
      <c r="P65" s="77">
        <f>INDEX(等级时间!$U$3:$AU$203,MATCH($O65,等级时间!$U$3:$U$203,0),MATCH(P$4,等级时间!$U$3:$AU$3,0))</f>
        <v>74.959999999999994</v>
      </c>
      <c r="Q65" s="77">
        <f t="shared" si="7"/>
        <v>3.7399999999999949</v>
      </c>
      <c r="R65" s="77">
        <f t="shared" si="9"/>
        <v>321822631.67999953</v>
      </c>
      <c r="S65" s="77">
        <f>SUM($R$5:$R65)</f>
        <v>1724261818.1199996</v>
      </c>
      <c r="U65" s="77">
        <f>INDEX(等级时间!$U$3:$AU$203,MATCH($O65,等级时间!$U$3:$U$203,0),MATCH(U$4,等级时间!$U$3:$AU$3,0))</f>
        <v>31.49</v>
      </c>
      <c r="V65" s="77">
        <f t="shared" si="8"/>
        <v>1.5699999999999967</v>
      </c>
      <c r="W65" s="77">
        <f t="shared" si="10"/>
        <v>135096666.23999971</v>
      </c>
      <c r="X65" s="77">
        <f>SUM($W$5:$W65)</f>
        <v>724330771.03999972</v>
      </c>
    </row>
    <row r="66" spans="2:24" x14ac:dyDescent="0.15">
      <c r="B66" s="83">
        <v>62</v>
      </c>
      <c r="C66" s="77">
        <f t="array" ref="C66">MIN(IF(体力抽奖!$C$48:$C$60&gt;=矿山!$B66,体力抽奖!$J$48:$J$60))</f>
        <v>15</v>
      </c>
      <c r="D66" s="83">
        <f>VLOOKUP($C66,猫咪!$B:$E,4,0)</f>
        <v>163.84</v>
      </c>
      <c r="E66" s="109">
        <f t="shared" si="2"/>
        <v>26300</v>
      </c>
      <c r="F66" s="83">
        <f t="shared" si="3"/>
        <v>4335292</v>
      </c>
      <c r="G66" s="101">
        <f t="shared" si="4"/>
        <v>920000000</v>
      </c>
      <c r="H66" s="77">
        <f>SUM($G$5:$G66)</f>
        <v>9921801770</v>
      </c>
      <c r="I66" s="77">
        <f t="shared" si="5"/>
        <v>19843603540</v>
      </c>
      <c r="J66" s="77">
        <f t="array" ref="J66">MIN(IF(旅店!$U$5:$U$85&gt;=$I66,旅店!$R$5:$R$85))</f>
        <v>122.01</v>
      </c>
      <c r="K66" s="77">
        <f t="array" ref="K66">MIN(IF(旅店!$U$5:$U$85&gt;=$I66,旅店!$Q$5:$Q$85))</f>
        <v>90</v>
      </c>
      <c r="O66" s="77">
        <v>81</v>
      </c>
      <c r="P66" s="77">
        <f>INDEX(等级时间!$U$3:$AU$203,MATCH($O66,等级时间!$U$3:$U$203,0),MATCH(P$4,等级时间!$U$3:$AU$3,0))</f>
        <v>78.86</v>
      </c>
      <c r="Q66" s="77">
        <f t="shared" si="7"/>
        <v>3.9000000000000057</v>
      </c>
      <c r="R66" s="77">
        <f t="shared" si="9"/>
        <v>339683011.20000052</v>
      </c>
      <c r="S66" s="77">
        <f>SUM($R$5:$R66)</f>
        <v>2063944829.3200002</v>
      </c>
      <c r="U66" s="77">
        <f>INDEX(等级时间!$U$3:$AU$203,MATCH($O66,等级时间!$U$3:$U$203,0),MATCH(U$4,等级时间!$U$3:$AU$3,0))</f>
        <v>33.130000000000003</v>
      </c>
      <c r="V66" s="77">
        <f t="shared" si="8"/>
        <v>1.6400000000000041</v>
      </c>
      <c r="W66" s="77">
        <f t="shared" si="10"/>
        <v>142841061.12000036</v>
      </c>
      <c r="X66" s="77">
        <f>SUM($W$5:$W66)</f>
        <v>867171832.16000009</v>
      </c>
    </row>
    <row r="67" spans="2:24" x14ac:dyDescent="0.15">
      <c r="B67" s="83">
        <v>63</v>
      </c>
      <c r="C67" s="77">
        <f t="array" ref="C67">MIN(IF(体力抽奖!$C$48:$C$60&gt;=矿山!$B67,体力抽奖!$J$48:$J$60))</f>
        <v>15</v>
      </c>
      <c r="D67" s="83">
        <f>VLOOKUP($C67,猫咪!$B:$E,4,0)</f>
        <v>163.84</v>
      </c>
      <c r="E67" s="109">
        <f t="shared" si="2"/>
        <v>26700</v>
      </c>
      <c r="F67" s="83">
        <f t="shared" si="3"/>
        <v>4401228</v>
      </c>
      <c r="G67" s="101">
        <f t="shared" si="4"/>
        <v>990000000</v>
      </c>
      <c r="H67" s="77">
        <f>SUM($G$5:$G67)</f>
        <v>10911801770</v>
      </c>
      <c r="I67" s="77">
        <f t="shared" si="5"/>
        <v>21823603540</v>
      </c>
      <c r="J67" s="77">
        <f t="array" ref="J67">MIN(IF(旅店!$U$5:$U$85&gt;=$I67,旅店!$R$5:$R$85))</f>
        <v>122.01</v>
      </c>
      <c r="K67" s="77">
        <f t="array" ref="K67">MIN(IF(旅店!$U$5:$U$85&gt;=$I67,旅店!$Q$5:$Q$85))</f>
        <v>90</v>
      </c>
      <c r="O67" s="77">
        <v>82</v>
      </c>
      <c r="P67" s="77">
        <f>INDEX(等级时间!$U$3:$AU$203,MATCH($O67,等级时间!$U$3:$U$203,0),MATCH(P$4,等级时间!$U$3:$AU$3,0))</f>
        <v>82.93</v>
      </c>
      <c r="Q67" s="77">
        <f t="shared" si="7"/>
        <v>4.0700000000000074</v>
      </c>
      <c r="R67" s="77">
        <f t="shared" si="9"/>
        <v>357692926.80000067</v>
      </c>
      <c r="S67" s="77">
        <f>SUM($R$5:$R67)</f>
        <v>2421637756.1200008</v>
      </c>
      <c r="U67" s="77">
        <f>INDEX(等级时间!$U$3:$AU$203,MATCH($O67,等级时间!$U$3:$U$203,0),MATCH(U$4,等级时间!$U$3:$AU$3,0))</f>
        <v>34.840000000000003</v>
      </c>
      <c r="V67" s="77">
        <f t="shared" si="8"/>
        <v>1.7100000000000009</v>
      </c>
      <c r="W67" s="77">
        <f t="shared" si="10"/>
        <v>150283760.40000007</v>
      </c>
      <c r="X67" s="77">
        <f>SUM($W$5:$W67)</f>
        <v>1017455592.5600002</v>
      </c>
    </row>
    <row r="68" spans="2:24" x14ac:dyDescent="0.15">
      <c r="B68" s="83">
        <v>64</v>
      </c>
      <c r="C68" s="77">
        <f t="array" ref="C68">MIN(IF(体力抽奖!$C$48:$C$60&gt;=矿山!$B68,体力抽奖!$J$48:$J$60))</f>
        <v>15</v>
      </c>
      <c r="D68" s="83">
        <f>VLOOKUP($C68,猫咪!$B:$E,4,0)</f>
        <v>163.84</v>
      </c>
      <c r="E68" s="109">
        <f t="shared" si="2"/>
        <v>27000</v>
      </c>
      <c r="F68" s="83">
        <f t="shared" si="3"/>
        <v>4450680</v>
      </c>
      <c r="G68" s="101">
        <f t="shared" si="4"/>
        <v>1100000000</v>
      </c>
      <c r="H68" s="77">
        <f>SUM($G$5:$G68)</f>
        <v>12011801770</v>
      </c>
      <c r="I68" s="77">
        <f t="shared" si="5"/>
        <v>24023603540</v>
      </c>
      <c r="J68" s="77">
        <f t="array" ref="J68">MIN(IF(旅店!$U$5:$U$85&gt;=$I68,旅店!$R$5:$R$85))</f>
        <v>122.01</v>
      </c>
      <c r="K68" s="77">
        <f t="array" ref="K68">MIN(IF(旅店!$U$5:$U$85&gt;=$I68,旅店!$Q$5:$Q$85))</f>
        <v>90</v>
      </c>
      <c r="O68" s="77">
        <v>83</v>
      </c>
      <c r="P68" s="77">
        <f>INDEX(等级时间!$U$3:$AU$203,MATCH($O68,等级时间!$U$3:$U$203,0),MATCH(P$4,等级时间!$U$3:$AU$3,0))</f>
        <v>87.17</v>
      </c>
      <c r="Q68" s="77">
        <f t="shared" si="7"/>
        <v>4.2399999999999949</v>
      </c>
      <c r="R68" s="77">
        <f t="shared" si="9"/>
        <v>377082771.83999956</v>
      </c>
      <c r="S68" s="77">
        <f>SUM($R$5:$R68)</f>
        <v>2798720527.9600005</v>
      </c>
      <c r="U68" s="77">
        <f>INDEX(等级时间!$U$3:$AU$203,MATCH($O68,等级时间!$U$3:$U$203,0),MATCH(U$4,等级时间!$U$3:$AU$3,0))</f>
        <v>36.619999999999997</v>
      </c>
      <c r="V68" s="77">
        <f t="shared" si="8"/>
        <v>1.779999999999994</v>
      </c>
      <c r="W68" s="77">
        <f t="shared" si="10"/>
        <v>158303616.47999948</v>
      </c>
      <c r="X68" s="77">
        <f>SUM($W$5:$W68)</f>
        <v>1175759209.0399997</v>
      </c>
    </row>
    <row r="69" spans="2:24" x14ac:dyDescent="0.15">
      <c r="B69" s="83">
        <v>65</v>
      </c>
      <c r="C69" s="77">
        <f t="array" ref="C69">MIN(IF(体力抽奖!$C$48:$C$60&gt;=矿山!$B69,体力抽奖!$J$48:$J$60))</f>
        <v>15</v>
      </c>
      <c r="D69" s="83">
        <f>VLOOKUP($C69,猫咪!$B:$E,4,0)</f>
        <v>163.84</v>
      </c>
      <c r="E69" s="109">
        <f t="shared" si="2"/>
        <v>27400</v>
      </c>
      <c r="F69" s="83">
        <f t="shared" si="3"/>
        <v>4516616</v>
      </c>
      <c r="G69" s="101">
        <f t="shared" si="4"/>
        <v>1200000000</v>
      </c>
      <c r="H69" s="77">
        <f>SUM($G$5:$G69)</f>
        <v>13211801770</v>
      </c>
      <c r="I69" s="77">
        <f t="shared" si="5"/>
        <v>26423603540</v>
      </c>
      <c r="J69" s="77">
        <f t="array" ref="J69">MIN(IF(旅店!$U$5:$U$85&gt;=$I69,旅店!$R$5:$R$85))</f>
        <v>127.79</v>
      </c>
      <c r="K69" s="77">
        <f t="array" ref="K69">MIN(IF(旅店!$U$5:$U$85&gt;=$I69,旅店!$Q$5:$Q$85))</f>
        <v>91</v>
      </c>
      <c r="O69" s="77">
        <v>84</v>
      </c>
      <c r="P69" s="77">
        <f>INDEX(等级时间!$U$3:$AU$203,MATCH($O69,等级时间!$U$3:$U$203,0),MATCH(P$4,等级时间!$U$3:$AU$3,0))</f>
        <v>91.58</v>
      </c>
      <c r="Q69" s="77">
        <f t="shared" si="7"/>
        <v>4.4099999999999966</v>
      </c>
      <c r="R69" s="77">
        <f t="shared" ref="R69:R85" si="11">INDEX($B$4:$H$104,MATCH($O69,$B$4:$B$104,0),MATCH("每日产出矿石",$B$4:$H$4,0))*Q69*IF($O69&gt;=$M$6,2,1)</f>
        <v>395672467.67999971</v>
      </c>
      <c r="S69" s="77">
        <f>SUM($R$5:$R69)</f>
        <v>3194392995.6400003</v>
      </c>
      <c r="U69" s="77">
        <f>INDEX(等级时间!$U$3:$AU$203,MATCH($O69,等级时间!$U$3:$U$203,0),MATCH(U$4,等级时间!$U$3:$AU$3,0))</f>
        <v>38.479999999999997</v>
      </c>
      <c r="V69" s="77">
        <f t="shared" si="8"/>
        <v>1.8599999999999994</v>
      </c>
      <c r="W69" s="77">
        <f t="shared" ref="W69:W85" si="12">INDEX($B$4:$H$104,MATCH($O69,$B$4:$B$104,0),MATCH("每日产出矿石",$B$4:$H$4,0))*V69*IF($O69&gt;=$M$6,2,1)</f>
        <v>166882265.27999994</v>
      </c>
      <c r="X69" s="77">
        <f>SUM($W$5:$W69)</f>
        <v>1342641474.3199997</v>
      </c>
    </row>
    <row r="70" spans="2:24" x14ac:dyDescent="0.15">
      <c r="B70" s="83">
        <v>66</v>
      </c>
      <c r="C70" s="77">
        <f t="array" ref="C70">MIN(IF(体力抽奖!$C$48:$C$60&gt;=矿山!$B70,体力抽奖!$J$48:$J$60))</f>
        <v>15</v>
      </c>
      <c r="D70" s="83">
        <f>VLOOKUP($C70,猫咪!$B:$E,4,0)</f>
        <v>163.84</v>
      </c>
      <c r="E70" s="109">
        <f t="shared" ref="E70:E104" si="13">ROUND(B70*$E$1+$E$2,3-LEN(INT(B70*$E$1+$E$2)))</f>
        <v>27800</v>
      </c>
      <c r="F70" s="83">
        <f t="shared" ref="F70:F104" si="14">E70*(1+D70)</f>
        <v>4582552</v>
      </c>
      <c r="G70" s="101">
        <f t="shared" ref="G70:G104" si="15">ROUND(B70^$G$1+$G$2,2-LEN(B70^$G$1+$G$2))</f>
        <v>1300000000</v>
      </c>
      <c r="H70" s="77">
        <f>SUM($G$5:$G70)</f>
        <v>14511801770</v>
      </c>
      <c r="I70" s="77">
        <f t="shared" ref="I70:I104" si="16">H70*2</f>
        <v>29023603540</v>
      </c>
      <c r="J70" s="77">
        <f t="array" ref="J70">MIN(IF(旅店!$U$5:$U$85&gt;=$I70,旅店!$R$5:$R$85))</f>
        <v>127.79</v>
      </c>
      <c r="K70" s="77">
        <f t="array" ref="K70">MIN(IF(旅店!$U$5:$U$85&gt;=$I70,旅店!$Q$5:$Q$85))</f>
        <v>91</v>
      </c>
      <c r="O70" s="77">
        <v>85</v>
      </c>
      <c r="P70" s="77">
        <f>INDEX(等级时间!$U$3:$AU$203,MATCH($O70,等级时间!$U$3:$U$203,0),MATCH(P$4,等级时间!$U$3:$AU$3,0))</f>
        <v>96.17</v>
      </c>
      <c r="Q70" s="77">
        <f t="shared" si="7"/>
        <v>4.5900000000000034</v>
      </c>
      <c r="R70" s="77">
        <f t="shared" si="11"/>
        <v>416639000.16000032</v>
      </c>
      <c r="S70" s="77">
        <f>SUM($R$5:$R70)</f>
        <v>3611031995.8000007</v>
      </c>
      <c r="U70" s="77">
        <f>INDEX(等级时间!$U$3:$AU$203,MATCH($O70,等级时间!$U$3:$U$203,0),MATCH(U$4,等级时间!$U$3:$AU$3,0))</f>
        <v>40.4</v>
      </c>
      <c r="V70" s="77">
        <f t="shared" si="8"/>
        <v>1.9200000000000017</v>
      </c>
      <c r="W70" s="77">
        <f t="shared" si="12"/>
        <v>174280366.08000016</v>
      </c>
      <c r="X70" s="77">
        <f>SUM($W$5:$W70)</f>
        <v>1516921840.3999999</v>
      </c>
    </row>
    <row r="71" spans="2:24" x14ac:dyDescent="0.15">
      <c r="B71" s="83">
        <v>67</v>
      </c>
      <c r="C71" s="77">
        <f t="array" ref="C71">MIN(IF(体力抽奖!$C$48:$C$60&gt;=矿山!$B71,体力抽奖!$J$48:$J$60))</f>
        <v>15</v>
      </c>
      <c r="D71" s="83">
        <f>VLOOKUP($C71,猫咪!$B:$E,4,0)</f>
        <v>163.84</v>
      </c>
      <c r="E71" s="109">
        <f t="shared" si="13"/>
        <v>28100</v>
      </c>
      <c r="F71" s="83">
        <f t="shared" si="14"/>
        <v>4632004</v>
      </c>
      <c r="G71" s="101">
        <f t="shared" si="15"/>
        <v>1400000000</v>
      </c>
      <c r="H71" s="77">
        <f>SUM($G$5:$G71)</f>
        <v>15911801770</v>
      </c>
      <c r="I71" s="77">
        <f t="shared" si="16"/>
        <v>31823603540</v>
      </c>
      <c r="J71" s="77">
        <f t="array" ref="J71">MIN(IF(旅店!$U$5:$U$85&gt;=$I71,旅店!$R$5:$R$85))</f>
        <v>127.79</v>
      </c>
      <c r="K71" s="77">
        <f t="array" ref="K71">MIN(IF(旅店!$U$5:$U$85&gt;=$I71,旅店!$Q$5:$Q$85))</f>
        <v>91</v>
      </c>
      <c r="O71" s="77">
        <v>86</v>
      </c>
      <c r="P71" s="77">
        <f>INDEX(等级时间!$U$3:$AU$203,MATCH($O71,等级时间!$U$3:$U$203,0),MATCH(P$4,等级时间!$U$3:$AU$3,0))</f>
        <v>100.95</v>
      </c>
      <c r="Q71" s="77">
        <f t="shared" ref="Q71:Q85" si="17">P71-P70</f>
        <v>4.7800000000000011</v>
      </c>
      <c r="R71" s="77">
        <f t="shared" si="11"/>
        <v>438901512.00000012</v>
      </c>
      <c r="S71" s="77">
        <f>SUM($R$5:$R71)</f>
        <v>4049933507.8000007</v>
      </c>
      <c r="U71" s="77">
        <f>INDEX(等级时间!$U$3:$AU$203,MATCH($O71,等级时间!$U$3:$U$203,0),MATCH(U$4,等级时间!$U$3:$AU$3,0))</f>
        <v>42.41</v>
      </c>
      <c r="V71" s="77">
        <f t="shared" ref="V71:V85" si="18">U71-U70</f>
        <v>2.009999999999998</v>
      </c>
      <c r="W71" s="77">
        <f t="shared" si="12"/>
        <v>184559003.99999982</v>
      </c>
      <c r="X71" s="77">
        <f>SUM($W$5:$W71)</f>
        <v>1701480844.3999996</v>
      </c>
    </row>
    <row r="72" spans="2:24" x14ac:dyDescent="0.15">
      <c r="B72" s="83">
        <v>68</v>
      </c>
      <c r="C72" s="77">
        <f t="array" ref="C72">MIN(IF(体力抽奖!$C$48:$C$60&gt;=矿山!$B72,体力抽奖!$J$48:$J$60))</f>
        <v>15</v>
      </c>
      <c r="D72" s="83">
        <f>VLOOKUP($C72,猫咪!$B:$E,4,0)</f>
        <v>163.84</v>
      </c>
      <c r="E72" s="109">
        <f t="shared" si="13"/>
        <v>28500</v>
      </c>
      <c r="F72" s="83">
        <f t="shared" si="14"/>
        <v>4697940</v>
      </c>
      <c r="G72" s="101">
        <f t="shared" si="15"/>
        <v>1500000000</v>
      </c>
      <c r="H72" s="77">
        <f>SUM($G$5:$G72)</f>
        <v>17411801770</v>
      </c>
      <c r="I72" s="77">
        <f t="shared" si="16"/>
        <v>34823603540</v>
      </c>
      <c r="J72" s="77">
        <f t="array" ref="J72">MIN(IF(旅店!$U$5:$U$85&gt;=$I72,旅店!$R$5:$R$85))</f>
        <v>133.80000000000001</v>
      </c>
      <c r="K72" s="77">
        <f t="array" ref="K72">MIN(IF(旅店!$U$5:$U$85&gt;=$I72,旅店!$Q$5:$Q$85))</f>
        <v>92</v>
      </c>
      <c r="O72" s="77">
        <v>87</v>
      </c>
      <c r="P72" s="77">
        <f>INDEX(等级时间!$U$3:$AU$203,MATCH($O72,等级时间!$U$3:$U$203,0),MATCH(P$4,等级时间!$U$3:$AU$3,0))</f>
        <v>105.91</v>
      </c>
      <c r="Q72" s="77">
        <f t="shared" si="17"/>
        <v>4.9599999999999937</v>
      </c>
      <c r="R72" s="77">
        <f t="shared" si="11"/>
        <v>459332862.71999943</v>
      </c>
      <c r="S72" s="77">
        <f>SUM($R$5:$R72)</f>
        <v>4509266370.5200005</v>
      </c>
      <c r="U72" s="77">
        <f>INDEX(等级时间!$U$3:$AU$203,MATCH($O72,等级时间!$U$3:$U$203,0),MATCH(U$4,等级时间!$U$3:$AU$3,0))</f>
        <v>44.5</v>
      </c>
      <c r="V72" s="77">
        <f t="shared" si="18"/>
        <v>2.0900000000000034</v>
      </c>
      <c r="W72" s="77">
        <f t="shared" si="12"/>
        <v>193549532.88000032</v>
      </c>
      <c r="X72" s="77">
        <f>SUM($W$5:$W72)</f>
        <v>1895030377.28</v>
      </c>
    </row>
    <row r="73" spans="2:24" x14ac:dyDescent="0.15">
      <c r="B73" s="83">
        <v>69</v>
      </c>
      <c r="C73" s="77">
        <f t="array" ref="C73">MIN(IF(体力抽奖!$C$48:$C$60&gt;=矿山!$B73,体力抽奖!$J$48:$J$60))</f>
        <v>15</v>
      </c>
      <c r="D73" s="83">
        <f>VLOOKUP($C73,猫咪!$B:$E,4,0)</f>
        <v>163.84</v>
      </c>
      <c r="E73" s="109">
        <f t="shared" si="13"/>
        <v>28800</v>
      </c>
      <c r="F73" s="83">
        <f t="shared" si="14"/>
        <v>4747392</v>
      </c>
      <c r="G73" s="101">
        <f t="shared" si="15"/>
        <v>1600000000</v>
      </c>
      <c r="H73" s="77">
        <f>SUM($G$5:$G73)</f>
        <v>19011801770</v>
      </c>
      <c r="I73" s="77">
        <f t="shared" si="16"/>
        <v>38023603540</v>
      </c>
      <c r="J73" s="77">
        <f t="array" ref="J73">MIN(IF(旅店!$U$5:$U$85&gt;=$I73,旅店!$R$5:$R$85))</f>
        <v>133.80000000000001</v>
      </c>
      <c r="K73" s="77">
        <f t="array" ref="K73">MIN(IF(旅店!$U$5:$U$85&gt;=$I73,旅店!$Q$5:$Q$85))</f>
        <v>92</v>
      </c>
      <c r="O73" s="77">
        <v>88</v>
      </c>
      <c r="P73" s="77">
        <f>INDEX(等级时间!$U$3:$AU$203,MATCH($O73,等级时间!$U$3:$U$203,0),MATCH(P$4,等级时间!$U$3:$AU$3,0))</f>
        <v>111.08</v>
      </c>
      <c r="Q73" s="77">
        <f t="shared" si="17"/>
        <v>5.1700000000000017</v>
      </c>
      <c r="R73" s="77">
        <f t="shared" si="11"/>
        <v>484205697.36000013</v>
      </c>
      <c r="S73" s="77">
        <f>SUM($R$5:$R73)</f>
        <v>4993472067.8800011</v>
      </c>
      <c r="U73" s="77">
        <f>INDEX(等级时间!$U$3:$AU$203,MATCH($O73,等级时间!$U$3:$U$203,0),MATCH(U$4,等级时间!$U$3:$AU$3,0))</f>
        <v>46.67</v>
      </c>
      <c r="V73" s="77">
        <f t="shared" si="18"/>
        <v>2.1700000000000017</v>
      </c>
      <c r="W73" s="77">
        <f t="shared" si="12"/>
        <v>203235273.36000016</v>
      </c>
      <c r="X73" s="77">
        <f>SUM($W$5:$W73)</f>
        <v>2098265650.6400001</v>
      </c>
    </row>
    <row r="74" spans="2:24" x14ac:dyDescent="0.15">
      <c r="B74" s="83">
        <v>70</v>
      </c>
      <c r="C74" s="77">
        <f t="array" ref="C74">MIN(IF(体力抽奖!$C$48:$C$60&gt;=矿山!$B74,体力抽奖!$J$48:$J$60))</f>
        <v>17</v>
      </c>
      <c r="D74" s="83">
        <f>VLOOKUP($C74,猫咪!$B:$E,4,0)</f>
        <v>655.36</v>
      </c>
      <c r="E74" s="109">
        <f t="shared" si="13"/>
        <v>29200</v>
      </c>
      <c r="F74" s="83">
        <f t="shared" si="14"/>
        <v>19165712</v>
      </c>
      <c r="G74" s="101">
        <f t="shared" si="15"/>
        <v>1700000000</v>
      </c>
      <c r="H74" s="77">
        <f>SUM($G$5:$G74)</f>
        <v>20711801770</v>
      </c>
      <c r="I74" s="77">
        <f t="shared" si="16"/>
        <v>41423603540</v>
      </c>
      <c r="J74" s="77">
        <f t="array" ref="J74">MIN(IF(旅店!$U$5:$U$85&gt;=$I74,旅店!$R$5:$R$85))</f>
        <v>140.03</v>
      </c>
      <c r="K74" s="77">
        <f t="array" ref="K74">MIN(IF(旅店!$U$5:$U$85&gt;=$I74,旅店!$Q$5:$Q$85))</f>
        <v>93</v>
      </c>
      <c r="O74" s="77">
        <v>89</v>
      </c>
      <c r="P74" s="77">
        <f>INDEX(等级时间!$U$3:$AU$203,MATCH($O74,等级时间!$U$3:$U$203,0),MATCH(P$4,等级时间!$U$3:$AU$3,0))</f>
        <v>116.44</v>
      </c>
      <c r="Q74" s="77">
        <f t="shared" si="17"/>
        <v>5.3599999999999994</v>
      </c>
      <c r="R74" s="77">
        <f t="shared" si="11"/>
        <v>506218982.39999992</v>
      </c>
      <c r="S74" s="77">
        <f>SUM($R$5:$R74)</f>
        <v>5499691050.2800007</v>
      </c>
      <c r="U74" s="77">
        <f>INDEX(等级时间!$U$3:$AU$203,MATCH($O74,等级时间!$U$3:$U$203,0),MATCH(U$4,等级时间!$U$3:$AU$3,0))</f>
        <v>48.92</v>
      </c>
      <c r="V74" s="77">
        <f t="shared" si="18"/>
        <v>2.25</v>
      </c>
      <c r="W74" s="77">
        <f t="shared" si="12"/>
        <v>212498640</v>
      </c>
      <c r="X74" s="77">
        <f>SUM($W$5:$W74)</f>
        <v>2310764290.6400003</v>
      </c>
    </row>
    <row r="75" spans="2:24" x14ac:dyDescent="0.15">
      <c r="B75" s="83">
        <v>71</v>
      </c>
      <c r="C75" s="77">
        <f t="array" ref="C75">MIN(IF(体力抽奖!$C$48:$C$60&gt;=矿山!$B75,体力抽奖!$J$48:$J$60))</f>
        <v>17</v>
      </c>
      <c r="D75" s="83">
        <f>VLOOKUP($C75,猫咪!$B:$E,4,0)</f>
        <v>655.36</v>
      </c>
      <c r="E75" s="109">
        <f t="shared" si="13"/>
        <v>29600</v>
      </c>
      <c r="F75" s="83">
        <f t="shared" si="14"/>
        <v>19428256</v>
      </c>
      <c r="G75" s="101">
        <f t="shared" si="15"/>
        <v>1800000000</v>
      </c>
      <c r="H75" s="77">
        <f>SUM($G$5:$G75)</f>
        <v>22511801770</v>
      </c>
      <c r="I75" s="77">
        <f t="shared" si="16"/>
        <v>45023603540</v>
      </c>
      <c r="J75" s="77">
        <f t="array" ref="J75">MIN(IF(旅店!$U$5:$U$85&gt;=$I75,旅店!$R$5:$R$85))</f>
        <v>140.03</v>
      </c>
      <c r="K75" s="77">
        <f t="array" ref="K75">MIN(IF(旅店!$U$5:$U$85&gt;=$I75,旅店!$Q$5:$Q$85))</f>
        <v>93</v>
      </c>
      <c r="O75" s="77">
        <v>90</v>
      </c>
      <c r="P75" s="77">
        <f>INDEX(等级时间!$U$3:$AU$203,MATCH($O75,等级时间!$U$3:$U$203,0),MATCH(P$4,等级时间!$U$3:$AU$3,0))</f>
        <v>122.01</v>
      </c>
      <c r="Q75" s="77">
        <f t="shared" si="17"/>
        <v>5.5700000000000074</v>
      </c>
      <c r="R75" s="77">
        <f t="shared" si="11"/>
        <v>2126372364.4800029</v>
      </c>
      <c r="S75" s="77">
        <f>SUM($R$5:$R75)</f>
        <v>7626063414.760004</v>
      </c>
      <c r="U75" s="77">
        <f>INDEX(等级时间!$U$3:$AU$203,MATCH($O75,等级时间!$U$3:$U$203,0),MATCH(U$4,等级时间!$U$3:$AU$3,0))</f>
        <v>51.26</v>
      </c>
      <c r="V75" s="77">
        <f t="shared" si="18"/>
        <v>2.3399999999999963</v>
      </c>
      <c r="W75" s="77">
        <f t="shared" si="12"/>
        <v>893305445.75999856</v>
      </c>
      <c r="X75" s="77">
        <f>SUM($W$5:$W75)</f>
        <v>3204069736.3999987</v>
      </c>
    </row>
    <row r="76" spans="2:24" x14ac:dyDescent="0.15">
      <c r="B76" s="83">
        <v>72</v>
      </c>
      <c r="C76" s="77">
        <f t="array" ref="C76">MIN(IF(体力抽奖!$C$48:$C$60&gt;=矿山!$B76,体力抽奖!$J$48:$J$60))</f>
        <v>17</v>
      </c>
      <c r="D76" s="83">
        <f>VLOOKUP($C76,猫咪!$B:$E,4,0)</f>
        <v>655.36</v>
      </c>
      <c r="E76" s="109">
        <f t="shared" si="13"/>
        <v>29900</v>
      </c>
      <c r="F76" s="83">
        <f t="shared" si="14"/>
        <v>19625164</v>
      </c>
      <c r="G76" s="101">
        <f t="shared" si="15"/>
        <v>1900000000</v>
      </c>
      <c r="H76" s="77">
        <f>SUM($G$5:$G76)</f>
        <v>24411801770</v>
      </c>
      <c r="I76" s="77">
        <f t="shared" si="16"/>
        <v>48823603540</v>
      </c>
      <c r="J76" s="77">
        <f t="array" ref="J76">MIN(IF(旅店!$U$5:$U$85&gt;=$I76,旅店!$R$5:$R$85))</f>
        <v>146.47999999999999</v>
      </c>
      <c r="K76" s="77">
        <f t="array" ref="K76">MIN(IF(旅店!$U$5:$U$85&gt;=$I76,旅店!$Q$5:$Q$85))</f>
        <v>94</v>
      </c>
      <c r="O76" s="77">
        <v>91</v>
      </c>
      <c r="P76" s="77">
        <f>INDEX(等级时间!$U$3:$AU$203,MATCH($O76,等级时间!$U$3:$U$203,0),MATCH(P$4,等级时间!$U$3:$AU$3,0))</f>
        <v>127.79</v>
      </c>
      <c r="Q76" s="77">
        <f t="shared" si="17"/>
        <v>5.7800000000000011</v>
      </c>
      <c r="R76" s="77">
        <f t="shared" si="11"/>
        <v>2230788503.0400004</v>
      </c>
      <c r="S76" s="77">
        <f>SUM($R$5:$R76)</f>
        <v>9856851917.800005</v>
      </c>
      <c r="U76" s="77">
        <f>INDEX(等级时间!$U$3:$AU$203,MATCH($O76,等级时间!$U$3:$U$203,0),MATCH(U$4,等级时间!$U$3:$AU$3,0))</f>
        <v>53.69</v>
      </c>
      <c r="V76" s="77">
        <f t="shared" si="18"/>
        <v>2.4299999999999997</v>
      </c>
      <c r="W76" s="77">
        <f t="shared" si="12"/>
        <v>937857450.23999989</v>
      </c>
      <c r="X76" s="77">
        <f>SUM($W$5:$W76)</f>
        <v>4141927186.6399984</v>
      </c>
    </row>
    <row r="77" spans="2:24" x14ac:dyDescent="0.15">
      <c r="B77" s="83">
        <v>73</v>
      </c>
      <c r="C77" s="77">
        <f t="array" ref="C77">MIN(IF(体力抽奖!$C$48:$C$60&gt;=矿山!$B77,体力抽奖!$J$48:$J$60))</f>
        <v>17</v>
      </c>
      <c r="D77" s="83">
        <f>VLOOKUP($C77,猫咪!$B:$E,4,0)</f>
        <v>655.36</v>
      </c>
      <c r="E77" s="109">
        <f t="shared" si="13"/>
        <v>30300</v>
      </c>
      <c r="F77" s="83">
        <f t="shared" si="14"/>
        <v>19887708</v>
      </c>
      <c r="G77" s="101">
        <f t="shared" si="15"/>
        <v>2100000000</v>
      </c>
      <c r="H77" s="77">
        <f>SUM($G$5:$G77)</f>
        <v>26511801770</v>
      </c>
      <c r="I77" s="77">
        <f t="shared" si="16"/>
        <v>53023603540</v>
      </c>
      <c r="J77" s="77">
        <f t="array" ref="J77">MIN(IF(旅店!$U$5:$U$85&gt;=$I77,旅店!$R$5:$R$85))</f>
        <v>146.47999999999999</v>
      </c>
      <c r="K77" s="77">
        <f t="array" ref="K77">MIN(IF(旅店!$U$5:$U$85&gt;=$I77,旅店!$Q$5:$Q$85))</f>
        <v>94</v>
      </c>
      <c r="O77" s="77">
        <v>92</v>
      </c>
      <c r="P77" s="77">
        <f>INDEX(等级时间!$U$3:$AU$203,MATCH($O77,等级时间!$U$3:$U$203,0),MATCH(P$4,等级时间!$U$3:$AU$3,0))</f>
        <v>133.80000000000001</v>
      </c>
      <c r="Q77" s="77">
        <f t="shared" si="17"/>
        <v>6.0100000000000051</v>
      </c>
      <c r="R77" s="77">
        <f t="shared" si="11"/>
        <v>2338466334.9600019</v>
      </c>
      <c r="S77" s="77">
        <f>SUM($R$5:$R77)</f>
        <v>12195318252.760006</v>
      </c>
      <c r="U77" s="77">
        <f>INDEX(等级时间!$U$3:$AU$203,MATCH($O77,等级时间!$U$3:$U$203,0),MATCH(U$4,等级时间!$U$3:$AU$3,0))</f>
        <v>56.21</v>
      </c>
      <c r="V77" s="77">
        <f t="shared" si="18"/>
        <v>2.5200000000000031</v>
      </c>
      <c r="W77" s="77">
        <f t="shared" si="12"/>
        <v>980521657.92000127</v>
      </c>
      <c r="X77" s="77">
        <f>SUM($W$5:$W77)</f>
        <v>5122448844.5599995</v>
      </c>
    </row>
    <row r="78" spans="2:24" x14ac:dyDescent="0.15">
      <c r="B78" s="83">
        <v>74</v>
      </c>
      <c r="C78" s="77">
        <f t="array" ref="C78">MIN(IF(体力抽奖!$C$48:$C$60&gt;=矿山!$B78,体力抽奖!$J$48:$J$60))</f>
        <v>17</v>
      </c>
      <c r="D78" s="83">
        <f>VLOOKUP($C78,猫咪!$B:$E,4,0)</f>
        <v>655.36</v>
      </c>
      <c r="E78" s="109">
        <f t="shared" si="13"/>
        <v>30600</v>
      </c>
      <c r="F78" s="83">
        <f t="shared" si="14"/>
        <v>20084616</v>
      </c>
      <c r="G78" s="101">
        <f t="shared" si="15"/>
        <v>2200000000</v>
      </c>
      <c r="H78" s="77">
        <f>SUM($G$5:$G78)</f>
        <v>28711801770</v>
      </c>
      <c r="I78" s="77">
        <f t="shared" si="16"/>
        <v>57423603540</v>
      </c>
      <c r="J78" s="77">
        <f t="array" ref="J78">MIN(IF(旅店!$U$5:$U$85&gt;=$I78,旅店!$R$5:$R$85))</f>
        <v>153.18</v>
      </c>
      <c r="K78" s="77">
        <f t="array" ref="K78">MIN(IF(旅店!$U$5:$U$85&gt;=$I78,旅店!$Q$5:$Q$85))</f>
        <v>95</v>
      </c>
      <c r="O78" s="77">
        <v>93</v>
      </c>
      <c r="P78" s="77">
        <f>INDEX(等级时间!$U$3:$AU$203,MATCH($O78,等级时间!$U$3:$U$203,0),MATCH(P$4,等级时间!$U$3:$AU$3,0))</f>
        <v>140.03</v>
      </c>
      <c r="Q78" s="77">
        <f t="shared" si="17"/>
        <v>6.2299999999999898</v>
      </c>
      <c r="R78" s="77">
        <f t="shared" si="11"/>
        <v>2450202929.9999962</v>
      </c>
      <c r="S78" s="77">
        <f>SUM($R$5:$R78)</f>
        <v>14645521182.760002</v>
      </c>
      <c r="U78" s="77">
        <f>INDEX(等级时间!$U$3:$AU$203,MATCH($O78,等级时间!$U$3:$U$203,0),MATCH(U$4,等级时间!$U$3:$AU$3,0))</f>
        <v>58.83</v>
      </c>
      <c r="V78" s="77">
        <f t="shared" si="18"/>
        <v>2.6199999999999974</v>
      </c>
      <c r="W78" s="77">
        <f t="shared" si="12"/>
        <v>1030422419.999999</v>
      </c>
      <c r="X78" s="77">
        <f>SUM($W$5:$W78)</f>
        <v>6152871264.5599985</v>
      </c>
    </row>
    <row r="79" spans="2:24" x14ac:dyDescent="0.15">
      <c r="B79" s="83">
        <v>75</v>
      </c>
      <c r="C79" s="77">
        <f t="array" ref="C79">MIN(IF(体力抽奖!$C$48:$C$60&gt;=矿山!$B79,体力抽奖!$J$48:$J$60))</f>
        <v>17</v>
      </c>
      <c r="D79" s="83">
        <f>VLOOKUP($C79,猫咪!$B:$E,4,0)</f>
        <v>655.36</v>
      </c>
      <c r="E79" s="109">
        <f t="shared" si="13"/>
        <v>31000</v>
      </c>
      <c r="F79" s="83">
        <f t="shared" si="14"/>
        <v>20347160</v>
      </c>
      <c r="G79" s="101">
        <f t="shared" si="15"/>
        <v>2400000000</v>
      </c>
      <c r="H79" s="77">
        <f>SUM($G$5:$G79)</f>
        <v>31111801770</v>
      </c>
      <c r="I79" s="77">
        <f t="shared" si="16"/>
        <v>62223603540</v>
      </c>
      <c r="J79" s="77">
        <f t="array" ref="J79">MIN(IF(旅店!$U$5:$U$85&gt;=$I79,旅店!$R$5:$R$85))</f>
        <v>153.18</v>
      </c>
      <c r="K79" s="77">
        <f t="array" ref="K79">MIN(IF(旅店!$U$5:$U$85&gt;=$I79,旅店!$Q$5:$Q$85))</f>
        <v>95</v>
      </c>
      <c r="O79" s="77">
        <v>94</v>
      </c>
      <c r="P79" s="77">
        <f>INDEX(等级时间!$U$3:$AU$203,MATCH($O79,等级时间!$U$3:$U$203,0),MATCH(P$4,等级时间!$U$3:$AU$3,0))</f>
        <v>146.47999999999999</v>
      </c>
      <c r="Q79" s="77">
        <f t="shared" si="17"/>
        <v>6.4499999999999886</v>
      </c>
      <c r="R79" s="77">
        <f t="shared" si="11"/>
        <v>2557020765.5999956</v>
      </c>
      <c r="S79" s="77">
        <f>SUM($R$5:$R79)</f>
        <v>17202541948.359997</v>
      </c>
      <c r="U79" s="77">
        <f>INDEX(等级时间!$U$3:$AU$203,MATCH($O79,等级时间!$U$3:$U$203,0),MATCH(U$4,等级时间!$U$3:$AU$3,0))</f>
        <v>61.54</v>
      </c>
      <c r="V79" s="77">
        <f t="shared" si="18"/>
        <v>2.7100000000000009</v>
      </c>
      <c r="W79" s="77">
        <f t="shared" si="12"/>
        <v>1074345158.8800004</v>
      </c>
      <c r="X79" s="77">
        <f>SUM($W$5:$W79)</f>
        <v>7227216423.4399986</v>
      </c>
    </row>
    <row r="80" spans="2:24" x14ac:dyDescent="0.15">
      <c r="B80" s="83">
        <v>76</v>
      </c>
      <c r="C80" s="77">
        <f t="array" ref="C80">MIN(IF(体力抽奖!$C$48:$C$60&gt;=矿山!$B80,体力抽奖!$J$48:$J$60))</f>
        <v>17</v>
      </c>
      <c r="D80" s="83">
        <f>VLOOKUP($C80,猫咪!$B:$E,4,0)</f>
        <v>655.36</v>
      </c>
      <c r="E80" s="109">
        <f t="shared" si="13"/>
        <v>31400</v>
      </c>
      <c r="F80" s="83">
        <f t="shared" si="14"/>
        <v>20609704</v>
      </c>
      <c r="G80" s="101">
        <f t="shared" si="15"/>
        <v>2500000000</v>
      </c>
      <c r="H80" s="77">
        <f>SUM($G$5:$G80)</f>
        <v>33611801770</v>
      </c>
      <c r="I80" s="77">
        <f t="shared" si="16"/>
        <v>67223603540</v>
      </c>
      <c r="J80" s="77">
        <f t="array" ref="J80">MIN(IF(旅店!$U$5:$U$85&gt;=$I80,旅店!$R$5:$R$85))</f>
        <v>160.12</v>
      </c>
      <c r="K80" s="77">
        <f t="array" ref="K80">MIN(IF(旅店!$U$5:$U$85&gt;=$I80,旅店!$Q$5:$Q$85))</f>
        <v>96</v>
      </c>
      <c r="O80" s="77">
        <v>95</v>
      </c>
      <c r="P80" s="77">
        <f>INDEX(等级时间!$U$3:$AU$203,MATCH($O80,等级时间!$U$3:$U$203,0),MATCH(P$4,等级时间!$U$3:$AU$3,0))</f>
        <v>153.18</v>
      </c>
      <c r="Q80" s="77">
        <f t="shared" si="17"/>
        <v>6.7000000000000171</v>
      </c>
      <c r="R80" s="77">
        <f t="shared" si="11"/>
        <v>2684237294.4000068</v>
      </c>
      <c r="S80" s="77">
        <f>SUM($R$5:$R80)</f>
        <v>19886779242.760002</v>
      </c>
      <c r="U80" s="77">
        <f>INDEX(等级时间!$U$3:$AU$203,MATCH($O80,等级时间!$U$3:$U$203,0),MATCH(U$4,等级时间!$U$3:$AU$3,0))</f>
        <v>64.36</v>
      </c>
      <c r="V80" s="77">
        <f t="shared" si="18"/>
        <v>2.8200000000000003</v>
      </c>
      <c r="W80" s="77">
        <f t="shared" si="12"/>
        <v>1129783458.24</v>
      </c>
      <c r="X80" s="77">
        <f>SUM($W$5:$W80)</f>
        <v>8356999881.6799984</v>
      </c>
    </row>
    <row r="81" spans="2:24" x14ac:dyDescent="0.15">
      <c r="B81" s="83">
        <v>77</v>
      </c>
      <c r="C81" s="77">
        <f t="array" ref="C81">MIN(IF(体力抽奖!$C$48:$C$60&gt;=矿山!$B81,体力抽奖!$J$48:$J$60))</f>
        <v>17</v>
      </c>
      <c r="D81" s="83">
        <f>VLOOKUP($C81,猫咪!$B:$E,4,0)</f>
        <v>655.36</v>
      </c>
      <c r="E81" s="109">
        <f t="shared" si="13"/>
        <v>31700</v>
      </c>
      <c r="F81" s="83">
        <f t="shared" si="14"/>
        <v>20806612</v>
      </c>
      <c r="G81" s="101">
        <f t="shared" si="15"/>
        <v>2700000000</v>
      </c>
      <c r="H81" s="77">
        <f>SUM($G$5:$G81)</f>
        <v>36311801770</v>
      </c>
      <c r="I81" s="77">
        <f t="shared" si="16"/>
        <v>72623603540</v>
      </c>
      <c r="J81" s="77">
        <f t="array" ref="J81">MIN(IF(旅店!$U$5:$U$85&gt;=$I81,旅店!$R$5:$R$85))</f>
        <v>160.12</v>
      </c>
      <c r="K81" s="77">
        <f t="array" ref="K81">MIN(IF(旅店!$U$5:$U$85&gt;=$I81,旅店!$Q$5:$Q$85))</f>
        <v>96</v>
      </c>
      <c r="O81" s="77">
        <v>96</v>
      </c>
      <c r="P81" s="77">
        <f>INDEX(等级时间!$U$3:$AU$203,MATCH($O81,等级时间!$U$3:$U$203,0),MATCH(P$4,等级时间!$U$3:$AU$3,0))</f>
        <v>160.12</v>
      </c>
      <c r="Q81" s="77">
        <f t="shared" si="17"/>
        <v>6.9399999999999977</v>
      </c>
      <c r="R81" s="77">
        <f t="shared" si="11"/>
        <v>2809503099.8399992</v>
      </c>
      <c r="S81" s="77">
        <f>SUM($R$5:$R81)</f>
        <v>22696282342.600002</v>
      </c>
      <c r="U81" s="77">
        <f>INDEX(等级时间!$U$3:$AU$203,MATCH($O81,等级时间!$U$3:$U$203,0),MATCH(U$4,等级时间!$U$3:$AU$3,0))</f>
        <v>67.27</v>
      </c>
      <c r="V81" s="77">
        <f t="shared" si="18"/>
        <v>2.9099999999999966</v>
      </c>
      <c r="W81" s="77">
        <f t="shared" si="12"/>
        <v>1178048129.7599986</v>
      </c>
      <c r="X81" s="77">
        <f>SUM($W$5:$W81)</f>
        <v>9535048011.4399967</v>
      </c>
    </row>
    <row r="82" spans="2:24" x14ac:dyDescent="0.15">
      <c r="B82" s="83">
        <v>78</v>
      </c>
      <c r="C82" s="77">
        <f t="array" ref="C82">MIN(IF(体力抽奖!$C$48:$C$60&gt;=矿山!$B82,体力抽奖!$J$48:$J$60))</f>
        <v>17</v>
      </c>
      <c r="D82" s="83">
        <f>VLOOKUP($C82,猫咪!$B:$E,4,0)</f>
        <v>655.36</v>
      </c>
      <c r="E82" s="109">
        <f t="shared" si="13"/>
        <v>32100</v>
      </c>
      <c r="F82" s="83">
        <f t="shared" si="14"/>
        <v>21069156</v>
      </c>
      <c r="G82" s="101">
        <f t="shared" si="15"/>
        <v>2900000000</v>
      </c>
      <c r="H82" s="77">
        <f>SUM($G$5:$G82)</f>
        <v>39211801770</v>
      </c>
      <c r="I82" s="77">
        <f t="shared" si="16"/>
        <v>78423603540</v>
      </c>
      <c r="J82" s="77">
        <f t="array" ref="J82">MIN(IF(旅店!$U$5:$U$85&gt;=$I82,旅店!$R$5:$R$85))</f>
        <v>167.31</v>
      </c>
      <c r="K82" s="77">
        <f t="array" ref="K82">MIN(IF(旅店!$U$5:$U$85&gt;=$I82,旅店!$Q$5:$Q$85))</f>
        <v>97</v>
      </c>
      <c r="O82" s="77">
        <v>97</v>
      </c>
      <c r="P82" s="77">
        <f>INDEX(等级时间!$U$3:$AU$203,MATCH($O82,等级时间!$U$3:$U$203,0),MATCH(P$4,等级时间!$U$3:$AU$3,0))</f>
        <v>167.31</v>
      </c>
      <c r="Q82" s="77">
        <f t="shared" si="17"/>
        <v>7.1899999999999977</v>
      </c>
      <c r="R82" s="77">
        <f t="shared" si="11"/>
        <v>2933332082.1599989</v>
      </c>
      <c r="S82" s="77">
        <f>SUM($R$5:$R82)</f>
        <v>25629614424.760002</v>
      </c>
      <c r="U82" s="77">
        <f>INDEX(等级时间!$U$3:$AU$203,MATCH($O82,等级时间!$U$3:$U$203,0),MATCH(U$4,等级时间!$U$3:$AU$3,0))</f>
        <v>70.290000000000006</v>
      </c>
      <c r="V82" s="77">
        <f t="shared" si="18"/>
        <v>3.0200000000000102</v>
      </c>
      <c r="W82" s="77">
        <f t="shared" si="12"/>
        <v>1232081069.2800043</v>
      </c>
      <c r="X82" s="77">
        <f>SUM($W$5:$W82)</f>
        <v>10767129080.720001</v>
      </c>
    </row>
    <row r="83" spans="2:24" x14ac:dyDescent="0.15">
      <c r="B83" s="83">
        <v>79</v>
      </c>
      <c r="C83" s="77">
        <f t="array" ref="C83">MIN(IF(体力抽奖!$C$48:$C$60&gt;=矿山!$B83,体力抽奖!$J$48:$J$60))</f>
        <v>17</v>
      </c>
      <c r="D83" s="83">
        <f>VLOOKUP($C83,猫咪!$B:$E,4,0)</f>
        <v>655.36</v>
      </c>
      <c r="E83" s="109">
        <f t="shared" si="13"/>
        <v>32400</v>
      </c>
      <c r="F83" s="83">
        <f t="shared" si="14"/>
        <v>21266064</v>
      </c>
      <c r="G83" s="101">
        <f t="shared" si="15"/>
        <v>3100000000</v>
      </c>
      <c r="H83" s="77">
        <f>SUM($G$5:$G83)</f>
        <v>42311801770</v>
      </c>
      <c r="I83" s="77">
        <f t="shared" si="16"/>
        <v>84623603540</v>
      </c>
      <c r="J83" s="77">
        <f t="array" ref="J83">MIN(IF(旅店!$U$5:$U$85&gt;=$I83,旅店!$R$5:$R$85))</f>
        <v>174.76</v>
      </c>
      <c r="K83" s="77">
        <f t="array" ref="K83">MIN(IF(旅店!$U$5:$U$85&gt;=$I83,旅店!$Q$5:$Q$85))</f>
        <v>98</v>
      </c>
      <c r="O83" s="77">
        <v>98</v>
      </c>
      <c r="P83" s="77">
        <f>INDEX(等级时间!$U$3:$AU$203,MATCH($O83,等级时间!$U$3:$U$203,0),MATCH(P$4,等级时间!$U$3:$AU$3,0))</f>
        <v>174.76</v>
      </c>
      <c r="Q83" s="77">
        <f t="shared" si="17"/>
        <v>7.4499999999999886</v>
      </c>
      <c r="R83" s="77">
        <f t="shared" si="11"/>
        <v>3070658811.5999951</v>
      </c>
      <c r="S83" s="77">
        <f>SUM($R$5:$R83)</f>
        <v>28700273236.359997</v>
      </c>
      <c r="U83" s="77">
        <f>INDEX(等级时间!$U$3:$AU$203,MATCH($O83,等级时间!$U$3:$U$203,0),MATCH(U$4,等级时间!$U$3:$AU$3,0))</f>
        <v>73.42</v>
      </c>
      <c r="V83" s="77">
        <f t="shared" si="18"/>
        <v>3.1299999999999955</v>
      </c>
      <c r="W83" s="77">
        <f t="shared" si="12"/>
        <v>1290088869.839998</v>
      </c>
      <c r="X83" s="77">
        <f>SUM($W$5:$W83)</f>
        <v>12057217950.559999</v>
      </c>
    </row>
    <row r="84" spans="2:24" x14ac:dyDescent="0.15">
      <c r="B84" s="83">
        <v>80</v>
      </c>
      <c r="C84" s="77">
        <f t="array" ref="C84">MIN(IF(体力抽奖!$C$48:$C$60&gt;=矿山!$B84,体力抽奖!$J$48:$J$60))</f>
        <v>18</v>
      </c>
      <c r="D84" s="83">
        <f>VLOOKUP($C84,猫咪!$B:$E,4,0)</f>
        <v>1310.72</v>
      </c>
      <c r="E84" s="109">
        <f t="shared" si="13"/>
        <v>32800</v>
      </c>
      <c r="F84" s="83">
        <f t="shared" si="14"/>
        <v>43024416</v>
      </c>
      <c r="G84" s="101">
        <f t="shared" si="15"/>
        <v>3300000000</v>
      </c>
      <c r="H84" s="77">
        <f>SUM($G$5:$G84)</f>
        <v>45611801770</v>
      </c>
      <c r="I84" s="77">
        <f t="shared" si="16"/>
        <v>91223603540</v>
      </c>
      <c r="J84" s="77">
        <f t="array" ref="J84">MIN(IF(旅店!$U$5:$U$85&gt;=$I84,旅店!$R$5:$R$85))</f>
        <v>174.76</v>
      </c>
      <c r="K84" s="77">
        <f t="array" ref="K84">MIN(IF(旅店!$U$5:$U$85&gt;=$I84,旅店!$Q$5:$Q$85))</f>
        <v>98</v>
      </c>
      <c r="O84" s="77">
        <v>99</v>
      </c>
      <c r="P84" s="77">
        <f>INDEX(等级时间!$U$3:$AU$203,MATCH($O84,等级时间!$U$3:$U$203,0),MATCH(P$4,等级时间!$U$3:$AU$3,0))</f>
        <v>182.47</v>
      </c>
      <c r="Q84" s="77">
        <f t="shared" si="17"/>
        <v>7.710000000000008</v>
      </c>
      <c r="R84" s="77">
        <f t="shared" si="11"/>
        <v>3202080932.1600032</v>
      </c>
      <c r="S84" s="77">
        <f>SUM($R$5:$R84)</f>
        <v>31902354168.52</v>
      </c>
      <c r="U84" s="77">
        <f>INDEX(等级时间!$U$3:$AU$203,MATCH($O84,等级时间!$U$3:$U$203,0),MATCH(U$4,等级时间!$U$3:$AU$3,0))</f>
        <v>76.66</v>
      </c>
      <c r="V84" s="77">
        <f t="shared" si="18"/>
        <v>3.2399999999999949</v>
      </c>
      <c r="W84" s="77">
        <f t="shared" si="12"/>
        <v>1345621559.0399978</v>
      </c>
      <c r="X84" s="77">
        <f>SUM($W$5:$W84)</f>
        <v>13402839509.599997</v>
      </c>
    </row>
    <row r="85" spans="2:24" x14ac:dyDescent="0.15">
      <c r="B85" s="83">
        <v>81</v>
      </c>
      <c r="C85" s="77">
        <f t="array" ref="C85">MIN(IF(体力抽奖!$C$48:$C$60&gt;=矿山!$B85,体力抽奖!$J$48:$J$60))</f>
        <v>18</v>
      </c>
      <c r="D85" s="83">
        <f>VLOOKUP($C85,猫咪!$B:$E,4,0)</f>
        <v>1310.72</v>
      </c>
      <c r="E85" s="109">
        <f t="shared" si="13"/>
        <v>33200</v>
      </c>
      <c r="F85" s="83">
        <f t="shared" si="14"/>
        <v>43549104</v>
      </c>
      <c r="G85" s="101">
        <f t="shared" si="15"/>
        <v>3500000000</v>
      </c>
      <c r="H85" s="77">
        <f>SUM($G$5:$G85)</f>
        <v>49111801770</v>
      </c>
      <c r="I85" s="77">
        <f t="shared" si="16"/>
        <v>98223603540</v>
      </c>
      <c r="J85" s="77">
        <f t="array" ref="J85">MIN(IF(旅店!$U$5:$U$85&gt;=$I85,旅店!$R$5:$R$85))</f>
        <v>182.47</v>
      </c>
      <c r="K85" s="77">
        <f t="array" ref="K85">MIN(IF(旅店!$U$5:$U$85&gt;=$I85,旅店!$Q$5:$Q$85))</f>
        <v>99</v>
      </c>
      <c r="O85" s="77">
        <v>100</v>
      </c>
      <c r="P85" s="77">
        <f>INDEX(等级时间!$U$3:$AU$203,MATCH($O85,等级时间!$U$3:$U$203,0),MATCH(P$4,等级时间!$U$3:$AU$3,0))</f>
        <v>190.45</v>
      </c>
      <c r="Q85" s="77">
        <f t="shared" si="17"/>
        <v>7.9799999999999898</v>
      </c>
      <c r="R85" s="77">
        <f t="shared" si="11"/>
        <v>6694747583.9999914</v>
      </c>
      <c r="S85" s="77">
        <f>SUM($R$5:$R85)</f>
        <v>38597101752.519989</v>
      </c>
      <c r="U85" s="77">
        <f>INDEX(等级时间!$U$3:$AU$203,MATCH($O85,等级时间!$U$3:$U$203,0),MATCH(U$4,等级时间!$U$3:$AU$3,0))</f>
        <v>80.010000000000005</v>
      </c>
      <c r="V85" s="77">
        <f t="shared" si="18"/>
        <v>3.3500000000000085</v>
      </c>
      <c r="W85" s="77">
        <f t="shared" si="12"/>
        <v>2810451680.0000072</v>
      </c>
      <c r="X85" s="77">
        <f>SUM($W$5:$W85)</f>
        <v>16213291189.600004</v>
      </c>
    </row>
    <row r="86" spans="2:24" x14ac:dyDescent="0.15">
      <c r="B86" s="83">
        <v>82</v>
      </c>
      <c r="C86" s="77">
        <f t="array" ref="C86">MIN(IF(体力抽奖!$C$48:$C$60&gt;=矿山!$B86,体力抽奖!$J$48:$J$60))</f>
        <v>18</v>
      </c>
      <c r="D86" s="83">
        <f>VLOOKUP($C86,猫咪!$B:$E,4,0)</f>
        <v>1310.72</v>
      </c>
      <c r="E86" s="109">
        <f t="shared" si="13"/>
        <v>33500</v>
      </c>
      <c r="F86" s="83">
        <f t="shared" si="14"/>
        <v>43942620</v>
      </c>
      <c r="G86" s="101">
        <f t="shared" si="15"/>
        <v>3700000000</v>
      </c>
      <c r="H86" s="77">
        <f>SUM($G$5:$G86)</f>
        <v>52811801770</v>
      </c>
      <c r="I86" s="77">
        <f t="shared" si="16"/>
        <v>105623603540</v>
      </c>
      <c r="J86" s="77">
        <f t="array" ref="J86">MIN(IF(旅店!$U$5:$U$85&gt;=$I86,旅店!$R$5:$R$85))</f>
        <v>190.45</v>
      </c>
      <c r="K86" s="77">
        <f t="array" ref="K86">MIN(IF(旅店!$U$5:$U$85&gt;=$I86,旅店!$Q$5:$Q$85))</f>
        <v>100</v>
      </c>
    </row>
    <row r="87" spans="2:24" x14ac:dyDescent="0.15">
      <c r="B87" s="83">
        <v>83</v>
      </c>
      <c r="C87" s="77">
        <f t="array" ref="C87">MIN(IF(体力抽奖!$C$48:$C$60&gt;=矿山!$B87,体力抽奖!$J$48:$J$60))</f>
        <v>18</v>
      </c>
      <c r="D87" s="83">
        <f>VLOOKUP($C87,猫咪!$B:$E,4,0)</f>
        <v>1310.72</v>
      </c>
      <c r="E87" s="109">
        <f t="shared" si="13"/>
        <v>33900</v>
      </c>
      <c r="F87" s="83">
        <f t="shared" si="14"/>
        <v>44467308</v>
      </c>
      <c r="G87" s="101">
        <f t="shared" si="15"/>
        <v>3900000000</v>
      </c>
      <c r="H87" s="77">
        <f>SUM($G$5:$G87)</f>
        <v>56711801770</v>
      </c>
      <c r="I87" s="77">
        <f t="shared" si="16"/>
        <v>113423603540</v>
      </c>
      <c r="J87" s="77">
        <f t="array" ref="J87">MIN(IF(旅店!$U$5:$U$85&gt;=$I87,旅店!$R$5:$R$85))</f>
        <v>190.45</v>
      </c>
      <c r="K87" s="77">
        <f t="array" ref="K87">MIN(IF(旅店!$U$5:$U$85&gt;=$I87,旅店!$Q$5:$Q$85))</f>
        <v>100</v>
      </c>
    </row>
    <row r="88" spans="2:24" x14ac:dyDescent="0.15">
      <c r="B88" s="83">
        <v>84</v>
      </c>
      <c r="C88" s="77">
        <f t="array" ref="C88">MIN(IF(体力抽奖!$C$48:$C$60&gt;=矿山!$B88,体力抽奖!$J$48:$J$60))</f>
        <v>18</v>
      </c>
      <c r="D88" s="83">
        <f>VLOOKUP($C88,猫咪!$B:$E,4,0)</f>
        <v>1310.72</v>
      </c>
      <c r="E88" s="109">
        <f t="shared" si="13"/>
        <v>34200</v>
      </c>
      <c r="F88" s="83">
        <f t="shared" si="14"/>
        <v>44860824</v>
      </c>
      <c r="G88" s="101">
        <f t="shared" si="15"/>
        <v>4200000000</v>
      </c>
      <c r="H88" s="77">
        <f>SUM($G$5:$G88)</f>
        <v>60911801770</v>
      </c>
      <c r="I88" s="77">
        <f t="shared" si="16"/>
        <v>121823603540</v>
      </c>
      <c r="J88" s="77">
        <f t="array" ref="J88">MIN(IF(旅店!$U$5:$U$85&gt;=$I88,旅店!$R$5:$R$85))</f>
        <v>190.45</v>
      </c>
      <c r="K88" s="77">
        <f t="array" ref="K88">MIN(IF(旅店!$U$5:$U$85&gt;=$I88,旅店!$Q$5:$Q$85))</f>
        <v>100</v>
      </c>
    </row>
    <row r="89" spans="2:24" x14ac:dyDescent="0.15">
      <c r="B89" s="83">
        <v>85</v>
      </c>
      <c r="C89" s="77">
        <f t="array" ref="C89">MIN(IF(体力抽奖!$C$48:$C$60&gt;=矿山!$B89,体力抽奖!$J$48:$J$60))</f>
        <v>18</v>
      </c>
      <c r="D89" s="83">
        <f>VLOOKUP($C89,猫咪!$B:$E,4,0)</f>
        <v>1310.72</v>
      </c>
      <c r="E89" s="109">
        <f t="shared" si="13"/>
        <v>34600</v>
      </c>
      <c r="F89" s="83">
        <f t="shared" si="14"/>
        <v>45385512</v>
      </c>
      <c r="G89" s="101">
        <f t="shared" si="15"/>
        <v>4400000000</v>
      </c>
      <c r="H89" s="77">
        <f>SUM($G$5:$G89)</f>
        <v>65311801770</v>
      </c>
      <c r="I89" s="77">
        <f t="shared" si="16"/>
        <v>130623603540</v>
      </c>
      <c r="J89" s="77">
        <f t="array" ref="J89">MIN(IF(旅店!$U$5:$U$85&gt;=$I89,旅店!$R$5:$R$85))</f>
        <v>0</v>
      </c>
      <c r="K89" s="77">
        <f t="array" ref="K89">MIN(IF(旅店!$U$5:$U$85&gt;=$I89,旅店!$Q$5:$Q$85))</f>
        <v>0</v>
      </c>
    </row>
    <row r="90" spans="2:24" x14ac:dyDescent="0.15">
      <c r="B90" s="83">
        <v>86</v>
      </c>
      <c r="C90" s="77">
        <f t="array" ref="C90">MIN(IF(体力抽奖!$C$48:$C$60&gt;=矿山!$B90,体力抽奖!$J$48:$J$60))</f>
        <v>18</v>
      </c>
      <c r="D90" s="83">
        <f>VLOOKUP($C90,猫咪!$B:$E,4,0)</f>
        <v>1310.72</v>
      </c>
      <c r="E90" s="109">
        <f t="shared" si="13"/>
        <v>35000</v>
      </c>
      <c r="F90" s="83">
        <f t="shared" si="14"/>
        <v>45910200</v>
      </c>
      <c r="G90" s="101">
        <f t="shared" si="15"/>
        <v>4700000000</v>
      </c>
      <c r="H90" s="77">
        <f>SUM($G$5:$G90)</f>
        <v>70011801770</v>
      </c>
      <c r="I90" s="77">
        <f t="shared" si="16"/>
        <v>140023603540</v>
      </c>
      <c r="J90" s="77">
        <f t="array" ref="J90">MIN(IF(旅店!$U$5:$U$85&gt;=$I90,旅店!$R$5:$R$85))</f>
        <v>0</v>
      </c>
      <c r="K90" s="77">
        <f t="array" ref="K90">MIN(IF(旅店!$U$5:$U$85&gt;=$I90,旅店!$Q$5:$Q$85))</f>
        <v>0</v>
      </c>
    </row>
    <row r="91" spans="2:24" x14ac:dyDescent="0.15">
      <c r="B91" s="83">
        <v>87</v>
      </c>
      <c r="C91" s="77">
        <f t="array" ref="C91">MIN(IF(体力抽奖!$C$48:$C$60&gt;=矿山!$B91,体力抽奖!$J$48:$J$60))</f>
        <v>18</v>
      </c>
      <c r="D91" s="83">
        <f>VLOOKUP($C91,猫咪!$B:$E,4,0)</f>
        <v>1310.72</v>
      </c>
      <c r="E91" s="109">
        <f t="shared" si="13"/>
        <v>35300</v>
      </c>
      <c r="F91" s="83">
        <f t="shared" si="14"/>
        <v>46303716</v>
      </c>
      <c r="G91" s="101">
        <f t="shared" si="15"/>
        <v>5000000000</v>
      </c>
      <c r="H91" s="77">
        <f>SUM($G$5:$G91)</f>
        <v>75011801770</v>
      </c>
      <c r="I91" s="77">
        <f t="shared" si="16"/>
        <v>150023603540</v>
      </c>
      <c r="J91" s="77">
        <f t="array" ref="J91">MIN(IF(旅店!$U$5:$U$85&gt;=$I91,旅店!$R$5:$R$85))</f>
        <v>0</v>
      </c>
      <c r="K91" s="77">
        <f t="array" ref="K91">MIN(IF(旅店!$U$5:$U$85&gt;=$I91,旅店!$Q$5:$Q$85))</f>
        <v>0</v>
      </c>
    </row>
    <row r="92" spans="2:24" x14ac:dyDescent="0.15">
      <c r="B92" s="83">
        <v>88</v>
      </c>
      <c r="C92" s="77">
        <f t="array" ref="C92">MIN(IF(体力抽奖!$C$48:$C$60&gt;=矿山!$B92,体力抽奖!$J$48:$J$60))</f>
        <v>18</v>
      </c>
      <c r="D92" s="83">
        <f>VLOOKUP($C92,猫咪!$B:$E,4,0)</f>
        <v>1310.72</v>
      </c>
      <c r="E92" s="109">
        <f t="shared" si="13"/>
        <v>35700</v>
      </c>
      <c r="F92" s="83">
        <f t="shared" si="14"/>
        <v>46828404</v>
      </c>
      <c r="G92" s="101">
        <f t="shared" si="15"/>
        <v>5300000000</v>
      </c>
      <c r="H92" s="77">
        <f>SUM($G$5:$G92)</f>
        <v>80311801770</v>
      </c>
      <c r="I92" s="77">
        <f t="shared" si="16"/>
        <v>160623603540</v>
      </c>
      <c r="J92" s="77">
        <f t="array" ref="J92">MIN(IF(旅店!$U$5:$U$85&gt;=$I92,旅店!$R$5:$R$85))</f>
        <v>0</v>
      </c>
      <c r="K92" s="77">
        <f t="array" ref="K92">MIN(IF(旅店!$U$5:$U$85&gt;=$I92,旅店!$Q$5:$Q$85))</f>
        <v>0</v>
      </c>
    </row>
    <row r="93" spans="2:24" x14ac:dyDescent="0.15">
      <c r="B93" s="83">
        <v>89</v>
      </c>
      <c r="C93" s="77">
        <f t="array" ref="C93">MIN(IF(体力抽奖!$C$48:$C$60&gt;=矿山!$B93,体力抽奖!$J$48:$J$60))</f>
        <v>18</v>
      </c>
      <c r="D93" s="83">
        <f>VLOOKUP($C93,猫咪!$B:$E,4,0)</f>
        <v>1310.72</v>
      </c>
      <c r="E93" s="109">
        <f t="shared" si="13"/>
        <v>36000</v>
      </c>
      <c r="F93" s="83">
        <f t="shared" si="14"/>
        <v>47221920</v>
      </c>
      <c r="G93" s="101">
        <f t="shared" si="15"/>
        <v>5600000000</v>
      </c>
      <c r="H93" s="77">
        <f>SUM($G$5:$G93)</f>
        <v>85911801770</v>
      </c>
      <c r="I93" s="77">
        <f t="shared" si="16"/>
        <v>171823603540</v>
      </c>
      <c r="J93" s="77">
        <f t="array" ref="J93">MIN(IF(旅店!$U$5:$U$85&gt;=$I93,旅店!$R$5:$R$85))</f>
        <v>0</v>
      </c>
      <c r="K93" s="77">
        <f t="array" ref="K93">MIN(IF(旅店!$U$5:$U$85&gt;=$I93,旅店!$Q$5:$Q$85))</f>
        <v>0</v>
      </c>
    </row>
    <row r="94" spans="2:24" x14ac:dyDescent="0.15">
      <c r="B94" s="83">
        <v>90</v>
      </c>
      <c r="C94" s="77">
        <f t="array" ref="C94">MIN(IF(体力抽奖!$C$48:$C$60&gt;=矿山!$B94,体力抽奖!$J$48:$J$60))</f>
        <v>20</v>
      </c>
      <c r="D94" s="83">
        <f>VLOOKUP($C94,猫咪!$B:$E,4,0)</f>
        <v>5242.88</v>
      </c>
      <c r="E94" s="109">
        <f t="shared" si="13"/>
        <v>36400</v>
      </c>
      <c r="F94" s="83">
        <f t="shared" si="14"/>
        <v>190877232</v>
      </c>
      <c r="G94" s="101">
        <f t="shared" si="15"/>
        <v>5900000000</v>
      </c>
      <c r="H94" s="77">
        <f>SUM($G$5:$G94)</f>
        <v>91811801770</v>
      </c>
      <c r="I94" s="77">
        <f t="shared" si="16"/>
        <v>183623603540</v>
      </c>
      <c r="J94" s="77">
        <f t="array" ref="J94">MIN(IF(旅店!$U$5:$U$85&gt;=$I94,旅店!$R$5:$R$85))</f>
        <v>0</v>
      </c>
      <c r="K94" s="77">
        <f t="array" ref="K94">MIN(IF(旅店!$U$5:$U$85&gt;=$I94,旅店!$Q$5:$Q$85))</f>
        <v>0</v>
      </c>
    </row>
    <row r="95" spans="2:24" x14ac:dyDescent="0.15">
      <c r="B95" s="83">
        <v>91</v>
      </c>
      <c r="C95" s="77">
        <f t="array" ref="C95">MIN(IF(体力抽奖!$C$48:$C$60&gt;=矿山!$B95,体力抽奖!$J$48:$J$60))</f>
        <v>20</v>
      </c>
      <c r="D95" s="83">
        <f>VLOOKUP($C95,猫咪!$B:$E,4,0)</f>
        <v>5242.88</v>
      </c>
      <c r="E95" s="109">
        <f t="shared" si="13"/>
        <v>36800</v>
      </c>
      <c r="F95" s="83">
        <f t="shared" si="14"/>
        <v>192974784</v>
      </c>
      <c r="G95" s="101">
        <f t="shared" si="15"/>
        <v>6200000000</v>
      </c>
      <c r="H95" s="77">
        <f>SUM($G$5:$G95)</f>
        <v>98011801770</v>
      </c>
      <c r="I95" s="77">
        <f t="shared" si="16"/>
        <v>196023603540</v>
      </c>
      <c r="J95" s="77">
        <f t="array" ref="J95">MIN(IF(旅店!$U$5:$U$85&gt;=$I95,旅店!$R$5:$R$85))</f>
        <v>0</v>
      </c>
      <c r="K95" s="77">
        <f t="array" ref="K95">MIN(IF(旅店!$U$5:$U$85&gt;=$I95,旅店!$Q$5:$Q$85))</f>
        <v>0</v>
      </c>
    </row>
    <row r="96" spans="2:24" x14ac:dyDescent="0.15">
      <c r="B96" s="83">
        <v>92</v>
      </c>
      <c r="C96" s="77">
        <f t="array" ref="C96">MIN(IF(体力抽奖!$C$48:$C$60&gt;=矿山!$B96,体力抽奖!$J$48:$J$60))</f>
        <v>20</v>
      </c>
      <c r="D96" s="83">
        <f>VLOOKUP($C96,猫咪!$B:$E,4,0)</f>
        <v>5242.88</v>
      </c>
      <c r="E96" s="109">
        <f t="shared" si="13"/>
        <v>37100</v>
      </c>
      <c r="F96" s="83">
        <f t="shared" si="14"/>
        <v>194547948</v>
      </c>
      <c r="G96" s="101">
        <f t="shared" si="15"/>
        <v>6600000000</v>
      </c>
      <c r="H96" s="77">
        <f>SUM($G$5:$G96)</f>
        <v>104611801770</v>
      </c>
      <c r="I96" s="77">
        <f t="shared" si="16"/>
        <v>209223603540</v>
      </c>
      <c r="J96" s="77">
        <f t="array" ref="J96">MIN(IF(旅店!$U$5:$U$85&gt;=$I96,旅店!$R$5:$R$85))</f>
        <v>0</v>
      </c>
      <c r="K96" s="77">
        <f t="array" ref="K96">MIN(IF(旅店!$U$5:$U$85&gt;=$I96,旅店!$Q$5:$Q$85))</f>
        <v>0</v>
      </c>
    </row>
    <row r="97" spans="2:11" x14ac:dyDescent="0.15">
      <c r="B97" s="83">
        <v>93</v>
      </c>
      <c r="C97" s="77">
        <f t="array" ref="C97">MIN(IF(体力抽奖!$C$48:$C$60&gt;=矿山!$B97,体力抽奖!$J$48:$J$60))</f>
        <v>20</v>
      </c>
      <c r="D97" s="83">
        <f>VLOOKUP($C97,猫咪!$B:$E,4,0)</f>
        <v>5242.88</v>
      </c>
      <c r="E97" s="109">
        <f t="shared" si="13"/>
        <v>37500</v>
      </c>
      <c r="F97" s="83">
        <f t="shared" si="14"/>
        <v>196645500</v>
      </c>
      <c r="G97" s="101">
        <f t="shared" si="15"/>
        <v>7000000000</v>
      </c>
      <c r="H97" s="77">
        <f>SUM($G$5:$G97)</f>
        <v>111611801770</v>
      </c>
      <c r="I97" s="77">
        <f t="shared" si="16"/>
        <v>223223603540</v>
      </c>
      <c r="J97" s="77">
        <f t="array" ref="J97">MIN(IF(旅店!$U$5:$U$85&gt;=$I97,旅店!$R$5:$R$85))</f>
        <v>0</v>
      </c>
      <c r="K97" s="77">
        <f t="array" ref="K97">MIN(IF(旅店!$U$5:$U$85&gt;=$I97,旅店!$Q$5:$Q$85))</f>
        <v>0</v>
      </c>
    </row>
    <row r="98" spans="2:11" x14ac:dyDescent="0.15">
      <c r="B98" s="83">
        <v>94</v>
      </c>
      <c r="C98" s="77">
        <f t="array" ref="C98">MIN(IF(体力抽奖!$C$48:$C$60&gt;=矿山!$B98,体力抽奖!$J$48:$J$60))</f>
        <v>20</v>
      </c>
      <c r="D98" s="83">
        <f>VLOOKUP($C98,猫咪!$B:$E,4,0)</f>
        <v>5242.88</v>
      </c>
      <c r="E98" s="109">
        <f t="shared" si="13"/>
        <v>37800</v>
      </c>
      <c r="F98" s="83">
        <f t="shared" si="14"/>
        <v>198218664</v>
      </c>
      <c r="G98" s="101">
        <f t="shared" si="15"/>
        <v>7300000000</v>
      </c>
      <c r="H98" s="77">
        <f>SUM($G$5:$G98)</f>
        <v>118911801770</v>
      </c>
      <c r="I98" s="77">
        <f t="shared" si="16"/>
        <v>237823603540</v>
      </c>
      <c r="J98" s="77">
        <f t="array" ref="J98">MIN(IF(旅店!$U$5:$U$85&gt;=$I98,旅店!$R$5:$R$85))</f>
        <v>0</v>
      </c>
      <c r="K98" s="77">
        <f t="array" ref="K98">MIN(IF(旅店!$U$5:$U$85&gt;=$I98,旅店!$Q$5:$Q$85))</f>
        <v>0</v>
      </c>
    </row>
    <row r="99" spans="2:11" x14ac:dyDescent="0.15">
      <c r="B99" s="83">
        <v>95</v>
      </c>
      <c r="C99" s="77">
        <f t="array" ref="C99">MIN(IF(体力抽奖!$C$48:$C$60&gt;=矿山!$B99,体力抽奖!$J$48:$J$60))</f>
        <v>20</v>
      </c>
      <c r="D99" s="83">
        <f>VLOOKUP($C99,猫咪!$B:$E,4,0)</f>
        <v>5242.88</v>
      </c>
      <c r="E99" s="109">
        <f t="shared" si="13"/>
        <v>38200</v>
      </c>
      <c r="F99" s="83">
        <f t="shared" si="14"/>
        <v>200316216</v>
      </c>
      <c r="G99" s="101">
        <f t="shared" si="15"/>
        <v>7700000000</v>
      </c>
      <c r="H99" s="77">
        <f>SUM($G$5:$G99)</f>
        <v>126611801770</v>
      </c>
      <c r="I99" s="77">
        <f t="shared" si="16"/>
        <v>253223603540</v>
      </c>
      <c r="J99" s="77">
        <f t="array" ref="J99">MIN(IF(旅店!$U$5:$U$85&gt;=$I99,旅店!$R$5:$R$85))</f>
        <v>0</v>
      </c>
      <c r="K99" s="77">
        <f t="array" ref="K99">MIN(IF(旅店!$U$5:$U$85&gt;=$I99,旅店!$Q$5:$Q$85))</f>
        <v>0</v>
      </c>
    </row>
    <row r="100" spans="2:11" x14ac:dyDescent="0.15">
      <c r="B100" s="83">
        <v>96</v>
      </c>
      <c r="C100" s="77">
        <f t="array" ref="C100">MIN(IF(体力抽奖!$C$48:$C$60&gt;=矿山!$B100,体力抽奖!$J$48:$J$60))</f>
        <v>20</v>
      </c>
      <c r="D100" s="83">
        <f>VLOOKUP($C100,猫咪!$B:$E,4,0)</f>
        <v>5242.88</v>
      </c>
      <c r="E100" s="109">
        <f t="shared" si="13"/>
        <v>38600</v>
      </c>
      <c r="F100" s="83">
        <f t="shared" si="14"/>
        <v>202413768</v>
      </c>
      <c r="G100" s="101">
        <f t="shared" si="15"/>
        <v>8200000000</v>
      </c>
      <c r="H100" s="77">
        <f>SUM($G$5:$G100)</f>
        <v>134811801770</v>
      </c>
      <c r="I100" s="77">
        <f t="shared" si="16"/>
        <v>269623603540</v>
      </c>
      <c r="J100" s="77">
        <f t="array" ref="J100">MIN(IF(旅店!$U$5:$U$85&gt;=$I100,旅店!$R$5:$R$85))</f>
        <v>0</v>
      </c>
      <c r="K100" s="77">
        <f t="array" ref="K100">MIN(IF(旅店!$U$5:$U$85&gt;=$I100,旅店!$Q$5:$Q$85))</f>
        <v>0</v>
      </c>
    </row>
    <row r="101" spans="2:11" x14ac:dyDescent="0.15">
      <c r="B101" s="83">
        <v>97</v>
      </c>
      <c r="C101" s="77">
        <f t="array" ref="C101">MIN(IF(体力抽奖!$C$48:$C$60&gt;=矿山!$B101,体力抽奖!$J$48:$J$60))</f>
        <v>20</v>
      </c>
      <c r="D101" s="83">
        <f>VLOOKUP($C101,猫咪!$B:$E,4,0)</f>
        <v>5242.88</v>
      </c>
      <c r="E101" s="109">
        <f t="shared" si="13"/>
        <v>38900</v>
      </c>
      <c r="F101" s="83">
        <f t="shared" si="14"/>
        <v>203986932</v>
      </c>
      <c r="G101" s="101">
        <f t="shared" si="15"/>
        <v>8600000000</v>
      </c>
      <c r="H101" s="77">
        <f>SUM($G$5:$G101)</f>
        <v>143411801770</v>
      </c>
      <c r="I101" s="77">
        <f t="shared" si="16"/>
        <v>286823603540</v>
      </c>
      <c r="J101" s="77">
        <f t="array" ref="J101">MIN(IF(旅店!$U$5:$U$85&gt;=$I101,旅店!$R$5:$R$85))</f>
        <v>0</v>
      </c>
      <c r="K101" s="77">
        <f t="array" ref="K101">MIN(IF(旅店!$U$5:$U$85&gt;=$I101,旅店!$Q$5:$Q$85))</f>
        <v>0</v>
      </c>
    </row>
    <row r="102" spans="2:11" x14ac:dyDescent="0.15">
      <c r="B102" s="83">
        <v>98</v>
      </c>
      <c r="C102" s="77">
        <f t="array" ref="C102">MIN(IF(体力抽奖!$C$48:$C$60&gt;=矿山!$B102,体力抽奖!$J$48:$J$60))</f>
        <v>20</v>
      </c>
      <c r="D102" s="83">
        <f>VLOOKUP($C102,猫咪!$B:$E,4,0)</f>
        <v>5242.88</v>
      </c>
      <c r="E102" s="109">
        <f t="shared" si="13"/>
        <v>39300</v>
      </c>
      <c r="F102" s="83">
        <f t="shared" si="14"/>
        <v>206084484</v>
      </c>
      <c r="G102" s="101">
        <f t="shared" si="15"/>
        <v>9000000000</v>
      </c>
      <c r="H102" s="77">
        <f>SUM($G$5:$G102)</f>
        <v>152411801770</v>
      </c>
      <c r="I102" s="77">
        <f t="shared" si="16"/>
        <v>304823603540</v>
      </c>
      <c r="J102" s="77">
        <f t="array" ref="J102">MIN(IF(旅店!$U$5:$U$85&gt;=$I102,旅店!$R$5:$R$85))</f>
        <v>0</v>
      </c>
      <c r="K102" s="77">
        <f t="array" ref="K102">MIN(IF(旅店!$U$5:$U$85&gt;=$I102,旅店!$Q$5:$Q$85))</f>
        <v>0</v>
      </c>
    </row>
    <row r="103" spans="2:11" x14ac:dyDescent="0.15">
      <c r="B103" s="83">
        <v>99</v>
      </c>
      <c r="C103" s="77">
        <f t="array" ref="C103">MIN(IF(体力抽奖!$C$48:$C$60&gt;=矿山!$B103,体力抽奖!$J$48:$J$60))</f>
        <v>20</v>
      </c>
      <c r="D103" s="83">
        <f>VLOOKUP($C103,猫咪!$B:$E,4,0)</f>
        <v>5242.88</v>
      </c>
      <c r="E103" s="109">
        <f t="shared" si="13"/>
        <v>39600</v>
      </c>
      <c r="F103" s="83">
        <f t="shared" si="14"/>
        <v>207657648</v>
      </c>
      <c r="G103" s="101">
        <f t="shared" si="15"/>
        <v>9500000000</v>
      </c>
      <c r="H103" s="77">
        <f>SUM($G$5:$G103)</f>
        <v>161911801770</v>
      </c>
      <c r="I103" s="77">
        <f t="shared" si="16"/>
        <v>323823603540</v>
      </c>
      <c r="J103" s="77">
        <f t="array" ref="J103">MIN(IF(旅店!$U$5:$U$85&gt;=$I103,旅店!$R$5:$R$85))</f>
        <v>0</v>
      </c>
      <c r="K103" s="77">
        <f t="array" ref="K103">MIN(IF(旅店!$U$5:$U$85&gt;=$I103,旅店!$Q$5:$Q$85))</f>
        <v>0</v>
      </c>
    </row>
    <row r="104" spans="2:11" x14ac:dyDescent="0.15">
      <c r="B104" s="83">
        <v>100</v>
      </c>
      <c r="C104" s="77">
        <f t="array" ref="C104">MIN(IF(体力抽奖!$C$48:$C$60&gt;=矿山!$B104,体力抽奖!$J$48:$J$60))</f>
        <v>21</v>
      </c>
      <c r="D104" s="83">
        <f>VLOOKUP($C104,猫咪!$B:$E,4,0)</f>
        <v>10485.76</v>
      </c>
      <c r="E104" s="109">
        <f t="shared" si="13"/>
        <v>40000</v>
      </c>
      <c r="F104" s="83">
        <f t="shared" si="14"/>
        <v>419470400</v>
      </c>
      <c r="G104" s="101">
        <f t="shared" si="15"/>
        <v>10000000000</v>
      </c>
      <c r="H104" s="77">
        <f>SUM($G$5:$G104)</f>
        <v>171911801770</v>
      </c>
      <c r="I104" s="77">
        <f t="shared" si="16"/>
        <v>343823603540</v>
      </c>
      <c r="J104" s="77">
        <f t="array" ref="J104">MIN(IF(旅店!$U$5:$U$85&gt;=$I104,旅店!$R$5:$R$85))</f>
        <v>0</v>
      </c>
      <c r="K104" s="77">
        <f t="array" ref="K104">MIN(IF(旅店!$U$5:$U$85&gt;=$I104,旅店!$Q$5:$Q$85))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04"/>
  <sheetViews>
    <sheetView topLeftCell="B1" workbookViewId="0">
      <pane ySplit="24" topLeftCell="A88" activePane="bottomLeft" state="frozen"/>
      <selection pane="bottomLeft" activeCell="F24" sqref="F24"/>
    </sheetView>
  </sheetViews>
  <sheetFormatPr defaultRowHeight="16.5" x14ac:dyDescent="0.15"/>
  <cols>
    <col min="1" max="2" width="9" style="70"/>
    <col min="3" max="3" width="8.25" style="70" bestFit="1" customWidth="1"/>
    <col min="4" max="4" width="14" style="70" bestFit="1" customWidth="1"/>
    <col min="5" max="5" width="13.125" style="102" bestFit="1" customWidth="1"/>
    <col min="6" max="6" width="11.375" style="99" bestFit="1" customWidth="1"/>
    <col min="7" max="7" width="12.75" style="81" bestFit="1" customWidth="1"/>
    <col min="8" max="8" width="12.875" style="70" bestFit="1" customWidth="1"/>
    <col min="9" max="9" width="15.375" style="70" bestFit="1" customWidth="1"/>
    <col min="10" max="10" width="11.75" style="70" bestFit="1" customWidth="1"/>
    <col min="11" max="11" width="16.5" style="70" bestFit="1" customWidth="1"/>
    <col min="12" max="12" width="12.875" style="70" bestFit="1" customWidth="1"/>
    <col min="13" max="14" width="9" style="70"/>
    <col min="15" max="15" width="12.75" style="70" bestFit="1" customWidth="1"/>
    <col min="16" max="18" width="9" style="70"/>
    <col min="19" max="19" width="11.375" style="70" bestFit="1" customWidth="1"/>
    <col min="20" max="20" width="15" style="70" bestFit="1" customWidth="1"/>
    <col min="21" max="21" width="12.875" style="70" bestFit="1" customWidth="1"/>
    <col min="22" max="22" width="9" style="70"/>
    <col min="23" max="23" width="6.5" style="70" bestFit="1" customWidth="1"/>
    <col min="24" max="24" width="12.5" style="70" bestFit="1" customWidth="1"/>
    <col min="25" max="25" width="15" style="70" bestFit="1" customWidth="1"/>
    <col min="26" max="26" width="12.875" style="70" bestFit="1" customWidth="1"/>
    <col min="27" max="28" width="9" style="70"/>
    <col min="29" max="30" width="16.625" style="70" bestFit="1" customWidth="1"/>
    <col min="31" max="16384" width="9" style="70"/>
  </cols>
  <sheetData>
    <row r="1" spans="2:30" x14ac:dyDescent="0.15">
      <c r="E1" s="102">
        <v>500</v>
      </c>
      <c r="G1" s="81">
        <v>5</v>
      </c>
    </row>
    <row r="2" spans="2:30" x14ac:dyDescent="0.15">
      <c r="E2" s="102">
        <v>50000</v>
      </c>
      <c r="G2" s="81">
        <v>10</v>
      </c>
    </row>
    <row r="3" spans="2:30" x14ac:dyDescent="0.15">
      <c r="G3" s="82" t="s">
        <v>266</v>
      </c>
      <c r="H3" s="79"/>
      <c r="I3" s="79"/>
      <c r="K3" s="79"/>
    </row>
    <row r="4" spans="2:30" x14ac:dyDescent="0.15">
      <c r="B4" s="77" t="s">
        <v>261</v>
      </c>
      <c r="C4" s="77" t="s">
        <v>305</v>
      </c>
      <c r="D4" s="77" t="s">
        <v>362</v>
      </c>
      <c r="E4" s="103" t="s">
        <v>370</v>
      </c>
      <c r="F4" s="101" t="s">
        <v>262</v>
      </c>
      <c r="G4" s="83" t="s">
        <v>140</v>
      </c>
      <c r="H4" s="77" t="s">
        <v>306</v>
      </c>
      <c r="I4" s="77" t="s">
        <v>282</v>
      </c>
      <c r="J4" s="77" t="s">
        <v>281</v>
      </c>
      <c r="K4" s="77" t="s">
        <v>283</v>
      </c>
      <c r="L4" s="77" t="s">
        <v>284</v>
      </c>
      <c r="M4" s="80"/>
      <c r="O4" s="77" t="s">
        <v>267</v>
      </c>
      <c r="Q4" s="77" t="s">
        <v>9</v>
      </c>
      <c r="R4" s="77" t="s">
        <v>34</v>
      </c>
      <c r="S4" s="77" t="s">
        <v>278</v>
      </c>
      <c r="T4" s="77" t="s">
        <v>276</v>
      </c>
      <c r="U4" s="77" t="s">
        <v>277</v>
      </c>
      <c r="W4" s="77" t="s">
        <v>279</v>
      </c>
      <c r="X4" s="77" t="s">
        <v>280</v>
      </c>
      <c r="Y4" s="77" t="s">
        <v>276</v>
      </c>
      <c r="Z4" s="77" t="s">
        <v>277</v>
      </c>
      <c r="AB4" s="83" t="s">
        <v>9</v>
      </c>
      <c r="AC4" s="83" t="s">
        <v>374</v>
      </c>
      <c r="AD4" s="83" t="s">
        <v>375</v>
      </c>
    </row>
    <row r="5" spans="2:30" x14ac:dyDescent="0.15">
      <c r="B5" s="77">
        <v>1</v>
      </c>
      <c r="C5" s="77">
        <f t="array" ref="C5">MIN(IF(体力抽奖!$C$48:$C$60&gt;=$J5,体力抽奖!$J$48:$J$60))</f>
        <v>8</v>
      </c>
      <c r="D5" s="77">
        <f>VLOOKUP($C5,猫咪!$B:$E,4,0)</f>
        <v>1.28</v>
      </c>
      <c r="E5" s="110">
        <f t="shared" ref="E5:E69" si="0">ROUND(B5*$E$1+$E$2,3-LEN(INT(B5*$E$1+$E$2)))</f>
        <v>50500</v>
      </c>
      <c r="F5" s="101">
        <f>E5*(1+D5)</f>
        <v>115140.00000000001</v>
      </c>
      <c r="G5" s="83">
        <f t="shared" ref="G5:G36" si="1">ROUND(B5^G$1+G$2,IF(LEN(INT(B5^G$1+G$2))&lt;3,1-LEN(INT(B5^G$1+G$2)),2-LEN(INT(B5^G$1+G$2))))</f>
        <v>10</v>
      </c>
      <c r="H5" s="77">
        <f>SUM($G$5:$G5)</f>
        <v>10</v>
      </c>
      <c r="I5" s="77">
        <f t="array" ref="I5">MIN(IF(树木!$S$5:$S$85&gt;=$H5,树木!$P$5:$P$85))</f>
        <v>0.02</v>
      </c>
      <c r="J5" s="77">
        <f t="array" ref="J5">MIN(IF(树木!$S$5:$S$85&gt;=$H5,树木!$O$5:$O$85))</f>
        <v>20</v>
      </c>
      <c r="K5" s="77">
        <f t="array" ref="K5">MIN(IF(树木!$X$5:$X$85&gt;=$H5,树木!$U$5:$U$85))</f>
        <v>0.01</v>
      </c>
      <c r="L5" s="77">
        <f t="array" ref="L5">MIN(IF(树木!$X$5:$X$85&gt;=$H5,树木!$O$5:$O$85))</f>
        <v>20</v>
      </c>
      <c r="M5" s="80">
        <f t="shared" ref="M5:M36" si="2">INT(E5/(3600*24)*300)</f>
        <v>175</v>
      </c>
      <c r="O5" s="77">
        <v>6</v>
      </c>
      <c r="Q5" s="77">
        <v>20</v>
      </c>
      <c r="R5" s="77">
        <f>INDEX(等级时间!$U$3:$AU$203,MATCH($Q5,等级时间!$U$3:$U$203,0),MATCH(R$4,等级时间!$U$3:$AU$3,0))</f>
        <v>0.02</v>
      </c>
      <c r="S5" s="77">
        <f>R5</f>
        <v>0.02</v>
      </c>
      <c r="T5" s="77">
        <f t="array" ref="T5">INDEX($F$4:$F$104,MATCH(MAX(IF($J$5:$J$104&lt;=$Q5,$J$5:$J$104)),$J$4:$J$104,0),0)*S5*IF($Q5&gt;=$O$7,3,IF($Q5&gt;=$O$6,2,1))</f>
        <v>4605.6000000000004</v>
      </c>
      <c r="U5" s="77">
        <f>SUM($T$5:$T5)</f>
        <v>4605.6000000000004</v>
      </c>
      <c r="W5" s="77">
        <f>INDEX(等级时间!$U$3:$AU$203,MATCH($Q5,等级时间!$U$3:$U$203,0),MATCH(W$4,等级时间!$U$3:$AU$3,0))</f>
        <v>0.01</v>
      </c>
      <c r="X5" s="77">
        <f>W5</f>
        <v>0.01</v>
      </c>
      <c r="Y5" s="77">
        <f t="array" ref="Y5">INDEX($F$4:$F$104,MATCH(MAX(IF($J$5:$J$104&lt;=$Q5,$J$5:$J$104)),$J$4:$J$104,0),0)*X5*IF($Q5&gt;=$O$7,3,IF($Q5&gt;=$O$6,2,1))</f>
        <v>2302.8000000000002</v>
      </c>
      <c r="Z5" s="77">
        <f>SUM($Y$5:$Y5)</f>
        <v>2302.8000000000002</v>
      </c>
      <c r="AB5" s="83">
        <v>20</v>
      </c>
      <c r="AC5" s="83">
        <v>1000</v>
      </c>
      <c r="AD5" s="83">
        <f>1/AC5</f>
        <v>1E-3</v>
      </c>
    </row>
    <row r="6" spans="2:30" x14ac:dyDescent="0.15">
      <c r="B6" s="77">
        <v>2</v>
      </c>
      <c r="C6" s="77">
        <f t="array" ref="C6">MIN(IF(体力抽奖!$C$48:$C$60&gt;=$J6,体力抽奖!$J$48:$J$60))</f>
        <v>8</v>
      </c>
      <c r="D6" s="77">
        <f>VLOOKUP($C6,猫咪!$B:$E,4,0)</f>
        <v>1.28</v>
      </c>
      <c r="E6" s="110">
        <f t="shared" si="0"/>
        <v>51000</v>
      </c>
      <c r="F6" s="101">
        <f t="shared" ref="F6:F69" si="3">E6*(1+D6)</f>
        <v>116280.00000000001</v>
      </c>
      <c r="G6" s="83">
        <f t="shared" si="1"/>
        <v>40</v>
      </c>
      <c r="H6" s="77">
        <f>SUM($G$5:$G6)</f>
        <v>50</v>
      </c>
      <c r="I6" s="77">
        <f t="array" ref="I6">MIN(IF(树木!$S$5:$S$85&gt;=$H6,树木!$P$5:$P$85))</f>
        <v>0.02</v>
      </c>
      <c r="J6" s="77">
        <f t="array" ref="J6">MIN(IF(树木!$S$5:$S$85&gt;=$H6,树木!$O$5:$O$85))</f>
        <v>20</v>
      </c>
      <c r="K6" s="77">
        <f t="array" ref="K6">MIN(IF(树木!$X$5:$X$85&gt;=$H6,树木!$U$5:$U$85))</f>
        <v>0.01</v>
      </c>
      <c r="L6" s="77">
        <f t="array" ref="L6">MIN(IF(树木!$X$5:$X$85&gt;=$H6,树木!$O$5:$O$85))</f>
        <v>20</v>
      </c>
      <c r="M6" s="80">
        <f t="shared" si="2"/>
        <v>177</v>
      </c>
      <c r="O6" s="77">
        <v>20</v>
      </c>
      <c r="Q6" s="77">
        <v>21</v>
      </c>
      <c r="R6" s="77">
        <f>INDEX(等级时间!$U$3:$AU$203,MATCH($Q6,等级时间!$U$3:$U$203,0),MATCH(R$4,等级时间!$U$3:$AU$3,0))</f>
        <v>0.14000000000000001</v>
      </c>
      <c r="S6" s="77">
        <f>R6-R5</f>
        <v>0.12000000000000001</v>
      </c>
      <c r="T6" s="77">
        <f t="array" ref="T6">INDEX($F$4:$F$104,MATCH(MAX(IF($J$5:$J$104&lt;=$Q6,$J$5:$J$104)),$J$4:$J$104,0),0)*S6*IF($Q6&gt;=$O$7,3,IF($Q6&gt;=$O$6,2,1))</f>
        <v>28454.400000000005</v>
      </c>
      <c r="U6" s="77">
        <f>SUM($T$5:$T6)</f>
        <v>33060.000000000007</v>
      </c>
      <c r="W6" s="77">
        <f>INDEX(等级时间!$U$3:$AU$203,MATCH($Q6,等级时间!$U$3:$U$203,0),MATCH(W$4,等级时间!$U$3:$AU$3,0))</f>
        <v>0.06</v>
      </c>
      <c r="X6" s="77">
        <f>W6-W5</f>
        <v>4.9999999999999996E-2</v>
      </c>
      <c r="Y6" s="77">
        <f t="array" ref="Y6">INDEX($F$4:$F$104,MATCH(MAX(IF($J$5:$J$104&lt;=$Q6,$J$5:$J$104)),$J$4:$J$104,0),0)*X6*IF($Q6&gt;=$O$7,3,IF($Q6&gt;=$O$6,2,1))</f>
        <v>11856</v>
      </c>
      <c r="Z6" s="77">
        <f>SUM($Y$5:$Y6)</f>
        <v>14158.8</v>
      </c>
      <c r="AB6" s="83">
        <v>30</v>
      </c>
      <c r="AC6" s="83">
        <f>AC5+500</f>
        <v>1500</v>
      </c>
      <c r="AD6" s="83">
        <f t="shared" ref="AD6:AD18" si="4">1/AC6</f>
        <v>6.6666666666666664E-4</v>
      </c>
    </row>
    <row r="7" spans="2:30" x14ac:dyDescent="0.15">
      <c r="B7" s="77">
        <v>3</v>
      </c>
      <c r="C7" s="77">
        <f t="array" ref="C7">MIN(IF(体力抽奖!$C$48:$C$60&gt;=$J7,体力抽奖!$J$48:$J$60))</f>
        <v>8</v>
      </c>
      <c r="D7" s="77">
        <f>VLOOKUP($C7,猫咪!$B:$E,4,0)</f>
        <v>1.28</v>
      </c>
      <c r="E7" s="110">
        <f t="shared" si="0"/>
        <v>51500</v>
      </c>
      <c r="F7" s="101">
        <f t="shared" si="3"/>
        <v>117420.00000000001</v>
      </c>
      <c r="G7" s="83">
        <f t="shared" si="1"/>
        <v>250</v>
      </c>
      <c r="H7" s="77">
        <f>SUM($G$5:$G7)</f>
        <v>300</v>
      </c>
      <c r="I7" s="77">
        <f t="array" ref="I7">MIN(IF(树木!$S$5:$S$85&gt;=$H7,树木!$P$5:$P$85))</f>
        <v>0.02</v>
      </c>
      <c r="J7" s="77">
        <f t="array" ref="J7">MIN(IF(树木!$S$5:$S$85&gt;=$H7,树木!$O$5:$O$85))</f>
        <v>20</v>
      </c>
      <c r="K7" s="77">
        <f t="array" ref="K7">MIN(IF(树木!$X$5:$X$85&gt;=$H7,树木!$U$5:$U$85))</f>
        <v>0.06</v>
      </c>
      <c r="L7" s="77">
        <f t="array" ref="L7">MIN(IF(树木!$X$5:$X$85&gt;=$H7,树木!$O$5:$O$85))</f>
        <v>21</v>
      </c>
      <c r="M7" s="80">
        <f t="shared" si="2"/>
        <v>178</v>
      </c>
      <c r="O7" s="77">
        <v>60</v>
      </c>
      <c r="Q7" s="77">
        <v>22</v>
      </c>
      <c r="R7" s="77">
        <f>INDEX(等级时间!$U$3:$AU$203,MATCH($Q7,等级时间!$U$3:$U$203,0),MATCH(R$4,等级时间!$U$3:$AU$3,0))</f>
        <v>0.27</v>
      </c>
      <c r="S7" s="77">
        <f t="shared" ref="S7:S70" si="5">R7-R6</f>
        <v>0.13</v>
      </c>
      <c r="T7" s="77">
        <f t="array" ref="T7">INDEX($F$4:$F$104,MATCH(MAX(IF($J$5:$J$104&lt;=$Q7,$J$5:$J$104)),$J$4:$J$104,0),0)*S7*IF($Q7&gt;=$O$7,3,IF($Q7&gt;=$O$6,2,1))</f>
        <v>31122.000000000004</v>
      </c>
      <c r="U7" s="77">
        <f>SUM($T$5:$T7)</f>
        <v>64182.000000000015</v>
      </c>
      <c r="W7" s="77">
        <f>INDEX(等级时间!$U$3:$AU$203,MATCH($Q7,等级时间!$U$3:$U$203,0),MATCH(W$4,等级时间!$U$3:$AU$3,0))</f>
        <v>0.11</v>
      </c>
      <c r="X7" s="77">
        <f t="shared" ref="X7:X70" si="6">W7-W6</f>
        <v>0.05</v>
      </c>
      <c r="Y7" s="77">
        <f t="array" ref="Y7">INDEX($F$4:$F$104,MATCH(MAX(IF($J$5:$J$104&lt;=$Q7,$J$5:$J$104)),$J$4:$J$104,0),0)*X7*IF($Q7&gt;=$O$7,3,IF($Q7&gt;=$O$6,2,1))</f>
        <v>11970.000000000002</v>
      </c>
      <c r="Z7" s="77">
        <f>SUM($Y$5:$Y7)</f>
        <v>26128.800000000003</v>
      </c>
      <c r="AB7" s="83">
        <v>40</v>
      </c>
      <c r="AC7" s="83">
        <f t="shared" ref="AC7:AC18" si="7">AC6+500</f>
        <v>2000</v>
      </c>
      <c r="AD7" s="83">
        <f t="shared" si="4"/>
        <v>5.0000000000000001E-4</v>
      </c>
    </row>
    <row r="8" spans="2:30" x14ac:dyDescent="0.15">
      <c r="B8" s="77">
        <v>4</v>
      </c>
      <c r="C8" s="77">
        <f t="array" ref="C8">MIN(IF(体力抽奖!$C$48:$C$60&gt;=$J8,体力抽奖!$J$48:$J$60))</f>
        <v>8</v>
      </c>
      <c r="D8" s="77">
        <f>VLOOKUP($C8,猫咪!$B:$E,4,0)</f>
        <v>1.28</v>
      </c>
      <c r="E8" s="110">
        <f t="shared" si="0"/>
        <v>52000</v>
      </c>
      <c r="F8" s="101">
        <f t="shared" si="3"/>
        <v>118560.00000000001</v>
      </c>
      <c r="G8" s="83">
        <f t="shared" si="1"/>
        <v>1000</v>
      </c>
      <c r="H8" s="77">
        <f>SUM($G$5:$G8)</f>
        <v>1300</v>
      </c>
      <c r="I8" s="77">
        <f t="array" ref="I8">MIN(IF(树木!$S$5:$S$85&gt;=$H8,树木!$P$5:$P$85))</f>
        <v>0.14000000000000001</v>
      </c>
      <c r="J8" s="77">
        <f t="array" ref="J8">MIN(IF(树木!$S$5:$S$85&gt;=$H8,树木!$O$5:$O$85))</f>
        <v>21</v>
      </c>
      <c r="K8" s="77">
        <f t="array" ref="K8">MIN(IF(树木!$X$5:$X$85&gt;=$H8,树木!$U$5:$U$85))</f>
        <v>0.06</v>
      </c>
      <c r="L8" s="77">
        <f t="array" ref="L8">MIN(IF(树木!$X$5:$X$85&gt;=$H8,树木!$O$5:$O$85))</f>
        <v>21</v>
      </c>
      <c r="M8" s="80">
        <f t="shared" si="2"/>
        <v>180</v>
      </c>
      <c r="Q8" s="77">
        <v>23</v>
      </c>
      <c r="R8" s="77">
        <f>INDEX(等级时间!$U$3:$AU$203,MATCH($Q8,等级时间!$U$3:$U$203,0),MATCH(R$4,等级时间!$U$3:$AU$3,0))</f>
        <v>0.42</v>
      </c>
      <c r="S8" s="77">
        <f t="shared" si="5"/>
        <v>0.14999999999999997</v>
      </c>
      <c r="T8" s="77">
        <f t="array" ref="T8">INDEX($F$4:$F$104,MATCH(MAX(IF($J$5:$J$104&lt;=$Q8,$J$5:$J$104)),$J$4:$J$104,0),0)*S8*IF($Q8&gt;=$O$7,3,IF($Q8&gt;=$O$6,2,1))</f>
        <v>35910</v>
      </c>
      <c r="U8" s="77">
        <f>SUM($T$5:$T8)</f>
        <v>100092.00000000001</v>
      </c>
      <c r="W8" s="77">
        <f>INDEX(等级时间!$U$3:$AU$203,MATCH($Q8,等级时间!$U$3:$U$203,0),MATCH(W$4,等级时间!$U$3:$AU$3,0))</f>
        <v>0.18</v>
      </c>
      <c r="X8" s="77">
        <f t="shared" si="6"/>
        <v>6.9999999999999993E-2</v>
      </c>
      <c r="Y8" s="77">
        <f t="array" ref="Y8">INDEX($F$4:$F$104,MATCH(MAX(IF($J$5:$J$104&lt;=$Q8,$J$5:$J$104)),$J$4:$J$104,0),0)*X8*IF($Q8&gt;=$O$7,3,IF($Q8&gt;=$O$6,2,1))</f>
        <v>16758</v>
      </c>
      <c r="Z8" s="77">
        <f>SUM($Y$5:$Y8)</f>
        <v>42886.8</v>
      </c>
      <c r="AB8" s="83">
        <v>50</v>
      </c>
      <c r="AC8" s="83">
        <f t="shared" si="7"/>
        <v>2500</v>
      </c>
      <c r="AD8" s="83">
        <f t="shared" si="4"/>
        <v>4.0000000000000002E-4</v>
      </c>
    </row>
    <row r="9" spans="2:30" x14ac:dyDescent="0.15">
      <c r="B9" s="77">
        <v>5</v>
      </c>
      <c r="C9" s="77">
        <f t="array" ref="C9">MIN(IF(体力抽奖!$C$48:$C$60&gt;=$J9,体力抽奖!$J$48:$J$60))</f>
        <v>8</v>
      </c>
      <c r="D9" s="77">
        <f>VLOOKUP($C9,猫咪!$B:$E,4,0)</f>
        <v>1.28</v>
      </c>
      <c r="E9" s="110">
        <f t="shared" si="0"/>
        <v>52500</v>
      </c>
      <c r="F9" s="101">
        <f t="shared" si="3"/>
        <v>119700.00000000001</v>
      </c>
      <c r="G9" s="83">
        <f t="shared" si="1"/>
        <v>3100</v>
      </c>
      <c r="H9" s="77">
        <f>SUM($G$5:$G9)</f>
        <v>4400</v>
      </c>
      <c r="I9" s="77">
        <f t="array" ref="I9">MIN(IF(树木!$S$5:$S$85&gt;=$H9,树木!$P$5:$P$85))</f>
        <v>0.27</v>
      </c>
      <c r="J9" s="77">
        <f t="array" ref="J9">MIN(IF(树木!$S$5:$S$85&gt;=$H9,树木!$O$5:$O$85))</f>
        <v>22</v>
      </c>
      <c r="K9" s="77">
        <f t="array" ref="K9">MIN(IF(树木!$X$5:$X$85&gt;=$H9,树木!$U$5:$U$85))</f>
        <v>0.18</v>
      </c>
      <c r="L9" s="77">
        <f t="array" ref="L9">MIN(IF(树木!$X$5:$X$85&gt;=$H9,树木!$O$5:$O$85))</f>
        <v>23</v>
      </c>
      <c r="M9" s="80">
        <f t="shared" si="2"/>
        <v>182</v>
      </c>
      <c r="Q9" s="77">
        <v>24</v>
      </c>
      <c r="R9" s="77">
        <f>INDEX(等级时间!$U$3:$AU$203,MATCH($Q9,等级时间!$U$3:$U$203,0),MATCH(R$4,等级时间!$U$3:$AU$3,0))</f>
        <v>0.59</v>
      </c>
      <c r="S9" s="77">
        <f t="shared" si="5"/>
        <v>0.16999999999999998</v>
      </c>
      <c r="T9" s="77">
        <f t="array" ref="T9">INDEX($F$4:$F$104,MATCH(MAX(IF($J$5:$J$104&lt;=$Q9,$J$5:$J$104)),$J$4:$J$104,0),0)*S9*IF($Q9&gt;=$O$7,3,IF($Q9&gt;=$O$6,2,1))</f>
        <v>41085.599999999999</v>
      </c>
      <c r="U9" s="77">
        <f>SUM($T$5:$T9)</f>
        <v>141177.60000000001</v>
      </c>
      <c r="W9" s="77">
        <f>INDEX(等级时间!$U$3:$AU$203,MATCH($Q9,等级时间!$U$3:$U$203,0),MATCH(W$4,等级时间!$U$3:$AU$3,0))</f>
        <v>0.25</v>
      </c>
      <c r="X9" s="77">
        <f t="shared" si="6"/>
        <v>7.0000000000000007E-2</v>
      </c>
      <c r="Y9" s="77">
        <f t="array" ref="Y9">INDEX($F$4:$F$104,MATCH(MAX(IF($J$5:$J$104&lt;=$Q9,$J$5:$J$104)),$J$4:$J$104,0),0)*X9*IF($Q9&gt;=$O$7,3,IF($Q9&gt;=$O$6,2,1))</f>
        <v>16917.600000000002</v>
      </c>
      <c r="Z9" s="77">
        <f>SUM($Y$5:$Y9)</f>
        <v>59804.400000000009</v>
      </c>
      <c r="AB9" s="83">
        <v>60</v>
      </c>
      <c r="AC9" s="83">
        <f t="shared" si="7"/>
        <v>3000</v>
      </c>
      <c r="AD9" s="83">
        <f t="shared" si="4"/>
        <v>3.3333333333333332E-4</v>
      </c>
    </row>
    <row r="10" spans="2:30" x14ac:dyDescent="0.15">
      <c r="B10" s="77">
        <v>6</v>
      </c>
      <c r="C10" s="77">
        <f t="array" ref="C10">MIN(IF(体力抽奖!$C$48:$C$60&gt;=$J10,体力抽奖!$J$48:$J$60))</f>
        <v>8</v>
      </c>
      <c r="D10" s="77">
        <f>VLOOKUP($C10,猫咪!$B:$E,4,0)</f>
        <v>1.28</v>
      </c>
      <c r="E10" s="110">
        <f t="shared" si="0"/>
        <v>53000</v>
      </c>
      <c r="F10" s="101">
        <f t="shared" si="3"/>
        <v>120840.00000000001</v>
      </c>
      <c r="G10" s="83">
        <f t="shared" si="1"/>
        <v>7800</v>
      </c>
      <c r="H10" s="77">
        <f>SUM($G$5:$G10)</f>
        <v>12200</v>
      </c>
      <c r="I10" s="77">
        <f t="array" ref="I10">MIN(IF(树木!$S$5:$S$85&gt;=$H10,树木!$P$5:$P$85))</f>
        <v>0.59</v>
      </c>
      <c r="J10" s="77">
        <f t="array" ref="J10">MIN(IF(树木!$S$5:$S$85&gt;=$H10,树木!$O$5:$O$85))</f>
        <v>24</v>
      </c>
      <c r="K10" s="77">
        <f t="array" ref="K10">MIN(IF(树木!$X$5:$X$85&gt;=$H10,树木!$U$5:$U$85))</f>
        <v>0.5</v>
      </c>
      <c r="L10" s="77">
        <f t="array" ref="L10">MIN(IF(树木!$X$5:$X$85&gt;=$H10,树木!$O$5:$O$85))</f>
        <v>27</v>
      </c>
      <c r="M10" s="80">
        <f t="shared" si="2"/>
        <v>184</v>
      </c>
      <c r="Q10" s="77">
        <v>25</v>
      </c>
      <c r="R10" s="77">
        <f>INDEX(等级时间!$U$3:$AU$203,MATCH($Q10,等级时间!$U$3:$U$203,0),MATCH(R$4,等级时间!$U$3:$AU$3,0))</f>
        <v>0.77</v>
      </c>
      <c r="S10" s="77">
        <f t="shared" si="5"/>
        <v>0.18000000000000005</v>
      </c>
      <c r="T10" s="77">
        <f t="array" ref="T10">INDEX($F$4:$F$104,MATCH(MAX(IF($J$5:$J$104&lt;=$Q10,$J$5:$J$104)),$J$4:$J$104,0),0)*S10*IF($Q10&gt;=$O$7,3,IF($Q10&gt;=$O$6,2,1))</f>
        <v>43502.400000000016</v>
      </c>
      <c r="U10" s="77">
        <f>SUM($T$5:$T10)</f>
        <v>184680.00000000003</v>
      </c>
      <c r="W10" s="77">
        <f>INDEX(等级时间!$U$3:$AU$203,MATCH($Q10,等级时间!$U$3:$U$203,0),MATCH(W$4,等级时间!$U$3:$AU$3,0))</f>
        <v>0.32</v>
      </c>
      <c r="X10" s="77">
        <f t="shared" si="6"/>
        <v>7.0000000000000007E-2</v>
      </c>
      <c r="Y10" s="77">
        <f t="array" ref="Y10">INDEX($F$4:$F$104,MATCH(MAX(IF($J$5:$J$104&lt;=$Q10,$J$5:$J$104)),$J$4:$J$104,0),0)*X10*IF($Q10&gt;=$O$7,3,IF($Q10&gt;=$O$6,2,1))</f>
        <v>16917.600000000002</v>
      </c>
      <c r="Z10" s="77">
        <f>SUM($Y$5:$Y10)</f>
        <v>76722.000000000015</v>
      </c>
      <c r="AB10" s="83">
        <v>70</v>
      </c>
      <c r="AC10" s="83">
        <f t="shared" si="7"/>
        <v>3500</v>
      </c>
      <c r="AD10" s="83">
        <f t="shared" si="4"/>
        <v>2.8571428571428574E-4</v>
      </c>
    </row>
    <row r="11" spans="2:30" x14ac:dyDescent="0.15">
      <c r="B11" s="77">
        <v>7</v>
      </c>
      <c r="C11" s="77">
        <f t="array" ref="C11">MIN(IF(体力抽奖!$C$48:$C$60&gt;=$J11,体力抽奖!$J$48:$J$60))</f>
        <v>8</v>
      </c>
      <c r="D11" s="77">
        <f>VLOOKUP($C11,猫咪!$B:$E,4,0)</f>
        <v>1.28</v>
      </c>
      <c r="E11" s="110">
        <f t="shared" si="0"/>
        <v>53500</v>
      </c>
      <c r="F11" s="101">
        <f t="shared" si="3"/>
        <v>121980.00000000001</v>
      </c>
      <c r="G11" s="83">
        <f t="shared" si="1"/>
        <v>17000</v>
      </c>
      <c r="H11" s="77">
        <f>SUM($G$5:$G11)</f>
        <v>29200</v>
      </c>
      <c r="I11" s="77">
        <f t="array" ref="I11">MIN(IF(树木!$S$5:$S$85&gt;=$H11,树木!$P$5:$P$85))</f>
        <v>1.2</v>
      </c>
      <c r="J11" s="77">
        <f t="array" ref="J11">MIN(IF(树木!$S$5:$S$85&gt;=$H11,树木!$O$5:$O$85))</f>
        <v>27</v>
      </c>
      <c r="K11" s="77">
        <f t="array" ref="K11">MIN(IF(树木!$X$5:$X$85&gt;=$H11,树木!$U$5:$U$85))</f>
        <v>0.83</v>
      </c>
      <c r="L11" s="77">
        <f t="array" ref="L11">MIN(IF(树木!$X$5:$X$85&gt;=$H11,树木!$O$5:$O$85))</f>
        <v>30</v>
      </c>
      <c r="M11" s="80">
        <f t="shared" si="2"/>
        <v>185</v>
      </c>
      <c r="Q11" s="101">
        <v>26</v>
      </c>
      <c r="R11" s="101">
        <f>INDEX(等级时间!$U$3:$AU$203,MATCH($Q11,等级时间!$U$3:$U$203,0),MATCH(R$4,等级时间!$U$3:$AU$3,0))</f>
        <v>0.98</v>
      </c>
      <c r="S11" s="101">
        <f t="shared" si="5"/>
        <v>0.20999999999999996</v>
      </c>
      <c r="T11" s="101">
        <f t="array" ref="T11">INDEX($F$4:$F$104,MATCH(MAX(IF($J$5:$J$104&lt;=$Q11,$J$5:$J$104)),$J$4:$J$104,0),0)*S11*IF($Q11&gt;=$O$7,3,IF($Q11&gt;=$O$6,2,1))</f>
        <v>50752.799999999996</v>
      </c>
      <c r="U11" s="101">
        <f>SUM($T$5:$T11)</f>
        <v>235432.80000000002</v>
      </c>
      <c r="W11" s="77">
        <f>INDEX(等级时间!$U$3:$AU$203,MATCH($Q11,等级时间!$U$3:$U$203,0),MATCH(W$4,等级时间!$U$3:$AU$3,0))</f>
        <v>0.41</v>
      </c>
      <c r="X11" s="77">
        <f t="shared" si="6"/>
        <v>8.9999999999999969E-2</v>
      </c>
      <c r="Y11" s="77">
        <f t="array" ref="Y11">INDEX($F$4:$F$104,MATCH(MAX(IF($J$5:$J$104&lt;=$Q11,$J$5:$J$104)),$J$4:$J$104,0),0)*X11*IF($Q11&gt;=$O$7,3,IF($Q11&gt;=$O$6,2,1))</f>
        <v>21751.199999999993</v>
      </c>
      <c r="Z11" s="77">
        <f>SUM($Y$5:$Y11)</f>
        <v>98473.200000000012</v>
      </c>
      <c r="AB11" s="83">
        <v>80</v>
      </c>
      <c r="AC11" s="83">
        <f t="shared" si="7"/>
        <v>4000</v>
      </c>
      <c r="AD11" s="83">
        <f t="shared" si="4"/>
        <v>2.5000000000000001E-4</v>
      </c>
    </row>
    <row r="12" spans="2:30" x14ac:dyDescent="0.15">
      <c r="B12" s="77">
        <v>8</v>
      </c>
      <c r="C12" s="77">
        <f t="array" ref="C12">MIN(IF(体力抽奖!$C$48:$C$60&gt;=$J12,体力抽奖!$J$48:$J$60))</f>
        <v>10</v>
      </c>
      <c r="D12" s="77">
        <f>VLOOKUP($C12,猫咪!$B:$E,4,0)</f>
        <v>5.12</v>
      </c>
      <c r="E12" s="110">
        <f t="shared" si="0"/>
        <v>54000</v>
      </c>
      <c r="F12" s="101">
        <f t="shared" si="3"/>
        <v>330480</v>
      </c>
      <c r="G12" s="83">
        <f t="shared" si="1"/>
        <v>33000</v>
      </c>
      <c r="H12" s="77">
        <f>SUM($G$5:$G12)</f>
        <v>62200</v>
      </c>
      <c r="I12" s="77">
        <f t="array" ref="I12">MIN(IF(树木!$S$5:$S$85&gt;=$H12,树木!$P$5:$P$85))</f>
        <v>1.98</v>
      </c>
      <c r="J12" s="77">
        <f t="array" ref="J12">MIN(IF(树木!$S$5:$S$85&gt;=$H12,树木!$O$5:$O$85))</f>
        <v>30</v>
      </c>
      <c r="K12" s="77">
        <f t="array" ref="K12">MIN(IF(树木!$X$5:$X$85&gt;=$H12,树木!$U$5:$U$85))</f>
        <v>1.23</v>
      </c>
      <c r="L12" s="77">
        <f t="array" ref="L12">MIN(IF(树木!$X$5:$X$85&gt;=$H12,树木!$O$5:$O$85))</f>
        <v>33</v>
      </c>
      <c r="M12" s="80">
        <f t="shared" si="2"/>
        <v>187</v>
      </c>
      <c r="Q12" s="77">
        <v>27</v>
      </c>
      <c r="R12" s="77">
        <f>INDEX(等级时间!$U$3:$AU$203,MATCH($Q12,等级时间!$U$3:$U$203,0),MATCH(R$4,等级时间!$U$3:$AU$3,0))</f>
        <v>1.2</v>
      </c>
      <c r="S12" s="77">
        <f t="shared" si="5"/>
        <v>0.21999999999999997</v>
      </c>
      <c r="T12" s="77">
        <f t="array" ref="T12">INDEX($F$4:$F$104,MATCH(MAX(IF($J$5:$J$104&lt;=$Q12,$J$5:$J$104)),$J$4:$J$104,0),0)*S12*IF($Q12&gt;=$O$7,3,IF($Q12&gt;=$O$6,2,1))</f>
        <v>53671.199999999997</v>
      </c>
      <c r="U12" s="77">
        <f>SUM($T$5:$T12)</f>
        <v>289104</v>
      </c>
      <c r="W12" s="77">
        <f>INDEX(等级时间!$U$3:$AU$203,MATCH($Q12,等级时间!$U$3:$U$203,0),MATCH(W$4,等级时间!$U$3:$AU$3,0))</f>
        <v>0.5</v>
      </c>
      <c r="X12" s="77">
        <f t="shared" si="6"/>
        <v>9.0000000000000024E-2</v>
      </c>
      <c r="Y12" s="77">
        <f t="array" ref="Y12">INDEX($F$4:$F$104,MATCH(MAX(IF($J$5:$J$104&lt;=$Q12,$J$5:$J$104)),$J$4:$J$104,0),0)*X12*IF($Q12&gt;=$O$7,3,IF($Q12&gt;=$O$6,2,1))</f>
        <v>21956.400000000009</v>
      </c>
      <c r="Z12" s="77">
        <f>SUM($Y$5:$Y12)</f>
        <v>120429.60000000002</v>
      </c>
      <c r="AB12" s="83">
        <v>90</v>
      </c>
      <c r="AC12" s="83">
        <f t="shared" si="7"/>
        <v>4500</v>
      </c>
      <c r="AD12" s="83">
        <f t="shared" si="4"/>
        <v>2.2222222222222223E-4</v>
      </c>
    </row>
    <row r="13" spans="2:30" x14ac:dyDescent="0.15">
      <c r="B13" s="77">
        <v>9</v>
      </c>
      <c r="C13" s="77">
        <f t="array" ref="C13">MIN(IF(体力抽奖!$C$48:$C$60&gt;=$J13,体力抽奖!$J$48:$J$60))</f>
        <v>10</v>
      </c>
      <c r="D13" s="77">
        <f>VLOOKUP($C13,猫咪!$B:$E,4,0)</f>
        <v>5.12</v>
      </c>
      <c r="E13" s="110">
        <f t="shared" si="0"/>
        <v>54500</v>
      </c>
      <c r="F13" s="101">
        <f t="shared" si="3"/>
        <v>333540</v>
      </c>
      <c r="G13" s="83">
        <f t="shared" si="1"/>
        <v>59000</v>
      </c>
      <c r="H13" s="77">
        <f>SUM($G$5:$G13)</f>
        <v>121200</v>
      </c>
      <c r="I13" s="77">
        <f t="array" ref="I13">MIN(IF(树木!$S$5:$S$85&gt;=$H13,树木!$P$5:$P$85))</f>
        <v>2.59</v>
      </c>
      <c r="J13" s="77">
        <f t="array" ref="J13">MIN(IF(树木!$S$5:$S$85&gt;=$H13,树木!$O$5:$O$85))</f>
        <v>32</v>
      </c>
      <c r="K13" s="77">
        <f t="array" ref="K13">MIN(IF(树木!$X$5:$X$85&gt;=$H13,树木!$U$5:$U$85))</f>
        <v>1.86</v>
      </c>
      <c r="L13" s="77">
        <f t="array" ref="L13">MIN(IF(树木!$X$5:$X$85&gt;=$H13,树木!$O$5:$O$85))</f>
        <v>37</v>
      </c>
      <c r="M13" s="80">
        <f t="shared" si="2"/>
        <v>189</v>
      </c>
      <c r="Q13" s="77">
        <v>28</v>
      </c>
      <c r="R13" s="77">
        <f>INDEX(等级时间!$U$3:$AU$203,MATCH($Q13,等级时间!$U$3:$U$203,0),MATCH(R$4,等级时间!$U$3:$AU$3,0))</f>
        <v>1.44</v>
      </c>
      <c r="S13" s="77">
        <f t="shared" si="5"/>
        <v>0.24</v>
      </c>
      <c r="T13" s="77">
        <f t="array" ref="T13">INDEX($F$4:$F$104,MATCH(MAX(IF($J$5:$J$104&lt;=$Q13,$J$5:$J$104)),$J$4:$J$104,0),0)*S13*IF($Q13&gt;=$O$7,3,IF($Q13&gt;=$O$6,2,1))</f>
        <v>58550.400000000001</v>
      </c>
      <c r="U13" s="77">
        <f>SUM($T$5:$T13)</f>
        <v>347654.40000000002</v>
      </c>
      <c r="W13" s="77">
        <f>INDEX(等级时间!$U$3:$AU$203,MATCH($Q13,等级时间!$U$3:$U$203,0),MATCH(W$4,等级时间!$U$3:$AU$3,0))</f>
        <v>0.6</v>
      </c>
      <c r="X13" s="77">
        <f t="shared" si="6"/>
        <v>9.9999999999999978E-2</v>
      </c>
      <c r="Y13" s="77">
        <f t="array" ref="Y13">INDEX($F$4:$F$104,MATCH(MAX(IF($J$5:$J$104&lt;=$Q13,$J$5:$J$104)),$J$4:$J$104,0),0)*X13*IF($Q13&gt;=$O$7,3,IF($Q13&gt;=$O$6,2,1))</f>
        <v>24395.999999999996</v>
      </c>
      <c r="Z13" s="77">
        <f>SUM($Y$5:$Y13)</f>
        <v>144825.60000000001</v>
      </c>
      <c r="AB13" s="83">
        <v>100</v>
      </c>
      <c r="AC13" s="83">
        <f t="shared" si="7"/>
        <v>5000</v>
      </c>
      <c r="AD13" s="83">
        <f t="shared" si="4"/>
        <v>2.0000000000000001E-4</v>
      </c>
    </row>
    <row r="14" spans="2:30" x14ac:dyDescent="0.15">
      <c r="B14" s="77">
        <v>10</v>
      </c>
      <c r="C14" s="77">
        <f t="array" ref="C14">MIN(IF(体力抽奖!$C$48:$C$60&gt;=$J14,体力抽奖!$J$48:$J$60))</f>
        <v>10</v>
      </c>
      <c r="D14" s="77">
        <f>VLOOKUP($C14,猫咪!$B:$E,4,0)</f>
        <v>5.12</v>
      </c>
      <c r="E14" s="110">
        <f t="shared" si="0"/>
        <v>55000</v>
      </c>
      <c r="F14" s="101">
        <f t="shared" si="3"/>
        <v>336600</v>
      </c>
      <c r="G14" s="83">
        <f t="shared" si="1"/>
        <v>100000</v>
      </c>
      <c r="H14" s="77">
        <f>SUM($G$5:$G14)</f>
        <v>221200</v>
      </c>
      <c r="I14" s="77">
        <f t="array" ref="I14">MIN(IF(树木!$S$5:$S$85&gt;=$H14,树木!$P$5:$P$85))</f>
        <v>3.63</v>
      </c>
      <c r="J14" s="77">
        <f t="array" ref="J14">MIN(IF(树木!$S$5:$S$85&gt;=$H14,树木!$O$5:$O$85))</f>
        <v>35</v>
      </c>
      <c r="K14" s="77">
        <f t="array" ref="K14">MIN(IF(树木!$X$5:$X$85&gt;=$H14,树木!$U$5:$U$85))</f>
        <v>2.44</v>
      </c>
      <c r="L14" s="77">
        <f t="array" ref="L14">MIN(IF(树木!$X$5:$X$85&gt;=$H14,树木!$O$5:$O$85))</f>
        <v>40</v>
      </c>
      <c r="M14" s="80">
        <f t="shared" si="2"/>
        <v>190</v>
      </c>
      <c r="O14" s="70">
        <f>SUM(G14:G23)</f>
        <v>8980000</v>
      </c>
      <c r="P14" s="70">
        <f>O14/100000</f>
        <v>89.8</v>
      </c>
      <c r="Q14" s="77">
        <v>29</v>
      </c>
      <c r="R14" s="77">
        <f>INDEX(等级时间!$U$3:$AU$203,MATCH($Q14,等级时间!$U$3:$U$203,0),MATCH(R$4,等级时间!$U$3:$AU$3,0))</f>
        <v>1.7</v>
      </c>
      <c r="S14" s="77">
        <f t="shared" si="5"/>
        <v>0.26</v>
      </c>
      <c r="T14" s="77">
        <f t="array" ref="T14">INDEX($F$4:$F$104,MATCH(MAX(IF($J$5:$J$104&lt;=$Q14,$J$5:$J$104)),$J$4:$J$104,0),0)*S14*IF($Q14&gt;=$O$7,3,IF($Q14&gt;=$O$6,2,1))</f>
        <v>63429.600000000013</v>
      </c>
      <c r="U14" s="77">
        <f>SUM($T$5:$T14)</f>
        <v>411084.00000000006</v>
      </c>
      <c r="W14" s="77">
        <f>INDEX(等级时间!$U$3:$AU$203,MATCH($Q14,等级时间!$U$3:$U$203,0),MATCH(W$4,等级时间!$U$3:$AU$3,0))</f>
        <v>0.71</v>
      </c>
      <c r="X14" s="77">
        <f t="shared" si="6"/>
        <v>0.10999999999999999</v>
      </c>
      <c r="Y14" s="77">
        <f t="array" ref="Y14">INDEX($F$4:$F$104,MATCH(MAX(IF($J$5:$J$104&lt;=$Q14,$J$5:$J$104)),$J$4:$J$104,0),0)*X14*IF($Q14&gt;=$O$7,3,IF($Q14&gt;=$O$6,2,1))</f>
        <v>26835.599999999999</v>
      </c>
      <c r="Z14" s="77">
        <f>SUM($Y$5:$Y14)</f>
        <v>171661.2</v>
      </c>
      <c r="AB14" s="83">
        <v>110</v>
      </c>
      <c r="AC14" s="83">
        <f t="shared" si="7"/>
        <v>5500</v>
      </c>
      <c r="AD14" s="83">
        <f t="shared" si="4"/>
        <v>1.8181818181818181E-4</v>
      </c>
    </row>
    <row r="15" spans="2:30" x14ac:dyDescent="0.15">
      <c r="B15" s="77">
        <v>11</v>
      </c>
      <c r="C15" s="77">
        <f t="array" ref="C15">MIN(IF(体力抽奖!$C$48:$C$60&gt;=$J15,体力抽奖!$J$48:$J$60))</f>
        <v>10</v>
      </c>
      <c r="D15" s="77">
        <f>VLOOKUP($C15,猫咪!$B:$E,4,0)</f>
        <v>5.12</v>
      </c>
      <c r="E15" s="110">
        <f t="shared" si="0"/>
        <v>55500</v>
      </c>
      <c r="F15" s="101">
        <f t="shared" si="3"/>
        <v>339660</v>
      </c>
      <c r="G15" s="83">
        <f t="shared" si="1"/>
        <v>160000</v>
      </c>
      <c r="H15" s="77">
        <f>SUM($G$5:$G15)</f>
        <v>381200</v>
      </c>
      <c r="I15" s="77">
        <f t="array" ref="I15">MIN(IF(树木!$S$5:$S$85&gt;=$H15,树木!$P$5:$P$85))</f>
        <v>5.32</v>
      </c>
      <c r="J15" s="77">
        <f t="array" ref="J15">MIN(IF(树木!$S$5:$S$85&gt;=$H15,树木!$O$5:$O$85))</f>
        <v>39</v>
      </c>
      <c r="K15" s="77">
        <f t="array" ref="K15">MIN(IF(树木!$X$5:$X$85&gt;=$H15,树木!$U$5:$U$85))</f>
        <v>2.65</v>
      </c>
      <c r="L15" s="77">
        <f t="array" ref="L15">MIN(IF(树木!$X$5:$X$85&gt;=$H15,树木!$O$5:$O$85))</f>
        <v>41</v>
      </c>
      <c r="M15" s="80">
        <f t="shared" si="2"/>
        <v>192</v>
      </c>
      <c r="Q15" s="77">
        <v>30</v>
      </c>
      <c r="R15" s="77">
        <f>INDEX(等级时间!$U$3:$AU$203,MATCH($Q15,等级时间!$U$3:$U$203,0),MATCH(R$4,等级时间!$U$3:$AU$3,0))</f>
        <v>1.98</v>
      </c>
      <c r="S15" s="77">
        <f t="shared" si="5"/>
        <v>0.28000000000000003</v>
      </c>
      <c r="T15" s="77">
        <f t="array" ref="T15">INDEX($F$4:$F$104,MATCH(MAX(IF($J$5:$J$104&lt;=$Q15,$J$5:$J$104)),$J$4:$J$104,0),0)*S15*IF($Q15&gt;=$O$7,3,IF($Q15&gt;=$O$6,2,1))</f>
        <v>185068.80000000002</v>
      </c>
      <c r="U15" s="77">
        <f>SUM($T$5:$T15)</f>
        <v>596152.80000000005</v>
      </c>
      <c r="W15" s="77">
        <f>INDEX(等级时间!$U$3:$AU$203,MATCH($Q15,等级时间!$U$3:$U$203,0),MATCH(W$4,等级时间!$U$3:$AU$3,0))</f>
        <v>0.83</v>
      </c>
      <c r="X15" s="77">
        <f t="shared" si="6"/>
        <v>0.12</v>
      </c>
      <c r="Y15" s="77">
        <f t="array" ref="Y15">INDEX($F$4:$F$104,MATCH(MAX(IF($J$5:$J$104&lt;=$Q15,$J$5:$J$104)),$J$4:$J$104,0),0)*X15*IF($Q15&gt;=$O$7,3,IF($Q15&gt;=$O$6,2,1))</f>
        <v>79315.199999999997</v>
      </c>
      <c r="Z15" s="77">
        <f>SUM($Y$5:$Y15)</f>
        <v>250976.40000000002</v>
      </c>
      <c r="AB15" s="83">
        <v>120</v>
      </c>
      <c r="AC15" s="83">
        <f t="shared" si="7"/>
        <v>6000</v>
      </c>
      <c r="AD15" s="83">
        <f t="shared" si="4"/>
        <v>1.6666666666666666E-4</v>
      </c>
    </row>
    <row r="16" spans="2:30" x14ac:dyDescent="0.15">
      <c r="B16" s="77">
        <v>12</v>
      </c>
      <c r="C16" s="77">
        <f t="array" ref="C16">MIN(IF(体力抽奖!$C$48:$C$60&gt;=$J16,体力抽奖!$J$48:$J$60))</f>
        <v>12</v>
      </c>
      <c r="D16" s="77">
        <f>VLOOKUP($C16,猫咪!$B:$E,4,0)</f>
        <v>20.48</v>
      </c>
      <c r="E16" s="110">
        <f t="shared" si="0"/>
        <v>56000</v>
      </c>
      <c r="F16" s="101">
        <f t="shared" si="3"/>
        <v>1202880</v>
      </c>
      <c r="G16" s="83">
        <f t="shared" si="1"/>
        <v>250000</v>
      </c>
      <c r="H16" s="77">
        <f>SUM($G$5:$G16)</f>
        <v>631200</v>
      </c>
      <c r="I16" s="77">
        <f t="array" ref="I16">MIN(IF(树木!$S$5:$S$85&gt;=$H16,树木!$P$5:$P$85))</f>
        <v>5.8</v>
      </c>
      <c r="J16" s="77">
        <f t="array" ref="J16">MIN(IF(树木!$S$5:$S$85&gt;=$H16,树木!$O$5:$O$85))</f>
        <v>40</v>
      </c>
      <c r="K16" s="77">
        <f t="array" ref="K16">MIN(IF(树木!$X$5:$X$85&gt;=$H16,树木!$U$5:$U$85))</f>
        <v>2.88</v>
      </c>
      <c r="L16" s="77">
        <f t="array" ref="L16">MIN(IF(树木!$X$5:$X$85&gt;=$H16,树木!$O$5:$O$85))</f>
        <v>42</v>
      </c>
      <c r="M16" s="80">
        <f t="shared" si="2"/>
        <v>194</v>
      </c>
      <c r="Q16" s="77">
        <v>31</v>
      </c>
      <c r="R16" s="77">
        <f>INDEX(等级时间!$U$3:$AU$203,MATCH($Q16,等级时间!$U$3:$U$203,0),MATCH(R$4,等级时间!$U$3:$AU$3,0))</f>
        <v>2.2799999999999998</v>
      </c>
      <c r="S16" s="77">
        <f t="shared" si="5"/>
        <v>0.29999999999999982</v>
      </c>
      <c r="T16" s="77">
        <f t="array" ref="T16">INDEX($F$4:$F$104,MATCH(MAX(IF($J$5:$J$104&lt;=$Q16,$J$5:$J$104)),$J$4:$J$104,0),0)*S16*IF($Q16&gt;=$O$7,3,IF($Q16&gt;=$O$6,2,1))</f>
        <v>198287.99999999988</v>
      </c>
      <c r="U16" s="77">
        <f>SUM($T$5:$T16)</f>
        <v>794440.79999999993</v>
      </c>
      <c r="W16" s="77">
        <f>INDEX(等级时间!$U$3:$AU$203,MATCH($Q16,等级时间!$U$3:$U$203,0),MATCH(W$4,等级时间!$U$3:$AU$3,0))</f>
        <v>0.96</v>
      </c>
      <c r="X16" s="77">
        <f t="shared" si="6"/>
        <v>0.13</v>
      </c>
      <c r="Y16" s="77">
        <f t="array" ref="Y16">INDEX($F$4:$F$104,MATCH(MAX(IF($J$5:$J$104&lt;=$Q16,$J$5:$J$104)),$J$4:$J$104,0),0)*X16*IF($Q16&gt;=$O$7,3,IF($Q16&gt;=$O$6,2,1))</f>
        <v>85924.800000000003</v>
      </c>
      <c r="Z16" s="77">
        <f>SUM($Y$5:$Y16)</f>
        <v>336901.2</v>
      </c>
      <c r="AB16" s="83">
        <v>130</v>
      </c>
      <c r="AC16" s="83">
        <f t="shared" si="7"/>
        <v>6500</v>
      </c>
      <c r="AD16" s="83">
        <f t="shared" si="4"/>
        <v>1.5384615384615385E-4</v>
      </c>
    </row>
    <row r="17" spans="2:30" x14ac:dyDescent="0.15">
      <c r="B17" s="77">
        <v>13</v>
      </c>
      <c r="C17" s="77">
        <f t="array" ref="C17">MIN(IF(体力抽奖!$C$48:$C$60&gt;=$J17,体力抽奖!$J$48:$J$60))</f>
        <v>12</v>
      </c>
      <c r="D17" s="77">
        <f>VLOOKUP($C17,猫咪!$B:$E,4,0)</f>
        <v>20.48</v>
      </c>
      <c r="E17" s="110">
        <f t="shared" si="0"/>
        <v>56500</v>
      </c>
      <c r="F17" s="101">
        <f t="shared" si="3"/>
        <v>1213620</v>
      </c>
      <c r="G17" s="83">
        <f t="shared" si="1"/>
        <v>370000</v>
      </c>
      <c r="H17" s="77">
        <f>SUM($G$5:$G17)</f>
        <v>1001200</v>
      </c>
      <c r="I17" s="77">
        <f t="array" ref="I17">MIN(IF(树木!$S$5:$S$85&gt;=$H17,树木!$P$5:$P$85))</f>
        <v>6.32</v>
      </c>
      <c r="J17" s="77">
        <f t="array" ref="J17">MIN(IF(树木!$S$5:$S$85&gt;=$H17,树木!$O$5:$O$85))</f>
        <v>41</v>
      </c>
      <c r="K17" s="77">
        <f t="array" ref="K17">MIN(IF(树木!$X$5:$X$85&gt;=$H17,树木!$U$5:$U$85))</f>
        <v>3.38</v>
      </c>
      <c r="L17" s="77">
        <f t="array" ref="L17">MIN(IF(树木!$X$5:$X$85&gt;=$H17,树木!$O$5:$O$85))</f>
        <v>44</v>
      </c>
      <c r="M17" s="80">
        <f t="shared" si="2"/>
        <v>196</v>
      </c>
      <c r="Q17" s="77">
        <v>32</v>
      </c>
      <c r="R17" s="77">
        <f>INDEX(等级时间!$U$3:$AU$203,MATCH($Q17,等级时间!$U$3:$U$203,0),MATCH(R$4,等级时间!$U$3:$AU$3,0))</f>
        <v>2.59</v>
      </c>
      <c r="S17" s="77">
        <f t="shared" si="5"/>
        <v>0.31000000000000005</v>
      </c>
      <c r="T17" s="77">
        <f t="array" ref="T17">INDEX($F$4:$F$104,MATCH(MAX(IF($J$5:$J$104&lt;=$Q17,$J$5:$J$104)),$J$4:$J$104,0),0)*S17*IF($Q17&gt;=$O$7,3,IF($Q17&gt;=$O$6,2,1))</f>
        <v>206794.80000000005</v>
      </c>
      <c r="U17" s="77">
        <f>SUM($T$5:$T17)</f>
        <v>1001235.6</v>
      </c>
      <c r="W17" s="77">
        <f>INDEX(等级时间!$U$3:$AU$203,MATCH($Q17,等级时间!$U$3:$U$203,0),MATCH(W$4,等级时间!$U$3:$AU$3,0))</f>
        <v>1.0900000000000001</v>
      </c>
      <c r="X17" s="77">
        <f t="shared" si="6"/>
        <v>0.13000000000000012</v>
      </c>
      <c r="Y17" s="77">
        <f t="array" ref="Y17">INDEX($F$4:$F$104,MATCH(MAX(IF($J$5:$J$104&lt;=$Q17,$J$5:$J$104)),$J$4:$J$104,0),0)*X17*IF($Q17&gt;=$O$7,3,IF($Q17&gt;=$O$6,2,1))</f>
        <v>86720.400000000081</v>
      </c>
      <c r="Z17" s="77">
        <f>SUM($Y$5:$Y17)</f>
        <v>423621.60000000009</v>
      </c>
      <c r="AB17" s="83">
        <v>140</v>
      </c>
      <c r="AC17" s="83">
        <f t="shared" si="7"/>
        <v>7000</v>
      </c>
      <c r="AD17" s="83">
        <f t="shared" si="4"/>
        <v>1.4285714285714287E-4</v>
      </c>
    </row>
    <row r="18" spans="2:30" x14ac:dyDescent="0.15">
      <c r="B18" s="77">
        <v>14</v>
      </c>
      <c r="C18" s="77">
        <f t="array" ref="C18">MIN(IF(体力抽奖!$C$48:$C$60&gt;=$J18,体力抽奖!$J$48:$J$60))</f>
        <v>12</v>
      </c>
      <c r="D18" s="77">
        <f>VLOOKUP($C18,猫咪!$B:$E,4,0)</f>
        <v>20.48</v>
      </c>
      <c r="E18" s="110">
        <f t="shared" si="0"/>
        <v>57000</v>
      </c>
      <c r="F18" s="101">
        <f t="shared" si="3"/>
        <v>1224360</v>
      </c>
      <c r="G18" s="83">
        <f t="shared" si="1"/>
        <v>540000</v>
      </c>
      <c r="H18" s="77">
        <f>SUM($G$5:$G18)</f>
        <v>1541200</v>
      </c>
      <c r="I18" s="77">
        <f t="array" ref="I18">MIN(IF(树木!$S$5:$S$85&gt;=$H18,树木!$P$5:$P$85))</f>
        <v>6.86</v>
      </c>
      <c r="J18" s="77">
        <f t="array" ref="J18">MIN(IF(树木!$S$5:$S$85&gt;=$H18,树木!$O$5:$O$85))</f>
        <v>42</v>
      </c>
      <c r="K18" s="77">
        <f t="array" ref="K18">MIN(IF(树木!$X$5:$X$85&gt;=$H18,树木!$U$5:$U$85))</f>
        <v>3.94</v>
      </c>
      <c r="L18" s="77">
        <f t="array" ref="L18">MIN(IF(树木!$X$5:$X$85&gt;=$H18,树木!$O$5:$O$85))</f>
        <v>46</v>
      </c>
      <c r="M18" s="80">
        <f t="shared" si="2"/>
        <v>197</v>
      </c>
      <c r="Q18" s="77">
        <v>33</v>
      </c>
      <c r="R18" s="77">
        <f>INDEX(等级时间!$U$3:$AU$203,MATCH($Q18,等级时间!$U$3:$U$203,0),MATCH(R$4,等级时间!$U$3:$AU$3,0))</f>
        <v>2.92</v>
      </c>
      <c r="S18" s="77">
        <f t="shared" si="5"/>
        <v>0.33000000000000007</v>
      </c>
      <c r="T18" s="77">
        <f t="array" ref="T18">INDEX($F$4:$F$104,MATCH(MAX(IF($J$5:$J$104&lt;=$Q18,$J$5:$J$104)),$J$4:$J$104,0),0)*S18*IF($Q18&gt;=$O$7,3,IF($Q18&gt;=$O$6,2,1))</f>
        <v>220136.40000000005</v>
      </c>
      <c r="U18" s="77">
        <f>SUM($T$5:$T18)</f>
        <v>1221372</v>
      </c>
      <c r="W18" s="77">
        <f>INDEX(等级时间!$U$3:$AU$203,MATCH($Q18,等级时间!$U$3:$U$203,0),MATCH(W$4,等级时间!$U$3:$AU$3,0))</f>
        <v>1.23</v>
      </c>
      <c r="X18" s="77">
        <f t="shared" si="6"/>
        <v>0.1399999999999999</v>
      </c>
      <c r="Y18" s="77">
        <f t="array" ref="Y18">INDEX($F$4:$F$104,MATCH(MAX(IF($J$5:$J$104&lt;=$Q18,$J$5:$J$104)),$J$4:$J$104,0),0)*X18*IF($Q18&gt;=$O$7,3,IF($Q18&gt;=$O$6,2,1))</f>
        <v>93391.199999999939</v>
      </c>
      <c r="Z18" s="77">
        <f>SUM($Y$5:$Y18)</f>
        <v>517012.80000000005</v>
      </c>
      <c r="AB18" s="83">
        <v>150</v>
      </c>
      <c r="AC18" s="83">
        <f t="shared" si="7"/>
        <v>7500</v>
      </c>
      <c r="AD18" s="83">
        <f t="shared" si="4"/>
        <v>1.3333333333333334E-4</v>
      </c>
    </row>
    <row r="19" spans="2:30" x14ac:dyDescent="0.15">
      <c r="B19" s="77">
        <v>15</v>
      </c>
      <c r="C19" s="77">
        <f t="array" ref="C19">MIN(IF(体力抽奖!$C$48:$C$60&gt;=$J19,体力抽奖!$J$48:$J$60))</f>
        <v>12</v>
      </c>
      <c r="D19" s="77">
        <f>VLOOKUP($C19,猫咪!$B:$E,4,0)</f>
        <v>20.48</v>
      </c>
      <c r="E19" s="110">
        <f t="shared" si="0"/>
        <v>57500</v>
      </c>
      <c r="F19" s="101">
        <f t="shared" si="3"/>
        <v>1235100</v>
      </c>
      <c r="G19" s="83">
        <f t="shared" si="1"/>
        <v>760000</v>
      </c>
      <c r="H19" s="77">
        <f>SUM($G$5:$G19)</f>
        <v>2301200</v>
      </c>
      <c r="I19" s="77">
        <f t="array" ref="I19">MIN(IF(树木!$S$5:$S$85&gt;=$H19,树木!$P$5:$P$85))</f>
        <v>8.0399999999999991</v>
      </c>
      <c r="J19" s="77">
        <f t="array" ref="J19">MIN(IF(树木!$S$5:$S$85&gt;=$H19,树木!$O$5:$O$85))</f>
        <v>44</v>
      </c>
      <c r="K19" s="77">
        <f t="array" ref="K19">MIN(IF(树木!$X$5:$X$85&gt;=$H19,树木!$U$5:$U$85))</f>
        <v>4.91</v>
      </c>
      <c r="L19" s="77">
        <f t="array" ref="L19">MIN(IF(树木!$X$5:$X$85&gt;=$H19,树木!$O$5:$O$85))</f>
        <v>49</v>
      </c>
      <c r="M19" s="80">
        <f t="shared" si="2"/>
        <v>199</v>
      </c>
      <c r="Q19" s="77">
        <v>34</v>
      </c>
      <c r="R19" s="77">
        <f>INDEX(等级时间!$U$3:$AU$203,MATCH($Q19,等级时间!$U$3:$U$203,0),MATCH(R$4,等级时间!$U$3:$AU$3,0))</f>
        <v>3.27</v>
      </c>
      <c r="S19" s="77">
        <f t="shared" si="5"/>
        <v>0.35000000000000009</v>
      </c>
      <c r="T19" s="77">
        <f t="array" ref="T19">INDEX($F$4:$F$104,MATCH(MAX(IF($J$5:$J$104&lt;=$Q19,$J$5:$J$104)),$J$4:$J$104,0),0)*S19*IF($Q19&gt;=$O$7,3,IF($Q19&gt;=$O$6,2,1))</f>
        <v>233478.00000000006</v>
      </c>
      <c r="U19" s="77">
        <f>SUM($T$5:$T19)</f>
        <v>1454850</v>
      </c>
      <c r="W19" s="77">
        <f>INDEX(等级时间!$U$3:$AU$203,MATCH($Q19,等级时间!$U$3:$U$203,0),MATCH(W$4,等级时间!$U$3:$AU$3,0))</f>
        <v>1.37</v>
      </c>
      <c r="X19" s="77">
        <f t="shared" si="6"/>
        <v>0.14000000000000012</v>
      </c>
      <c r="Y19" s="77">
        <f t="array" ref="Y19">INDEX($F$4:$F$104,MATCH(MAX(IF($J$5:$J$104&lt;=$Q19,$J$5:$J$104)),$J$4:$J$104,0),0)*X19*IF($Q19&gt;=$O$7,3,IF($Q19&gt;=$O$6,2,1))</f>
        <v>93391.200000000084</v>
      </c>
      <c r="Z19" s="77">
        <f>SUM($Y$5:$Y19)</f>
        <v>610404.00000000012</v>
      </c>
    </row>
    <row r="20" spans="2:30" x14ac:dyDescent="0.15">
      <c r="B20" s="77">
        <v>16</v>
      </c>
      <c r="C20" s="77">
        <f t="array" ref="C20">MIN(IF(体力抽奖!$C$48:$C$60&gt;=$J20,体力抽奖!$J$48:$J$60))</f>
        <v>12</v>
      </c>
      <c r="D20" s="77">
        <f>VLOOKUP($C20,猫咪!$B:$E,4,0)</f>
        <v>20.48</v>
      </c>
      <c r="E20" s="110">
        <f t="shared" si="0"/>
        <v>58000</v>
      </c>
      <c r="F20" s="101">
        <f t="shared" si="3"/>
        <v>1245840</v>
      </c>
      <c r="G20" s="83">
        <f t="shared" si="1"/>
        <v>1000000</v>
      </c>
      <c r="H20" s="77">
        <f>SUM($G$5:$G20)</f>
        <v>3301200</v>
      </c>
      <c r="I20" s="77">
        <f t="array" ref="I20">MIN(IF(树木!$S$5:$S$85&gt;=$H20,树木!$P$5:$P$85))</f>
        <v>9.3800000000000008</v>
      </c>
      <c r="J20" s="77">
        <f t="array" ref="J20">MIN(IF(树木!$S$5:$S$85&gt;=$H20,树木!$O$5:$O$85))</f>
        <v>46</v>
      </c>
      <c r="K20" s="77">
        <f t="array" ref="K20">MIN(IF(树木!$X$5:$X$85&gt;=$H20,树木!$U$5:$U$85))</f>
        <v>5.65</v>
      </c>
      <c r="L20" s="77">
        <f t="array" ref="L20">MIN(IF(树木!$X$5:$X$85&gt;=$H20,树木!$O$5:$O$85))</f>
        <v>51</v>
      </c>
      <c r="M20" s="80">
        <f t="shared" si="2"/>
        <v>201</v>
      </c>
      <c r="Q20" s="77">
        <v>35</v>
      </c>
      <c r="R20" s="77">
        <f>INDEX(等级时间!$U$3:$AU$203,MATCH($Q20,等级时间!$U$3:$U$203,0),MATCH(R$4,等级时间!$U$3:$AU$3,0))</f>
        <v>3.63</v>
      </c>
      <c r="S20" s="77">
        <f t="shared" si="5"/>
        <v>0.35999999999999988</v>
      </c>
      <c r="T20" s="77">
        <f t="array" ref="T20">INDEX($F$4:$F$104,MATCH(MAX(IF($J$5:$J$104&lt;=$Q20,$J$5:$J$104)),$J$4:$J$104,0),0)*S20*IF($Q20&gt;=$O$7,3,IF($Q20&gt;=$O$6,2,1))</f>
        <v>242351.99999999991</v>
      </c>
      <c r="U20" s="77">
        <f>SUM($T$5:$T20)</f>
        <v>1697202</v>
      </c>
      <c r="W20" s="77">
        <f>INDEX(等级时间!$U$3:$AU$203,MATCH($Q20,等级时间!$U$3:$U$203,0),MATCH(W$4,等级时间!$U$3:$AU$3,0))</f>
        <v>1.53</v>
      </c>
      <c r="X20" s="77">
        <f t="shared" si="6"/>
        <v>0.15999999999999992</v>
      </c>
      <c r="Y20" s="77">
        <f t="array" ref="Y20">INDEX($F$4:$F$104,MATCH(MAX(IF($J$5:$J$104&lt;=$Q20,$J$5:$J$104)),$J$4:$J$104,0),0)*X20*IF($Q20&gt;=$O$7,3,IF($Q20&gt;=$O$6,2,1))</f>
        <v>107711.99999999994</v>
      </c>
      <c r="Z20" s="77">
        <f>SUM($Y$5:$Y20)</f>
        <v>718116</v>
      </c>
    </row>
    <row r="21" spans="2:30" x14ac:dyDescent="0.15">
      <c r="B21" s="77">
        <v>17</v>
      </c>
      <c r="C21" s="77">
        <f t="array" ref="C21">MIN(IF(体力抽奖!$C$48:$C$60&gt;=$J21,体力抽奖!$J$48:$J$60))</f>
        <v>12</v>
      </c>
      <c r="D21" s="77">
        <f>VLOOKUP($C21,猫咪!$B:$E,4,0)</f>
        <v>20.48</v>
      </c>
      <c r="E21" s="110">
        <f t="shared" si="0"/>
        <v>58500</v>
      </c>
      <c r="F21" s="101">
        <f t="shared" si="3"/>
        <v>1256580</v>
      </c>
      <c r="G21" s="83">
        <f t="shared" si="1"/>
        <v>1400000</v>
      </c>
      <c r="H21" s="77">
        <f>SUM($G$5:$G21)</f>
        <v>4701200</v>
      </c>
      <c r="I21" s="77">
        <f t="array" ref="I21">MIN(IF(树木!$S$5:$S$85&gt;=$H21,树木!$P$5:$P$85))</f>
        <v>10.86</v>
      </c>
      <c r="J21" s="77">
        <f t="array" ref="J21">MIN(IF(树木!$S$5:$S$85&gt;=$H21,树木!$O$5:$O$85))</f>
        <v>48</v>
      </c>
      <c r="K21" s="77">
        <f t="array" ref="K21">MIN(IF(树木!$X$5:$X$85&gt;=$H21,树木!$U$5:$U$85))</f>
        <v>6.48</v>
      </c>
      <c r="L21" s="77">
        <f t="array" ref="L21">MIN(IF(树木!$X$5:$X$85&gt;=$H21,树木!$O$5:$O$85))</f>
        <v>53</v>
      </c>
      <c r="M21" s="80">
        <f t="shared" si="2"/>
        <v>203</v>
      </c>
      <c r="Q21" s="77">
        <v>36</v>
      </c>
      <c r="R21" s="77">
        <f>INDEX(等级时间!$U$3:$AU$203,MATCH($Q21,等级时间!$U$3:$U$203,0),MATCH(R$4,等级时间!$U$3:$AU$3,0))</f>
        <v>4.0199999999999996</v>
      </c>
      <c r="S21" s="77">
        <f t="shared" si="5"/>
        <v>0.38999999999999968</v>
      </c>
      <c r="T21" s="77">
        <f t="array" ref="T21">INDEX($F$4:$F$104,MATCH(MAX(IF($J$5:$J$104&lt;=$Q21,$J$5:$J$104)),$J$4:$J$104,0),0)*S21*IF($Q21&gt;=$O$7,3,IF($Q21&gt;=$O$6,2,1))</f>
        <v>262547.99999999977</v>
      </c>
      <c r="U21" s="77">
        <f>SUM($T$5:$T21)</f>
        <v>1959749.9999999998</v>
      </c>
      <c r="W21" s="77">
        <f>INDEX(等级时间!$U$3:$AU$203,MATCH($Q21,等级时间!$U$3:$U$203,0),MATCH(W$4,等级时间!$U$3:$AU$3,0))</f>
        <v>1.69</v>
      </c>
      <c r="X21" s="77">
        <f t="shared" si="6"/>
        <v>0.15999999999999992</v>
      </c>
      <c r="Y21" s="77">
        <f t="array" ref="Y21">INDEX($F$4:$F$104,MATCH(MAX(IF($J$5:$J$104&lt;=$Q21,$J$5:$J$104)),$J$4:$J$104,0),0)*X21*IF($Q21&gt;=$O$7,3,IF($Q21&gt;=$O$6,2,1))</f>
        <v>107711.99999999994</v>
      </c>
      <c r="Z21" s="77">
        <f>SUM($Y$5:$Y21)</f>
        <v>825828</v>
      </c>
    </row>
    <row r="22" spans="2:30" x14ac:dyDescent="0.15">
      <c r="B22" s="77">
        <v>18</v>
      </c>
      <c r="C22" s="77">
        <f t="array" ref="C22">MIN(IF(体力抽奖!$C$48:$C$60&gt;=$J22,体力抽奖!$J$48:$J$60))</f>
        <v>13</v>
      </c>
      <c r="D22" s="77">
        <f>VLOOKUP($C22,猫咪!$B:$E,4,0)</f>
        <v>40.96</v>
      </c>
      <c r="E22" s="110">
        <f t="shared" si="0"/>
        <v>59000</v>
      </c>
      <c r="F22" s="101">
        <f t="shared" si="3"/>
        <v>2475640</v>
      </c>
      <c r="G22" s="83">
        <f t="shared" si="1"/>
        <v>1900000</v>
      </c>
      <c r="H22" s="77">
        <f>SUM($G$5:$G22)</f>
        <v>6601200</v>
      </c>
      <c r="I22" s="77">
        <f t="array" ref="I22">MIN(IF(树木!$S$5:$S$85&gt;=$H22,树木!$P$5:$P$85))</f>
        <v>12.54</v>
      </c>
      <c r="J22" s="77">
        <f t="array" ref="J22">MIN(IF(树木!$S$5:$S$85&gt;=$H22,树木!$O$5:$O$85))</f>
        <v>50</v>
      </c>
      <c r="K22" s="77">
        <f t="array" ref="K22">MIN(IF(树木!$X$5:$X$85&gt;=$H22,树木!$U$5:$U$85))</f>
        <v>7.41</v>
      </c>
      <c r="L22" s="77">
        <f t="array" ref="L22">MIN(IF(树木!$X$5:$X$85&gt;=$H22,树木!$O$5:$O$85))</f>
        <v>55</v>
      </c>
      <c r="M22" s="80">
        <f t="shared" si="2"/>
        <v>204</v>
      </c>
      <c r="Q22" s="77">
        <v>37</v>
      </c>
      <c r="R22" s="77">
        <f>INDEX(等级时间!$U$3:$AU$203,MATCH($Q22,等级时间!$U$3:$U$203,0),MATCH(R$4,等级时间!$U$3:$AU$3,0))</f>
        <v>4.43</v>
      </c>
      <c r="S22" s="77">
        <f t="shared" si="5"/>
        <v>0.41000000000000014</v>
      </c>
      <c r="T22" s="77">
        <f t="array" ref="T22">INDEX($F$4:$F$104,MATCH(MAX(IF($J$5:$J$104&lt;=$Q22,$J$5:$J$104)),$J$4:$J$104,0),0)*S22*IF($Q22&gt;=$O$7,3,IF($Q22&gt;=$O$6,2,1))</f>
        <v>276012.00000000012</v>
      </c>
      <c r="U22" s="77">
        <f>SUM($T$5:$T22)</f>
        <v>2235762</v>
      </c>
      <c r="W22" s="77">
        <f>INDEX(等级时间!$U$3:$AU$203,MATCH($Q22,等级时间!$U$3:$U$203,0),MATCH(W$4,等级时间!$U$3:$AU$3,0))</f>
        <v>1.86</v>
      </c>
      <c r="X22" s="77">
        <f t="shared" si="6"/>
        <v>0.17000000000000015</v>
      </c>
      <c r="Y22" s="77">
        <f t="array" ref="Y22">INDEX($F$4:$F$104,MATCH(MAX(IF($J$5:$J$104&lt;=$Q22,$J$5:$J$104)),$J$4:$J$104,0),0)*X22*IF($Q22&gt;=$O$7,3,IF($Q22&gt;=$O$6,2,1))</f>
        <v>114444.0000000001</v>
      </c>
      <c r="Z22" s="77">
        <f>SUM($Y$5:$Y22)</f>
        <v>940272.00000000012</v>
      </c>
    </row>
    <row r="23" spans="2:30" x14ac:dyDescent="0.15">
      <c r="B23" s="77">
        <v>19</v>
      </c>
      <c r="C23" s="77">
        <f t="array" ref="C23">MIN(IF(体力抽奖!$C$48:$C$60&gt;=$J23,体力抽奖!$J$48:$J$60))</f>
        <v>13</v>
      </c>
      <c r="D23" s="77">
        <f>VLOOKUP($C23,猫咪!$B:$E,4,0)</f>
        <v>40.96</v>
      </c>
      <c r="E23" s="110">
        <f t="shared" si="0"/>
        <v>59500</v>
      </c>
      <c r="F23" s="101">
        <f t="shared" si="3"/>
        <v>2496620</v>
      </c>
      <c r="G23" s="83">
        <f t="shared" si="1"/>
        <v>2500000</v>
      </c>
      <c r="H23" s="77">
        <f>SUM($G$5:$G23)</f>
        <v>9101200</v>
      </c>
      <c r="I23" s="77">
        <f t="array" ref="I23">MIN(IF(树木!$S$5:$S$85&gt;=$H23,树木!$P$5:$P$85))</f>
        <v>13.45</v>
      </c>
      <c r="J23" s="77">
        <f t="array" ref="J23">MIN(IF(树木!$S$5:$S$85&gt;=$H23,树木!$O$5:$O$85))</f>
        <v>51</v>
      </c>
      <c r="K23" s="77">
        <f t="array" ref="K23">MIN(IF(树木!$X$5:$X$85&gt;=$H23,树木!$U$5:$U$85))</f>
        <v>8.44</v>
      </c>
      <c r="L23" s="77">
        <f t="array" ref="L23">MIN(IF(树木!$X$5:$X$85&gt;=$H23,树木!$O$5:$O$85))</f>
        <v>57</v>
      </c>
      <c r="M23" s="80">
        <f t="shared" si="2"/>
        <v>206</v>
      </c>
      <c r="Q23" s="77">
        <v>38</v>
      </c>
      <c r="R23" s="77">
        <f>INDEX(等级时间!$U$3:$AU$203,MATCH($Q23,等级时间!$U$3:$U$203,0),MATCH(R$4,等级时间!$U$3:$AU$3,0))</f>
        <v>4.8600000000000003</v>
      </c>
      <c r="S23" s="77">
        <f t="shared" si="5"/>
        <v>0.4300000000000006</v>
      </c>
      <c r="T23" s="77">
        <f t="array" ref="T23">INDEX($F$4:$F$104,MATCH(MAX(IF($J$5:$J$104&lt;=$Q23,$J$5:$J$104)),$J$4:$J$104,0),0)*S23*IF($Q23&gt;=$O$7,3,IF($Q23&gt;=$O$6,2,1))</f>
        <v>289476.00000000041</v>
      </c>
      <c r="U23" s="77">
        <f>SUM($T$5:$T23)</f>
        <v>2525238.0000000005</v>
      </c>
      <c r="W23" s="77">
        <f>INDEX(等级时间!$U$3:$AU$203,MATCH($Q23,等级时间!$U$3:$U$203,0),MATCH(W$4,等级时间!$U$3:$AU$3,0))</f>
        <v>2.04</v>
      </c>
      <c r="X23" s="77">
        <f t="shared" si="6"/>
        <v>0.17999999999999994</v>
      </c>
      <c r="Y23" s="77">
        <f t="array" ref="Y23">INDEX($F$4:$F$104,MATCH(MAX(IF($J$5:$J$104&lt;=$Q23,$J$5:$J$104)),$J$4:$J$104,0),0)*X23*IF($Q23&gt;=$O$7,3,IF($Q23&gt;=$O$6,2,1))</f>
        <v>121175.99999999996</v>
      </c>
      <c r="Z23" s="77">
        <f>SUM($Y$5:$Y23)</f>
        <v>1061448</v>
      </c>
    </row>
    <row r="24" spans="2:30" x14ac:dyDescent="0.15">
      <c r="B24" s="77">
        <v>20</v>
      </c>
      <c r="C24" s="77">
        <f t="array" ref="C24">MIN(IF(体力抽奖!$C$48:$C$60&gt;=$J24,体力抽奖!$J$48:$J$60))</f>
        <v>13</v>
      </c>
      <c r="D24" s="77">
        <f>VLOOKUP($C24,猫咪!$B:$E,4,0)</f>
        <v>40.96</v>
      </c>
      <c r="E24" s="110">
        <f t="shared" si="0"/>
        <v>60000</v>
      </c>
      <c r="F24" s="101">
        <f t="shared" si="3"/>
        <v>2517600</v>
      </c>
      <c r="G24" s="83">
        <f t="shared" si="1"/>
        <v>3200000</v>
      </c>
      <c r="H24" s="77">
        <f>SUM($G$5:$G24)</f>
        <v>12301200</v>
      </c>
      <c r="I24" s="77">
        <f t="array" ref="I24">MIN(IF(树木!$S$5:$S$85&gt;=$H24,树木!$P$5:$P$85))</f>
        <v>15.42</v>
      </c>
      <c r="J24" s="77">
        <f t="array" ref="J24">MIN(IF(树木!$S$5:$S$85&gt;=$H24,树木!$O$5:$O$85))</f>
        <v>53</v>
      </c>
      <c r="K24" s="77">
        <f t="array" ref="K24">MIN(IF(树木!$X$5:$X$85&gt;=$H24,树木!$U$5:$U$85))</f>
        <v>10.199999999999999</v>
      </c>
      <c r="L24" s="77">
        <f t="array" ref="L24">MIN(IF(树木!$X$5:$X$85&gt;=$H24,树木!$O$5:$O$85))</f>
        <v>60</v>
      </c>
      <c r="M24" s="80">
        <f t="shared" si="2"/>
        <v>208</v>
      </c>
      <c r="O24" s="70">
        <f>SUM(G24:G33)</f>
        <v>100700000</v>
      </c>
      <c r="P24" s="70">
        <f>O24/100000</f>
        <v>1007</v>
      </c>
      <c r="Q24" s="77">
        <v>39</v>
      </c>
      <c r="R24" s="77">
        <f>INDEX(等级时间!$U$3:$AU$203,MATCH($Q24,等级时间!$U$3:$U$203,0),MATCH(R$4,等级时间!$U$3:$AU$3,0))</f>
        <v>5.32</v>
      </c>
      <c r="S24" s="77">
        <f t="shared" si="5"/>
        <v>0.45999999999999996</v>
      </c>
      <c r="T24" s="77">
        <f t="array" ref="T24">INDEX($F$4:$F$104,MATCH(MAX(IF($J$5:$J$104&lt;=$Q24,$J$5:$J$104)),$J$4:$J$104,0),0)*S24*IF($Q24&gt;=$O$7,3,IF($Q24&gt;=$O$6,2,1))</f>
        <v>312487.19999999995</v>
      </c>
      <c r="U24" s="77">
        <f>SUM($T$5:$T24)</f>
        <v>2837725.2</v>
      </c>
      <c r="W24" s="77">
        <f>INDEX(等级时间!$U$3:$AU$203,MATCH($Q24,等级时间!$U$3:$U$203,0),MATCH(W$4,等级时间!$U$3:$AU$3,0))</f>
        <v>2.23</v>
      </c>
      <c r="X24" s="77">
        <f t="shared" si="6"/>
        <v>0.18999999999999995</v>
      </c>
      <c r="Y24" s="77">
        <f t="array" ref="Y24">INDEX($F$4:$F$104,MATCH(MAX(IF($J$5:$J$104&lt;=$Q24,$J$5:$J$104)),$J$4:$J$104,0),0)*X24*IF($Q24&gt;=$O$7,3,IF($Q24&gt;=$O$6,2,1))</f>
        <v>129070.79999999996</v>
      </c>
      <c r="Z24" s="77">
        <f>SUM($Y$5:$Y24)</f>
        <v>1190518.8</v>
      </c>
    </row>
    <row r="25" spans="2:30" x14ac:dyDescent="0.15">
      <c r="B25" s="77">
        <v>21</v>
      </c>
      <c r="C25" s="77">
        <f t="array" ref="C25">MIN(IF(体力抽奖!$C$48:$C$60&gt;=$J25,体力抽奖!$J$48:$J$60))</f>
        <v>13</v>
      </c>
      <c r="D25" s="77">
        <f>VLOOKUP($C25,猫咪!$B:$E,4,0)</f>
        <v>40.96</v>
      </c>
      <c r="E25" s="110">
        <f t="shared" si="0"/>
        <v>60500</v>
      </c>
      <c r="F25" s="101">
        <f t="shared" si="3"/>
        <v>2538580</v>
      </c>
      <c r="G25" s="83">
        <f t="shared" si="1"/>
        <v>4100000</v>
      </c>
      <c r="H25" s="77">
        <f>SUM($G$5:$G25)</f>
        <v>16401200</v>
      </c>
      <c r="I25" s="77">
        <f t="array" ref="I25">MIN(IF(树木!$S$5:$S$85&gt;=$H25,树木!$P$5:$P$85))</f>
        <v>17.63</v>
      </c>
      <c r="J25" s="77">
        <f t="array" ref="J25">MIN(IF(树木!$S$5:$S$85&gt;=$H25,树木!$O$5:$O$85))</f>
        <v>55</v>
      </c>
      <c r="K25" s="77">
        <f t="array" ref="K25">MIN(IF(树木!$X$5:$X$85&gt;=$H25,树木!$U$5:$U$85))</f>
        <v>10.199999999999999</v>
      </c>
      <c r="L25" s="77">
        <f t="array" ref="L25">MIN(IF(树木!$X$5:$X$85&gt;=$H25,树木!$O$5:$O$85))</f>
        <v>60</v>
      </c>
      <c r="M25" s="80">
        <f t="shared" si="2"/>
        <v>210</v>
      </c>
      <c r="Q25" s="77">
        <v>40</v>
      </c>
      <c r="R25" s="77">
        <f>INDEX(等级时间!$U$3:$AU$203,MATCH($Q25,等级时间!$U$3:$U$203,0),MATCH(R$4,等级时间!$U$3:$AU$3,0))</f>
        <v>5.8</v>
      </c>
      <c r="S25" s="77">
        <f t="shared" si="5"/>
        <v>0.47999999999999954</v>
      </c>
      <c r="T25" s="77">
        <f t="array" ref="T25">INDEX($F$4:$F$104,MATCH(MAX(IF($J$5:$J$104&lt;=$Q25,$J$5:$J$104)),$J$4:$J$104,0),0)*S25*IF($Q25&gt;=$O$7,3,IF($Q25&gt;=$O$6,2,1))</f>
        <v>1154764.7999999989</v>
      </c>
      <c r="U25" s="77">
        <f>SUM($T$5:$T25)</f>
        <v>3992489.9999999991</v>
      </c>
      <c r="W25" s="77">
        <f>INDEX(等级时间!$U$3:$AU$203,MATCH($Q25,等级时间!$U$3:$U$203,0),MATCH(W$4,等级时间!$U$3:$AU$3,0))</f>
        <v>2.44</v>
      </c>
      <c r="X25" s="77">
        <f t="shared" si="6"/>
        <v>0.20999999999999996</v>
      </c>
      <c r="Y25" s="77">
        <f t="array" ref="Y25">INDEX($F$4:$F$104,MATCH(MAX(IF($J$5:$J$104&lt;=$Q25,$J$5:$J$104)),$J$4:$J$104,0),0)*X25*IF($Q25&gt;=$O$7,3,IF($Q25&gt;=$O$6,2,1))</f>
        <v>505209.59999999992</v>
      </c>
      <c r="Z25" s="77">
        <f>SUM($Y$5:$Y25)</f>
        <v>1695728.4</v>
      </c>
    </row>
    <row r="26" spans="2:30" x14ac:dyDescent="0.15">
      <c r="B26" s="77">
        <v>22</v>
      </c>
      <c r="C26" s="77">
        <f t="array" ref="C26">MIN(IF(体力抽奖!$C$48:$C$60&gt;=$J26,体力抽奖!$J$48:$J$60))</f>
        <v>13</v>
      </c>
      <c r="D26" s="77">
        <f>VLOOKUP($C26,猫咪!$B:$E,4,0)</f>
        <v>40.96</v>
      </c>
      <c r="E26" s="110">
        <f t="shared" si="0"/>
        <v>61000</v>
      </c>
      <c r="F26" s="101">
        <f t="shared" si="3"/>
        <v>2559560</v>
      </c>
      <c r="G26" s="83">
        <f t="shared" si="1"/>
        <v>5200000</v>
      </c>
      <c r="H26" s="77">
        <f>SUM($G$5:$G26)</f>
        <v>21601200</v>
      </c>
      <c r="I26" s="77">
        <f t="array" ref="I26">MIN(IF(树木!$S$5:$S$85&gt;=$H26,树木!$P$5:$P$85))</f>
        <v>20.079999999999998</v>
      </c>
      <c r="J26" s="77">
        <f t="array" ref="J26">MIN(IF(树木!$S$5:$S$85&gt;=$H26,树木!$O$5:$O$85))</f>
        <v>57</v>
      </c>
      <c r="K26" s="77">
        <f t="array" ref="K26">MIN(IF(树木!$X$5:$X$85&gt;=$H26,树木!$U$5:$U$85))</f>
        <v>10.86</v>
      </c>
      <c r="L26" s="77">
        <f t="array" ref="L26">MIN(IF(树木!$X$5:$X$85&gt;=$H26,树木!$O$5:$O$85))</f>
        <v>61</v>
      </c>
      <c r="M26" s="80">
        <f t="shared" si="2"/>
        <v>211</v>
      </c>
      <c r="Q26" s="77">
        <v>41</v>
      </c>
      <c r="R26" s="77">
        <f>INDEX(等级时间!$U$3:$AU$203,MATCH($Q26,等级时间!$U$3:$U$203,0),MATCH(R$4,等级时间!$U$3:$AU$3,0))</f>
        <v>6.32</v>
      </c>
      <c r="S26" s="77">
        <f t="shared" si="5"/>
        <v>0.52000000000000046</v>
      </c>
      <c r="T26" s="77">
        <f t="array" ref="T26">INDEX($F$4:$F$104,MATCH(MAX(IF($J$5:$J$104&lt;=$Q26,$J$5:$J$104)),$J$4:$J$104,0),0)*S26*IF($Q26&gt;=$O$7,3,IF($Q26&gt;=$O$6,2,1))</f>
        <v>1262164.8000000012</v>
      </c>
      <c r="U26" s="77">
        <f>SUM($T$5:$T26)</f>
        <v>5254654.8000000007</v>
      </c>
      <c r="W26" s="77">
        <f>INDEX(等级时间!$U$3:$AU$203,MATCH($Q26,等级时间!$U$3:$U$203,0),MATCH(W$4,等级时间!$U$3:$AU$3,0))</f>
        <v>2.65</v>
      </c>
      <c r="X26" s="77">
        <f t="shared" si="6"/>
        <v>0.20999999999999996</v>
      </c>
      <c r="Y26" s="77">
        <f t="array" ref="Y26">INDEX($F$4:$F$104,MATCH(MAX(IF($J$5:$J$104&lt;=$Q26,$J$5:$J$104)),$J$4:$J$104,0),0)*X26*IF($Q26&gt;=$O$7,3,IF($Q26&gt;=$O$6,2,1))</f>
        <v>509720.39999999991</v>
      </c>
      <c r="Z26" s="77">
        <f>SUM($Y$5:$Y26)</f>
        <v>2205448.7999999998</v>
      </c>
    </row>
    <row r="27" spans="2:30" x14ac:dyDescent="0.15">
      <c r="B27" s="77">
        <v>23</v>
      </c>
      <c r="C27" s="77">
        <f t="array" ref="C27">MIN(IF(体力抽奖!$C$48:$C$60&gt;=$J27,体力抽奖!$J$48:$J$60))</f>
        <v>13</v>
      </c>
      <c r="D27" s="77">
        <f>VLOOKUP($C27,猫咪!$B:$E,4,0)</f>
        <v>40.96</v>
      </c>
      <c r="E27" s="110">
        <f t="shared" si="0"/>
        <v>61500</v>
      </c>
      <c r="F27" s="101">
        <f t="shared" si="3"/>
        <v>2580540</v>
      </c>
      <c r="G27" s="83">
        <f t="shared" si="1"/>
        <v>6400000</v>
      </c>
      <c r="H27" s="77">
        <f>SUM($G$5:$G27)</f>
        <v>28001200</v>
      </c>
      <c r="I27" s="77">
        <f t="array" ref="I27">MIN(IF(树木!$S$5:$S$85&gt;=$H27,树木!$P$5:$P$85))</f>
        <v>22.81</v>
      </c>
      <c r="J27" s="77">
        <f t="array" ref="J27">MIN(IF(树木!$S$5:$S$85&gt;=$H27,树木!$O$5:$O$85))</f>
        <v>59</v>
      </c>
      <c r="K27" s="77">
        <f t="array" ref="K27">MIN(IF(树木!$X$5:$X$85&gt;=$H27,树木!$U$5:$U$85))</f>
        <v>11.54</v>
      </c>
      <c r="L27" s="77">
        <f t="array" ref="L27">MIN(IF(树木!$X$5:$X$85&gt;=$H27,树木!$O$5:$O$85))</f>
        <v>62</v>
      </c>
      <c r="M27" s="80">
        <f t="shared" si="2"/>
        <v>213</v>
      </c>
      <c r="Q27" s="77">
        <v>42</v>
      </c>
      <c r="R27" s="77">
        <f>INDEX(等级时间!$U$3:$AU$203,MATCH($Q27,等级时间!$U$3:$U$203,0),MATCH(R$4,等级时间!$U$3:$AU$3,0))</f>
        <v>6.86</v>
      </c>
      <c r="S27" s="77">
        <f t="shared" si="5"/>
        <v>0.54</v>
      </c>
      <c r="T27" s="77">
        <f t="array" ref="T27">INDEX($F$4:$F$104,MATCH(MAX(IF($J$5:$J$104&lt;=$Q27,$J$5:$J$104)),$J$4:$J$104,0),0)*S27*IF($Q27&gt;=$O$7,3,IF($Q27&gt;=$O$6,2,1))</f>
        <v>1322308.8</v>
      </c>
      <c r="U27" s="77">
        <f>SUM($T$5:$T27)</f>
        <v>6576963.6000000006</v>
      </c>
      <c r="W27" s="77">
        <f>INDEX(等级时间!$U$3:$AU$203,MATCH($Q27,等级时间!$U$3:$U$203,0),MATCH(W$4,等级时间!$U$3:$AU$3,0))</f>
        <v>2.88</v>
      </c>
      <c r="X27" s="77">
        <f t="shared" si="6"/>
        <v>0.22999999999999998</v>
      </c>
      <c r="Y27" s="77">
        <f t="array" ref="Y27">INDEX($F$4:$F$104,MATCH(MAX(IF($J$5:$J$104&lt;=$Q27,$J$5:$J$104)),$J$4:$J$104,0),0)*X27*IF($Q27&gt;=$O$7,3,IF($Q27&gt;=$O$6,2,1))</f>
        <v>563205.6</v>
      </c>
      <c r="Z27" s="77">
        <f>SUM($Y$5:$Y27)</f>
        <v>2768654.4</v>
      </c>
    </row>
    <row r="28" spans="2:30" x14ac:dyDescent="0.15">
      <c r="B28" s="77">
        <v>24</v>
      </c>
      <c r="C28" s="77">
        <f t="array" ref="C28">MIN(IF(体力抽奖!$C$48:$C$60&gt;=$J28,体力抽奖!$J$48:$J$60))</f>
        <v>15</v>
      </c>
      <c r="D28" s="77">
        <f>VLOOKUP($C28,猫咪!$B:$E,4,0)</f>
        <v>163.84</v>
      </c>
      <c r="E28" s="110">
        <f t="shared" si="0"/>
        <v>62000</v>
      </c>
      <c r="F28" s="101">
        <f t="shared" si="3"/>
        <v>10220080</v>
      </c>
      <c r="G28" s="83">
        <f t="shared" si="1"/>
        <v>8000000</v>
      </c>
      <c r="H28" s="77">
        <f>SUM($G$5:$G28)</f>
        <v>36001200</v>
      </c>
      <c r="I28" s="77">
        <f t="array" ref="I28">MIN(IF(树木!$S$5:$S$85&gt;=$H28,树木!$P$5:$P$85))</f>
        <v>24.29</v>
      </c>
      <c r="J28" s="77">
        <f t="array" ref="J28">MIN(IF(树木!$S$5:$S$85&gt;=$H28,树木!$O$5:$O$85))</f>
        <v>60</v>
      </c>
      <c r="K28" s="77">
        <f t="array" ref="K28">MIN(IF(树木!$X$5:$X$85&gt;=$H28,树木!$U$5:$U$85))</f>
        <v>13.02</v>
      </c>
      <c r="L28" s="77">
        <f t="array" ref="L28">MIN(IF(树木!$X$5:$X$85&gt;=$H28,树木!$O$5:$O$85))</f>
        <v>64</v>
      </c>
      <c r="M28" s="80">
        <f t="shared" si="2"/>
        <v>215</v>
      </c>
      <c r="Q28" s="77">
        <v>43</v>
      </c>
      <c r="R28" s="77">
        <f>INDEX(等级时间!$U$3:$AU$203,MATCH($Q28,等级时间!$U$3:$U$203,0),MATCH(R$4,等级时间!$U$3:$AU$3,0))</f>
        <v>7.43</v>
      </c>
      <c r="S28" s="77">
        <f t="shared" si="5"/>
        <v>0.5699999999999994</v>
      </c>
      <c r="T28" s="77">
        <f t="array" ref="T28">INDEX($F$4:$F$104,MATCH(MAX(IF($J$5:$J$104&lt;=$Q28,$J$5:$J$104)),$J$4:$J$104,0),0)*S28*IF($Q28&gt;=$O$7,3,IF($Q28&gt;=$O$6,2,1))</f>
        <v>1395770.3999999985</v>
      </c>
      <c r="U28" s="77">
        <f>SUM($T$5:$T28)</f>
        <v>7972733.9999999991</v>
      </c>
      <c r="W28" s="77">
        <f>INDEX(等级时间!$U$3:$AU$203,MATCH($Q28,等级时间!$U$3:$U$203,0),MATCH(W$4,等级时间!$U$3:$AU$3,0))</f>
        <v>3.12</v>
      </c>
      <c r="X28" s="77">
        <f t="shared" si="6"/>
        <v>0.24000000000000021</v>
      </c>
      <c r="Y28" s="77">
        <f t="array" ref="Y28">INDEX($F$4:$F$104,MATCH(MAX(IF($J$5:$J$104&lt;=$Q28,$J$5:$J$104)),$J$4:$J$104,0),0)*X28*IF($Q28&gt;=$O$7,3,IF($Q28&gt;=$O$6,2,1))</f>
        <v>587692.80000000051</v>
      </c>
      <c r="Z28" s="77">
        <f>SUM($Y$5:$Y28)</f>
        <v>3356347.2</v>
      </c>
    </row>
    <row r="29" spans="2:30" x14ac:dyDescent="0.15">
      <c r="B29" s="77">
        <v>25</v>
      </c>
      <c r="C29" s="77">
        <f t="array" ref="C29">MIN(IF(体力抽奖!$C$48:$C$60&gt;=$J29,体力抽奖!$J$48:$J$60))</f>
        <v>15</v>
      </c>
      <c r="D29" s="77">
        <f>VLOOKUP($C29,猫咪!$B:$E,4,0)</f>
        <v>163.84</v>
      </c>
      <c r="E29" s="110">
        <f t="shared" si="0"/>
        <v>62500</v>
      </c>
      <c r="F29" s="101">
        <f t="shared" si="3"/>
        <v>10302500</v>
      </c>
      <c r="G29" s="83">
        <f t="shared" si="1"/>
        <v>9800000</v>
      </c>
      <c r="H29" s="77">
        <f>SUM($G$5:$G29)</f>
        <v>45801200</v>
      </c>
      <c r="I29" s="77">
        <f t="array" ref="I29">MIN(IF(树木!$S$5:$S$85&gt;=$H29,树木!$P$5:$P$85))</f>
        <v>25.84</v>
      </c>
      <c r="J29" s="77">
        <f t="array" ref="J29">MIN(IF(树木!$S$5:$S$85&gt;=$H29,树木!$O$5:$O$85))</f>
        <v>61</v>
      </c>
      <c r="K29" s="77">
        <f t="array" ref="K29">MIN(IF(树木!$X$5:$X$85&gt;=$H29,树木!$U$5:$U$85))</f>
        <v>13.82</v>
      </c>
      <c r="L29" s="77">
        <f t="array" ref="L29">MIN(IF(树木!$X$5:$X$85&gt;=$H29,树木!$O$5:$O$85))</f>
        <v>65</v>
      </c>
      <c r="M29" s="80">
        <f t="shared" si="2"/>
        <v>217</v>
      </c>
      <c r="Q29" s="77">
        <v>44</v>
      </c>
      <c r="R29" s="77">
        <f>INDEX(等级时间!$U$3:$AU$203,MATCH($Q29,等级时间!$U$3:$U$203,0),MATCH(R$4,等级时间!$U$3:$AU$3,0))</f>
        <v>8.0399999999999991</v>
      </c>
      <c r="S29" s="77">
        <f t="shared" si="5"/>
        <v>0.60999999999999943</v>
      </c>
      <c r="T29" s="77">
        <f t="array" ref="T29">INDEX($F$4:$F$104,MATCH(MAX(IF($J$5:$J$104&lt;=$Q29,$J$5:$J$104)),$J$4:$J$104,0),0)*S29*IF($Q29&gt;=$O$7,3,IF($Q29&gt;=$O$6,2,1))</f>
        <v>1506821.9999999986</v>
      </c>
      <c r="U29" s="77">
        <f>SUM($T$5:$T29)</f>
        <v>9479555.9999999981</v>
      </c>
      <c r="W29" s="77">
        <f>INDEX(等级时间!$U$3:$AU$203,MATCH($Q29,等级时间!$U$3:$U$203,0),MATCH(W$4,等级时间!$U$3:$AU$3,0))</f>
        <v>3.38</v>
      </c>
      <c r="X29" s="77">
        <f t="shared" si="6"/>
        <v>0.25999999999999979</v>
      </c>
      <c r="Y29" s="77">
        <f t="array" ref="Y29">INDEX($F$4:$F$104,MATCH(MAX(IF($J$5:$J$104&lt;=$Q29,$J$5:$J$104)),$J$4:$J$104,0),0)*X29*IF($Q29&gt;=$O$7,3,IF($Q29&gt;=$O$6,2,1))</f>
        <v>642251.99999999942</v>
      </c>
      <c r="Z29" s="77">
        <f>SUM($Y$5:$Y29)</f>
        <v>3998599.1999999997</v>
      </c>
    </row>
    <row r="30" spans="2:30" x14ac:dyDescent="0.15">
      <c r="B30" s="77">
        <v>26</v>
      </c>
      <c r="C30" s="77">
        <f t="array" ref="C30">MIN(IF(体力抽奖!$C$48:$C$60&gt;=$J30,体力抽奖!$J$48:$J$60))</f>
        <v>15</v>
      </c>
      <c r="D30" s="77">
        <f>VLOOKUP($C30,猫咪!$B:$E,4,0)</f>
        <v>163.84</v>
      </c>
      <c r="E30" s="110">
        <f t="shared" si="0"/>
        <v>63000</v>
      </c>
      <c r="F30" s="101">
        <f t="shared" si="3"/>
        <v>10384920</v>
      </c>
      <c r="G30" s="83">
        <f t="shared" si="1"/>
        <v>12000000</v>
      </c>
      <c r="H30" s="77">
        <f>SUM($G$5:$G30)</f>
        <v>57801200</v>
      </c>
      <c r="I30" s="77">
        <f t="array" ref="I30">MIN(IF(树木!$S$5:$S$85&gt;=$H30,树木!$P$5:$P$85))</f>
        <v>27.47</v>
      </c>
      <c r="J30" s="77">
        <f t="array" ref="J30">MIN(IF(树木!$S$5:$S$85&gt;=$H30,树木!$O$5:$O$85))</f>
        <v>62</v>
      </c>
      <c r="K30" s="77">
        <f t="array" ref="K30">MIN(IF(树木!$X$5:$X$85&gt;=$H30,树木!$U$5:$U$85))</f>
        <v>15.54</v>
      </c>
      <c r="L30" s="77">
        <f t="array" ref="L30">MIN(IF(树木!$X$5:$X$85&gt;=$H30,树木!$O$5:$O$85))</f>
        <v>67</v>
      </c>
      <c r="M30" s="80">
        <f t="shared" si="2"/>
        <v>218</v>
      </c>
      <c r="Q30" s="77">
        <v>45</v>
      </c>
      <c r="R30" s="77">
        <f>INDEX(等级时间!$U$3:$AU$203,MATCH($Q30,等级时间!$U$3:$U$203,0),MATCH(R$4,等级时间!$U$3:$AU$3,0))</f>
        <v>8.69</v>
      </c>
      <c r="S30" s="77">
        <f t="shared" si="5"/>
        <v>0.65000000000000036</v>
      </c>
      <c r="T30" s="77">
        <f t="array" ref="T30">INDEX($F$4:$F$104,MATCH(MAX(IF($J$5:$J$104&lt;=$Q30,$J$5:$J$104)),$J$4:$J$104,0),0)*S30*IF($Q30&gt;=$O$7,3,IF($Q30&gt;=$O$6,2,1))</f>
        <v>1605630.0000000009</v>
      </c>
      <c r="U30" s="77">
        <f>SUM($T$5:$T30)</f>
        <v>11085186</v>
      </c>
      <c r="W30" s="77">
        <f>INDEX(等级时间!$U$3:$AU$203,MATCH($Q30,等级时间!$U$3:$U$203,0),MATCH(W$4,等级时间!$U$3:$AU$3,0))</f>
        <v>3.65</v>
      </c>
      <c r="X30" s="77">
        <f t="shared" si="6"/>
        <v>0.27</v>
      </c>
      <c r="Y30" s="77">
        <f t="array" ref="Y30">INDEX($F$4:$F$104,MATCH(MAX(IF($J$5:$J$104&lt;=$Q30,$J$5:$J$104)),$J$4:$J$104,0),0)*X30*IF($Q30&gt;=$O$7,3,IF($Q30&gt;=$O$6,2,1))</f>
        <v>666954</v>
      </c>
      <c r="Z30" s="77">
        <f>SUM($Y$5:$Y30)</f>
        <v>4665553.1999999993</v>
      </c>
    </row>
    <row r="31" spans="2:30" x14ac:dyDescent="0.15">
      <c r="B31" s="77">
        <v>27</v>
      </c>
      <c r="C31" s="77">
        <f t="array" ref="C31">MIN(IF(体力抽奖!$C$48:$C$60&gt;=$J31,体力抽奖!$J$48:$J$60))</f>
        <v>15</v>
      </c>
      <c r="D31" s="77">
        <f>VLOOKUP($C31,猫咪!$B:$E,4,0)</f>
        <v>163.84</v>
      </c>
      <c r="E31" s="110">
        <f t="shared" si="0"/>
        <v>63500</v>
      </c>
      <c r="F31" s="101">
        <f t="shared" si="3"/>
        <v>10467340</v>
      </c>
      <c r="G31" s="83">
        <f t="shared" si="1"/>
        <v>14000000</v>
      </c>
      <c r="H31" s="77">
        <f>SUM($G$5:$G31)</f>
        <v>71801200</v>
      </c>
      <c r="I31" s="77">
        <f t="array" ref="I31">MIN(IF(树木!$S$5:$S$85&gt;=$H31,树木!$P$5:$P$85))</f>
        <v>29.19</v>
      </c>
      <c r="J31" s="77">
        <f t="array" ref="J31">MIN(IF(树木!$S$5:$S$85&gt;=$H31,树木!$O$5:$O$85))</f>
        <v>63</v>
      </c>
      <c r="K31" s="77">
        <f t="array" ref="K31">MIN(IF(树木!$X$5:$X$85&gt;=$H31,树木!$U$5:$U$85))</f>
        <v>16.46</v>
      </c>
      <c r="L31" s="77">
        <f t="array" ref="L31">MIN(IF(树木!$X$5:$X$85&gt;=$H31,树木!$O$5:$O$85))</f>
        <v>68</v>
      </c>
      <c r="M31" s="80">
        <f t="shared" si="2"/>
        <v>220</v>
      </c>
      <c r="Q31" s="77">
        <v>46</v>
      </c>
      <c r="R31" s="77">
        <f>INDEX(等级时间!$U$3:$AU$203,MATCH($Q31,等级时间!$U$3:$U$203,0),MATCH(R$4,等级时间!$U$3:$AU$3,0))</f>
        <v>9.3800000000000008</v>
      </c>
      <c r="S31" s="77">
        <f t="shared" si="5"/>
        <v>0.69000000000000128</v>
      </c>
      <c r="T31" s="77">
        <f t="array" ref="T31">INDEX($F$4:$F$104,MATCH(MAX(IF($J$5:$J$104&lt;=$Q31,$J$5:$J$104)),$J$4:$J$104,0),0)*S31*IF($Q31&gt;=$O$7,3,IF($Q31&gt;=$O$6,2,1))</f>
        <v>1719259.2000000032</v>
      </c>
      <c r="U31" s="77">
        <f>SUM($T$5:$T31)</f>
        <v>12804445.200000003</v>
      </c>
      <c r="W31" s="77">
        <f>INDEX(等级时间!$U$3:$AU$203,MATCH($Q31,等级时间!$U$3:$U$203,0),MATCH(W$4,等级时间!$U$3:$AU$3,0))</f>
        <v>3.94</v>
      </c>
      <c r="X31" s="77">
        <f t="shared" si="6"/>
        <v>0.29000000000000004</v>
      </c>
      <c r="Y31" s="77">
        <f t="array" ref="Y31">INDEX($F$4:$F$104,MATCH(MAX(IF($J$5:$J$104&lt;=$Q31,$J$5:$J$104)),$J$4:$J$104,0),0)*X31*IF($Q31&gt;=$O$7,3,IF($Q31&gt;=$O$6,2,1))</f>
        <v>722587.20000000007</v>
      </c>
      <c r="Z31" s="77">
        <f>SUM($Y$5:$Y31)</f>
        <v>5388140.3999999994</v>
      </c>
    </row>
    <row r="32" spans="2:30" x14ac:dyDescent="0.15">
      <c r="B32" s="77">
        <v>28</v>
      </c>
      <c r="C32" s="77">
        <f t="array" ref="C32">MIN(IF(体力抽奖!$C$48:$C$60&gt;=$J32,体力抽奖!$J$48:$J$60))</f>
        <v>15</v>
      </c>
      <c r="D32" s="77">
        <f>VLOOKUP($C32,猫咪!$B:$E,4,0)</f>
        <v>163.84</v>
      </c>
      <c r="E32" s="110">
        <f t="shared" si="0"/>
        <v>64000</v>
      </c>
      <c r="F32" s="101">
        <f t="shared" si="3"/>
        <v>10549760</v>
      </c>
      <c r="G32" s="83">
        <f t="shared" si="1"/>
        <v>17000000</v>
      </c>
      <c r="H32" s="77">
        <f>SUM($G$5:$G32)</f>
        <v>88801200</v>
      </c>
      <c r="I32" s="77">
        <f t="array" ref="I32">MIN(IF(树木!$S$5:$S$85&gt;=$H32,树木!$P$5:$P$85))</f>
        <v>31</v>
      </c>
      <c r="J32" s="77">
        <f t="array" ref="J32">MIN(IF(树木!$S$5:$S$85&gt;=$H32,树木!$O$5:$O$85))</f>
        <v>64</v>
      </c>
      <c r="K32" s="77">
        <f t="array" ref="K32">MIN(IF(树木!$X$5:$X$85&gt;=$H32,树木!$U$5:$U$85))</f>
        <v>18.440000000000001</v>
      </c>
      <c r="L32" s="77">
        <f t="array" ref="L32">MIN(IF(树木!$X$5:$X$85&gt;=$H32,树木!$O$5:$O$85))</f>
        <v>70</v>
      </c>
      <c r="M32" s="80">
        <f t="shared" si="2"/>
        <v>222</v>
      </c>
      <c r="Q32" s="77">
        <v>47</v>
      </c>
      <c r="R32" s="77">
        <f>INDEX(等级时间!$U$3:$AU$203,MATCH($Q32,等级时间!$U$3:$U$203,0),MATCH(R$4,等级时间!$U$3:$AU$3,0))</f>
        <v>10.1</v>
      </c>
      <c r="S32" s="77">
        <f t="shared" si="5"/>
        <v>0.71999999999999886</v>
      </c>
      <c r="T32" s="77">
        <f t="array" ref="T32">INDEX($F$4:$F$104,MATCH(MAX(IF($J$5:$J$104&lt;=$Q32,$J$5:$J$104)),$J$4:$J$104,0),0)*S32*IF($Q32&gt;=$O$7,3,IF($Q32&gt;=$O$6,2,1))</f>
        <v>1794009.5999999971</v>
      </c>
      <c r="U32" s="77">
        <f>SUM($T$5:$T32)</f>
        <v>14598454.800000001</v>
      </c>
      <c r="W32" s="77">
        <f>INDEX(等级时间!$U$3:$AU$203,MATCH($Q32,等级时间!$U$3:$U$203,0),MATCH(W$4,等级时间!$U$3:$AU$3,0))</f>
        <v>4.24</v>
      </c>
      <c r="X32" s="77">
        <f t="shared" si="6"/>
        <v>0.30000000000000027</v>
      </c>
      <c r="Y32" s="77">
        <f t="array" ref="Y32">INDEX($F$4:$F$104,MATCH(MAX(IF($J$5:$J$104&lt;=$Q32,$J$5:$J$104)),$J$4:$J$104,0),0)*X32*IF($Q32&gt;=$O$7,3,IF($Q32&gt;=$O$6,2,1))</f>
        <v>747504.0000000007</v>
      </c>
      <c r="Z32" s="77">
        <f>SUM($Y$5:$Y32)</f>
        <v>6135644.4000000004</v>
      </c>
    </row>
    <row r="33" spans="2:26" x14ac:dyDescent="0.15">
      <c r="B33" s="77">
        <v>29</v>
      </c>
      <c r="C33" s="77">
        <f t="array" ref="C33">MIN(IF(体力抽奖!$C$48:$C$60&gt;=$J33,体力抽奖!$J$48:$J$60))</f>
        <v>15</v>
      </c>
      <c r="D33" s="77">
        <f>VLOOKUP($C33,猫咪!$B:$E,4,0)</f>
        <v>163.84</v>
      </c>
      <c r="E33" s="110">
        <f t="shared" si="0"/>
        <v>64500</v>
      </c>
      <c r="F33" s="101">
        <f t="shared" si="3"/>
        <v>10632180</v>
      </c>
      <c r="G33" s="83">
        <f t="shared" si="1"/>
        <v>21000000</v>
      </c>
      <c r="H33" s="77">
        <f>SUM($G$5:$G33)</f>
        <v>109801200</v>
      </c>
      <c r="I33" s="77">
        <f t="array" ref="I33">MIN(IF(树木!$S$5:$S$85&gt;=$H33,树木!$P$5:$P$85))</f>
        <v>32.9</v>
      </c>
      <c r="J33" s="77">
        <f t="array" ref="J33">MIN(IF(树木!$S$5:$S$85&gt;=$H33,树木!$O$5:$O$85))</f>
        <v>65</v>
      </c>
      <c r="K33" s="77">
        <f t="array" ref="K33">MIN(IF(树木!$X$5:$X$85&gt;=$H33,树木!$U$5:$U$85))</f>
        <v>18.440000000000001</v>
      </c>
      <c r="L33" s="77">
        <f t="array" ref="L33">MIN(IF(树木!$X$5:$X$85&gt;=$H33,树木!$O$5:$O$85))</f>
        <v>70</v>
      </c>
      <c r="M33" s="80">
        <f t="shared" si="2"/>
        <v>223</v>
      </c>
      <c r="Q33" s="77">
        <v>48</v>
      </c>
      <c r="R33" s="77">
        <f>INDEX(等级时间!$U$3:$AU$203,MATCH($Q33,等级时间!$U$3:$U$203,0),MATCH(R$4,等级时间!$U$3:$AU$3,0))</f>
        <v>10.86</v>
      </c>
      <c r="S33" s="77">
        <f t="shared" si="5"/>
        <v>0.75999999999999979</v>
      </c>
      <c r="T33" s="77">
        <f t="array" ref="T33">INDEX($F$4:$F$104,MATCH(MAX(IF($J$5:$J$104&lt;=$Q33,$J$5:$J$104)),$J$4:$J$104,0),0)*S33*IF($Q33&gt;=$O$7,3,IF($Q33&gt;=$O$6,2,1))</f>
        <v>1910001.5999999994</v>
      </c>
      <c r="U33" s="77">
        <f>SUM($T$5:$T33)</f>
        <v>16508456.4</v>
      </c>
      <c r="W33" s="77">
        <f>INDEX(等级时间!$U$3:$AU$203,MATCH($Q33,等级时间!$U$3:$U$203,0),MATCH(W$4,等级时间!$U$3:$AU$3,0))</f>
        <v>4.5599999999999996</v>
      </c>
      <c r="X33" s="77">
        <f t="shared" si="6"/>
        <v>0.3199999999999994</v>
      </c>
      <c r="Y33" s="77">
        <f t="array" ref="Y33">INDEX($F$4:$F$104,MATCH(MAX(IF($J$5:$J$104&lt;=$Q33,$J$5:$J$104)),$J$4:$J$104,0),0)*X33*IF($Q33&gt;=$O$7,3,IF($Q33&gt;=$O$6,2,1))</f>
        <v>804211.19999999844</v>
      </c>
      <c r="Z33" s="77">
        <f>SUM($Y$5:$Y33)</f>
        <v>6939855.5999999987</v>
      </c>
    </row>
    <row r="34" spans="2:26" x14ac:dyDescent="0.15">
      <c r="B34" s="77">
        <v>30</v>
      </c>
      <c r="C34" s="77">
        <f t="array" ref="C34">MIN(IF(体力抽奖!$C$48:$C$60&gt;=$J34,体力抽奖!$J$48:$J$60))</f>
        <v>15</v>
      </c>
      <c r="D34" s="77">
        <f>VLOOKUP($C34,猫咪!$B:$E,4,0)</f>
        <v>163.84</v>
      </c>
      <c r="E34" s="110">
        <f t="shared" si="0"/>
        <v>65000</v>
      </c>
      <c r="F34" s="101">
        <f t="shared" si="3"/>
        <v>10714600</v>
      </c>
      <c r="G34" s="83">
        <f t="shared" si="1"/>
        <v>24000000</v>
      </c>
      <c r="H34" s="77">
        <f>SUM($G$5:$G34)</f>
        <v>133801200</v>
      </c>
      <c r="I34" s="77">
        <f t="array" ref="I34">MIN(IF(树木!$S$5:$S$85&gt;=$H34,树木!$P$5:$P$85))</f>
        <v>34.89</v>
      </c>
      <c r="J34" s="77">
        <f t="array" ref="J34">MIN(IF(树木!$S$5:$S$85&gt;=$H34,树木!$O$5:$O$85))</f>
        <v>66</v>
      </c>
      <c r="K34" s="77">
        <f t="array" ref="K34">MIN(IF(树木!$X$5:$X$85&gt;=$H34,树木!$U$5:$U$85))</f>
        <v>19.5</v>
      </c>
      <c r="L34" s="77">
        <f t="array" ref="L34">MIN(IF(树木!$X$5:$X$85&gt;=$H34,树木!$O$5:$O$85))</f>
        <v>71</v>
      </c>
      <c r="M34" s="80">
        <f t="shared" si="2"/>
        <v>225</v>
      </c>
      <c r="O34" s="70">
        <f>SUM(G34:G43)</f>
        <v>522000000</v>
      </c>
      <c r="P34" s="70">
        <f>O34/100000</f>
        <v>5220</v>
      </c>
      <c r="Q34" s="77">
        <v>49</v>
      </c>
      <c r="R34" s="77">
        <f>INDEX(等级时间!$U$3:$AU$203,MATCH($Q34,等级时间!$U$3:$U$203,0),MATCH(R$4,等级时间!$U$3:$AU$3,0))</f>
        <v>11.68</v>
      </c>
      <c r="S34" s="77">
        <f t="shared" si="5"/>
        <v>0.82000000000000028</v>
      </c>
      <c r="T34" s="77">
        <f t="array" ref="T34">INDEX($F$4:$F$104,MATCH(MAX(IF($J$5:$J$104&lt;=$Q34,$J$5:$J$104)),$J$4:$J$104,0),0)*S34*IF($Q34&gt;=$O$7,3,IF($Q34&gt;=$O$6,2,1))</f>
        <v>2060791.2000000007</v>
      </c>
      <c r="U34" s="77">
        <f>SUM($T$5:$T34)</f>
        <v>18569247.600000001</v>
      </c>
      <c r="W34" s="77">
        <f>INDEX(等级时间!$U$3:$AU$203,MATCH($Q34,等级时间!$U$3:$U$203,0),MATCH(W$4,等级时间!$U$3:$AU$3,0))</f>
        <v>4.91</v>
      </c>
      <c r="X34" s="77">
        <f t="shared" si="6"/>
        <v>0.35000000000000053</v>
      </c>
      <c r="Y34" s="77">
        <f t="array" ref="Y34">INDEX($F$4:$F$104,MATCH(MAX(IF($J$5:$J$104&lt;=$Q34,$J$5:$J$104)),$J$4:$J$104,0),0)*X34*IF($Q34&gt;=$O$7,3,IF($Q34&gt;=$O$6,2,1))</f>
        <v>879606.0000000014</v>
      </c>
      <c r="Z34" s="77">
        <f>SUM($Y$5:$Y34)</f>
        <v>7819461.5999999996</v>
      </c>
    </row>
    <row r="35" spans="2:26" x14ac:dyDescent="0.15">
      <c r="B35" s="77">
        <v>31</v>
      </c>
      <c r="C35" s="77">
        <f t="array" ref="C35">MIN(IF(体力抽奖!$C$48:$C$60&gt;=$J35,体力抽奖!$J$48:$J$60))</f>
        <v>15</v>
      </c>
      <c r="D35" s="77">
        <f>VLOOKUP($C35,猫咪!$B:$E,4,0)</f>
        <v>163.84</v>
      </c>
      <c r="E35" s="110">
        <f t="shared" si="0"/>
        <v>65500</v>
      </c>
      <c r="F35" s="101">
        <f t="shared" si="3"/>
        <v>10797020</v>
      </c>
      <c r="G35" s="83">
        <f t="shared" si="1"/>
        <v>29000000</v>
      </c>
      <c r="H35" s="77">
        <f>SUM($G$5:$G35)</f>
        <v>162801200</v>
      </c>
      <c r="I35" s="77">
        <f t="array" ref="I35">MIN(IF(树木!$S$5:$S$85&gt;=$H35,树木!$P$5:$P$85))</f>
        <v>39.17</v>
      </c>
      <c r="J35" s="77">
        <f t="array" ref="J35">MIN(IF(树木!$S$5:$S$85&gt;=$H35,树木!$O$5:$O$85))</f>
        <v>68</v>
      </c>
      <c r="K35" s="77">
        <f t="array" ref="K35">MIN(IF(树木!$X$5:$X$85&gt;=$H35,树木!$U$5:$U$85))</f>
        <v>19.5</v>
      </c>
      <c r="L35" s="77">
        <f t="array" ref="L35">MIN(IF(树木!$X$5:$X$85&gt;=$H35,树木!$O$5:$O$85))</f>
        <v>71</v>
      </c>
      <c r="M35" s="80">
        <f t="shared" si="2"/>
        <v>227</v>
      </c>
      <c r="Q35" s="77">
        <v>50</v>
      </c>
      <c r="R35" s="77">
        <f>INDEX(等级时间!$U$3:$AU$203,MATCH($Q35,等级时间!$U$3:$U$203,0),MATCH(R$4,等级时间!$U$3:$AU$3,0))</f>
        <v>12.54</v>
      </c>
      <c r="S35" s="77">
        <f t="shared" si="5"/>
        <v>0.85999999999999943</v>
      </c>
      <c r="T35" s="77">
        <f t="array" ref="T35">INDEX($F$4:$F$104,MATCH(MAX(IF($J$5:$J$104&lt;=$Q35,$J$5:$J$104)),$J$4:$J$104,0),0)*S35*IF($Q35&gt;=$O$7,3,IF($Q35&gt;=$O$6,2,1))</f>
        <v>4258100.799999997</v>
      </c>
      <c r="U35" s="77">
        <f>SUM($T$5:$T35)</f>
        <v>22827348.399999999</v>
      </c>
      <c r="W35" s="77">
        <f>INDEX(等级时间!$U$3:$AU$203,MATCH($Q35,等级时间!$U$3:$U$203,0),MATCH(W$4,等级时间!$U$3:$AU$3,0))</f>
        <v>5.27</v>
      </c>
      <c r="X35" s="77">
        <f t="shared" si="6"/>
        <v>0.35999999999999943</v>
      </c>
      <c r="Y35" s="77">
        <f t="array" ref="Y35">INDEX($F$4:$F$104,MATCH(MAX(IF($J$5:$J$104&lt;=$Q35,$J$5:$J$104)),$J$4:$J$104,0),0)*X35*IF($Q35&gt;=$O$7,3,IF($Q35&gt;=$O$6,2,1))</f>
        <v>1782460.7999999973</v>
      </c>
      <c r="Z35" s="77">
        <f>SUM($Y$5:$Y35)</f>
        <v>9601922.3999999966</v>
      </c>
    </row>
    <row r="36" spans="2:26" x14ac:dyDescent="0.15">
      <c r="B36" s="77">
        <v>32</v>
      </c>
      <c r="C36" s="77">
        <f t="array" ref="C36">MIN(IF(体力抽奖!$C$48:$C$60&gt;=$J36,体力抽奖!$J$48:$J$60))</f>
        <v>17</v>
      </c>
      <c r="D36" s="77">
        <f>VLOOKUP($C36,猫咪!$B:$E,4,0)</f>
        <v>655.36</v>
      </c>
      <c r="E36" s="110">
        <f t="shared" si="0"/>
        <v>66000</v>
      </c>
      <c r="F36" s="101">
        <f t="shared" si="3"/>
        <v>43319760</v>
      </c>
      <c r="G36" s="83">
        <f t="shared" si="1"/>
        <v>34000000</v>
      </c>
      <c r="H36" s="77">
        <f>SUM($G$5:$G36)</f>
        <v>196801200</v>
      </c>
      <c r="I36" s="77">
        <f t="array" ref="I36">MIN(IF(树木!$S$5:$S$85&gt;=$H36,树木!$P$5:$P$85))</f>
        <v>43.88</v>
      </c>
      <c r="J36" s="77">
        <f t="array" ref="J36">MIN(IF(树木!$S$5:$S$85&gt;=$H36,树木!$O$5:$O$85))</f>
        <v>70</v>
      </c>
      <c r="K36" s="77">
        <f t="array" ref="K36">MIN(IF(树木!$X$5:$X$85&gt;=$H36,树木!$U$5:$U$85))</f>
        <v>20.61</v>
      </c>
      <c r="L36" s="77">
        <f t="array" ref="L36">MIN(IF(树木!$X$5:$X$85&gt;=$H36,树木!$O$5:$O$85))</f>
        <v>72</v>
      </c>
      <c r="M36" s="80">
        <f t="shared" si="2"/>
        <v>229</v>
      </c>
      <c r="Q36" s="77">
        <v>51</v>
      </c>
      <c r="R36" s="77">
        <f>INDEX(等级时间!$U$3:$AU$203,MATCH($Q36,等级时间!$U$3:$U$203,0),MATCH(R$4,等级时间!$U$3:$AU$3,0))</f>
        <v>13.45</v>
      </c>
      <c r="S36" s="77">
        <f t="shared" si="5"/>
        <v>0.91000000000000014</v>
      </c>
      <c r="T36" s="77">
        <f t="array" ref="T36">INDEX($F$4:$F$104,MATCH(MAX(IF($J$5:$J$104&lt;=$Q36,$J$5:$J$104)),$J$4:$J$104,0),0)*S36*IF($Q36&gt;=$O$7,3,IF($Q36&gt;=$O$6,2,1))</f>
        <v>4543848.4000000004</v>
      </c>
      <c r="U36" s="77">
        <f>SUM($T$5:$T36)</f>
        <v>27371196.799999997</v>
      </c>
      <c r="W36" s="77">
        <f>INDEX(等级时间!$U$3:$AU$203,MATCH($Q36,等级时间!$U$3:$U$203,0),MATCH(W$4,等级时间!$U$3:$AU$3,0))</f>
        <v>5.65</v>
      </c>
      <c r="X36" s="77">
        <f t="shared" si="6"/>
        <v>0.38000000000000078</v>
      </c>
      <c r="Y36" s="77">
        <f t="array" ref="Y36">INDEX($F$4:$F$104,MATCH(MAX(IF($J$5:$J$104&lt;=$Q36,$J$5:$J$104)),$J$4:$J$104,0),0)*X36*IF($Q36&gt;=$O$7,3,IF($Q36&gt;=$O$6,2,1))</f>
        <v>1897431.2000000039</v>
      </c>
      <c r="Z36" s="77">
        <f>SUM($Y$5:$Y36)</f>
        <v>11499353.600000001</v>
      </c>
    </row>
    <row r="37" spans="2:26" x14ac:dyDescent="0.15">
      <c r="B37" s="77">
        <v>33</v>
      </c>
      <c r="C37" s="77">
        <f t="array" ref="C37">MIN(IF(体力抽奖!$C$48:$C$60&gt;=$J37,体力抽奖!$J$48:$J$60))</f>
        <v>17</v>
      </c>
      <c r="D37" s="77">
        <f>VLOOKUP($C37,猫咪!$B:$E,4,0)</f>
        <v>655.36</v>
      </c>
      <c r="E37" s="110">
        <f t="shared" si="0"/>
        <v>66500</v>
      </c>
      <c r="F37" s="101">
        <f t="shared" si="3"/>
        <v>43647940</v>
      </c>
      <c r="G37" s="83">
        <f t="shared" ref="G37:G68" si="8">ROUND(B37^G$1+G$2,IF(LEN(INT(B37^G$1+G$2))&lt;3,1-LEN(INT(B37^G$1+G$2)),2-LEN(INT(B37^G$1+G$2))))</f>
        <v>39000000</v>
      </c>
      <c r="H37" s="77">
        <f>SUM($G$5:$G37)</f>
        <v>235801200</v>
      </c>
      <c r="I37" s="77">
        <f t="array" ref="I37">MIN(IF(树木!$S$5:$S$85&gt;=$H37,树木!$P$5:$P$85))</f>
        <v>43.88</v>
      </c>
      <c r="J37" s="77">
        <f t="array" ref="J37">MIN(IF(树木!$S$5:$S$85&gt;=$H37,树木!$O$5:$O$85))</f>
        <v>70</v>
      </c>
      <c r="K37" s="77">
        <f t="array" ref="K37">MIN(IF(树木!$X$5:$X$85&gt;=$H37,树木!$U$5:$U$85))</f>
        <v>21.77</v>
      </c>
      <c r="L37" s="77">
        <f t="array" ref="L37">MIN(IF(树木!$X$5:$X$85&gt;=$H37,树木!$O$5:$O$85))</f>
        <v>73</v>
      </c>
      <c r="M37" s="80">
        <f t="shared" ref="M37:M68" si="9">INT(E37/(3600*24)*300)</f>
        <v>230</v>
      </c>
      <c r="Q37" s="77">
        <v>52</v>
      </c>
      <c r="R37" s="77">
        <f>INDEX(等级时间!$U$3:$AU$203,MATCH($Q37,等级时间!$U$3:$U$203,0),MATCH(R$4,等级时间!$U$3:$AU$3,0))</f>
        <v>14.41</v>
      </c>
      <c r="S37" s="77">
        <f t="shared" si="5"/>
        <v>0.96000000000000085</v>
      </c>
      <c r="T37" s="77">
        <f t="array" ref="T37">INDEX($F$4:$F$104,MATCH(MAX(IF($J$5:$J$104&lt;=$Q37,$J$5:$J$104)),$J$4:$J$104,0),0)*S37*IF($Q37&gt;=$O$7,3,IF($Q37&gt;=$O$6,2,1))</f>
        <v>4793510.4000000041</v>
      </c>
      <c r="U37" s="77">
        <f>SUM($T$5:$T37)</f>
        <v>32164707.200000003</v>
      </c>
      <c r="W37" s="77">
        <f>INDEX(等级时间!$U$3:$AU$203,MATCH($Q37,等级时间!$U$3:$U$203,0),MATCH(W$4,等级时间!$U$3:$AU$3,0))</f>
        <v>6.05</v>
      </c>
      <c r="X37" s="77">
        <f t="shared" si="6"/>
        <v>0.39999999999999947</v>
      </c>
      <c r="Y37" s="77">
        <f t="array" ref="Y37">INDEX($F$4:$F$104,MATCH(MAX(IF($J$5:$J$104&lt;=$Q37,$J$5:$J$104)),$J$4:$J$104,0),0)*X37*IF($Q37&gt;=$O$7,3,IF($Q37&gt;=$O$6,2,1))</f>
        <v>1997295.9999999974</v>
      </c>
      <c r="Z37" s="77">
        <f>SUM($Y$5:$Y37)</f>
        <v>13496649.6</v>
      </c>
    </row>
    <row r="38" spans="2:26" x14ac:dyDescent="0.15">
      <c r="B38" s="77">
        <v>34</v>
      </c>
      <c r="C38" s="77">
        <f t="array" ref="C38">MIN(IF(体力抽奖!$C$48:$C$60&gt;=$J38,体力抽奖!$J$48:$J$60))</f>
        <v>17</v>
      </c>
      <c r="D38" s="77">
        <f>VLOOKUP($C38,猫咪!$B:$E,4,0)</f>
        <v>655.36</v>
      </c>
      <c r="E38" s="110">
        <f t="shared" si="0"/>
        <v>67000</v>
      </c>
      <c r="F38" s="101">
        <f t="shared" si="3"/>
        <v>43976120</v>
      </c>
      <c r="G38" s="83">
        <f t="shared" si="8"/>
        <v>45000000</v>
      </c>
      <c r="H38" s="77">
        <f>SUM($G$5:$G38)</f>
        <v>280801200</v>
      </c>
      <c r="I38" s="77">
        <f t="array" ref="I38">MIN(IF(树木!$S$5:$S$85&gt;=$H38,树木!$P$5:$P$85))</f>
        <v>43.88</v>
      </c>
      <c r="J38" s="77">
        <f t="array" ref="J38">MIN(IF(树木!$S$5:$S$85&gt;=$H38,树木!$O$5:$O$85))</f>
        <v>70</v>
      </c>
      <c r="K38" s="77">
        <f t="array" ref="K38">MIN(IF(树木!$X$5:$X$85&gt;=$H38,树木!$U$5:$U$85))</f>
        <v>22.98</v>
      </c>
      <c r="L38" s="77">
        <f t="array" ref="L38">MIN(IF(树木!$X$5:$X$85&gt;=$H38,树木!$O$5:$O$85))</f>
        <v>74</v>
      </c>
      <c r="M38" s="80">
        <f t="shared" si="9"/>
        <v>232</v>
      </c>
      <c r="Q38" s="77">
        <v>53</v>
      </c>
      <c r="R38" s="77">
        <f>INDEX(等级时间!$U$3:$AU$203,MATCH($Q38,等级时间!$U$3:$U$203,0),MATCH(R$4,等级时间!$U$3:$AU$3,0))</f>
        <v>15.42</v>
      </c>
      <c r="S38" s="77">
        <f t="shared" si="5"/>
        <v>1.0099999999999998</v>
      </c>
      <c r="T38" s="77">
        <f t="array" ref="T38">INDEX($F$4:$F$104,MATCH(MAX(IF($J$5:$J$104&lt;=$Q38,$J$5:$J$104)),$J$4:$J$104,0),0)*S38*IF($Q38&gt;=$O$7,3,IF($Q38&gt;=$O$6,2,1))</f>
        <v>5085551.9999999991</v>
      </c>
      <c r="U38" s="77">
        <f>SUM($T$5:$T38)</f>
        <v>37250259.200000003</v>
      </c>
      <c r="W38" s="77">
        <f>INDEX(等级时间!$U$3:$AU$203,MATCH($Q38,等级时间!$U$3:$U$203,0),MATCH(W$4,等级时间!$U$3:$AU$3,0))</f>
        <v>6.48</v>
      </c>
      <c r="X38" s="77">
        <f t="shared" si="6"/>
        <v>0.4300000000000006</v>
      </c>
      <c r="Y38" s="77">
        <f t="array" ref="Y38">INDEX($F$4:$F$104,MATCH(MAX(IF($J$5:$J$104&lt;=$Q38,$J$5:$J$104)),$J$4:$J$104,0),0)*X38*IF($Q38&gt;=$O$7,3,IF($Q38&gt;=$O$6,2,1))</f>
        <v>2165136.0000000033</v>
      </c>
      <c r="Z38" s="77">
        <f>SUM($Y$5:$Y38)</f>
        <v>15661785.600000003</v>
      </c>
    </row>
    <row r="39" spans="2:26" x14ac:dyDescent="0.15">
      <c r="B39" s="77">
        <v>35</v>
      </c>
      <c r="C39" s="77">
        <f t="array" ref="C39">MIN(IF(体力抽奖!$C$48:$C$60&gt;=$J39,体力抽奖!$J$48:$J$60))</f>
        <v>17</v>
      </c>
      <c r="D39" s="77">
        <f>VLOOKUP($C39,猫咪!$B:$E,4,0)</f>
        <v>655.36</v>
      </c>
      <c r="E39" s="110">
        <f t="shared" si="0"/>
        <v>67500</v>
      </c>
      <c r="F39" s="101">
        <f t="shared" si="3"/>
        <v>44304300</v>
      </c>
      <c r="G39" s="83">
        <f t="shared" si="8"/>
        <v>53000000</v>
      </c>
      <c r="H39" s="77">
        <f>SUM($G$5:$G39)</f>
        <v>333801200</v>
      </c>
      <c r="I39" s="77">
        <f t="array" ref="I39">MIN(IF(树木!$S$5:$S$85&gt;=$H39,树木!$P$5:$P$85))</f>
        <v>46.4</v>
      </c>
      <c r="J39" s="77">
        <f t="array" ref="J39">MIN(IF(树木!$S$5:$S$85&gt;=$H39,树木!$O$5:$O$85))</f>
        <v>71</v>
      </c>
      <c r="K39" s="77">
        <f t="array" ref="K39">MIN(IF(树木!$X$5:$X$85&gt;=$H39,树木!$U$5:$U$85))</f>
        <v>24.25</v>
      </c>
      <c r="L39" s="77">
        <f t="array" ref="L39">MIN(IF(树木!$X$5:$X$85&gt;=$H39,树木!$O$5:$O$85))</f>
        <v>75</v>
      </c>
      <c r="M39" s="80">
        <f t="shared" si="9"/>
        <v>234</v>
      </c>
      <c r="Q39" s="77">
        <v>54</v>
      </c>
      <c r="R39" s="77">
        <f>INDEX(等级时间!$U$3:$AU$203,MATCH($Q39,等级时间!$U$3:$U$203,0),MATCH(R$4,等级时间!$U$3:$AU$3,0))</f>
        <v>16.489999999999998</v>
      </c>
      <c r="S39" s="77">
        <f t="shared" si="5"/>
        <v>1.0699999999999985</v>
      </c>
      <c r="T39" s="77">
        <f t="array" ref="T39">INDEX($F$4:$F$104,MATCH(MAX(IF($J$5:$J$104&lt;=$Q39,$J$5:$J$104)),$J$4:$J$104,0),0)*S39*IF($Q39&gt;=$O$7,3,IF($Q39&gt;=$O$6,2,1))</f>
        <v>5387663.9999999925</v>
      </c>
      <c r="U39" s="77">
        <f>SUM($T$5:$T39)</f>
        <v>42637923.199999996</v>
      </c>
      <c r="W39" s="77">
        <f>INDEX(等级时间!$U$3:$AU$203,MATCH($Q39,等级时间!$U$3:$U$203,0),MATCH(W$4,等级时间!$U$3:$AU$3,0))</f>
        <v>6.93</v>
      </c>
      <c r="X39" s="77">
        <f t="shared" si="6"/>
        <v>0.44999999999999929</v>
      </c>
      <c r="Y39" s="77">
        <f t="array" ref="Y39">INDEX($F$4:$F$104,MATCH(MAX(IF($J$5:$J$104&lt;=$Q39,$J$5:$J$104)),$J$4:$J$104,0),0)*X39*IF($Q39&gt;=$O$7,3,IF($Q39&gt;=$O$6,2,1))</f>
        <v>2265839.9999999963</v>
      </c>
      <c r="Z39" s="77">
        <f>SUM($Y$5:$Y39)</f>
        <v>17927625.600000001</v>
      </c>
    </row>
    <row r="40" spans="2:26" x14ac:dyDescent="0.15">
      <c r="B40" s="77">
        <v>36</v>
      </c>
      <c r="C40" s="77">
        <f t="array" ref="C40">MIN(IF(体力抽奖!$C$48:$C$60&gt;=$J40,体力抽奖!$J$48:$J$60))</f>
        <v>17</v>
      </c>
      <c r="D40" s="77">
        <f>VLOOKUP($C40,猫咪!$B:$E,4,0)</f>
        <v>655.36</v>
      </c>
      <c r="E40" s="110">
        <f t="shared" si="0"/>
        <v>68000</v>
      </c>
      <c r="F40" s="101">
        <f t="shared" si="3"/>
        <v>44632480</v>
      </c>
      <c r="G40" s="83">
        <f t="shared" si="8"/>
        <v>60000000</v>
      </c>
      <c r="H40" s="77">
        <f>SUM($G$5:$G40)</f>
        <v>393801200</v>
      </c>
      <c r="I40" s="77">
        <f t="array" ref="I40">MIN(IF(树木!$S$5:$S$85&gt;=$H40,树木!$P$5:$P$85))</f>
        <v>49.05</v>
      </c>
      <c r="J40" s="77">
        <f t="array" ref="J40">MIN(IF(树木!$S$5:$S$85&gt;=$H40,树木!$O$5:$O$85))</f>
        <v>72</v>
      </c>
      <c r="K40" s="77">
        <f t="array" ref="K40">MIN(IF(树木!$X$5:$X$85&gt;=$H40,树木!$U$5:$U$85))</f>
        <v>25.58</v>
      </c>
      <c r="L40" s="77">
        <f t="array" ref="L40">MIN(IF(树木!$X$5:$X$85&gt;=$H40,树木!$O$5:$O$85))</f>
        <v>76</v>
      </c>
      <c r="M40" s="80">
        <f t="shared" si="9"/>
        <v>236</v>
      </c>
      <c r="Q40" s="77">
        <v>55</v>
      </c>
      <c r="R40" s="77">
        <f>INDEX(等级时间!$U$3:$AU$203,MATCH($Q40,等级时间!$U$3:$U$203,0),MATCH(R$4,等级时间!$U$3:$AU$3,0))</f>
        <v>17.63</v>
      </c>
      <c r="S40" s="77">
        <f t="shared" si="5"/>
        <v>1.1400000000000006</v>
      </c>
      <c r="T40" s="77">
        <f t="array" ref="T40">INDEX($F$4:$F$104,MATCH(MAX(IF($J$5:$J$104&lt;=$Q40,$J$5:$J$104)),$J$4:$J$104,0),0)*S40*IF($Q40&gt;=$O$7,3,IF($Q40&gt;=$O$6,2,1))</f>
        <v>5787962.4000000032</v>
      </c>
      <c r="U40" s="77">
        <f>SUM($T$5:$T40)</f>
        <v>48425885.600000001</v>
      </c>
      <c r="W40" s="77">
        <f>INDEX(等级时间!$U$3:$AU$203,MATCH($Q40,等级时间!$U$3:$U$203,0),MATCH(W$4,等级时间!$U$3:$AU$3,0))</f>
        <v>7.41</v>
      </c>
      <c r="X40" s="77">
        <f t="shared" si="6"/>
        <v>0.48000000000000043</v>
      </c>
      <c r="Y40" s="77">
        <f t="array" ref="Y40">INDEX($F$4:$F$104,MATCH(MAX(IF($J$5:$J$104&lt;=$Q40,$J$5:$J$104)),$J$4:$J$104,0),0)*X40*IF($Q40&gt;=$O$7,3,IF($Q40&gt;=$O$6,2,1))</f>
        <v>2437036.8000000021</v>
      </c>
      <c r="Z40" s="77">
        <f>SUM($Y$5:$Y40)</f>
        <v>20364662.400000002</v>
      </c>
    </row>
    <row r="41" spans="2:26" x14ac:dyDescent="0.15">
      <c r="B41" s="77">
        <v>37</v>
      </c>
      <c r="C41" s="77">
        <f t="array" ref="C41">MIN(IF(体力抽奖!$C$48:$C$60&gt;=$J41,体力抽奖!$J$48:$J$60))</f>
        <v>17</v>
      </c>
      <c r="D41" s="77">
        <f>VLOOKUP($C41,猫咪!$B:$E,4,0)</f>
        <v>655.36</v>
      </c>
      <c r="E41" s="110">
        <f t="shared" si="0"/>
        <v>68500</v>
      </c>
      <c r="F41" s="101">
        <f t="shared" si="3"/>
        <v>44960660</v>
      </c>
      <c r="G41" s="83">
        <f t="shared" si="8"/>
        <v>69000000</v>
      </c>
      <c r="H41" s="77">
        <f>SUM($G$5:$G41)</f>
        <v>462801200</v>
      </c>
      <c r="I41" s="77">
        <f t="array" ref="I41">MIN(IF(树木!$S$5:$S$85&gt;=$H41,树木!$P$5:$P$85))</f>
        <v>49.05</v>
      </c>
      <c r="J41" s="77">
        <f t="array" ref="J41">MIN(IF(树木!$S$5:$S$85&gt;=$H41,树木!$O$5:$O$85))</f>
        <v>72</v>
      </c>
      <c r="K41" s="77">
        <f t="array" ref="K41">MIN(IF(树木!$X$5:$X$85&gt;=$H41,树木!$U$5:$U$85))</f>
        <v>26.96</v>
      </c>
      <c r="L41" s="77">
        <f t="array" ref="L41">MIN(IF(树木!$X$5:$X$85&gt;=$H41,树木!$O$5:$O$85))</f>
        <v>77</v>
      </c>
      <c r="M41" s="80">
        <f t="shared" si="9"/>
        <v>237</v>
      </c>
      <c r="Q41" s="77">
        <v>56</v>
      </c>
      <c r="R41" s="77">
        <f>INDEX(等级时间!$U$3:$AU$203,MATCH($Q41,等级时间!$U$3:$U$203,0),MATCH(R$4,等级时间!$U$3:$AU$3,0))</f>
        <v>18.82</v>
      </c>
      <c r="S41" s="77">
        <f t="shared" si="5"/>
        <v>1.1900000000000013</v>
      </c>
      <c r="T41" s="77">
        <f t="array" ref="T41">INDEX($F$4:$F$104,MATCH(MAX(IF($J$5:$J$104&lt;=$Q41,$J$5:$J$104)),$J$4:$J$104,0),0)*S41*IF($Q41&gt;=$O$7,3,IF($Q41&gt;=$O$6,2,1))</f>
        <v>6041820.4000000069</v>
      </c>
      <c r="U41" s="77">
        <f>SUM($T$5:$T41)</f>
        <v>54467706.000000007</v>
      </c>
      <c r="W41" s="77">
        <f>INDEX(等级时间!$U$3:$AU$203,MATCH($Q41,等级时间!$U$3:$U$203,0),MATCH(W$4,等级时间!$U$3:$AU$3,0))</f>
        <v>7.91</v>
      </c>
      <c r="X41" s="77">
        <f t="shared" si="6"/>
        <v>0.5</v>
      </c>
      <c r="Y41" s="77">
        <f t="array" ref="Y41">INDEX($F$4:$F$104,MATCH(MAX(IF($J$5:$J$104&lt;=$Q41,$J$5:$J$104)),$J$4:$J$104,0),0)*X41*IF($Q41&gt;=$O$7,3,IF($Q41&gt;=$O$6,2,1))</f>
        <v>2538580</v>
      </c>
      <c r="Z41" s="77">
        <f>SUM($Y$5:$Y41)</f>
        <v>22903242.400000002</v>
      </c>
    </row>
    <row r="42" spans="2:26" x14ac:dyDescent="0.15">
      <c r="B42" s="77">
        <v>38</v>
      </c>
      <c r="C42" s="77">
        <f t="array" ref="C42">MIN(IF(体力抽奖!$C$48:$C$60&gt;=$J42,体力抽奖!$J$48:$J$60))</f>
        <v>17</v>
      </c>
      <c r="D42" s="77">
        <f>VLOOKUP($C42,猫咪!$B:$E,4,0)</f>
        <v>655.36</v>
      </c>
      <c r="E42" s="110">
        <f t="shared" si="0"/>
        <v>69000</v>
      </c>
      <c r="F42" s="101">
        <f t="shared" si="3"/>
        <v>45288840</v>
      </c>
      <c r="G42" s="83">
        <f t="shared" si="8"/>
        <v>79000000</v>
      </c>
      <c r="H42" s="77">
        <f>SUM($G$5:$G42)</f>
        <v>541801200</v>
      </c>
      <c r="I42" s="77">
        <f t="array" ref="I42">MIN(IF(树木!$S$5:$S$85&gt;=$H42,树木!$P$5:$P$85))</f>
        <v>51.81</v>
      </c>
      <c r="J42" s="77">
        <f t="array" ref="J42">MIN(IF(树木!$S$5:$S$85&gt;=$H42,树木!$O$5:$O$85))</f>
        <v>73</v>
      </c>
      <c r="K42" s="77">
        <f t="array" ref="K42">MIN(IF(树木!$X$5:$X$85&gt;=$H42,树木!$U$5:$U$85))</f>
        <v>29.92</v>
      </c>
      <c r="L42" s="77">
        <f t="array" ref="L42">MIN(IF(树木!$X$5:$X$85&gt;=$H42,树木!$O$5:$O$85))</f>
        <v>79</v>
      </c>
      <c r="M42" s="80">
        <f t="shared" si="9"/>
        <v>239</v>
      </c>
      <c r="Q42" s="77">
        <v>57</v>
      </c>
      <c r="R42" s="77">
        <f>INDEX(等级时间!$U$3:$AU$203,MATCH($Q42,等级时间!$U$3:$U$203,0),MATCH(R$4,等级时间!$U$3:$AU$3,0))</f>
        <v>20.079999999999998</v>
      </c>
      <c r="S42" s="77">
        <f t="shared" si="5"/>
        <v>1.259999999999998</v>
      </c>
      <c r="T42" s="77">
        <f t="array" ref="T42">INDEX($F$4:$F$104,MATCH(MAX(IF($J$5:$J$104&lt;=$Q42,$J$5:$J$104)),$J$4:$J$104,0),0)*S42*IF($Q42&gt;=$O$7,3,IF($Q42&gt;=$O$6,2,1))</f>
        <v>6450091.1999999899</v>
      </c>
      <c r="U42" s="77">
        <f>SUM($T$5:$T42)</f>
        <v>60917797.199999996</v>
      </c>
      <c r="W42" s="77">
        <f>INDEX(等级时间!$U$3:$AU$203,MATCH($Q42,等级时间!$U$3:$U$203,0),MATCH(W$4,等级时间!$U$3:$AU$3,0))</f>
        <v>8.44</v>
      </c>
      <c r="X42" s="77">
        <f t="shared" si="6"/>
        <v>0.52999999999999936</v>
      </c>
      <c r="Y42" s="77">
        <f t="array" ref="Y42">INDEX($F$4:$F$104,MATCH(MAX(IF($J$5:$J$104&lt;=$Q42,$J$5:$J$104)),$J$4:$J$104,0),0)*X42*IF($Q42&gt;=$O$7,3,IF($Q42&gt;=$O$6,2,1))</f>
        <v>2713133.5999999968</v>
      </c>
      <c r="Z42" s="77">
        <f>SUM($Y$5:$Y42)</f>
        <v>25616376</v>
      </c>
    </row>
    <row r="43" spans="2:26" x14ac:dyDescent="0.15">
      <c r="B43" s="77">
        <v>39</v>
      </c>
      <c r="C43" s="77">
        <f t="array" ref="C43">MIN(IF(体力抽奖!$C$48:$C$60&gt;=$J43,体力抽奖!$J$48:$J$60))</f>
        <v>17</v>
      </c>
      <c r="D43" s="77">
        <f>VLOOKUP($C43,猫咪!$B:$E,4,0)</f>
        <v>655.36</v>
      </c>
      <c r="E43" s="110">
        <f t="shared" si="0"/>
        <v>69500</v>
      </c>
      <c r="F43" s="101">
        <f t="shared" si="3"/>
        <v>45617020</v>
      </c>
      <c r="G43" s="83">
        <f t="shared" si="8"/>
        <v>90000000</v>
      </c>
      <c r="H43" s="77">
        <f>SUM($G$5:$G43)</f>
        <v>631801200</v>
      </c>
      <c r="I43" s="77">
        <f t="array" ref="I43">MIN(IF(树木!$S$5:$S$85&gt;=$H43,树木!$P$5:$P$85))</f>
        <v>54.7</v>
      </c>
      <c r="J43" s="77">
        <f t="array" ref="J43">MIN(IF(树木!$S$5:$S$85&gt;=$H43,树木!$O$5:$O$85))</f>
        <v>74</v>
      </c>
      <c r="K43" s="77">
        <f t="array" ref="K43">MIN(IF(树木!$X$5:$X$85&gt;=$H43,树木!$U$5:$U$85))</f>
        <v>31.49</v>
      </c>
      <c r="L43" s="77">
        <f t="array" ref="L43">MIN(IF(树木!$X$5:$X$85&gt;=$H43,树木!$O$5:$O$85))</f>
        <v>80</v>
      </c>
      <c r="M43" s="80">
        <f t="shared" si="9"/>
        <v>241</v>
      </c>
      <c r="Q43" s="77">
        <v>58</v>
      </c>
      <c r="R43" s="77">
        <f>INDEX(等级时间!$U$3:$AU$203,MATCH($Q43,等级时间!$U$3:$U$203,0),MATCH(R$4,等级时间!$U$3:$AU$3,0))</f>
        <v>21.41</v>
      </c>
      <c r="S43" s="77">
        <f t="shared" si="5"/>
        <v>1.3300000000000018</v>
      </c>
      <c r="T43" s="77">
        <f t="array" ref="T43">INDEX($F$4:$F$104,MATCH(MAX(IF($J$5:$J$104&lt;=$Q43,$J$5:$J$104)),$J$4:$J$104,0),0)*S43*IF($Q43&gt;=$O$7,3,IF($Q43&gt;=$O$6,2,1))</f>
        <v>6808429.6000000099</v>
      </c>
      <c r="U43" s="77">
        <f>SUM($T$5:$T43)</f>
        <v>67726226.800000012</v>
      </c>
      <c r="W43" s="77">
        <f>INDEX(等级时间!$U$3:$AU$203,MATCH($Q43,等级时间!$U$3:$U$203,0),MATCH(W$4,等级时间!$U$3:$AU$3,0))</f>
        <v>9</v>
      </c>
      <c r="X43" s="77">
        <f t="shared" si="6"/>
        <v>0.5600000000000005</v>
      </c>
      <c r="Y43" s="77">
        <f t="array" ref="Y43">INDEX($F$4:$F$104,MATCH(MAX(IF($J$5:$J$104&lt;=$Q43,$J$5:$J$104)),$J$4:$J$104,0),0)*X43*IF($Q43&gt;=$O$7,3,IF($Q43&gt;=$O$6,2,1))</f>
        <v>2866707.2000000025</v>
      </c>
      <c r="Z43" s="77">
        <f>SUM($Y$5:$Y43)</f>
        <v>28483083.200000003</v>
      </c>
    </row>
    <row r="44" spans="2:26" x14ac:dyDescent="0.15">
      <c r="B44" s="77">
        <v>40</v>
      </c>
      <c r="C44" s="77">
        <f t="array" ref="C44">MIN(IF(体力抽奖!$C$48:$C$60&gt;=$J44,体力抽奖!$J$48:$J$60))</f>
        <v>17</v>
      </c>
      <c r="D44" s="77">
        <f>VLOOKUP($C44,猫咪!$B:$E,4,0)</f>
        <v>655.36</v>
      </c>
      <c r="E44" s="110">
        <f t="shared" si="0"/>
        <v>70000</v>
      </c>
      <c r="F44" s="101">
        <f t="shared" si="3"/>
        <v>45945200</v>
      </c>
      <c r="G44" s="83">
        <f t="shared" si="8"/>
        <v>100000000</v>
      </c>
      <c r="H44" s="77">
        <f>SUM($G$5:$G44)</f>
        <v>731801200</v>
      </c>
      <c r="I44" s="77">
        <f t="array" ref="I44">MIN(IF(树木!$S$5:$S$85&gt;=$H44,树木!$P$5:$P$85))</f>
        <v>57.73</v>
      </c>
      <c r="J44" s="77">
        <f t="array" ref="J44">MIN(IF(树木!$S$5:$S$85&gt;=$H44,树木!$O$5:$O$85))</f>
        <v>75</v>
      </c>
      <c r="K44" s="77">
        <f t="array" ref="K44">MIN(IF(树木!$X$5:$X$85&gt;=$H44,树木!$U$5:$U$85))</f>
        <v>33.130000000000003</v>
      </c>
      <c r="L44" s="77">
        <f t="array" ref="L44">MIN(IF(树木!$X$5:$X$85&gt;=$H44,树木!$O$5:$O$85))</f>
        <v>81</v>
      </c>
      <c r="M44" s="80">
        <f t="shared" si="9"/>
        <v>243</v>
      </c>
      <c r="O44" s="70">
        <f>SUM(G44:G53)</f>
        <v>1810000000</v>
      </c>
      <c r="P44" s="70">
        <f>O44/100000</f>
        <v>18100</v>
      </c>
      <c r="Q44" s="77">
        <v>59</v>
      </c>
      <c r="R44" s="77">
        <f>INDEX(等级时间!$U$3:$AU$203,MATCH($Q44,等级时间!$U$3:$U$203,0),MATCH(R$4,等级时间!$U$3:$AU$3,0))</f>
        <v>22.81</v>
      </c>
      <c r="S44" s="77">
        <f t="shared" si="5"/>
        <v>1.3999999999999986</v>
      </c>
      <c r="T44" s="77">
        <f t="array" ref="T44">INDEX($F$4:$F$104,MATCH(MAX(IF($J$5:$J$104&lt;=$Q44,$J$5:$J$104)),$J$4:$J$104,0),0)*S44*IF($Q44&gt;=$O$7,3,IF($Q44&gt;=$O$6,2,1))</f>
        <v>7225511.9999999925</v>
      </c>
      <c r="U44" s="77">
        <f>SUM($T$5:$T44)</f>
        <v>74951738.800000012</v>
      </c>
      <c r="W44" s="77">
        <f>INDEX(等级时间!$U$3:$AU$203,MATCH($Q44,等级时间!$U$3:$U$203,0),MATCH(W$4,等级时间!$U$3:$AU$3,0))</f>
        <v>9.58</v>
      </c>
      <c r="X44" s="77">
        <f t="shared" si="6"/>
        <v>0.58000000000000007</v>
      </c>
      <c r="Y44" s="77">
        <f t="array" ref="Y44">INDEX($F$4:$F$104,MATCH(MAX(IF($J$5:$J$104&lt;=$Q44,$J$5:$J$104)),$J$4:$J$104,0),0)*X44*IF($Q44&gt;=$O$7,3,IF($Q44&gt;=$O$6,2,1))</f>
        <v>2993426.4000000004</v>
      </c>
      <c r="Z44" s="77">
        <f>SUM($Y$5:$Y44)</f>
        <v>31476509.600000001</v>
      </c>
    </row>
    <row r="45" spans="2:26" x14ac:dyDescent="0.15">
      <c r="B45" s="77">
        <v>41</v>
      </c>
      <c r="C45" s="77">
        <f t="array" ref="C45">MIN(IF(体力抽奖!$C$48:$C$60&gt;=$J45,体力抽奖!$J$48:$J$60))</f>
        <v>17</v>
      </c>
      <c r="D45" s="77">
        <f>VLOOKUP($C45,猫咪!$B:$E,4,0)</f>
        <v>655.36</v>
      </c>
      <c r="E45" s="110">
        <f t="shared" si="0"/>
        <v>70500</v>
      </c>
      <c r="F45" s="101">
        <f t="shared" si="3"/>
        <v>46273380</v>
      </c>
      <c r="G45" s="83">
        <f t="shared" si="8"/>
        <v>120000000</v>
      </c>
      <c r="H45" s="77">
        <f>SUM($G$5:$G45)</f>
        <v>851801200</v>
      </c>
      <c r="I45" s="77">
        <f t="array" ref="I45">MIN(IF(树木!$S$5:$S$85&gt;=$H45,树木!$P$5:$P$85))</f>
        <v>60.89</v>
      </c>
      <c r="J45" s="77">
        <f t="array" ref="J45">MIN(IF(树木!$S$5:$S$85&gt;=$H45,树木!$O$5:$O$85))</f>
        <v>76</v>
      </c>
      <c r="K45" s="77">
        <f t="array" ref="K45">MIN(IF(树木!$X$5:$X$85&gt;=$H45,树木!$U$5:$U$85))</f>
        <v>33.130000000000003</v>
      </c>
      <c r="L45" s="77">
        <f t="array" ref="L45">MIN(IF(树木!$X$5:$X$85&gt;=$H45,树木!$O$5:$O$85))</f>
        <v>81</v>
      </c>
      <c r="M45" s="80">
        <f t="shared" si="9"/>
        <v>244</v>
      </c>
      <c r="Q45" s="77">
        <v>60</v>
      </c>
      <c r="R45" s="77">
        <f>INDEX(等级时间!$U$3:$AU$203,MATCH($Q45,等级时间!$U$3:$U$203,0),MATCH(R$4,等级时间!$U$3:$AU$3,0))</f>
        <v>24.29</v>
      </c>
      <c r="S45" s="77">
        <f t="shared" si="5"/>
        <v>1.4800000000000004</v>
      </c>
      <c r="T45" s="77">
        <f t="array" ref="T45">INDEX($F$4:$F$104,MATCH(MAX(IF($J$5:$J$104&lt;=$Q45,$J$5:$J$104)),$J$4:$J$104,0),0)*S45*IF($Q45&gt;=$O$7,3,IF($Q45&gt;=$O$6,2,1))</f>
        <v>45377155.20000001</v>
      </c>
      <c r="U45" s="77">
        <f>SUM($T$5:$T45)</f>
        <v>120328894.00000003</v>
      </c>
      <c r="W45" s="77">
        <f>INDEX(等级时间!$U$3:$AU$203,MATCH($Q45,等级时间!$U$3:$U$203,0),MATCH(W$4,等级时间!$U$3:$AU$3,0))</f>
        <v>10.199999999999999</v>
      </c>
      <c r="X45" s="77">
        <f t="shared" si="6"/>
        <v>0.61999999999999922</v>
      </c>
      <c r="Y45" s="77">
        <f t="array" ref="Y45">INDEX($F$4:$F$104,MATCH(MAX(IF($J$5:$J$104&lt;=$Q45,$J$5:$J$104)),$J$4:$J$104,0),0)*X45*IF($Q45&gt;=$O$7,3,IF($Q45&gt;=$O$6,2,1))</f>
        <v>19009348.799999975</v>
      </c>
      <c r="Z45" s="77">
        <f>SUM($Y$5:$Y45)</f>
        <v>50485858.399999976</v>
      </c>
    </row>
    <row r="46" spans="2:26" x14ac:dyDescent="0.15">
      <c r="B46" s="77">
        <v>42</v>
      </c>
      <c r="C46" s="77">
        <f t="array" ref="C46">MIN(IF(体力抽奖!$C$48:$C$60&gt;=$J46,体力抽奖!$J$48:$J$60))</f>
        <v>17</v>
      </c>
      <c r="D46" s="77">
        <f>VLOOKUP($C46,猫咪!$B:$E,4,0)</f>
        <v>655.36</v>
      </c>
      <c r="E46" s="110">
        <f t="shared" si="0"/>
        <v>71000</v>
      </c>
      <c r="F46" s="101">
        <f t="shared" si="3"/>
        <v>46601560</v>
      </c>
      <c r="G46" s="83">
        <f t="shared" si="8"/>
        <v>130000000</v>
      </c>
      <c r="H46" s="77">
        <f>SUM($G$5:$G46)</f>
        <v>981801200</v>
      </c>
      <c r="I46" s="77">
        <f t="array" ref="I46">MIN(IF(树木!$S$5:$S$85&gt;=$H46,树木!$P$5:$P$85))</f>
        <v>64.180000000000007</v>
      </c>
      <c r="J46" s="77">
        <f t="array" ref="J46">MIN(IF(树木!$S$5:$S$85&gt;=$H46,树木!$O$5:$O$85))</f>
        <v>77</v>
      </c>
      <c r="K46" s="77">
        <f t="array" ref="K46">MIN(IF(树木!$X$5:$X$85&gt;=$H46,树木!$U$5:$U$85))</f>
        <v>34.840000000000003</v>
      </c>
      <c r="L46" s="77">
        <f t="array" ref="L46">MIN(IF(树木!$X$5:$X$85&gt;=$H46,树木!$O$5:$O$85))</f>
        <v>82</v>
      </c>
      <c r="M46" s="80">
        <f t="shared" si="9"/>
        <v>246</v>
      </c>
      <c r="Q46" s="77">
        <v>61</v>
      </c>
      <c r="R46" s="77">
        <f>INDEX(等级时间!$U$3:$AU$203,MATCH($Q46,等级时间!$U$3:$U$203,0),MATCH(R$4,等级时间!$U$3:$AU$3,0))</f>
        <v>25.84</v>
      </c>
      <c r="S46" s="77">
        <f t="shared" si="5"/>
        <v>1.5500000000000007</v>
      </c>
      <c r="T46" s="77">
        <f t="array" ref="T46">INDEX($F$4:$F$104,MATCH(MAX(IF($J$5:$J$104&lt;=$Q46,$J$5:$J$104)),$J$4:$J$104,0),0)*S46*IF($Q46&gt;=$O$7,3,IF($Q46&gt;=$O$6,2,1))</f>
        <v>47906625.000000022</v>
      </c>
      <c r="U46" s="77">
        <f>SUM($T$5:$T46)</f>
        <v>168235519.00000006</v>
      </c>
      <c r="W46" s="77">
        <f>INDEX(等级时间!$U$3:$AU$203,MATCH($Q46,等级时间!$U$3:$U$203,0),MATCH(W$4,等级时间!$U$3:$AU$3,0))</f>
        <v>10.86</v>
      </c>
      <c r="X46" s="77">
        <f t="shared" si="6"/>
        <v>0.66000000000000014</v>
      </c>
      <c r="Y46" s="77">
        <f t="array" ref="Y46">INDEX($F$4:$F$104,MATCH(MAX(IF($J$5:$J$104&lt;=$Q46,$J$5:$J$104)),$J$4:$J$104,0),0)*X46*IF($Q46&gt;=$O$7,3,IF($Q46&gt;=$O$6,2,1))</f>
        <v>20398950.000000007</v>
      </c>
      <c r="Z46" s="77">
        <f>SUM($Y$5:$Y46)</f>
        <v>70884808.399999976</v>
      </c>
    </row>
    <row r="47" spans="2:26" x14ac:dyDescent="0.15">
      <c r="B47" s="77">
        <v>43</v>
      </c>
      <c r="C47" s="77">
        <f t="array" ref="C47">MIN(IF(体力抽奖!$C$48:$C$60&gt;=$J47,体力抽奖!$J$48:$J$60))</f>
        <v>17</v>
      </c>
      <c r="D47" s="77">
        <f>VLOOKUP($C47,猫咪!$B:$E,4,0)</f>
        <v>655.36</v>
      </c>
      <c r="E47" s="110">
        <f t="shared" si="0"/>
        <v>71500</v>
      </c>
      <c r="F47" s="101">
        <f t="shared" si="3"/>
        <v>46929740</v>
      </c>
      <c r="G47" s="83">
        <f t="shared" si="8"/>
        <v>150000000</v>
      </c>
      <c r="H47" s="77">
        <f>SUM($G$5:$G47)</f>
        <v>1131801200</v>
      </c>
      <c r="I47" s="77">
        <f t="array" ref="I47">MIN(IF(树木!$S$5:$S$85&gt;=$H47,树木!$P$5:$P$85))</f>
        <v>67.63</v>
      </c>
      <c r="J47" s="77">
        <f t="array" ref="J47">MIN(IF(树木!$S$5:$S$85&gt;=$H47,树木!$O$5:$O$85))</f>
        <v>78</v>
      </c>
      <c r="K47" s="77">
        <f t="array" ref="K47">MIN(IF(树木!$X$5:$X$85&gt;=$H47,树木!$U$5:$U$85))</f>
        <v>36.619999999999997</v>
      </c>
      <c r="L47" s="77">
        <f t="array" ref="L47">MIN(IF(树木!$X$5:$X$85&gt;=$H47,树木!$O$5:$O$85))</f>
        <v>83</v>
      </c>
      <c r="M47" s="80">
        <f t="shared" si="9"/>
        <v>248</v>
      </c>
      <c r="Q47" s="77">
        <v>62</v>
      </c>
      <c r="R47" s="77">
        <f>INDEX(等级时间!$U$3:$AU$203,MATCH($Q47,等级时间!$U$3:$U$203,0),MATCH(R$4,等级时间!$U$3:$AU$3,0))</f>
        <v>27.47</v>
      </c>
      <c r="S47" s="77">
        <f t="shared" si="5"/>
        <v>1.629999999999999</v>
      </c>
      <c r="T47" s="77">
        <f t="array" ref="T47">INDEX($F$4:$F$104,MATCH(MAX(IF($J$5:$J$104&lt;=$Q47,$J$5:$J$104)),$J$4:$J$104,0),0)*S47*IF($Q47&gt;=$O$7,3,IF($Q47&gt;=$O$6,2,1))</f>
        <v>50782258.799999967</v>
      </c>
      <c r="U47" s="77">
        <f>SUM($T$5:$T47)</f>
        <v>219017777.80000001</v>
      </c>
      <c r="W47" s="77">
        <f>INDEX(等级时间!$U$3:$AU$203,MATCH($Q47,等级时间!$U$3:$U$203,0),MATCH(W$4,等级时间!$U$3:$AU$3,0))</f>
        <v>11.54</v>
      </c>
      <c r="X47" s="77">
        <f t="shared" si="6"/>
        <v>0.67999999999999972</v>
      </c>
      <c r="Y47" s="77">
        <f t="array" ref="Y47">INDEX($F$4:$F$104,MATCH(MAX(IF($J$5:$J$104&lt;=$Q47,$J$5:$J$104)),$J$4:$J$104,0),0)*X47*IF($Q47&gt;=$O$7,3,IF($Q47&gt;=$O$6,2,1))</f>
        <v>21185236.79999999</v>
      </c>
      <c r="Z47" s="77">
        <f>SUM($Y$5:$Y47)</f>
        <v>92070045.199999958</v>
      </c>
    </row>
    <row r="48" spans="2:26" x14ac:dyDescent="0.15">
      <c r="B48" s="77">
        <v>44</v>
      </c>
      <c r="C48" s="77">
        <f t="array" ref="C48">MIN(IF(体力抽奖!$C$48:$C$60&gt;=$J48,体力抽奖!$J$48:$J$60))</f>
        <v>17</v>
      </c>
      <c r="D48" s="77">
        <f>VLOOKUP($C48,猫咪!$B:$E,4,0)</f>
        <v>655.36</v>
      </c>
      <c r="E48" s="110">
        <f t="shared" si="0"/>
        <v>72000</v>
      </c>
      <c r="F48" s="101">
        <f t="shared" si="3"/>
        <v>47257920</v>
      </c>
      <c r="G48" s="83">
        <f t="shared" si="8"/>
        <v>160000000</v>
      </c>
      <c r="H48" s="77">
        <f>SUM($G$5:$G48)</f>
        <v>1291801200</v>
      </c>
      <c r="I48" s="77">
        <f t="array" ref="I48">MIN(IF(树木!$S$5:$S$85&gt;=$H48,树木!$P$5:$P$85))</f>
        <v>71.22</v>
      </c>
      <c r="J48" s="77">
        <f t="array" ref="J48">MIN(IF(树木!$S$5:$S$85&gt;=$H48,树木!$O$5:$O$85))</f>
        <v>79</v>
      </c>
      <c r="K48" s="77">
        <f t="array" ref="K48">MIN(IF(树木!$X$5:$X$85&gt;=$H48,树木!$U$5:$U$85))</f>
        <v>38.479999999999997</v>
      </c>
      <c r="L48" s="77">
        <f t="array" ref="L48">MIN(IF(树木!$X$5:$X$85&gt;=$H48,树木!$O$5:$O$85))</f>
        <v>84</v>
      </c>
      <c r="M48" s="80">
        <f t="shared" si="9"/>
        <v>250</v>
      </c>
      <c r="Q48" s="77">
        <v>63</v>
      </c>
      <c r="R48" s="77">
        <f>INDEX(等级时间!$U$3:$AU$203,MATCH($Q48,等级时间!$U$3:$U$203,0),MATCH(R$4,等级时间!$U$3:$AU$3,0))</f>
        <v>29.19</v>
      </c>
      <c r="S48" s="77">
        <f t="shared" si="5"/>
        <v>1.7200000000000024</v>
      </c>
      <c r="T48" s="77">
        <f t="array" ref="T48">INDEX($F$4:$F$104,MATCH(MAX(IF($J$5:$J$104&lt;=$Q48,$J$5:$J$104)),$J$4:$J$104,0),0)*S48*IF($Q48&gt;=$O$7,3,IF($Q48&gt;=$O$6,2,1))</f>
        <v>54011474.40000008</v>
      </c>
      <c r="U48" s="77">
        <f>SUM($T$5:$T48)</f>
        <v>273029252.20000011</v>
      </c>
      <c r="W48" s="77">
        <f>INDEX(等级时间!$U$3:$AU$203,MATCH($Q48,等级时间!$U$3:$U$203,0),MATCH(W$4,等级时间!$U$3:$AU$3,0))</f>
        <v>12.26</v>
      </c>
      <c r="X48" s="77">
        <f t="shared" si="6"/>
        <v>0.72000000000000064</v>
      </c>
      <c r="Y48" s="77">
        <f t="array" ref="Y48">INDEX($F$4:$F$104,MATCH(MAX(IF($J$5:$J$104&lt;=$Q48,$J$5:$J$104)),$J$4:$J$104,0),0)*X48*IF($Q48&gt;=$O$7,3,IF($Q48&gt;=$O$6,2,1))</f>
        <v>22609454.400000021</v>
      </c>
      <c r="Z48" s="77">
        <f>SUM($Y$5:$Y48)</f>
        <v>114679499.59999998</v>
      </c>
    </row>
    <row r="49" spans="2:26" x14ac:dyDescent="0.15">
      <c r="B49" s="77">
        <v>45</v>
      </c>
      <c r="C49" s="77">
        <f t="array" ref="C49">MIN(IF(体力抽奖!$C$48:$C$60&gt;=$J49,体力抽奖!$J$48:$J$60))</f>
        <v>18</v>
      </c>
      <c r="D49" s="77">
        <f>VLOOKUP($C49,猫咪!$B:$E,4,0)</f>
        <v>1310.72</v>
      </c>
      <c r="E49" s="110">
        <f t="shared" si="0"/>
        <v>72500</v>
      </c>
      <c r="F49" s="101">
        <f t="shared" si="3"/>
        <v>95099700</v>
      </c>
      <c r="G49" s="83">
        <f t="shared" si="8"/>
        <v>180000000</v>
      </c>
      <c r="H49" s="77">
        <f>SUM($G$5:$G49)</f>
        <v>1471801200</v>
      </c>
      <c r="I49" s="77">
        <f t="array" ref="I49">MIN(IF(树木!$S$5:$S$85&gt;=$H49,树木!$P$5:$P$85))</f>
        <v>74.959999999999994</v>
      </c>
      <c r="J49" s="77">
        <f t="array" ref="J49">MIN(IF(树木!$S$5:$S$85&gt;=$H49,树木!$O$5:$O$85))</f>
        <v>80</v>
      </c>
      <c r="K49" s="77">
        <f t="array" ref="K49">MIN(IF(树木!$X$5:$X$85&gt;=$H49,树木!$U$5:$U$85))</f>
        <v>40.4</v>
      </c>
      <c r="L49" s="77">
        <f t="array" ref="L49">MIN(IF(树木!$X$5:$X$85&gt;=$H49,树木!$O$5:$O$85))</f>
        <v>85</v>
      </c>
      <c r="M49" s="80">
        <f t="shared" si="9"/>
        <v>251</v>
      </c>
      <c r="Q49" s="77">
        <v>64</v>
      </c>
      <c r="R49" s="77">
        <f>INDEX(等级时间!$U$3:$AU$203,MATCH($Q49,等级时间!$U$3:$U$203,0),MATCH(R$4,等级时间!$U$3:$AU$3,0))</f>
        <v>31</v>
      </c>
      <c r="S49" s="77">
        <f t="shared" si="5"/>
        <v>1.8099999999999987</v>
      </c>
      <c r="T49" s="77">
        <f t="array" ref="T49">INDEX($F$4:$F$104,MATCH(MAX(IF($J$5:$J$104&lt;=$Q49,$J$5:$J$104)),$J$4:$J$104,0),0)*S49*IF($Q49&gt;=$O$7,3,IF($Q49&gt;=$O$6,2,1))</f>
        <v>57285196.79999996</v>
      </c>
      <c r="U49" s="77">
        <f>SUM($T$5:$T49)</f>
        <v>330314449.00000006</v>
      </c>
      <c r="W49" s="77">
        <f>INDEX(等级时间!$U$3:$AU$203,MATCH($Q49,等级时间!$U$3:$U$203,0),MATCH(W$4,等级时间!$U$3:$AU$3,0))</f>
        <v>13.02</v>
      </c>
      <c r="X49" s="77">
        <f t="shared" si="6"/>
        <v>0.75999999999999979</v>
      </c>
      <c r="Y49" s="77">
        <f t="array" ref="Y49">INDEX($F$4:$F$104,MATCH(MAX(IF($J$5:$J$104&lt;=$Q49,$J$5:$J$104)),$J$4:$J$104,0),0)*X49*IF($Q49&gt;=$O$7,3,IF($Q49&gt;=$O$6,2,1))</f>
        <v>24053452.799999993</v>
      </c>
      <c r="Z49" s="77">
        <f>SUM($Y$5:$Y49)</f>
        <v>138732952.39999998</v>
      </c>
    </row>
    <row r="50" spans="2:26" x14ac:dyDescent="0.15">
      <c r="B50" s="77">
        <v>46</v>
      </c>
      <c r="C50" s="77">
        <f t="array" ref="C50">MIN(IF(体力抽奖!$C$48:$C$60&gt;=$J50,体力抽奖!$J$48:$J$60))</f>
        <v>18</v>
      </c>
      <c r="D50" s="77">
        <f>VLOOKUP($C50,猫咪!$B:$E,4,0)</f>
        <v>1310.72</v>
      </c>
      <c r="E50" s="110">
        <f t="shared" si="0"/>
        <v>73000</v>
      </c>
      <c r="F50" s="101">
        <f t="shared" si="3"/>
        <v>95755560</v>
      </c>
      <c r="G50" s="83">
        <f t="shared" si="8"/>
        <v>210000000</v>
      </c>
      <c r="H50" s="77">
        <f>SUM($G$5:$G50)</f>
        <v>1681801200</v>
      </c>
      <c r="I50" s="77">
        <f t="array" ref="I50">MIN(IF(树木!$S$5:$S$85&gt;=$H50,树木!$P$5:$P$85))</f>
        <v>74.959999999999994</v>
      </c>
      <c r="J50" s="77">
        <f t="array" ref="J50">MIN(IF(树木!$S$5:$S$85&gt;=$H50,树木!$O$5:$O$85))</f>
        <v>80</v>
      </c>
      <c r="K50" s="77">
        <f t="array" ref="K50">MIN(IF(树木!$X$5:$X$85&gt;=$H50,树木!$U$5:$U$85))</f>
        <v>42.41</v>
      </c>
      <c r="L50" s="77">
        <f t="array" ref="L50">MIN(IF(树木!$X$5:$X$85&gt;=$H50,树木!$O$5:$O$85))</f>
        <v>86</v>
      </c>
      <c r="M50" s="80">
        <f t="shared" si="9"/>
        <v>253</v>
      </c>
      <c r="Q50" s="77">
        <v>65</v>
      </c>
      <c r="R50" s="77">
        <f>INDEX(等级时间!$U$3:$AU$203,MATCH($Q50,等级时间!$U$3:$U$203,0),MATCH(R$4,等级时间!$U$3:$AU$3,0))</f>
        <v>32.9</v>
      </c>
      <c r="S50" s="77">
        <f t="shared" si="5"/>
        <v>1.8999999999999986</v>
      </c>
      <c r="T50" s="77">
        <f t="array" ref="T50">INDEX($F$4:$F$104,MATCH(MAX(IF($J$5:$J$104&lt;=$Q50,$J$5:$J$104)),$J$4:$J$104,0),0)*S50*IF($Q50&gt;=$O$7,3,IF($Q50&gt;=$O$6,2,1))</f>
        <v>60603425.999999955</v>
      </c>
      <c r="U50" s="77">
        <f>SUM($T$5:$T50)</f>
        <v>390917875</v>
      </c>
      <c r="W50" s="77">
        <f>INDEX(等级时间!$U$3:$AU$203,MATCH($Q50,等级时间!$U$3:$U$203,0),MATCH(W$4,等级时间!$U$3:$AU$3,0))</f>
        <v>13.82</v>
      </c>
      <c r="X50" s="77">
        <f t="shared" si="6"/>
        <v>0.80000000000000071</v>
      </c>
      <c r="Y50" s="77">
        <f t="array" ref="Y50">INDEX($F$4:$F$104,MATCH(MAX(IF($J$5:$J$104&lt;=$Q50,$J$5:$J$104)),$J$4:$J$104,0),0)*X50*IF($Q50&gt;=$O$7,3,IF($Q50&gt;=$O$6,2,1))</f>
        <v>25517232.000000022</v>
      </c>
      <c r="Z50" s="77">
        <f>SUM($Y$5:$Y50)</f>
        <v>164250184.40000001</v>
      </c>
    </row>
    <row r="51" spans="2:26" x14ac:dyDescent="0.15">
      <c r="B51" s="77">
        <v>47</v>
      </c>
      <c r="C51" s="77">
        <f t="array" ref="C51">MIN(IF(体力抽奖!$C$48:$C$60&gt;=$J51,体力抽奖!$J$48:$J$60))</f>
        <v>18</v>
      </c>
      <c r="D51" s="77">
        <f>VLOOKUP($C51,猫咪!$B:$E,4,0)</f>
        <v>1310.72</v>
      </c>
      <c r="E51" s="110">
        <f t="shared" si="0"/>
        <v>73500</v>
      </c>
      <c r="F51" s="101">
        <f t="shared" si="3"/>
        <v>96411420</v>
      </c>
      <c r="G51" s="83">
        <f t="shared" si="8"/>
        <v>230000000</v>
      </c>
      <c r="H51" s="77">
        <f>SUM($G$5:$G51)</f>
        <v>1911801200</v>
      </c>
      <c r="I51" s="77">
        <f t="array" ref="I51">MIN(IF(树木!$S$5:$S$85&gt;=$H51,树木!$P$5:$P$85))</f>
        <v>78.86</v>
      </c>
      <c r="J51" s="77">
        <f t="array" ref="J51">MIN(IF(树木!$S$5:$S$85&gt;=$H51,树木!$O$5:$O$85))</f>
        <v>81</v>
      </c>
      <c r="K51" s="77">
        <f t="array" ref="K51">MIN(IF(树木!$X$5:$X$85&gt;=$H51,树木!$U$5:$U$85))</f>
        <v>46.67</v>
      </c>
      <c r="L51" s="77">
        <f t="array" ref="L51">MIN(IF(树木!$X$5:$X$85&gt;=$H51,树木!$O$5:$O$85))</f>
        <v>88</v>
      </c>
      <c r="M51" s="80">
        <f t="shared" si="9"/>
        <v>255</v>
      </c>
      <c r="Q51" s="77">
        <v>66</v>
      </c>
      <c r="R51" s="77">
        <f>INDEX(等级时间!$U$3:$AU$203,MATCH($Q51,等级时间!$U$3:$U$203,0),MATCH(R$4,等级时间!$U$3:$AU$3,0))</f>
        <v>34.89</v>
      </c>
      <c r="S51" s="77">
        <f t="shared" si="5"/>
        <v>1.990000000000002</v>
      </c>
      <c r="T51" s="77">
        <f t="array" ref="T51">INDEX($F$4:$F$104,MATCH(MAX(IF($J$5:$J$104&lt;=$Q51,$J$5:$J$104)),$J$4:$J$104,0),0)*S51*IF($Q51&gt;=$O$7,3,IF($Q51&gt;=$O$6,2,1))</f>
        <v>63966162.000000067</v>
      </c>
      <c r="U51" s="77">
        <f>SUM($T$5:$T51)</f>
        <v>454884037.00000006</v>
      </c>
      <c r="W51" s="77">
        <f>INDEX(等级时间!$U$3:$AU$203,MATCH($Q51,等级时间!$U$3:$U$203,0),MATCH(W$4,等级时间!$U$3:$AU$3,0))</f>
        <v>14.66</v>
      </c>
      <c r="X51" s="77">
        <f t="shared" si="6"/>
        <v>0.83999999999999986</v>
      </c>
      <c r="Y51" s="77">
        <f t="array" ref="Y51">INDEX($F$4:$F$104,MATCH(MAX(IF($J$5:$J$104&lt;=$Q51,$J$5:$J$104)),$J$4:$J$104,0),0)*X51*IF($Q51&gt;=$O$7,3,IF($Q51&gt;=$O$6,2,1))</f>
        <v>27000791.999999993</v>
      </c>
      <c r="Z51" s="77">
        <f>SUM($Y$5:$Y51)</f>
        <v>191250976.40000001</v>
      </c>
    </row>
    <row r="52" spans="2:26" x14ac:dyDescent="0.15">
      <c r="B52" s="77">
        <v>48</v>
      </c>
      <c r="C52" s="77">
        <f t="array" ref="C52">MIN(IF(体力抽奖!$C$48:$C$60&gt;=$J52,体力抽奖!$J$48:$J$60))</f>
        <v>18</v>
      </c>
      <c r="D52" s="77">
        <f>VLOOKUP($C52,猫咪!$B:$E,4,0)</f>
        <v>1310.72</v>
      </c>
      <c r="E52" s="110">
        <f t="shared" si="0"/>
        <v>74000</v>
      </c>
      <c r="F52" s="101">
        <f t="shared" si="3"/>
        <v>97067280</v>
      </c>
      <c r="G52" s="83">
        <f t="shared" si="8"/>
        <v>250000000</v>
      </c>
      <c r="H52" s="77">
        <f>SUM($G$5:$G52)</f>
        <v>2161801200</v>
      </c>
      <c r="I52" s="77">
        <f t="array" ref="I52">MIN(IF(树木!$S$5:$S$85&gt;=$H52,树木!$P$5:$P$85))</f>
        <v>82.93</v>
      </c>
      <c r="J52" s="77">
        <f t="array" ref="J52">MIN(IF(树木!$S$5:$S$85&gt;=$H52,树木!$O$5:$O$85))</f>
        <v>82</v>
      </c>
      <c r="K52" s="77">
        <f t="array" ref="K52">MIN(IF(树木!$X$5:$X$85&gt;=$H52,树木!$U$5:$U$85))</f>
        <v>48.92</v>
      </c>
      <c r="L52" s="77">
        <f t="array" ref="L52">MIN(IF(树木!$X$5:$X$85&gt;=$H52,树木!$O$5:$O$85))</f>
        <v>89</v>
      </c>
      <c r="M52" s="80">
        <f t="shared" si="9"/>
        <v>256</v>
      </c>
      <c r="Q52" s="77">
        <v>67</v>
      </c>
      <c r="R52" s="77">
        <f>INDEX(等级时间!$U$3:$AU$203,MATCH($Q52,等级时间!$U$3:$U$203,0),MATCH(R$4,等级时间!$U$3:$AU$3,0))</f>
        <v>36.979999999999997</v>
      </c>
      <c r="S52" s="77">
        <f t="shared" si="5"/>
        <v>2.0899999999999963</v>
      </c>
      <c r="T52" s="77">
        <f t="array" ref="T52">INDEX($F$4:$F$104,MATCH(MAX(IF($J$5:$J$104&lt;=$Q52,$J$5:$J$104)),$J$4:$J$104,0),0)*S52*IF($Q52&gt;=$O$7,3,IF($Q52&gt;=$O$6,2,1))</f>
        <v>67180541.999999881</v>
      </c>
      <c r="U52" s="77">
        <f>SUM($T$5:$T52)</f>
        <v>522064578.99999994</v>
      </c>
      <c r="W52" s="77">
        <f>INDEX(等级时间!$U$3:$AU$203,MATCH($Q52,等级时间!$U$3:$U$203,0),MATCH(W$4,等级时间!$U$3:$AU$3,0))</f>
        <v>15.54</v>
      </c>
      <c r="X52" s="77">
        <f t="shared" si="6"/>
        <v>0.87999999999999901</v>
      </c>
      <c r="Y52" s="77">
        <f t="array" ref="Y52">INDEX($F$4:$F$104,MATCH(MAX(IF($J$5:$J$104&lt;=$Q52,$J$5:$J$104)),$J$4:$J$104,0),0)*X52*IF($Q52&gt;=$O$7,3,IF($Q52&gt;=$O$6,2,1))</f>
        <v>28286543.999999966</v>
      </c>
      <c r="Z52" s="77">
        <f>SUM($Y$5:$Y52)</f>
        <v>219537520.39999998</v>
      </c>
    </row>
    <row r="53" spans="2:26" x14ac:dyDescent="0.15">
      <c r="B53" s="77">
        <v>49</v>
      </c>
      <c r="C53" s="77">
        <f t="array" ref="C53">MIN(IF(体力抽奖!$C$48:$C$60&gt;=$J53,体力抽奖!$J$48:$J$60))</f>
        <v>18</v>
      </c>
      <c r="D53" s="77">
        <f>VLOOKUP($C53,猫咪!$B:$E,4,0)</f>
        <v>1310.72</v>
      </c>
      <c r="E53" s="110">
        <f t="shared" si="0"/>
        <v>74500</v>
      </c>
      <c r="F53" s="101">
        <f t="shared" si="3"/>
        <v>97723140</v>
      </c>
      <c r="G53" s="83">
        <f t="shared" si="8"/>
        <v>280000000</v>
      </c>
      <c r="H53" s="77">
        <f>SUM($G$5:$G53)</f>
        <v>2441801200</v>
      </c>
      <c r="I53" s="77">
        <f t="array" ref="I53">MIN(IF(树木!$S$5:$S$85&gt;=$H53,树木!$P$5:$P$85))</f>
        <v>87.17</v>
      </c>
      <c r="J53" s="77">
        <f t="array" ref="J53">MIN(IF(树木!$S$5:$S$85&gt;=$H53,树木!$O$5:$O$85))</f>
        <v>83</v>
      </c>
      <c r="K53" s="77">
        <f t="array" ref="K53">MIN(IF(树木!$X$5:$X$85&gt;=$H53,树木!$U$5:$U$85))</f>
        <v>51.26</v>
      </c>
      <c r="L53" s="77">
        <f t="array" ref="L53">MIN(IF(树木!$X$5:$X$85&gt;=$H53,树木!$O$5:$O$85))</f>
        <v>90</v>
      </c>
      <c r="M53" s="80">
        <f t="shared" si="9"/>
        <v>258</v>
      </c>
      <c r="Q53" s="77">
        <v>68</v>
      </c>
      <c r="R53" s="77">
        <f>INDEX(等级时间!$U$3:$AU$203,MATCH($Q53,等级时间!$U$3:$U$203,0),MATCH(R$4,等级时间!$U$3:$AU$3,0))</f>
        <v>39.17</v>
      </c>
      <c r="S53" s="77">
        <f t="shared" si="5"/>
        <v>2.1900000000000048</v>
      </c>
      <c r="T53" s="77">
        <f t="array" ref="T53">INDEX($F$4:$F$104,MATCH(MAX(IF($J$5:$J$104&lt;=$Q53,$J$5:$J$104)),$J$4:$J$104,0),0)*S53*IF($Q53&gt;=$O$7,3,IF($Q53&gt;=$O$6,2,1))</f>
        <v>70936421.400000155</v>
      </c>
      <c r="U53" s="77">
        <f>SUM($T$5:$T53)</f>
        <v>593001000.4000001</v>
      </c>
      <c r="W53" s="77">
        <f>INDEX(等级时间!$U$3:$AU$203,MATCH($Q53,等级时间!$U$3:$U$203,0),MATCH(W$4,等级时间!$U$3:$AU$3,0))</f>
        <v>16.46</v>
      </c>
      <c r="X53" s="77">
        <f t="shared" si="6"/>
        <v>0.92000000000000171</v>
      </c>
      <c r="Y53" s="77">
        <f t="array" ref="Y53">INDEX($F$4:$F$104,MATCH(MAX(IF($J$5:$J$104&lt;=$Q53,$J$5:$J$104)),$J$4:$J$104,0),0)*X53*IF($Q53&gt;=$O$7,3,IF($Q53&gt;=$O$6,2,1))</f>
        <v>29799775.200000055</v>
      </c>
      <c r="Z53" s="77">
        <f>SUM($Y$5:$Y53)</f>
        <v>249337295.60000002</v>
      </c>
    </row>
    <row r="54" spans="2:26" x14ac:dyDescent="0.15">
      <c r="B54" s="77">
        <v>50</v>
      </c>
      <c r="C54" s="77">
        <f t="array" ref="C54">MIN(IF(体力抽奖!$C$48:$C$60&gt;=$J54,体力抽奖!$J$48:$J$60))</f>
        <v>18</v>
      </c>
      <c r="D54" s="77">
        <f>VLOOKUP($C54,猫咪!$B:$E,4,0)</f>
        <v>1310.72</v>
      </c>
      <c r="E54" s="110">
        <f t="shared" si="0"/>
        <v>75000</v>
      </c>
      <c r="F54" s="101">
        <f t="shared" si="3"/>
        <v>98379000</v>
      </c>
      <c r="G54" s="83">
        <f t="shared" si="8"/>
        <v>310000000</v>
      </c>
      <c r="H54" s="77">
        <f>SUM($G$5:$G54)</f>
        <v>2751801200</v>
      </c>
      <c r="I54" s="77">
        <f t="array" ref="I54">MIN(IF(树木!$S$5:$S$85&gt;=$H54,树木!$P$5:$P$85))</f>
        <v>87.17</v>
      </c>
      <c r="J54" s="77">
        <f t="array" ref="J54">MIN(IF(树木!$S$5:$S$85&gt;=$H54,树木!$O$5:$O$85))</f>
        <v>83</v>
      </c>
      <c r="K54" s="77">
        <f t="array" ref="K54">MIN(IF(树木!$X$5:$X$85&gt;=$H54,树木!$U$5:$U$85))</f>
        <v>51.26</v>
      </c>
      <c r="L54" s="77">
        <f t="array" ref="L54">MIN(IF(树木!$X$5:$X$85&gt;=$H54,树木!$O$5:$O$85))</f>
        <v>90</v>
      </c>
      <c r="M54" s="80">
        <f t="shared" si="9"/>
        <v>260</v>
      </c>
      <c r="O54" s="70">
        <f>SUM(G54:G63)</f>
        <v>4940000000</v>
      </c>
      <c r="P54" s="70">
        <f>O54/100000</f>
        <v>49400</v>
      </c>
      <c r="Q54" s="77">
        <v>69</v>
      </c>
      <c r="R54" s="77">
        <f>INDEX(等级时间!$U$3:$AU$203,MATCH($Q54,等级时间!$U$3:$U$203,0),MATCH(R$4,等级时间!$U$3:$AU$3,0))</f>
        <v>41.47</v>
      </c>
      <c r="S54" s="77">
        <f t="shared" si="5"/>
        <v>2.2999999999999972</v>
      </c>
      <c r="T54" s="77">
        <f t="array" ref="T54">INDEX($F$4:$F$104,MATCH(MAX(IF($J$5:$J$104&lt;=$Q54,$J$5:$J$104)),$J$4:$J$104,0),0)*S54*IF($Q54&gt;=$O$7,3,IF($Q54&gt;=$O$6,2,1))</f>
        <v>74499437.999999911</v>
      </c>
      <c r="U54" s="77">
        <f>SUM($T$5:$T54)</f>
        <v>667500438.39999998</v>
      </c>
      <c r="W54" s="77">
        <f>INDEX(等级时间!$U$3:$AU$203,MATCH($Q54,等级时间!$U$3:$U$203,0),MATCH(W$4,等级时间!$U$3:$AU$3,0))</f>
        <v>17.420000000000002</v>
      </c>
      <c r="X54" s="77">
        <f t="shared" si="6"/>
        <v>0.96000000000000085</v>
      </c>
      <c r="Y54" s="77">
        <f t="array" ref="Y54">INDEX($F$4:$F$104,MATCH(MAX(IF($J$5:$J$104&lt;=$Q54,$J$5:$J$104)),$J$4:$J$104,0),0)*X54*IF($Q54&gt;=$O$7,3,IF($Q54&gt;=$O$6,2,1))</f>
        <v>31095417.600000024</v>
      </c>
      <c r="Z54" s="77">
        <f>SUM($Y$5:$Y54)</f>
        <v>280432713.20000005</v>
      </c>
    </row>
    <row r="55" spans="2:26" x14ac:dyDescent="0.15">
      <c r="B55" s="77">
        <v>51</v>
      </c>
      <c r="C55" s="77">
        <f t="array" ref="C55">MIN(IF(体力抽奖!$C$48:$C$60&gt;=$J55,体力抽奖!$J$48:$J$60))</f>
        <v>18</v>
      </c>
      <c r="D55" s="77">
        <f>VLOOKUP($C55,猫咪!$B:$E,4,0)</f>
        <v>1310.72</v>
      </c>
      <c r="E55" s="110">
        <f t="shared" si="0"/>
        <v>75500</v>
      </c>
      <c r="F55" s="101">
        <f t="shared" si="3"/>
        <v>99034860</v>
      </c>
      <c r="G55" s="83">
        <f t="shared" si="8"/>
        <v>350000000</v>
      </c>
      <c r="H55" s="77">
        <f>SUM($G$5:$G55)</f>
        <v>3101801200</v>
      </c>
      <c r="I55" s="77">
        <f t="array" ref="I55">MIN(IF(树木!$S$5:$S$85&gt;=$H55,树木!$P$5:$P$85))</f>
        <v>91.58</v>
      </c>
      <c r="J55" s="77">
        <f t="array" ref="J55">MIN(IF(树木!$S$5:$S$85&gt;=$H55,树木!$O$5:$O$85))</f>
        <v>84</v>
      </c>
      <c r="K55" s="77">
        <f t="array" ref="K55">MIN(IF(树木!$X$5:$X$85&gt;=$H55,树木!$U$5:$U$85))</f>
        <v>51.26</v>
      </c>
      <c r="L55" s="77">
        <f t="array" ref="L55">MIN(IF(树木!$X$5:$X$85&gt;=$H55,树木!$O$5:$O$85))</f>
        <v>90</v>
      </c>
      <c r="M55" s="80">
        <f t="shared" si="9"/>
        <v>262</v>
      </c>
      <c r="Q55" s="77">
        <v>70</v>
      </c>
      <c r="R55" s="77">
        <f>INDEX(等级时间!$U$3:$AU$203,MATCH($Q55,等级时间!$U$3:$U$203,0),MATCH(R$4,等级时间!$U$3:$AU$3,0))</f>
        <v>43.88</v>
      </c>
      <c r="S55" s="77">
        <f t="shared" si="5"/>
        <v>2.4100000000000037</v>
      </c>
      <c r="T55" s="77">
        <f t="array" ref="T55">INDEX($F$4:$F$104,MATCH(MAX(IF($J$5:$J$104&lt;=$Q55,$J$5:$J$104)),$J$4:$J$104,0),0)*S55*IF($Q55&gt;=$O$7,3,IF($Q55&gt;=$O$6,2,1))</f>
        <v>313201864.80000049</v>
      </c>
      <c r="U55" s="77">
        <f>SUM($T$5:$T55)</f>
        <v>980702303.20000052</v>
      </c>
      <c r="W55" s="77">
        <f>INDEX(等级时间!$U$3:$AU$203,MATCH($Q55,等级时间!$U$3:$U$203,0),MATCH(W$4,等级时间!$U$3:$AU$3,0))</f>
        <v>18.440000000000001</v>
      </c>
      <c r="X55" s="77">
        <f t="shared" si="6"/>
        <v>1.0199999999999996</v>
      </c>
      <c r="Y55" s="77">
        <f t="array" ref="Y55">INDEX($F$4:$F$104,MATCH(MAX(IF($J$5:$J$104&lt;=$Q55,$J$5:$J$104)),$J$4:$J$104,0),0)*X55*IF($Q55&gt;=$O$7,3,IF($Q55&gt;=$O$6,2,1))</f>
        <v>132558465.59999993</v>
      </c>
      <c r="Z55" s="77">
        <f>SUM($Y$5:$Y55)</f>
        <v>412991178.79999995</v>
      </c>
    </row>
    <row r="56" spans="2:26" x14ac:dyDescent="0.15">
      <c r="B56" s="77">
        <v>52</v>
      </c>
      <c r="C56" s="77">
        <f t="array" ref="C56">MIN(IF(体力抽奖!$C$48:$C$60&gt;=$J56,体力抽奖!$J$48:$J$60))</f>
        <v>18</v>
      </c>
      <c r="D56" s="77">
        <f>VLOOKUP($C56,猫咪!$B:$E,4,0)</f>
        <v>1310.72</v>
      </c>
      <c r="E56" s="110">
        <f t="shared" si="0"/>
        <v>76000</v>
      </c>
      <c r="F56" s="101">
        <f t="shared" si="3"/>
        <v>99690720</v>
      </c>
      <c r="G56" s="83">
        <f t="shared" si="8"/>
        <v>380000000</v>
      </c>
      <c r="H56" s="77">
        <f>SUM($G$5:$G56)</f>
        <v>3481801200</v>
      </c>
      <c r="I56" s="77">
        <f t="array" ref="I56">MIN(IF(树木!$S$5:$S$85&gt;=$H56,树木!$P$5:$P$85))</f>
        <v>96.17</v>
      </c>
      <c r="J56" s="77">
        <f t="array" ref="J56">MIN(IF(树木!$S$5:$S$85&gt;=$H56,树木!$O$5:$O$85))</f>
        <v>85</v>
      </c>
      <c r="K56" s="77">
        <f t="array" ref="K56">MIN(IF(树木!$X$5:$X$85&gt;=$H56,树木!$U$5:$U$85))</f>
        <v>53.69</v>
      </c>
      <c r="L56" s="77">
        <f t="array" ref="L56">MIN(IF(树木!$X$5:$X$85&gt;=$H56,树木!$O$5:$O$85))</f>
        <v>91</v>
      </c>
      <c r="M56" s="80">
        <f t="shared" si="9"/>
        <v>263</v>
      </c>
      <c r="Q56" s="77">
        <v>71</v>
      </c>
      <c r="R56" s="77">
        <f>INDEX(等级时间!$U$3:$AU$203,MATCH($Q56,等级时间!$U$3:$U$203,0),MATCH(R$4,等级时间!$U$3:$AU$3,0))</f>
        <v>46.4</v>
      </c>
      <c r="S56" s="77">
        <f t="shared" si="5"/>
        <v>2.519999999999996</v>
      </c>
      <c r="T56" s="77">
        <f t="array" ref="T56">INDEX($F$4:$F$104,MATCH(MAX(IF($J$5:$J$104&lt;=$Q56,$J$5:$J$104)),$J$4:$J$104,0),0)*S56*IF($Q56&gt;=$O$7,3,IF($Q56&gt;=$O$6,2,1))</f>
        <v>334940507.99999946</v>
      </c>
      <c r="U56" s="77">
        <f>SUM($T$5:$T56)</f>
        <v>1315642811.2</v>
      </c>
      <c r="W56" s="77">
        <f>INDEX(等级时间!$U$3:$AU$203,MATCH($Q56,等级时间!$U$3:$U$203,0),MATCH(W$4,等级时间!$U$3:$AU$3,0))</f>
        <v>19.5</v>
      </c>
      <c r="X56" s="77">
        <f t="shared" si="6"/>
        <v>1.0599999999999987</v>
      </c>
      <c r="Y56" s="77">
        <f t="array" ref="Y56">INDEX($F$4:$F$104,MATCH(MAX(IF($J$5:$J$104&lt;=$Q56,$J$5:$J$104)),$J$4:$J$104,0),0)*X56*IF($Q56&gt;=$O$7,3,IF($Q56&gt;=$O$6,2,1))</f>
        <v>140887673.99999982</v>
      </c>
      <c r="Z56" s="77">
        <f>SUM($Y$5:$Y56)</f>
        <v>553878852.79999971</v>
      </c>
    </row>
    <row r="57" spans="2:26" x14ac:dyDescent="0.15">
      <c r="B57" s="77">
        <v>53</v>
      </c>
      <c r="C57" s="77">
        <f t="array" ref="C57">MIN(IF(体力抽奖!$C$48:$C$60&gt;=$J57,体力抽奖!$J$48:$J$60))</f>
        <v>18</v>
      </c>
      <c r="D57" s="77">
        <f>VLOOKUP($C57,猫咪!$B:$E,4,0)</f>
        <v>1310.72</v>
      </c>
      <c r="E57" s="110">
        <f t="shared" si="0"/>
        <v>76500</v>
      </c>
      <c r="F57" s="101">
        <f t="shared" si="3"/>
        <v>100346580</v>
      </c>
      <c r="G57" s="83">
        <f t="shared" si="8"/>
        <v>420000000</v>
      </c>
      <c r="H57" s="77">
        <f>SUM($G$5:$G57)</f>
        <v>3901801200</v>
      </c>
      <c r="I57" s="77">
        <f t="array" ref="I57">MIN(IF(树木!$S$5:$S$85&gt;=$H57,树木!$P$5:$P$85))</f>
        <v>100.95</v>
      </c>
      <c r="J57" s="77">
        <f t="array" ref="J57">MIN(IF(树木!$S$5:$S$85&gt;=$H57,树木!$O$5:$O$85))</f>
        <v>86</v>
      </c>
      <c r="K57" s="77">
        <f t="array" ref="K57">MIN(IF(树木!$X$5:$X$85&gt;=$H57,树木!$U$5:$U$85))</f>
        <v>53.69</v>
      </c>
      <c r="L57" s="77">
        <f t="array" ref="L57">MIN(IF(树木!$X$5:$X$85&gt;=$H57,树木!$O$5:$O$85))</f>
        <v>91</v>
      </c>
      <c r="M57" s="80">
        <f t="shared" si="9"/>
        <v>265</v>
      </c>
      <c r="Q57" s="77">
        <v>72</v>
      </c>
      <c r="R57" s="77">
        <f>INDEX(等级时间!$U$3:$AU$203,MATCH($Q57,等级时间!$U$3:$U$203,0),MATCH(R$4,等级时间!$U$3:$AU$3,0))</f>
        <v>49.05</v>
      </c>
      <c r="S57" s="77">
        <f t="shared" si="5"/>
        <v>2.6499999999999986</v>
      </c>
      <c r="T57" s="77">
        <f t="array" ref="T57">INDEX($F$4:$F$104,MATCH(MAX(IF($J$5:$J$104&lt;=$Q57,$J$5:$J$104)),$J$4:$J$104,0),0)*S57*IF($Q57&gt;=$O$7,3,IF($Q57&gt;=$O$6,2,1))</f>
        <v>354828215.99999982</v>
      </c>
      <c r="U57" s="77">
        <f>SUM($T$5:$T57)</f>
        <v>1670471027.1999998</v>
      </c>
      <c r="W57" s="77">
        <f>INDEX(等级时间!$U$3:$AU$203,MATCH($Q57,等级时间!$U$3:$U$203,0),MATCH(W$4,等级时间!$U$3:$AU$3,0))</f>
        <v>20.61</v>
      </c>
      <c r="X57" s="77">
        <f t="shared" si="6"/>
        <v>1.1099999999999994</v>
      </c>
      <c r="Y57" s="77">
        <f t="array" ref="Y57">INDEX($F$4:$F$104,MATCH(MAX(IF($J$5:$J$104&lt;=$Q57,$J$5:$J$104)),$J$4:$J$104,0),0)*X57*IF($Q57&gt;=$O$7,3,IF($Q57&gt;=$O$6,2,1))</f>
        <v>148626158.39999992</v>
      </c>
      <c r="Z57" s="77">
        <f>SUM($Y$5:$Y57)</f>
        <v>702505011.19999957</v>
      </c>
    </row>
    <row r="58" spans="2:26" x14ac:dyDescent="0.15">
      <c r="B58" s="77">
        <v>54</v>
      </c>
      <c r="C58" s="77">
        <f t="array" ref="C58">MIN(IF(体力抽奖!$C$48:$C$60&gt;=$J58,体力抽奖!$J$48:$J$60))</f>
        <v>18</v>
      </c>
      <c r="D58" s="77">
        <f>VLOOKUP($C58,猫咪!$B:$E,4,0)</f>
        <v>1310.72</v>
      </c>
      <c r="E58" s="110">
        <f t="shared" si="0"/>
        <v>77000</v>
      </c>
      <c r="F58" s="101">
        <f t="shared" si="3"/>
        <v>101002440</v>
      </c>
      <c r="G58" s="83">
        <f t="shared" si="8"/>
        <v>460000000</v>
      </c>
      <c r="H58" s="77">
        <f>SUM($G$5:$G58)</f>
        <v>4361801200</v>
      </c>
      <c r="I58" s="77">
        <f t="array" ref="I58">MIN(IF(树木!$S$5:$S$85&gt;=$H58,树木!$P$5:$P$85))</f>
        <v>105.91</v>
      </c>
      <c r="J58" s="77">
        <f t="array" ref="J58">MIN(IF(树木!$S$5:$S$85&gt;=$H58,树木!$O$5:$O$85))</f>
        <v>87</v>
      </c>
      <c r="K58" s="77">
        <f t="array" ref="K58">MIN(IF(树木!$X$5:$X$85&gt;=$H58,树木!$U$5:$U$85))</f>
        <v>56.21</v>
      </c>
      <c r="L58" s="77">
        <f t="array" ref="L58">MIN(IF(树木!$X$5:$X$85&gt;=$H58,树木!$O$5:$O$85))</f>
        <v>92</v>
      </c>
      <c r="M58" s="80">
        <f t="shared" si="9"/>
        <v>267</v>
      </c>
      <c r="Q58" s="77">
        <v>73</v>
      </c>
      <c r="R58" s="77">
        <f>INDEX(等级时间!$U$3:$AU$203,MATCH($Q58,等级时间!$U$3:$U$203,0),MATCH(R$4,等级时间!$U$3:$AU$3,0))</f>
        <v>51.81</v>
      </c>
      <c r="S58" s="77">
        <f t="shared" si="5"/>
        <v>2.7600000000000051</v>
      </c>
      <c r="T58" s="77">
        <f t="array" ref="T58">INDEX($F$4:$F$104,MATCH(MAX(IF($J$5:$J$104&lt;=$Q58,$J$5:$J$104)),$J$4:$J$104,0),0)*S58*IF($Q58&gt;=$O$7,3,IF($Q58&gt;=$O$6,2,1))</f>
        <v>374991595.2000007</v>
      </c>
      <c r="U58" s="77">
        <f>SUM($T$5:$T58)</f>
        <v>2045462622.4000006</v>
      </c>
      <c r="W58" s="77">
        <f>INDEX(等级时间!$U$3:$AU$203,MATCH($Q58,等级时间!$U$3:$U$203,0),MATCH(W$4,等级时间!$U$3:$AU$3,0))</f>
        <v>21.77</v>
      </c>
      <c r="X58" s="77">
        <f t="shared" si="6"/>
        <v>1.1600000000000001</v>
      </c>
      <c r="Y58" s="77">
        <f t="array" ref="Y58">INDEX($F$4:$F$104,MATCH(MAX(IF($J$5:$J$104&lt;=$Q58,$J$5:$J$104)),$J$4:$J$104,0),0)*X58*IF($Q58&gt;=$O$7,3,IF($Q58&gt;=$O$6,2,1))</f>
        <v>157605163.20000002</v>
      </c>
      <c r="Z58" s="77">
        <f>SUM($Y$5:$Y58)</f>
        <v>860110174.39999962</v>
      </c>
    </row>
    <row r="59" spans="2:26" x14ac:dyDescent="0.15">
      <c r="B59" s="77">
        <v>55</v>
      </c>
      <c r="C59" s="77">
        <f t="array" ref="C59">MIN(IF(体力抽奖!$C$48:$C$60&gt;=$J59,体力抽奖!$J$48:$J$60))</f>
        <v>18</v>
      </c>
      <c r="D59" s="77">
        <f>VLOOKUP($C59,猫咪!$B:$E,4,0)</f>
        <v>1310.72</v>
      </c>
      <c r="E59" s="110">
        <f t="shared" si="0"/>
        <v>77500</v>
      </c>
      <c r="F59" s="101">
        <f t="shared" si="3"/>
        <v>101658300</v>
      </c>
      <c r="G59" s="83">
        <f t="shared" si="8"/>
        <v>500000000</v>
      </c>
      <c r="H59" s="77">
        <f>SUM($G$5:$G59)</f>
        <v>4861801200</v>
      </c>
      <c r="I59" s="77">
        <f t="array" ref="I59">MIN(IF(树木!$S$5:$S$85&gt;=$H59,树木!$P$5:$P$85))</f>
        <v>111.08</v>
      </c>
      <c r="J59" s="77">
        <f t="array" ref="J59">MIN(IF(树木!$S$5:$S$85&gt;=$H59,树木!$O$5:$O$85))</f>
        <v>88</v>
      </c>
      <c r="K59" s="77">
        <f t="array" ref="K59">MIN(IF(树木!$X$5:$X$85&gt;=$H59,树木!$U$5:$U$85))</f>
        <v>56.21</v>
      </c>
      <c r="L59" s="77">
        <f t="array" ref="L59">MIN(IF(树木!$X$5:$X$85&gt;=$H59,树木!$O$5:$O$85))</f>
        <v>92</v>
      </c>
      <c r="M59" s="80">
        <f t="shared" si="9"/>
        <v>269</v>
      </c>
      <c r="Q59" s="77">
        <v>74</v>
      </c>
      <c r="R59" s="77">
        <f>INDEX(等级时间!$U$3:$AU$203,MATCH($Q59,等级时间!$U$3:$U$203,0),MATCH(R$4,等级时间!$U$3:$AU$3,0))</f>
        <v>54.7</v>
      </c>
      <c r="S59" s="77">
        <f t="shared" si="5"/>
        <v>2.8900000000000006</v>
      </c>
      <c r="T59" s="77">
        <f t="array" ref="T59">INDEX($F$4:$F$104,MATCH(MAX(IF($J$5:$J$104&lt;=$Q59,$J$5:$J$104)),$J$4:$J$104,0),0)*S59*IF($Q59&gt;=$O$7,3,IF($Q59&gt;=$O$6,2,1))</f>
        <v>395499563.4000001</v>
      </c>
      <c r="U59" s="77">
        <f>SUM($T$5:$T59)</f>
        <v>2440962185.8000007</v>
      </c>
      <c r="W59" s="77">
        <f>INDEX(等级时间!$U$3:$AU$203,MATCH($Q59,等级时间!$U$3:$U$203,0),MATCH(W$4,等级时间!$U$3:$AU$3,0))</f>
        <v>22.98</v>
      </c>
      <c r="X59" s="77">
        <f t="shared" si="6"/>
        <v>1.2100000000000009</v>
      </c>
      <c r="Y59" s="77">
        <f t="array" ref="Y59">INDEX($F$4:$F$104,MATCH(MAX(IF($J$5:$J$104&lt;=$Q59,$J$5:$J$104)),$J$4:$J$104,0),0)*X59*IF($Q59&gt;=$O$7,3,IF($Q59&gt;=$O$6,2,1))</f>
        <v>165589782.60000011</v>
      </c>
      <c r="Z59" s="77">
        <f>SUM($Y$5:$Y59)</f>
        <v>1025699956.9999998</v>
      </c>
    </row>
    <row r="60" spans="2:26" x14ac:dyDescent="0.15">
      <c r="B60" s="77">
        <v>56</v>
      </c>
      <c r="C60" s="77">
        <f t="array" ref="C60">MIN(IF(体力抽奖!$C$48:$C$60&gt;=$J60,体力抽奖!$J$48:$J$60))</f>
        <v>18</v>
      </c>
      <c r="D60" s="77">
        <f>VLOOKUP($C60,猫咪!$B:$E,4,0)</f>
        <v>1310.72</v>
      </c>
      <c r="E60" s="110">
        <f t="shared" si="0"/>
        <v>78000</v>
      </c>
      <c r="F60" s="101">
        <f t="shared" si="3"/>
        <v>102314160</v>
      </c>
      <c r="G60" s="83">
        <f t="shared" si="8"/>
        <v>550000000</v>
      </c>
      <c r="H60" s="77">
        <f>SUM($G$5:$G60)</f>
        <v>5411801200</v>
      </c>
      <c r="I60" s="77">
        <f t="array" ref="I60">MIN(IF(树木!$S$5:$S$85&gt;=$H60,树木!$P$5:$P$85))</f>
        <v>116.44</v>
      </c>
      <c r="J60" s="77">
        <f t="array" ref="J60">MIN(IF(树木!$S$5:$S$85&gt;=$H60,树木!$O$5:$O$85))</f>
        <v>89</v>
      </c>
      <c r="K60" s="77">
        <f t="array" ref="K60">MIN(IF(树木!$X$5:$X$85&gt;=$H60,树木!$U$5:$U$85))</f>
        <v>58.83</v>
      </c>
      <c r="L60" s="77">
        <f t="array" ref="L60">MIN(IF(树木!$X$5:$X$85&gt;=$H60,树木!$O$5:$O$85))</f>
        <v>93</v>
      </c>
      <c r="M60" s="80">
        <f t="shared" si="9"/>
        <v>270</v>
      </c>
      <c r="Q60" s="77">
        <v>75</v>
      </c>
      <c r="R60" s="77">
        <f>INDEX(等级时间!$U$3:$AU$203,MATCH($Q60,等级时间!$U$3:$U$203,0),MATCH(R$4,等级时间!$U$3:$AU$3,0))</f>
        <v>57.73</v>
      </c>
      <c r="S60" s="77">
        <f t="shared" si="5"/>
        <v>3.029999999999994</v>
      </c>
      <c r="T60" s="77">
        <f t="array" ref="T60">INDEX($F$4:$F$104,MATCH(MAX(IF($J$5:$J$104&lt;=$Q60,$J$5:$J$104)),$J$4:$J$104,0),0)*S60*IF($Q60&gt;=$O$7,3,IF($Q60&gt;=$O$6,2,1))</f>
        <v>417641867.99999917</v>
      </c>
      <c r="U60" s="77">
        <f>SUM($T$5:$T60)</f>
        <v>2858604053.7999997</v>
      </c>
      <c r="W60" s="77">
        <f>INDEX(等级时间!$U$3:$AU$203,MATCH($Q60,等级时间!$U$3:$U$203,0),MATCH(W$4,等级时间!$U$3:$AU$3,0))</f>
        <v>24.25</v>
      </c>
      <c r="X60" s="77">
        <f t="shared" si="6"/>
        <v>1.2699999999999996</v>
      </c>
      <c r="Y60" s="77">
        <f t="array" ref="Y60">INDEX($F$4:$F$104,MATCH(MAX(IF($J$5:$J$104&lt;=$Q60,$J$5:$J$104)),$J$4:$J$104,0),0)*X60*IF($Q60&gt;=$O$7,3,IF($Q60&gt;=$O$6,2,1))</f>
        <v>175051211.99999994</v>
      </c>
      <c r="Z60" s="77">
        <f>SUM($Y$5:$Y60)</f>
        <v>1200751168.9999998</v>
      </c>
    </row>
    <row r="61" spans="2:26" x14ac:dyDescent="0.15">
      <c r="B61" s="77">
        <v>57</v>
      </c>
      <c r="C61" s="77">
        <f t="array" ref="C61">MIN(IF(体力抽奖!$C$48:$C$60&gt;=$J61,体力抽奖!$J$48:$J$60))</f>
        <v>20</v>
      </c>
      <c r="D61" s="77">
        <f>VLOOKUP($C61,猫咪!$B:$E,4,0)</f>
        <v>5242.88</v>
      </c>
      <c r="E61" s="110">
        <f t="shared" si="0"/>
        <v>78500</v>
      </c>
      <c r="F61" s="101">
        <f t="shared" si="3"/>
        <v>411644580</v>
      </c>
      <c r="G61" s="83">
        <f t="shared" si="8"/>
        <v>600000000</v>
      </c>
      <c r="H61" s="77">
        <f>SUM($G$5:$G61)</f>
        <v>6011801200</v>
      </c>
      <c r="I61" s="77">
        <f t="array" ref="I61">MIN(IF(树木!$S$5:$S$85&gt;=$H61,树木!$P$5:$P$85))</f>
        <v>122.01</v>
      </c>
      <c r="J61" s="77">
        <f t="array" ref="J61">MIN(IF(树木!$S$5:$S$85&gt;=$H61,树木!$O$5:$O$85))</f>
        <v>90</v>
      </c>
      <c r="K61" s="77">
        <f t="array" ref="K61">MIN(IF(树木!$X$5:$X$85&gt;=$H61,树木!$U$5:$U$85))</f>
        <v>58.83</v>
      </c>
      <c r="L61" s="77">
        <f t="array" ref="L61">MIN(IF(树木!$X$5:$X$85&gt;=$H61,树木!$O$5:$O$85))</f>
        <v>93</v>
      </c>
      <c r="M61" s="80">
        <f t="shared" si="9"/>
        <v>272</v>
      </c>
      <c r="Q61" s="77">
        <v>76</v>
      </c>
      <c r="R61" s="77">
        <f>INDEX(等级时间!$U$3:$AU$203,MATCH($Q61,等级时间!$U$3:$U$203,0),MATCH(R$4,等级时间!$U$3:$AU$3,0))</f>
        <v>60.89</v>
      </c>
      <c r="S61" s="77">
        <f t="shared" si="5"/>
        <v>3.1600000000000037</v>
      </c>
      <c r="T61" s="77">
        <f t="array" ref="T61">INDEX($F$4:$F$104,MATCH(MAX(IF($J$5:$J$104&lt;=$Q61,$J$5:$J$104)),$J$4:$J$104,0),0)*S61*IF($Q61&gt;=$O$7,3,IF($Q61&gt;=$O$6,2,1))</f>
        <v>438671642.40000045</v>
      </c>
      <c r="U61" s="77">
        <f>SUM($T$5:$T61)</f>
        <v>3297275696.2000003</v>
      </c>
      <c r="W61" s="77">
        <f>INDEX(等级时间!$U$3:$AU$203,MATCH($Q61,等级时间!$U$3:$U$203,0),MATCH(W$4,等级时间!$U$3:$AU$3,0))</f>
        <v>25.58</v>
      </c>
      <c r="X61" s="77">
        <f t="shared" si="6"/>
        <v>1.3299999999999983</v>
      </c>
      <c r="Y61" s="77">
        <f t="array" ref="Y61">INDEX($F$4:$F$104,MATCH(MAX(IF($J$5:$J$104&lt;=$Q61,$J$5:$J$104)),$J$4:$J$104,0),0)*X61*IF($Q61&gt;=$O$7,3,IF($Q61&gt;=$O$6,2,1))</f>
        <v>184630786.19999978</v>
      </c>
      <c r="Z61" s="77">
        <f>SUM($Y$5:$Y61)</f>
        <v>1385381955.1999996</v>
      </c>
    </row>
    <row r="62" spans="2:26" x14ac:dyDescent="0.15">
      <c r="B62" s="77">
        <v>58</v>
      </c>
      <c r="C62" s="77">
        <f t="array" ref="C62">MIN(IF(体力抽奖!$C$48:$C$60&gt;=$J62,体力抽奖!$J$48:$J$60))</f>
        <v>20</v>
      </c>
      <c r="D62" s="77">
        <f>VLOOKUP($C62,猫咪!$B:$E,4,0)</f>
        <v>5242.88</v>
      </c>
      <c r="E62" s="110">
        <f t="shared" si="0"/>
        <v>79000</v>
      </c>
      <c r="F62" s="101">
        <f t="shared" si="3"/>
        <v>414266520</v>
      </c>
      <c r="G62" s="83">
        <f t="shared" si="8"/>
        <v>660000000</v>
      </c>
      <c r="H62" s="77">
        <f>SUM($G$5:$G62)</f>
        <v>6671801200</v>
      </c>
      <c r="I62" s="77">
        <f t="array" ref="I62">MIN(IF(树木!$S$5:$S$85&gt;=$H62,树木!$P$5:$P$85))</f>
        <v>122.01</v>
      </c>
      <c r="J62" s="77">
        <f t="array" ref="J62">MIN(IF(树木!$S$5:$S$85&gt;=$H62,树木!$O$5:$O$85))</f>
        <v>90</v>
      </c>
      <c r="K62" s="77">
        <f t="array" ref="K62">MIN(IF(树木!$X$5:$X$85&gt;=$H62,树木!$U$5:$U$85))</f>
        <v>61.54</v>
      </c>
      <c r="L62" s="77">
        <f t="array" ref="L62">MIN(IF(树木!$X$5:$X$85&gt;=$H62,树木!$O$5:$O$85))</f>
        <v>94</v>
      </c>
      <c r="M62" s="80">
        <f t="shared" si="9"/>
        <v>274</v>
      </c>
      <c r="Q62" s="77">
        <v>77</v>
      </c>
      <c r="R62" s="77">
        <f>INDEX(等级时间!$U$3:$AU$203,MATCH($Q62,等级时间!$U$3:$U$203,0),MATCH(R$4,等级时间!$U$3:$AU$3,0))</f>
        <v>64.180000000000007</v>
      </c>
      <c r="S62" s="77">
        <f t="shared" si="5"/>
        <v>3.2900000000000063</v>
      </c>
      <c r="T62" s="77">
        <f t="array" ref="T62">INDEX($F$4:$F$104,MATCH(MAX(IF($J$5:$J$104&lt;=$Q62,$J$5:$J$104)),$J$4:$J$104,0),0)*S62*IF($Q62&gt;=$O$7,3,IF($Q62&gt;=$O$6,2,1))</f>
        <v>459957397.20000088</v>
      </c>
      <c r="U62" s="77">
        <f>SUM($T$5:$T62)</f>
        <v>3757233093.400001</v>
      </c>
      <c r="W62" s="77">
        <f>INDEX(等级时间!$U$3:$AU$203,MATCH($Q62,等级时间!$U$3:$U$203,0),MATCH(W$4,等级时间!$U$3:$AU$3,0))</f>
        <v>26.96</v>
      </c>
      <c r="X62" s="77">
        <f t="shared" si="6"/>
        <v>1.3800000000000026</v>
      </c>
      <c r="Y62" s="77">
        <f t="array" ref="Y62">INDEX($F$4:$F$104,MATCH(MAX(IF($J$5:$J$104&lt;=$Q62,$J$5:$J$104)),$J$4:$J$104,0),0)*X62*IF($Q62&gt;=$O$7,3,IF($Q62&gt;=$O$6,2,1))</f>
        <v>192930458.40000033</v>
      </c>
      <c r="Z62" s="77">
        <f>SUM($Y$5:$Y62)</f>
        <v>1578312413.5999999</v>
      </c>
    </row>
    <row r="63" spans="2:26" x14ac:dyDescent="0.15">
      <c r="B63" s="77">
        <v>59</v>
      </c>
      <c r="C63" s="77">
        <f t="array" ref="C63">MIN(IF(体力抽奖!$C$48:$C$60&gt;=$J63,体力抽奖!$J$48:$J$60))</f>
        <v>20</v>
      </c>
      <c r="D63" s="77">
        <f>VLOOKUP($C63,猫咪!$B:$E,4,0)</f>
        <v>5242.88</v>
      </c>
      <c r="E63" s="110">
        <f t="shared" si="0"/>
        <v>79500</v>
      </c>
      <c r="F63" s="101">
        <f t="shared" si="3"/>
        <v>416888460</v>
      </c>
      <c r="G63" s="83">
        <f t="shared" si="8"/>
        <v>710000000</v>
      </c>
      <c r="H63" s="77">
        <f>SUM($G$5:$G63)</f>
        <v>7381801200</v>
      </c>
      <c r="I63" s="77">
        <f t="array" ref="I63">MIN(IF(树木!$S$5:$S$85&gt;=$H63,树木!$P$5:$P$85))</f>
        <v>122.01</v>
      </c>
      <c r="J63" s="77">
        <f t="array" ref="J63">MIN(IF(树木!$S$5:$S$85&gt;=$H63,树木!$O$5:$O$85))</f>
        <v>90</v>
      </c>
      <c r="K63" s="77">
        <f t="array" ref="K63">MIN(IF(树木!$X$5:$X$85&gt;=$H63,树木!$U$5:$U$85))</f>
        <v>64.36</v>
      </c>
      <c r="L63" s="77">
        <f t="array" ref="L63">MIN(IF(树木!$X$5:$X$85&gt;=$H63,树木!$O$5:$O$85))</f>
        <v>95</v>
      </c>
      <c r="M63" s="80">
        <f t="shared" si="9"/>
        <v>276</v>
      </c>
      <c r="Q63" s="77">
        <v>78</v>
      </c>
      <c r="R63" s="77">
        <f>INDEX(等级时间!$U$3:$AU$203,MATCH($Q63,等级时间!$U$3:$U$203,0),MATCH(R$4,等级时间!$U$3:$AU$3,0))</f>
        <v>67.63</v>
      </c>
      <c r="S63" s="77">
        <f t="shared" si="5"/>
        <v>3.4499999999999886</v>
      </c>
      <c r="T63" s="77">
        <f t="array" ref="T63">INDEX($F$4:$F$104,MATCH(MAX(IF($J$5:$J$104&lt;=$Q63,$J$5:$J$104)),$J$4:$J$104,0),0)*S63*IF($Q63&gt;=$O$7,3,IF($Q63&gt;=$O$6,2,1))</f>
        <v>485722808.99999839</v>
      </c>
      <c r="U63" s="77">
        <f>SUM($T$5:$T63)</f>
        <v>4242955902.3999996</v>
      </c>
      <c r="W63" s="77">
        <f>INDEX(等级时间!$U$3:$AU$203,MATCH($Q63,等级时间!$U$3:$U$203,0),MATCH(W$4,等级时间!$U$3:$AU$3,0))</f>
        <v>28.41</v>
      </c>
      <c r="X63" s="77">
        <f t="shared" si="6"/>
        <v>1.4499999999999993</v>
      </c>
      <c r="Y63" s="77">
        <f t="array" ref="Y63">INDEX($F$4:$F$104,MATCH(MAX(IF($J$5:$J$104&lt;=$Q63,$J$5:$J$104)),$J$4:$J$104,0),0)*X63*IF($Q63&gt;=$O$7,3,IF($Q63&gt;=$O$6,2,1))</f>
        <v>204144368.99999991</v>
      </c>
      <c r="Z63" s="77">
        <f>SUM($Y$5:$Y63)</f>
        <v>1782456782.5999999</v>
      </c>
    </row>
    <row r="64" spans="2:26" x14ac:dyDescent="0.15">
      <c r="B64" s="77">
        <v>60</v>
      </c>
      <c r="C64" s="77">
        <f t="array" ref="C64">MIN(IF(体力抽奖!$C$48:$C$60&gt;=$J64,体力抽奖!$J$48:$J$60))</f>
        <v>20</v>
      </c>
      <c r="D64" s="77">
        <f>VLOOKUP($C64,猫咪!$B:$E,4,0)</f>
        <v>5242.88</v>
      </c>
      <c r="E64" s="110">
        <f t="shared" si="0"/>
        <v>80000</v>
      </c>
      <c r="F64" s="101">
        <f t="shared" si="3"/>
        <v>419510400</v>
      </c>
      <c r="G64" s="83">
        <f t="shared" si="8"/>
        <v>780000000</v>
      </c>
      <c r="H64" s="77">
        <f>SUM($G$5:$G64)</f>
        <v>8161801200</v>
      </c>
      <c r="I64" s="77">
        <f t="array" ref="I64">MIN(IF(树木!$S$5:$S$85&gt;=$H64,树木!$P$5:$P$85))</f>
        <v>127.79</v>
      </c>
      <c r="J64" s="77">
        <f t="array" ref="J64">MIN(IF(树木!$S$5:$S$85&gt;=$H64,树木!$O$5:$O$85))</f>
        <v>91</v>
      </c>
      <c r="K64" s="77">
        <f t="array" ref="K64">MIN(IF(树木!$X$5:$X$85&gt;=$H64,树木!$U$5:$U$85))</f>
        <v>64.36</v>
      </c>
      <c r="L64" s="77">
        <f t="array" ref="L64">MIN(IF(树木!$X$5:$X$85&gt;=$H64,树木!$O$5:$O$85))</f>
        <v>95</v>
      </c>
      <c r="M64" s="80">
        <f t="shared" si="9"/>
        <v>277</v>
      </c>
      <c r="O64" s="70">
        <f>SUM(G64:G73)</f>
        <v>11630000000</v>
      </c>
      <c r="P64" s="70">
        <f>O64/100000</f>
        <v>116300</v>
      </c>
      <c r="Q64" s="77">
        <v>79</v>
      </c>
      <c r="R64" s="77">
        <f>INDEX(等级时间!$U$3:$AU$203,MATCH($Q64,等级时间!$U$3:$U$203,0),MATCH(R$4,等级时间!$U$3:$AU$3,0))</f>
        <v>71.22</v>
      </c>
      <c r="S64" s="77">
        <f t="shared" si="5"/>
        <v>3.5900000000000034</v>
      </c>
      <c r="T64" s="77">
        <f t="array" ref="T64">INDEX($F$4:$F$104,MATCH(MAX(IF($J$5:$J$104&lt;=$Q64,$J$5:$J$104)),$J$4:$J$104,0),0)*S64*IF($Q64&gt;=$O$7,3,IF($Q64&gt;=$O$6,2,1))</f>
        <v>508967798.40000045</v>
      </c>
      <c r="U64" s="77">
        <f>SUM($T$5:$T64)</f>
        <v>4751923700.8000002</v>
      </c>
      <c r="W64" s="77">
        <f>INDEX(等级时间!$U$3:$AU$203,MATCH($Q64,等级时间!$U$3:$U$203,0),MATCH(W$4,等级时间!$U$3:$AU$3,0))</f>
        <v>29.92</v>
      </c>
      <c r="X64" s="77">
        <f t="shared" si="6"/>
        <v>1.5100000000000016</v>
      </c>
      <c r="Y64" s="77">
        <f t="array" ref="Y64">INDEX($F$4:$F$104,MATCH(MAX(IF($J$5:$J$104&lt;=$Q64,$J$5:$J$104)),$J$4:$J$104,0),0)*X64*IF($Q64&gt;=$O$7,3,IF($Q64&gt;=$O$6,2,1))</f>
        <v>214078377.60000023</v>
      </c>
      <c r="Z64" s="77">
        <f>SUM($Y$5:$Y64)</f>
        <v>1996535160.2</v>
      </c>
    </row>
    <row r="65" spans="2:26" x14ac:dyDescent="0.15">
      <c r="B65" s="77">
        <v>61</v>
      </c>
      <c r="C65" s="77">
        <f t="array" ref="C65">MIN(IF(体力抽奖!$C$48:$C$60&gt;=$J65,体力抽奖!$J$48:$J$60))</f>
        <v>20</v>
      </c>
      <c r="D65" s="77">
        <f>VLOOKUP($C65,猫咪!$B:$E,4,0)</f>
        <v>5242.88</v>
      </c>
      <c r="E65" s="110">
        <f t="shared" si="0"/>
        <v>80500</v>
      </c>
      <c r="F65" s="101">
        <f t="shared" si="3"/>
        <v>422132340</v>
      </c>
      <c r="G65" s="83">
        <f t="shared" si="8"/>
        <v>840000000</v>
      </c>
      <c r="H65" s="77">
        <f>SUM($G$5:$G65)</f>
        <v>9001801200</v>
      </c>
      <c r="I65" s="77">
        <f t="array" ref="I65">MIN(IF(树木!$S$5:$S$85&gt;=$H65,树木!$P$5:$P$85))</f>
        <v>127.79</v>
      </c>
      <c r="J65" s="77">
        <f t="array" ref="J65">MIN(IF(树木!$S$5:$S$85&gt;=$H65,树木!$O$5:$O$85))</f>
        <v>91</v>
      </c>
      <c r="K65" s="77">
        <f t="array" ref="K65">MIN(IF(树木!$X$5:$X$85&gt;=$H65,树木!$U$5:$U$85))</f>
        <v>67.27</v>
      </c>
      <c r="L65" s="77">
        <f t="array" ref="L65">MIN(IF(树木!$X$5:$X$85&gt;=$H65,树木!$O$5:$O$85))</f>
        <v>96</v>
      </c>
      <c r="M65" s="80">
        <f t="shared" si="9"/>
        <v>279</v>
      </c>
      <c r="Q65" s="77">
        <v>80</v>
      </c>
      <c r="R65" s="77">
        <f>INDEX(等级时间!$U$3:$AU$203,MATCH($Q65,等级时间!$U$3:$U$203,0),MATCH(R$4,等级时间!$U$3:$AU$3,0))</f>
        <v>74.959999999999994</v>
      </c>
      <c r="S65" s="77">
        <f t="shared" si="5"/>
        <v>3.7399999999999949</v>
      </c>
      <c r="T65" s="77">
        <f t="array" ref="T65">INDEX($F$4:$F$104,MATCH(MAX(IF($J$5:$J$104&lt;=$Q65,$J$5:$J$104)),$J$4:$J$104,0),0)*S65*IF($Q65&gt;=$O$7,3,IF($Q65&gt;=$O$6,2,1))</f>
        <v>1067018633.9999986</v>
      </c>
      <c r="U65" s="77">
        <f>SUM($T$5:$T65)</f>
        <v>5818942334.7999992</v>
      </c>
      <c r="W65" s="77">
        <f>INDEX(等级时间!$U$3:$AU$203,MATCH($Q65,等级时间!$U$3:$U$203,0),MATCH(W$4,等级时间!$U$3:$AU$3,0))</f>
        <v>31.49</v>
      </c>
      <c r="X65" s="77">
        <f t="shared" si="6"/>
        <v>1.5699999999999967</v>
      </c>
      <c r="Y65" s="77">
        <f t="array" ref="Y65">INDEX($F$4:$F$104,MATCH(MAX(IF($J$5:$J$104&lt;=$Q65,$J$5:$J$104)),$J$4:$J$104,0),0)*X65*IF($Q65&gt;=$O$7,3,IF($Q65&gt;=$O$6,2,1))</f>
        <v>447919586.99999911</v>
      </c>
      <c r="Z65" s="77">
        <f>SUM($Y$5:$Y65)</f>
        <v>2444454747.1999993</v>
      </c>
    </row>
    <row r="66" spans="2:26" x14ac:dyDescent="0.15">
      <c r="B66" s="77">
        <v>62</v>
      </c>
      <c r="C66" s="77">
        <f t="array" ref="C66">MIN(IF(体力抽奖!$C$48:$C$60&gt;=$J66,体力抽奖!$J$48:$J$60))</f>
        <v>20</v>
      </c>
      <c r="D66" s="77">
        <f>VLOOKUP($C66,猫咪!$B:$E,4,0)</f>
        <v>5242.88</v>
      </c>
      <c r="E66" s="110">
        <f t="shared" si="0"/>
        <v>81000</v>
      </c>
      <c r="F66" s="101">
        <f t="shared" si="3"/>
        <v>424754280</v>
      </c>
      <c r="G66" s="83">
        <f t="shared" si="8"/>
        <v>920000000</v>
      </c>
      <c r="H66" s="77">
        <f>SUM($G$5:$G66)</f>
        <v>9921801200</v>
      </c>
      <c r="I66" s="77">
        <f t="array" ref="I66">MIN(IF(树木!$S$5:$S$85&gt;=$H66,树木!$P$5:$P$85))</f>
        <v>133.80000000000001</v>
      </c>
      <c r="J66" s="77">
        <f t="array" ref="J66">MIN(IF(树木!$S$5:$S$85&gt;=$H66,树木!$O$5:$O$85))</f>
        <v>92</v>
      </c>
      <c r="K66" s="77">
        <f t="array" ref="K66">MIN(IF(树木!$X$5:$X$85&gt;=$H66,树木!$U$5:$U$85))</f>
        <v>70.290000000000006</v>
      </c>
      <c r="L66" s="77">
        <f t="array" ref="L66">MIN(IF(树木!$X$5:$X$85&gt;=$H66,树木!$O$5:$O$85))</f>
        <v>97</v>
      </c>
      <c r="M66" s="80">
        <f t="shared" si="9"/>
        <v>281</v>
      </c>
      <c r="Q66" s="77">
        <v>81</v>
      </c>
      <c r="R66" s="77">
        <f>INDEX(等级时间!$U$3:$AU$203,MATCH($Q66,等级时间!$U$3:$U$203,0),MATCH(R$4,等级时间!$U$3:$AU$3,0))</f>
        <v>78.86</v>
      </c>
      <c r="S66" s="77">
        <f t="shared" si="5"/>
        <v>3.9000000000000057</v>
      </c>
      <c r="T66" s="77">
        <f t="array" ref="T66">INDEX($F$4:$F$104,MATCH(MAX(IF($J$5:$J$104&lt;=$Q66,$J$5:$J$104)),$J$4:$J$104,0),0)*S66*IF($Q66&gt;=$O$7,3,IF($Q66&gt;=$O$6,2,1))</f>
        <v>1128013614.0000017</v>
      </c>
      <c r="U66" s="77">
        <f>SUM($T$5:$T66)</f>
        <v>6946955948.8000011</v>
      </c>
      <c r="W66" s="77">
        <f>INDEX(等级时间!$U$3:$AU$203,MATCH($Q66,等级时间!$U$3:$U$203,0),MATCH(W$4,等级时间!$U$3:$AU$3,0))</f>
        <v>33.130000000000003</v>
      </c>
      <c r="X66" s="77">
        <f t="shared" si="6"/>
        <v>1.6400000000000041</v>
      </c>
      <c r="Y66" s="77">
        <f t="array" ref="Y66">INDEX($F$4:$F$104,MATCH(MAX(IF($J$5:$J$104&lt;=$Q66,$J$5:$J$104)),$J$4:$J$104,0),0)*X66*IF($Q66&gt;=$O$7,3,IF($Q66&gt;=$O$6,2,1))</f>
        <v>474344186.40000117</v>
      </c>
      <c r="Z66" s="77">
        <f>SUM($Y$5:$Y66)</f>
        <v>2918798933.6000004</v>
      </c>
    </row>
    <row r="67" spans="2:26" x14ac:dyDescent="0.15">
      <c r="B67" s="77">
        <v>63</v>
      </c>
      <c r="C67" s="77">
        <f t="array" ref="C67">MIN(IF(体力抽奖!$C$48:$C$60&gt;=$J67,体力抽奖!$J$48:$J$60))</f>
        <v>20</v>
      </c>
      <c r="D67" s="77">
        <f>VLOOKUP($C67,猫咪!$B:$E,4,0)</f>
        <v>5242.88</v>
      </c>
      <c r="E67" s="110">
        <f t="shared" si="0"/>
        <v>81500</v>
      </c>
      <c r="F67" s="101">
        <f t="shared" si="3"/>
        <v>427376220</v>
      </c>
      <c r="G67" s="83">
        <f t="shared" si="8"/>
        <v>990000000</v>
      </c>
      <c r="H67" s="77">
        <f>SUM($G$5:$G67)</f>
        <v>10911801200</v>
      </c>
      <c r="I67" s="77">
        <f t="array" ref="I67">MIN(IF(树木!$S$5:$S$85&gt;=$H67,树木!$P$5:$P$85))</f>
        <v>133.80000000000001</v>
      </c>
      <c r="J67" s="77">
        <f t="array" ref="J67">MIN(IF(树木!$S$5:$S$85&gt;=$H67,树木!$O$5:$O$85))</f>
        <v>92</v>
      </c>
      <c r="K67" s="77">
        <f t="array" ref="K67">MIN(IF(树木!$X$5:$X$85&gt;=$H67,树木!$U$5:$U$85))</f>
        <v>73.42</v>
      </c>
      <c r="L67" s="77">
        <f t="array" ref="L67">MIN(IF(树木!$X$5:$X$85&gt;=$H67,树木!$O$5:$O$85))</f>
        <v>98</v>
      </c>
      <c r="M67" s="80">
        <f t="shared" si="9"/>
        <v>282</v>
      </c>
      <c r="Q67" s="77">
        <v>82</v>
      </c>
      <c r="R67" s="77">
        <f>INDEX(等级时间!$U$3:$AU$203,MATCH($Q67,等级时间!$U$3:$U$203,0),MATCH(R$4,等级时间!$U$3:$AU$3,0))</f>
        <v>82.93</v>
      </c>
      <c r="S67" s="77">
        <f t="shared" si="5"/>
        <v>4.0700000000000074</v>
      </c>
      <c r="T67" s="77">
        <f t="array" ref="T67">INDEX($F$4:$F$104,MATCH(MAX(IF($J$5:$J$104&lt;=$Q67,$J$5:$J$104)),$J$4:$J$104,0),0)*S67*IF($Q67&gt;=$O$7,3,IF($Q67&gt;=$O$6,2,1))</f>
        <v>1185191488.8000021</v>
      </c>
      <c r="U67" s="77">
        <f>SUM($T$5:$T67)</f>
        <v>8132147437.6000032</v>
      </c>
      <c r="W67" s="77">
        <f>INDEX(等级时间!$U$3:$AU$203,MATCH($Q67,等级时间!$U$3:$U$203,0),MATCH(W$4,等级时间!$U$3:$AU$3,0))</f>
        <v>34.840000000000003</v>
      </c>
      <c r="X67" s="77">
        <f t="shared" si="6"/>
        <v>1.7100000000000009</v>
      </c>
      <c r="Y67" s="77">
        <f t="array" ref="Y67">INDEX($F$4:$F$104,MATCH(MAX(IF($J$5:$J$104&lt;=$Q67,$J$5:$J$104)),$J$4:$J$104,0),0)*X67*IF($Q67&gt;=$O$7,3,IF($Q67&gt;=$O$6,2,1))</f>
        <v>497955146.40000021</v>
      </c>
      <c r="Z67" s="77">
        <f>SUM($Y$5:$Y67)</f>
        <v>3416754080.0000005</v>
      </c>
    </row>
    <row r="68" spans="2:26" x14ac:dyDescent="0.15">
      <c r="B68" s="77">
        <v>64</v>
      </c>
      <c r="C68" s="77">
        <f t="array" ref="C68">MIN(IF(体力抽奖!$C$48:$C$60&gt;=$J68,体力抽奖!$J$48:$J$60))</f>
        <v>20</v>
      </c>
      <c r="D68" s="77">
        <f>VLOOKUP($C68,猫咪!$B:$E,4,0)</f>
        <v>5242.88</v>
      </c>
      <c r="E68" s="110">
        <f t="shared" si="0"/>
        <v>82000</v>
      </c>
      <c r="F68" s="101">
        <f t="shared" si="3"/>
        <v>429998160</v>
      </c>
      <c r="G68" s="83">
        <f t="shared" si="8"/>
        <v>1100000000</v>
      </c>
      <c r="H68" s="77">
        <f>SUM($G$5:$G68)</f>
        <v>12011801200</v>
      </c>
      <c r="I68" s="77">
        <f t="array" ref="I68">MIN(IF(树木!$S$5:$S$85&gt;=$H68,树木!$P$5:$P$85))</f>
        <v>133.80000000000001</v>
      </c>
      <c r="J68" s="77">
        <f t="array" ref="J68">MIN(IF(树木!$S$5:$S$85&gt;=$H68,树木!$O$5:$O$85))</f>
        <v>92</v>
      </c>
      <c r="K68" s="77">
        <f t="array" ref="K68">MIN(IF(树木!$X$5:$X$85&gt;=$H68,树木!$U$5:$U$85))</f>
        <v>73.42</v>
      </c>
      <c r="L68" s="77">
        <f t="array" ref="L68">MIN(IF(树木!$X$5:$X$85&gt;=$H68,树木!$O$5:$O$85))</f>
        <v>98</v>
      </c>
      <c r="M68" s="80">
        <f t="shared" si="9"/>
        <v>284</v>
      </c>
      <c r="Q68" s="77">
        <v>83</v>
      </c>
      <c r="R68" s="77">
        <f>INDEX(等级时间!$U$3:$AU$203,MATCH($Q68,等级时间!$U$3:$U$203,0),MATCH(R$4,等级时间!$U$3:$AU$3,0))</f>
        <v>87.17</v>
      </c>
      <c r="S68" s="77">
        <f t="shared" si="5"/>
        <v>4.2399999999999949</v>
      </c>
      <c r="T68" s="77">
        <f t="array" ref="T68">INDEX($F$4:$F$104,MATCH(MAX(IF($J$5:$J$104&lt;=$Q68,$J$5:$J$104)),$J$4:$J$104,0),0)*S68*IF($Q68&gt;=$O$7,3,IF($Q68&gt;=$O$6,2,1))</f>
        <v>1243038340.7999985</v>
      </c>
      <c r="U68" s="77">
        <f>SUM($T$5:$T68)</f>
        <v>9375185778.4000015</v>
      </c>
      <c r="W68" s="77">
        <f>INDEX(等级时间!$U$3:$AU$203,MATCH($Q68,等级时间!$U$3:$U$203,0),MATCH(W$4,等级时间!$U$3:$AU$3,0))</f>
        <v>36.619999999999997</v>
      </c>
      <c r="X68" s="77">
        <f t="shared" si="6"/>
        <v>1.779999999999994</v>
      </c>
      <c r="Y68" s="77">
        <f t="array" ref="Y68">INDEX($F$4:$F$104,MATCH(MAX(IF($J$5:$J$104&lt;=$Q68,$J$5:$J$104)),$J$4:$J$104,0),0)*X68*IF($Q68&gt;=$O$7,3,IF($Q68&gt;=$O$6,2,1))</f>
        <v>521841567.59999824</v>
      </c>
      <c r="Z68" s="77">
        <f>SUM($Y$5:$Y68)</f>
        <v>3938595647.5999985</v>
      </c>
    </row>
    <row r="69" spans="2:26" x14ac:dyDescent="0.15">
      <c r="B69" s="77">
        <v>65</v>
      </c>
      <c r="C69" s="77">
        <f t="array" ref="C69">MIN(IF(体力抽奖!$C$48:$C$60&gt;=$J69,体力抽奖!$J$48:$J$60))</f>
        <v>20</v>
      </c>
      <c r="D69" s="77">
        <f>VLOOKUP($C69,猫咪!$B:$E,4,0)</f>
        <v>5242.88</v>
      </c>
      <c r="E69" s="110">
        <f t="shared" si="0"/>
        <v>82500</v>
      </c>
      <c r="F69" s="101">
        <f t="shared" si="3"/>
        <v>432620100</v>
      </c>
      <c r="G69" s="83">
        <f t="shared" ref="G69:G104" si="10">ROUND(B69^G$1+G$2,IF(LEN(INT(B69^G$1+G$2))&lt;3,1-LEN(INT(B69^G$1+G$2)),2-LEN(INT(B69^G$1+G$2))))</f>
        <v>1200000000</v>
      </c>
      <c r="H69" s="77">
        <f>SUM($G$5:$G69)</f>
        <v>13211801200</v>
      </c>
      <c r="I69" s="77">
        <f t="array" ref="I69">MIN(IF(树木!$S$5:$S$85&gt;=$H69,树木!$P$5:$P$85))</f>
        <v>140.03</v>
      </c>
      <c r="J69" s="77">
        <f t="array" ref="J69">MIN(IF(树木!$S$5:$S$85&gt;=$H69,树木!$O$5:$O$85))</f>
        <v>93</v>
      </c>
      <c r="K69" s="77">
        <f t="array" ref="K69">MIN(IF(树木!$X$5:$X$85&gt;=$H69,树木!$U$5:$U$85))</f>
        <v>76.66</v>
      </c>
      <c r="L69" s="77">
        <f t="array" ref="L69">MIN(IF(树木!$X$5:$X$85&gt;=$H69,树木!$O$5:$O$85))</f>
        <v>99</v>
      </c>
      <c r="M69" s="80">
        <f t="shared" ref="M69:M104" si="11">INT(E69/(3600*24)*300)</f>
        <v>286</v>
      </c>
      <c r="Q69" s="77">
        <v>84</v>
      </c>
      <c r="R69" s="77">
        <f>INDEX(等级时间!$U$3:$AU$203,MATCH($Q69,等级时间!$U$3:$U$203,0),MATCH(R$4,等级时间!$U$3:$AU$3,0))</f>
        <v>91.58</v>
      </c>
      <c r="S69" s="77">
        <f t="shared" si="5"/>
        <v>4.4099999999999966</v>
      </c>
      <c r="T69" s="77">
        <f t="array" ref="T69">INDEX($F$4:$F$104,MATCH(MAX(IF($J$5:$J$104&lt;=$Q69,$J$5:$J$104)),$J$4:$J$104,0),0)*S69*IF($Q69&gt;=$O$7,3,IF($Q69&gt;=$O$6,2,1))</f>
        <v>1310231197.799999</v>
      </c>
      <c r="U69" s="77">
        <f>SUM($T$5:$T69)</f>
        <v>10685416976.200001</v>
      </c>
      <c r="W69" s="77">
        <f>INDEX(等级时间!$U$3:$AU$203,MATCH($Q69,等级时间!$U$3:$U$203,0),MATCH(W$4,等级时间!$U$3:$AU$3,0))</f>
        <v>38.479999999999997</v>
      </c>
      <c r="X69" s="77">
        <f t="shared" si="6"/>
        <v>1.8599999999999994</v>
      </c>
      <c r="Y69" s="77">
        <f t="array" ref="Y69">INDEX($F$4:$F$104,MATCH(MAX(IF($J$5:$J$104&lt;=$Q69,$J$5:$J$104)),$J$4:$J$104,0),0)*X69*IF($Q69&gt;=$O$7,3,IF($Q69&gt;=$O$6,2,1))</f>
        <v>552614518.79999983</v>
      </c>
      <c r="Z69" s="77">
        <f>SUM($Y$5:$Y69)</f>
        <v>4491210166.3999987</v>
      </c>
    </row>
    <row r="70" spans="2:26" x14ac:dyDescent="0.15">
      <c r="B70" s="77">
        <v>66</v>
      </c>
      <c r="C70" s="77">
        <f t="array" ref="C70">MIN(IF(体力抽奖!$C$48:$C$60&gt;=$J70,体力抽奖!$J$48:$J$60))</f>
        <v>20</v>
      </c>
      <c r="D70" s="77">
        <f>VLOOKUP($C70,猫咪!$B:$E,4,0)</f>
        <v>5242.88</v>
      </c>
      <c r="E70" s="110">
        <f t="shared" ref="E70:E104" si="12">ROUND(B70*$E$1+$E$2,3-LEN(INT(B70*$E$1+$E$2)))</f>
        <v>83000</v>
      </c>
      <c r="F70" s="101">
        <f t="shared" ref="F70:F104" si="13">E70*(1+D70)</f>
        <v>435242040</v>
      </c>
      <c r="G70" s="83">
        <f t="shared" si="10"/>
        <v>1300000000</v>
      </c>
      <c r="H70" s="77">
        <f>SUM($G$5:$G70)</f>
        <v>14511801200</v>
      </c>
      <c r="I70" s="77">
        <f t="array" ref="I70">MIN(IF(树木!$S$5:$S$85&gt;=$H70,树木!$P$5:$P$85))</f>
        <v>140.03</v>
      </c>
      <c r="J70" s="77">
        <f t="array" ref="J70">MIN(IF(树木!$S$5:$S$85&gt;=$H70,树木!$O$5:$O$85))</f>
        <v>93</v>
      </c>
      <c r="K70" s="77">
        <f t="array" ref="K70">MIN(IF(树木!$X$5:$X$85&gt;=$H70,树木!$U$5:$U$85))</f>
        <v>80.010000000000005</v>
      </c>
      <c r="L70" s="77">
        <f t="array" ref="L70">MIN(IF(树木!$X$5:$X$85&gt;=$H70,树木!$O$5:$O$85))</f>
        <v>100</v>
      </c>
      <c r="M70" s="80">
        <f t="shared" si="11"/>
        <v>288</v>
      </c>
      <c r="Q70" s="77">
        <v>85</v>
      </c>
      <c r="R70" s="77">
        <f>INDEX(等级时间!$U$3:$AU$203,MATCH($Q70,等级时间!$U$3:$U$203,0),MATCH(R$4,等级时间!$U$3:$AU$3,0))</f>
        <v>96.17</v>
      </c>
      <c r="S70" s="77">
        <f t="shared" si="5"/>
        <v>4.5900000000000034</v>
      </c>
      <c r="T70" s="77">
        <f t="array" ref="T70">INDEX($F$4:$F$104,MATCH(MAX(IF($J$5:$J$104&lt;=$Q70,$J$5:$J$104)),$J$4:$J$104,0),0)*S70*IF($Q70&gt;=$O$7,3,IF($Q70&gt;=$O$6,2,1))</f>
        <v>1372741214.400001</v>
      </c>
      <c r="U70" s="77">
        <f>SUM($T$5:$T70)</f>
        <v>12058158190.600002</v>
      </c>
      <c r="W70" s="77">
        <f>INDEX(等级时间!$U$3:$AU$203,MATCH($Q70,等级时间!$U$3:$U$203,0),MATCH(W$4,等级时间!$U$3:$AU$3,0))</f>
        <v>40.4</v>
      </c>
      <c r="X70" s="77">
        <f t="shared" si="6"/>
        <v>1.9200000000000017</v>
      </c>
      <c r="Y70" s="77">
        <f t="array" ref="Y70">INDEX($F$4:$F$104,MATCH(MAX(IF($J$5:$J$104&lt;=$Q70,$J$5:$J$104)),$J$4:$J$104,0),0)*X70*IF($Q70&gt;=$O$7,3,IF($Q70&gt;=$O$6,2,1))</f>
        <v>574218547.20000052</v>
      </c>
      <c r="Z70" s="77">
        <f>SUM($Y$5:$Y70)</f>
        <v>5065428713.5999994</v>
      </c>
    </row>
    <row r="71" spans="2:26" x14ac:dyDescent="0.15">
      <c r="B71" s="77">
        <v>67</v>
      </c>
      <c r="C71" s="77">
        <f t="array" ref="C71">MIN(IF(体力抽奖!$C$48:$C$60&gt;=$J71,体力抽奖!$J$48:$J$60))</f>
        <v>20</v>
      </c>
      <c r="D71" s="77">
        <f>VLOOKUP($C71,猫咪!$B:$E,4,0)</f>
        <v>5242.88</v>
      </c>
      <c r="E71" s="110">
        <f t="shared" si="12"/>
        <v>83500</v>
      </c>
      <c r="F71" s="101">
        <f t="shared" si="13"/>
        <v>437863980</v>
      </c>
      <c r="G71" s="83">
        <f t="shared" si="10"/>
        <v>1400000000</v>
      </c>
      <c r="H71" s="77">
        <f>SUM($G$5:$G71)</f>
        <v>15911801200</v>
      </c>
      <c r="I71" s="77">
        <f t="array" ref="I71">MIN(IF(树木!$S$5:$S$85&gt;=$H71,树木!$P$5:$P$85))</f>
        <v>146.47999999999999</v>
      </c>
      <c r="J71" s="77">
        <f t="array" ref="J71">MIN(IF(树木!$S$5:$S$85&gt;=$H71,树木!$O$5:$O$85))</f>
        <v>94</v>
      </c>
      <c r="K71" s="77">
        <f t="array" ref="K71">MIN(IF(树木!$X$5:$X$85&gt;=$H71,树木!$U$5:$U$85))</f>
        <v>80.010000000000005</v>
      </c>
      <c r="L71" s="77">
        <f t="array" ref="L71">MIN(IF(树木!$X$5:$X$85&gt;=$H71,树木!$O$5:$O$85))</f>
        <v>100</v>
      </c>
      <c r="M71" s="80">
        <f t="shared" si="11"/>
        <v>289</v>
      </c>
      <c r="Q71" s="77">
        <v>86</v>
      </c>
      <c r="R71" s="77">
        <f>INDEX(等级时间!$U$3:$AU$203,MATCH($Q71,等级时间!$U$3:$U$203,0),MATCH(R$4,等级时间!$U$3:$AU$3,0))</f>
        <v>100.95</v>
      </c>
      <c r="S71" s="77">
        <f t="shared" ref="S71:S85" si="14">R71-R70</f>
        <v>4.7800000000000011</v>
      </c>
      <c r="T71" s="77">
        <f t="array" ref="T71">INDEX($F$4:$F$104,MATCH(MAX(IF($J$5:$J$104&lt;=$Q71,$J$5:$J$104)),$J$4:$J$104,0),0)*S71*IF($Q71&gt;=$O$7,3,IF($Q71&gt;=$O$6,2,1))</f>
        <v>1438969957.2000003</v>
      </c>
      <c r="U71" s="77">
        <f>SUM($T$5:$T71)</f>
        <v>13497128147.800003</v>
      </c>
      <c r="W71" s="77">
        <f>INDEX(等级时间!$U$3:$AU$203,MATCH($Q71,等级时间!$U$3:$U$203,0),MATCH(W$4,等级时间!$U$3:$AU$3,0))</f>
        <v>42.41</v>
      </c>
      <c r="X71" s="77">
        <f t="shared" ref="X71:X85" si="15">W71-W70</f>
        <v>2.009999999999998</v>
      </c>
      <c r="Y71" s="77">
        <f t="array" ref="Y71">INDEX($F$4:$F$104,MATCH(MAX(IF($J$5:$J$104&lt;=$Q71,$J$5:$J$104)),$J$4:$J$104,0),0)*X71*IF($Q71&gt;=$O$7,3,IF($Q71&gt;=$O$6,2,1))</f>
        <v>605089877.39999938</v>
      </c>
      <c r="Z71" s="77">
        <f>SUM($Y$5:$Y71)</f>
        <v>5670518590.999999</v>
      </c>
    </row>
    <row r="72" spans="2:26" x14ac:dyDescent="0.15">
      <c r="B72" s="77">
        <v>68</v>
      </c>
      <c r="C72" s="77">
        <f t="array" ref="C72">MIN(IF(体力抽奖!$C$48:$C$60&gt;=$J72,体力抽奖!$J$48:$J$60))</f>
        <v>20</v>
      </c>
      <c r="D72" s="77">
        <f>VLOOKUP($C72,猫咪!$B:$E,4,0)</f>
        <v>5242.88</v>
      </c>
      <c r="E72" s="110">
        <f t="shared" si="12"/>
        <v>84000</v>
      </c>
      <c r="F72" s="101">
        <f t="shared" si="13"/>
        <v>440485920</v>
      </c>
      <c r="G72" s="83">
        <f t="shared" si="10"/>
        <v>1500000000</v>
      </c>
      <c r="H72" s="77">
        <f>SUM($G$5:$G72)</f>
        <v>17411801200</v>
      </c>
      <c r="I72" s="77">
        <f t="array" ref="I72">MIN(IF(树木!$S$5:$S$85&gt;=$H72,树木!$P$5:$P$85))</f>
        <v>153.18</v>
      </c>
      <c r="J72" s="77">
        <f t="array" ref="J72">MIN(IF(树木!$S$5:$S$85&gt;=$H72,树木!$O$5:$O$85))</f>
        <v>95</v>
      </c>
      <c r="K72" s="77">
        <f t="array" ref="K72">MIN(IF(树木!$X$5:$X$85&gt;=$H72,树木!$U$5:$U$85))</f>
        <v>0</v>
      </c>
      <c r="L72" s="77">
        <f t="array" ref="L72">MIN(IF(树木!$X$5:$X$85&gt;=$H72,树木!$O$5:$O$85))</f>
        <v>0</v>
      </c>
      <c r="M72" s="80">
        <f t="shared" si="11"/>
        <v>291</v>
      </c>
      <c r="Q72" s="77">
        <v>87</v>
      </c>
      <c r="R72" s="77">
        <f>INDEX(等级时间!$U$3:$AU$203,MATCH($Q72,等级时间!$U$3:$U$203,0),MATCH(R$4,等级时间!$U$3:$AU$3,0))</f>
        <v>105.91</v>
      </c>
      <c r="S72" s="77">
        <f t="shared" si="14"/>
        <v>4.9599999999999937</v>
      </c>
      <c r="T72" s="77">
        <f t="array" ref="T72">INDEX($F$4:$F$104,MATCH(MAX(IF($J$5:$J$104&lt;=$Q72,$J$5:$J$104)),$J$4:$J$104,0),0)*S72*IF($Q72&gt;=$O$7,3,IF($Q72&gt;=$O$6,2,1))</f>
        <v>1502916307.1999981</v>
      </c>
      <c r="U72" s="77">
        <f>SUM($T$5:$T72)</f>
        <v>15000044455.000002</v>
      </c>
      <c r="W72" s="77">
        <f>INDEX(等级时间!$U$3:$AU$203,MATCH($Q72,等级时间!$U$3:$U$203,0),MATCH(W$4,等级时间!$U$3:$AU$3,0))</f>
        <v>44.5</v>
      </c>
      <c r="X72" s="77">
        <f t="shared" si="15"/>
        <v>2.0900000000000034</v>
      </c>
      <c r="Y72" s="77">
        <f t="array" ref="Y72">INDEX($F$4:$F$104,MATCH(MAX(IF($J$5:$J$104&lt;=$Q72,$J$5:$J$104)),$J$4:$J$104,0),0)*X72*IF($Q72&gt;=$O$7,3,IF($Q72&gt;=$O$6,2,1))</f>
        <v>633285298.80000103</v>
      </c>
      <c r="Z72" s="77">
        <f>SUM($Y$5:$Y72)</f>
        <v>6303803889.8000002</v>
      </c>
    </row>
    <row r="73" spans="2:26" x14ac:dyDescent="0.15">
      <c r="B73" s="77">
        <v>69</v>
      </c>
      <c r="C73" s="77">
        <f t="array" ref="C73">MIN(IF(体力抽奖!$C$48:$C$60&gt;=$J73,体力抽奖!$J$48:$J$60))</f>
        <v>20</v>
      </c>
      <c r="D73" s="77">
        <f>VLOOKUP($C73,猫咪!$B:$E,4,0)</f>
        <v>5242.88</v>
      </c>
      <c r="E73" s="110">
        <f t="shared" si="12"/>
        <v>84500</v>
      </c>
      <c r="F73" s="101">
        <f t="shared" si="13"/>
        <v>443107860</v>
      </c>
      <c r="G73" s="83">
        <f t="shared" si="10"/>
        <v>1600000000</v>
      </c>
      <c r="H73" s="77">
        <f>SUM($G$5:$G73)</f>
        <v>19011801200</v>
      </c>
      <c r="I73" s="77">
        <f t="array" ref="I73">MIN(IF(树木!$S$5:$S$85&gt;=$H73,树木!$P$5:$P$85))</f>
        <v>153.18</v>
      </c>
      <c r="J73" s="77">
        <f t="array" ref="J73">MIN(IF(树木!$S$5:$S$85&gt;=$H73,树木!$O$5:$O$85))</f>
        <v>95</v>
      </c>
      <c r="K73" s="77">
        <f t="array" ref="K73">MIN(IF(树木!$X$5:$X$85&gt;=$H73,树木!$U$5:$U$85))</f>
        <v>0</v>
      </c>
      <c r="L73" s="77">
        <f t="array" ref="L73">MIN(IF(树木!$X$5:$X$85&gt;=$H73,树木!$O$5:$O$85))</f>
        <v>0</v>
      </c>
      <c r="M73" s="80">
        <f t="shared" si="11"/>
        <v>293</v>
      </c>
      <c r="Q73" s="77">
        <v>88</v>
      </c>
      <c r="R73" s="77">
        <f>INDEX(等级时间!$U$3:$AU$203,MATCH($Q73,等级时间!$U$3:$U$203,0),MATCH(R$4,等级时间!$U$3:$AU$3,0))</f>
        <v>111.08</v>
      </c>
      <c r="S73" s="77">
        <f t="shared" si="14"/>
        <v>5.1700000000000017</v>
      </c>
      <c r="T73" s="77">
        <f t="array" ref="T73">INDEX($F$4:$F$104,MATCH(MAX(IF($J$5:$J$104&lt;=$Q73,$J$5:$J$104)),$J$4:$J$104,0),0)*S73*IF($Q73&gt;=$O$7,3,IF($Q73&gt;=$O$6,2,1))</f>
        <v>1576720233.0000005</v>
      </c>
      <c r="U73" s="77">
        <f>SUM($T$5:$T73)</f>
        <v>16576764688.000002</v>
      </c>
      <c r="W73" s="77">
        <f>INDEX(等级时间!$U$3:$AU$203,MATCH($Q73,等级时间!$U$3:$U$203,0),MATCH(W$4,等级时间!$U$3:$AU$3,0))</f>
        <v>46.67</v>
      </c>
      <c r="X73" s="77">
        <f t="shared" si="15"/>
        <v>2.1700000000000017</v>
      </c>
      <c r="Y73" s="77">
        <f t="array" ref="Y73">INDEX($F$4:$F$104,MATCH(MAX(IF($J$5:$J$104&lt;=$Q73,$J$5:$J$104)),$J$4:$J$104,0),0)*X73*IF($Q73&gt;=$O$7,3,IF($Q73&gt;=$O$6,2,1))</f>
        <v>661795533.00000048</v>
      </c>
      <c r="Z73" s="77">
        <f>SUM($Y$5:$Y73)</f>
        <v>6965599422.8000011</v>
      </c>
    </row>
    <row r="74" spans="2:26" x14ac:dyDescent="0.15">
      <c r="B74" s="77">
        <v>70</v>
      </c>
      <c r="C74" s="77">
        <f t="array" ref="C74">MIN(IF(体力抽奖!$C$48:$C$60&gt;=$J74,体力抽奖!$J$48:$J$60))</f>
        <v>20</v>
      </c>
      <c r="D74" s="77">
        <f>VLOOKUP($C74,猫咪!$B:$E,4,0)</f>
        <v>5242.88</v>
      </c>
      <c r="E74" s="110">
        <f t="shared" si="12"/>
        <v>85000</v>
      </c>
      <c r="F74" s="101">
        <f t="shared" si="13"/>
        <v>445729800</v>
      </c>
      <c r="G74" s="83">
        <f t="shared" si="10"/>
        <v>1700000000</v>
      </c>
      <c r="H74" s="77">
        <f>SUM($G$5:$G74)</f>
        <v>20711801200</v>
      </c>
      <c r="I74" s="77">
        <f t="array" ref="I74">MIN(IF(树木!$S$5:$S$85&gt;=$H74,树木!$P$5:$P$85))</f>
        <v>160.12</v>
      </c>
      <c r="J74" s="77">
        <f t="array" ref="J74">MIN(IF(树木!$S$5:$S$85&gt;=$H74,树木!$O$5:$O$85))</f>
        <v>96</v>
      </c>
      <c r="K74" s="77">
        <f t="array" ref="K74">MIN(IF(树木!$X$5:$X$85&gt;=$H74,树木!$U$5:$U$85))</f>
        <v>0</v>
      </c>
      <c r="L74" s="77">
        <f t="array" ref="L74">MIN(IF(树木!$X$5:$X$85&gt;=$H74,树木!$O$5:$O$85))</f>
        <v>0</v>
      </c>
      <c r="M74" s="80">
        <f t="shared" si="11"/>
        <v>295</v>
      </c>
      <c r="O74" s="70">
        <f>SUM(G74:G83)</f>
        <v>23300000000</v>
      </c>
      <c r="P74" s="70">
        <f>O74/100000</f>
        <v>233000</v>
      </c>
      <c r="Q74" s="77">
        <v>89</v>
      </c>
      <c r="R74" s="77">
        <f>INDEX(等级时间!$U$3:$AU$203,MATCH($Q74,等级时间!$U$3:$U$203,0),MATCH(R$4,等级时间!$U$3:$AU$3,0))</f>
        <v>116.44</v>
      </c>
      <c r="S74" s="77">
        <f t="shared" si="14"/>
        <v>5.3599999999999994</v>
      </c>
      <c r="T74" s="77">
        <f t="array" ref="T74">INDEX($F$4:$F$104,MATCH(MAX(IF($J$5:$J$104&lt;=$Q74,$J$5:$J$104)),$J$4:$J$104,0),0)*S74*IF($Q74&gt;=$O$7,3,IF($Q74&gt;=$O$6,2,1))</f>
        <v>1645211692.7999997</v>
      </c>
      <c r="U74" s="77">
        <f>SUM($T$5:$T74)</f>
        <v>18221976380.800003</v>
      </c>
      <c r="W74" s="77">
        <f>INDEX(等级时间!$U$3:$AU$203,MATCH($Q74,等级时间!$U$3:$U$203,0),MATCH(W$4,等级时间!$U$3:$AU$3,0))</f>
        <v>48.92</v>
      </c>
      <c r="X74" s="77">
        <f t="shared" si="15"/>
        <v>2.25</v>
      </c>
      <c r="Y74" s="77">
        <f t="array" ref="Y74">INDEX($F$4:$F$104,MATCH(MAX(IF($J$5:$J$104&lt;=$Q74,$J$5:$J$104)),$J$4:$J$104,0),0)*X74*IF($Q74&gt;=$O$7,3,IF($Q74&gt;=$O$6,2,1))</f>
        <v>690620580</v>
      </c>
      <c r="Z74" s="77">
        <f>SUM($Y$5:$Y74)</f>
        <v>7656220002.8000011</v>
      </c>
    </row>
    <row r="75" spans="2:26" x14ac:dyDescent="0.15">
      <c r="B75" s="77">
        <v>71</v>
      </c>
      <c r="C75" s="77">
        <f t="array" ref="C75">MIN(IF(体力抽奖!$C$48:$C$60&gt;=$J75,体力抽奖!$J$48:$J$60))</f>
        <v>20</v>
      </c>
      <c r="D75" s="77">
        <f>VLOOKUP($C75,猫咪!$B:$E,4,0)</f>
        <v>5242.88</v>
      </c>
      <c r="E75" s="110">
        <f t="shared" si="12"/>
        <v>85500</v>
      </c>
      <c r="F75" s="101">
        <f t="shared" si="13"/>
        <v>448351740</v>
      </c>
      <c r="G75" s="83">
        <f t="shared" si="10"/>
        <v>1800000000</v>
      </c>
      <c r="H75" s="77">
        <f>SUM($G$5:$G75)</f>
        <v>22511801200</v>
      </c>
      <c r="I75" s="77">
        <f t="array" ref="I75">MIN(IF(树木!$S$5:$S$85&gt;=$H75,树木!$P$5:$P$85))</f>
        <v>160.12</v>
      </c>
      <c r="J75" s="77">
        <f t="array" ref="J75">MIN(IF(树木!$S$5:$S$85&gt;=$H75,树木!$O$5:$O$85))</f>
        <v>96</v>
      </c>
      <c r="K75" s="77">
        <f t="array" ref="K75">MIN(IF(树木!$X$5:$X$85&gt;=$H75,树木!$U$5:$U$85))</f>
        <v>0</v>
      </c>
      <c r="L75" s="77">
        <f t="array" ref="L75">MIN(IF(树木!$X$5:$X$85&gt;=$H75,树木!$O$5:$O$85))</f>
        <v>0</v>
      </c>
      <c r="M75" s="80">
        <f t="shared" si="11"/>
        <v>296</v>
      </c>
      <c r="Q75" s="77">
        <v>90</v>
      </c>
      <c r="R75" s="77">
        <f>INDEX(等级时间!$U$3:$AU$203,MATCH($Q75,等级时间!$U$3:$U$203,0),MATCH(R$4,等级时间!$U$3:$AU$3,0))</f>
        <v>122.01</v>
      </c>
      <c r="S75" s="77">
        <f t="shared" si="14"/>
        <v>5.5700000000000074</v>
      </c>
      <c r="T75" s="77">
        <f t="array" ref="T75">INDEX($F$4:$F$104,MATCH(MAX(IF($J$5:$J$104&lt;=$Q75,$J$5:$J$104)),$J$4:$J$104,0),0)*S75*IF($Q75&gt;=$O$7,3,IF($Q75&gt;=$O$6,2,1))</f>
        <v>6878580931.8000097</v>
      </c>
      <c r="U75" s="77">
        <f>SUM($T$5:$T75)</f>
        <v>25100557312.600014</v>
      </c>
      <c r="W75" s="77">
        <f>INDEX(等级时间!$U$3:$AU$203,MATCH($Q75,等级时间!$U$3:$U$203,0),MATCH(W$4,等级时间!$U$3:$AU$3,0))</f>
        <v>51.26</v>
      </c>
      <c r="X75" s="77">
        <f t="shared" si="15"/>
        <v>2.3399999999999963</v>
      </c>
      <c r="Y75" s="77">
        <f t="array" ref="Y75">INDEX($F$4:$F$104,MATCH(MAX(IF($J$5:$J$104&lt;=$Q75,$J$5:$J$104)),$J$4:$J$104,0),0)*X75*IF($Q75&gt;=$O$7,3,IF($Q75&gt;=$O$6,2,1))</f>
        <v>2889744951.5999956</v>
      </c>
      <c r="Z75" s="77">
        <f>SUM($Y$5:$Y75)</f>
        <v>10545964954.399998</v>
      </c>
    </row>
    <row r="76" spans="2:26" x14ac:dyDescent="0.15">
      <c r="B76" s="77">
        <v>72</v>
      </c>
      <c r="C76" s="77">
        <f t="array" ref="C76">MIN(IF(体力抽奖!$C$48:$C$60&gt;=$J76,体力抽奖!$J$48:$J$60))</f>
        <v>20</v>
      </c>
      <c r="D76" s="77">
        <f>VLOOKUP($C76,猫咪!$B:$E,4,0)</f>
        <v>5242.88</v>
      </c>
      <c r="E76" s="110">
        <f t="shared" si="12"/>
        <v>86000</v>
      </c>
      <c r="F76" s="101">
        <f t="shared" si="13"/>
        <v>450973680</v>
      </c>
      <c r="G76" s="83">
        <f t="shared" si="10"/>
        <v>1900000000</v>
      </c>
      <c r="H76" s="77">
        <f>SUM($G$5:$G76)</f>
        <v>24411801200</v>
      </c>
      <c r="I76" s="77">
        <f t="array" ref="I76">MIN(IF(树木!$S$5:$S$85&gt;=$H76,树木!$P$5:$P$85))</f>
        <v>167.31</v>
      </c>
      <c r="J76" s="77">
        <f t="array" ref="J76">MIN(IF(树木!$S$5:$S$85&gt;=$H76,树木!$O$5:$O$85))</f>
        <v>97</v>
      </c>
      <c r="K76" s="77">
        <f t="array" ref="K76">MIN(IF(树木!$X$5:$X$85&gt;=$H76,树木!$U$5:$U$85))</f>
        <v>0</v>
      </c>
      <c r="L76" s="77">
        <f t="array" ref="L76">MIN(IF(树木!$X$5:$X$85&gt;=$H76,树木!$O$5:$O$85))</f>
        <v>0</v>
      </c>
      <c r="M76" s="80">
        <f t="shared" si="11"/>
        <v>298</v>
      </c>
      <c r="Q76" s="77">
        <v>91</v>
      </c>
      <c r="R76" s="77">
        <f>INDEX(等级时间!$U$3:$AU$203,MATCH($Q76,等级时间!$U$3:$U$203,0),MATCH(R$4,等级时间!$U$3:$AU$3,0))</f>
        <v>127.79</v>
      </c>
      <c r="S76" s="77">
        <f t="shared" si="14"/>
        <v>5.7800000000000011</v>
      </c>
      <c r="T76" s="77">
        <f t="array" ref="T76">INDEX($F$4:$F$104,MATCH(MAX(IF($J$5:$J$104&lt;=$Q76,$J$5:$J$104)),$J$4:$J$104,0),0)*S76*IF($Q76&gt;=$O$7,3,IF($Q76&gt;=$O$6,2,1))</f>
        <v>7274310336.0000019</v>
      </c>
      <c r="U76" s="77">
        <f>SUM($T$5:$T76)</f>
        <v>32374867648.600014</v>
      </c>
      <c r="W76" s="77">
        <f>INDEX(等级时间!$U$3:$AU$203,MATCH($Q76,等级时间!$U$3:$U$203,0),MATCH(W$4,等级时间!$U$3:$AU$3,0))</f>
        <v>53.69</v>
      </c>
      <c r="X76" s="77">
        <f t="shared" si="15"/>
        <v>2.4299999999999997</v>
      </c>
      <c r="Y76" s="77">
        <f t="array" ref="Y76">INDEX($F$4:$F$104,MATCH(MAX(IF($J$5:$J$104&lt;=$Q76,$J$5:$J$104)),$J$4:$J$104,0),0)*X76*IF($Q76&gt;=$O$7,3,IF($Q76&gt;=$O$6,2,1))</f>
        <v>3058230815.9999995</v>
      </c>
      <c r="Z76" s="77">
        <f>SUM($Y$5:$Y76)</f>
        <v>13604195770.399998</v>
      </c>
    </row>
    <row r="77" spans="2:26" x14ac:dyDescent="0.15">
      <c r="B77" s="77">
        <v>73</v>
      </c>
      <c r="C77" s="77">
        <f t="array" ref="C77">MIN(IF(体力抽奖!$C$48:$C$60&gt;=$J77,体力抽奖!$J$48:$J$60))</f>
        <v>20</v>
      </c>
      <c r="D77" s="77">
        <f>VLOOKUP($C77,猫咪!$B:$E,4,0)</f>
        <v>5242.88</v>
      </c>
      <c r="E77" s="110">
        <f t="shared" si="12"/>
        <v>86500</v>
      </c>
      <c r="F77" s="101">
        <f t="shared" si="13"/>
        <v>453595620</v>
      </c>
      <c r="G77" s="83">
        <f t="shared" si="10"/>
        <v>2100000000</v>
      </c>
      <c r="H77" s="77">
        <f>SUM($G$5:$G77)</f>
        <v>26511801200</v>
      </c>
      <c r="I77" s="77">
        <f t="array" ref="I77">MIN(IF(树木!$S$5:$S$85&gt;=$H77,树木!$P$5:$P$85))</f>
        <v>174.76</v>
      </c>
      <c r="J77" s="77">
        <f t="array" ref="J77">MIN(IF(树木!$S$5:$S$85&gt;=$H77,树木!$O$5:$O$85))</f>
        <v>98</v>
      </c>
      <c r="K77" s="77">
        <f t="array" ref="K77">MIN(IF(树木!$X$5:$X$85&gt;=$H77,树木!$U$5:$U$85))</f>
        <v>0</v>
      </c>
      <c r="L77" s="77">
        <f t="array" ref="L77">MIN(IF(树木!$X$5:$X$85&gt;=$H77,树木!$O$5:$O$85))</f>
        <v>0</v>
      </c>
      <c r="M77" s="80">
        <f t="shared" si="11"/>
        <v>300</v>
      </c>
      <c r="Q77" s="77">
        <v>92</v>
      </c>
      <c r="R77" s="77">
        <f>INDEX(等级时间!$U$3:$AU$203,MATCH($Q77,等级时间!$U$3:$U$203,0),MATCH(R$4,等级时间!$U$3:$AU$3,0))</f>
        <v>133.80000000000001</v>
      </c>
      <c r="S77" s="77">
        <f t="shared" si="14"/>
        <v>6.0100000000000051</v>
      </c>
      <c r="T77" s="77">
        <f t="array" ref="T77">INDEX($F$4:$F$104,MATCH(MAX(IF($J$5:$J$104&lt;=$Q77,$J$5:$J$104)),$J$4:$J$104,0),0)*S77*IF($Q77&gt;=$O$7,3,IF($Q77&gt;=$O$6,2,1))</f>
        <v>7658319668.4000063</v>
      </c>
      <c r="U77" s="77">
        <f>SUM($T$5:$T77)</f>
        <v>40033187317.000023</v>
      </c>
      <c r="W77" s="77">
        <f>INDEX(等级时间!$U$3:$AU$203,MATCH($Q77,等级时间!$U$3:$U$203,0),MATCH(W$4,等级时间!$U$3:$AU$3,0))</f>
        <v>56.21</v>
      </c>
      <c r="X77" s="77">
        <f t="shared" si="15"/>
        <v>2.5200000000000031</v>
      </c>
      <c r="Y77" s="77">
        <f t="array" ref="Y77">INDEX($F$4:$F$104,MATCH(MAX(IF($J$5:$J$104&lt;=$Q77,$J$5:$J$104)),$J$4:$J$104,0),0)*X77*IF($Q77&gt;=$O$7,3,IF($Q77&gt;=$O$6,2,1))</f>
        <v>3211142356.800004</v>
      </c>
      <c r="Z77" s="77">
        <f>SUM($Y$5:$Y77)</f>
        <v>16815338127.200001</v>
      </c>
    </row>
    <row r="78" spans="2:26" x14ac:dyDescent="0.15">
      <c r="B78" s="77">
        <v>74</v>
      </c>
      <c r="C78" s="77">
        <f t="array" ref="C78">MIN(IF(体力抽奖!$C$48:$C$60&gt;=$J78,体力抽奖!$J$48:$J$60))</f>
        <v>20</v>
      </c>
      <c r="D78" s="77">
        <f>VLOOKUP($C78,猫咪!$B:$E,4,0)</f>
        <v>5242.88</v>
      </c>
      <c r="E78" s="110">
        <f t="shared" si="12"/>
        <v>87000</v>
      </c>
      <c r="F78" s="101">
        <f t="shared" si="13"/>
        <v>456217560</v>
      </c>
      <c r="G78" s="83">
        <f t="shared" si="10"/>
        <v>2200000000</v>
      </c>
      <c r="H78" s="77">
        <f>SUM($G$5:$G78)</f>
        <v>28711801200</v>
      </c>
      <c r="I78" s="77">
        <f t="array" ref="I78">MIN(IF(树木!$S$5:$S$85&gt;=$H78,树木!$P$5:$P$85))</f>
        <v>182.47</v>
      </c>
      <c r="J78" s="77">
        <f t="array" ref="J78">MIN(IF(树木!$S$5:$S$85&gt;=$H78,树木!$O$5:$O$85))</f>
        <v>99</v>
      </c>
      <c r="K78" s="77">
        <f t="array" ref="K78">MIN(IF(树木!$X$5:$X$85&gt;=$H78,树木!$U$5:$U$85))</f>
        <v>0</v>
      </c>
      <c r="L78" s="77">
        <f t="array" ref="L78">MIN(IF(树木!$X$5:$X$85&gt;=$H78,树木!$O$5:$O$85))</f>
        <v>0</v>
      </c>
      <c r="M78" s="80">
        <f t="shared" si="11"/>
        <v>302</v>
      </c>
      <c r="Q78" s="77">
        <v>93</v>
      </c>
      <c r="R78" s="77">
        <f>INDEX(等级时间!$U$3:$AU$203,MATCH($Q78,等级时间!$U$3:$U$203,0),MATCH(R$4,等级时间!$U$3:$AU$3,0))</f>
        <v>140.03</v>
      </c>
      <c r="S78" s="77">
        <f t="shared" si="14"/>
        <v>6.2299999999999898</v>
      </c>
      <c r="T78" s="77">
        <f t="array" ref="T78">INDEX($F$4:$F$104,MATCH(MAX(IF($J$5:$J$104&lt;=$Q78,$J$5:$J$104)),$J$4:$J$104,0),0)*S78*IF($Q78&gt;=$O$7,3,IF($Q78&gt;=$O$6,2,1))</f>
        <v>8085669668.9999866</v>
      </c>
      <c r="U78" s="77">
        <f>SUM($T$5:$T78)</f>
        <v>48118856986.000008</v>
      </c>
      <c r="W78" s="77">
        <f>INDEX(等级时间!$U$3:$AU$203,MATCH($Q78,等级时间!$U$3:$U$203,0),MATCH(W$4,等级时间!$U$3:$AU$3,0))</f>
        <v>58.83</v>
      </c>
      <c r="X78" s="77">
        <f t="shared" si="15"/>
        <v>2.6199999999999974</v>
      </c>
      <c r="Y78" s="77">
        <f t="array" ref="Y78">INDEX($F$4:$F$104,MATCH(MAX(IF($J$5:$J$104&lt;=$Q78,$J$5:$J$104)),$J$4:$J$104,0),0)*X78*IF($Q78&gt;=$O$7,3,IF($Q78&gt;=$O$6,2,1))</f>
        <v>3400393985.9999962</v>
      </c>
      <c r="Z78" s="77">
        <f>SUM($Y$5:$Y78)</f>
        <v>20215732113.199997</v>
      </c>
    </row>
    <row r="79" spans="2:26" x14ac:dyDescent="0.15">
      <c r="B79" s="77">
        <v>75</v>
      </c>
      <c r="C79" s="77">
        <f t="array" ref="C79">MIN(IF(体力抽奖!$C$48:$C$60&gt;=$J79,体力抽奖!$J$48:$J$60))</f>
        <v>20</v>
      </c>
      <c r="D79" s="77">
        <f>VLOOKUP($C79,猫咪!$B:$E,4,0)</f>
        <v>5242.88</v>
      </c>
      <c r="E79" s="110">
        <f t="shared" si="12"/>
        <v>87500</v>
      </c>
      <c r="F79" s="101">
        <f t="shared" si="13"/>
        <v>458839500</v>
      </c>
      <c r="G79" s="83">
        <f t="shared" si="10"/>
        <v>2400000000</v>
      </c>
      <c r="H79" s="77">
        <f>SUM($G$5:$G79)</f>
        <v>31111801200</v>
      </c>
      <c r="I79" s="77">
        <f t="array" ref="I79">MIN(IF(树木!$S$5:$S$85&gt;=$H79,树木!$P$5:$P$85))</f>
        <v>182.47</v>
      </c>
      <c r="J79" s="77">
        <f t="array" ref="J79">MIN(IF(树木!$S$5:$S$85&gt;=$H79,树木!$O$5:$O$85))</f>
        <v>99</v>
      </c>
      <c r="K79" s="77">
        <f t="array" ref="K79">MIN(IF(树木!$X$5:$X$85&gt;=$H79,树木!$U$5:$U$85))</f>
        <v>0</v>
      </c>
      <c r="L79" s="77">
        <f t="array" ref="L79">MIN(IF(树木!$X$5:$X$85&gt;=$H79,树木!$O$5:$O$85))</f>
        <v>0</v>
      </c>
      <c r="M79" s="80">
        <f t="shared" si="11"/>
        <v>303</v>
      </c>
      <c r="Q79" s="77">
        <v>94</v>
      </c>
      <c r="R79" s="77">
        <f>INDEX(等级时间!$U$3:$AU$203,MATCH($Q79,等级时间!$U$3:$U$203,0),MATCH(R$4,等级时间!$U$3:$AU$3,0))</f>
        <v>146.47999999999999</v>
      </c>
      <c r="S79" s="77">
        <f t="shared" si="14"/>
        <v>6.4499999999999886</v>
      </c>
      <c r="T79" s="77">
        <f t="array" ref="T79">INDEX($F$4:$F$104,MATCH(MAX(IF($J$5:$J$104&lt;=$Q79,$J$5:$J$104)),$J$4:$J$104,0),0)*S79*IF($Q79&gt;=$O$7,3,IF($Q79&gt;=$O$6,2,1))</f>
        <v>8472668012.9999857</v>
      </c>
      <c r="U79" s="77">
        <f>SUM($T$5:$T79)</f>
        <v>56591524998.999992</v>
      </c>
      <c r="W79" s="77">
        <f>INDEX(等级时间!$U$3:$AU$203,MATCH($Q79,等级时间!$U$3:$U$203,0),MATCH(W$4,等级时间!$U$3:$AU$3,0))</f>
        <v>61.54</v>
      </c>
      <c r="X79" s="77">
        <f t="shared" si="15"/>
        <v>2.7100000000000009</v>
      </c>
      <c r="Y79" s="77">
        <f t="array" ref="Y79">INDEX($F$4:$F$104,MATCH(MAX(IF($J$5:$J$104&lt;=$Q79,$J$5:$J$104)),$J$4:$J$104,0),0)*X79*IF($Q79&gt;=$O$7,3,IF($Q79&gt;=$O$6,2,1))</f>
        <v>3559834157.4000015</v>
      </c>
      <c r="Z79" s="77">
        <f>SUM($Y$5:$Y79)</f>
        <v>23775566270.599998</v>
      </c>
    </row>
    <row r="80" spans="2:26" x14ac:dyDescent="0.15">
      <c r="B80" s="77">
        <v>76</v>
      </c>
      <c r="C80" s="77">
        <f t="array" ref="C80">MIN(IF(体力抽奖!$C$48:$C$60&gt;=$J80,体力抽奖!$J$48:$J$60))</f>
        <v>21</v>
      </c>
      <c r="D80" s="77">
        <f>VLOOKUP($C80,猫咪!$B:$E,4,0)</f>
        <v>10485.76</v>
      </c>
      <c r="E80" s="110">
        <f t="shared" si="12"/>
        <v>88000</v>
      </c>
      <c r="F80" s="101">
        <f t="shared" si="13"/>
        <v>922834880</v>
      </c>
      <c r="G80" s="83">
        <f t="shared" si="10"/>
        <v>2500000000</v>
      </c>
      <c r="H80" s="77">
        <f>SUM($G$5:$G80)</f>
        <v>33611801200</v>
      </c>
      <c r="I80" s="77">
        <f t="array" ref="I80">MIN(IF(树木!$S$5:$S$85&gt;=$H80,树木!$P$5:$P$85))</f>
        <v>190.45</v>
      </c>
      <c r="J80" s="77">
        <f t="array" ref="J80">MIN(IF(树木!$S$5:$S$85&gt;=$H80,树木!$O$5:$O$85))</f>
        <v>100</v>
      </c>
      <c r="K80" s="77">
        <f t="array" ref="K80">MIN(IF(树木!$X$5:$X$85&gt;=$H80,树木!$U$5:$U$85))</f>
        <v>0</v>
      </c>
      <c r="L80" s="77">
        <f t="array" ref="L80">MIN(IF(树木!$X$5:$X$85&gt;=$H80,树木!$O$5:$O$85))</f>
        <v>0</v>
      </c>
      <c r="M80" s="80">
        <f t="shared" si="11"/>
        <v>305</v>
      </c>
      <c r="Q80" s="77">
        <v>95</v>
      </c>
      <c r="R80" s="77">
        <f>INDEX(等级时间!$U$3:$AU$203,MATCH($Q80,等级时间!$U$3:$U$203,0),MATCH(R$4,等级时间!$U$3:$AU$3,0))</f>
        <v>153.18</v>
      </c>
      <c r="S80" s="77">
        <f t="shared" si="14"/>
        <v>6.7000000000000171</v>
      </c>
      <c r="T80" s="77">
        <f t="array" ref="T80">INDEX($F$4:$F$104,MATCH(MAX(IF($J$5:$J$104&lt;=$Q80,$J$5:$J$104)),$J$4:$J$104,0),0)*S80*IF($Q80&gt;=$O$7,3,IF($Q80&gt;=$O$6,2,1))</f>
        <v>8853766992.0000229</v>
      </c>
      <c r="U80" s="77">
        <f>SUM($T$5:$T80)</f>
        <v>65445291991.000015</v>
      </c>
      <c r="W80" s="77">
        <f>INDEX(等级时间!$U$3:$AU$203,MATCH($Q80,等级时间!$U$3:$U$203,0),MATCH(W$4,等级时间!$U$3:$AU$3,0))</f>
        <v>64.36</v>
      </c>
      <c r="X80" s="77">
        <f t="shared" si="15"/>
        <v>2.8200000000000003</v>
      </c>
      <c r="Y80" s="77">
        <f t="array" ref="Y80">INDEX($F$4:$F$104,MATCH(MAX(IF($J$5:$J$104&lt;=$Q80,$J$5:$J$104)),$J$4:$J$104,0),0)*X80*IF($Q80&gt;=$O$7,3,IF($Q80&gt;=$O$6,2,1))</f>
        <v>3726510883.2000003</v>
      </c>
      <c r="Z80" s="77">
        <f>SUM($Y$5:$Y80)</f>
        <v>27502077153.799999</v>
      </c>
    </row>
    <row r="81" spans="2:26" x14ac:dyDescent="0.15">
      <c r="B81" s="77">
        <v>77</v>
      </c>
      <c r="C81" s="77">
        <f t="array" ref="C81">MIN(IF(体力抽奖!$C$48:$C$60&gt;=$J81,体力抽奖!$J$48:$J$60))</f>
        <v>21</v>
      </c>
      <c r="D81" s="77">
        <f>VLOOKUP($C81,猫咪!$B:$E,4,0)</f>
        <v>10485.76</v>
      </c>
      <c r="E81" s="110">
        <f t="shared" si="12"/>
        <v>88500</v>
      </c>
      <c r="F81" s="101">
        <f t="shared" si="13"/>
        <v>928078260</v>
      </c>
      <c r="G81" s="83">
        <f t="shared" si="10"/>
        <v>2700000000</v>
      </c>
      <c r="H81" s="77">
        <f>SUM($G$5:$G81)</f>
        <v>36311801200</v>
      </c>
      <c r="I81" s="77">
        <f t="array" ref="I81">MIN(IF(树木!$S$5:$S$85&gt;=$H81,树木!$P$5:$P$85))</f>
        <v>190.45</v>
      </c>
      <c r="J81" s="77">
        <f t="array" ref="J81">MIN(IF(树木!$S$5:$S$85&gt;=$H81,树木!$O$5:$O$85))</f>
        <v>100</v>
      </c>
      <c r="K81" s="77">
        <f t="array" ref="K81">MIN(IF(树木!$X$5:$X$85&gt;=$H81,树木!$U$5:$U$85))</f>
        <v>0</v>
      </c>
      <c r="L81" s="77">
        <f t="array" ref="L81">MIN(IF(树木!$X$5:$X$85&gt;=$H81,树木!$O$5:$O$85))</f>
        <v>0</v>
      </c>
      <c r="M81" s="80">
        <f t="shared" si="11"/>
        <v>307</v>
      </c>
      <c r="Q81" s="77">
        <v>96</v>
      </c>
      <c r="R81" s="77">
        <f>INDEX(等级时间!$U$3:$AU$203,MATCH($Q81,等级时间!$U$3:$U$203,0),MATCH(R$4,等级时间!$U$3:$AU$3,0))</f>
        <v>160.12</v>
      </c>
      <c r="S81" s="77">
        <f t="shared" si="14"/>
        <v>6.9399999999999977</v>
      </c>
      <c r="T81" s="77">
        <f t="array" ref="T81">INDEX($F$4:$F$104,MATCH(MAX(IF($J$5:$J$104&lt;=$Q81,$J$5:$J$104)),$J$4:$J$104,0),0)*S81*IF($Q81&gt;=$O$7,3,IF($Q81&gt;=$O$6,2,1))</f>
        <v>9280094435.9999962</v>
      </c>
      <c r="U81" s="77">
        <f>SUM($T$5:$T81)</f>
        <v>74725386427.000015</v>
      </c>
      <c r="W81" s="77">
        <f>INDEX(等级时间!$U$3:$AU$203,MATCH($Q81,等级时间!$U$3:$U$203,0),MATCH(W$4,等级时间!$U$3:$AU$3,0))</f>
        <v>67.27</v>
      </c>
      <c r="X81" s="77">
        <f t="shared" si="15"/>
        <v>2.9099999999999966</v>
      </c>
      <c r="Y81" s="77">
        <f t="array" ref="Y81">INDEX($F$4:$F$104,MATCH(MAX(IF($J$5:$J$104&lt;=$Q81,$J$5:$J$104)),$J$4:$J$104,0),0)*X81*IF($Q81&gt;=$O$7,3,IF($Q81&gt;=$O$6,2,1))</f>
        <v>3891221153.9999957</v>
      </c>
      <c r="Z81" s="77">
        <f>SUM($Y$5:$Y81)</f>
        <v>31393298307.799995</v>
      </c>
    </row>
    <row r="82" spans="2:26" x14ac:dyDescent="0.15">
      <c r="B82" s="77">
        <v>78</v>
      </c>
      <c r="C82" s="77">
        <f t="array" ref="C82">MAX(C81,MIN(IF(体力抽奖!$C$48:$C$60&gt;=$J82,体力抽奖!$J$48:$J$60)))</f>
        <v>21</v>
      </c>
      <c r="D82" s="77">
        <f>VLOOKUP($C82,猫咪!$B:$E,4,0)</f>
        <v>10485.76</v>
      </c>
      <c r="E82" s="110">
        <f t="shared" si="12"/>
        <v>89000</v>
      </c>
      <c r="F82" s="101">
        <f t="shared" si="13"/>
        <v>933321640</v>
      </c>
      <c r="G82" s="83">
        <f t="shared" si="10"/>
        <v>2900000000</v>
      </c>
      <c r="H82" s="77">
        <f>SUM($G$5:$G82)</f>
        <v>39211801200</v>
      </c>
      <c r="I82" s="77">
        <f t="array" ref="I82">MIN(IF(树木!$S$5:$S$85&gt;=$H82,树木!$P$5:$P$85))</f>
        <v>0</v>
      </c>
      <c r="J82" s="77">
        <f t="array" ref="J82">MIN(IF(树木!$S$5:$S$85&gt;=$H82,树木!$O$5:$O$85))</f>
        <v>0</v>
      </c>
      <c r="K82" s="77">
        <f t="array" ref="K82">MIN(IF(树木!$X$5:$X$85&gt;=$H82,树木!$U$5:$U$85))</f>
        <v>0</v>
      </c>
      <c r="L82" s="77">
        <f t="array" ref="L82">MIN(IF(树木!$X$5:$X$85&gt;=$H82,树木!$O$5:$O$85))</f>
        <v>0</v>
      </c>
      <c r="M82" s="80">
        <f t="shared" si="11"/>
        <v>309</v>
      </c>
      <c r="Q82" s="77">
        <v>97</v>
      </c>
      <c r="R82" s="77">
        <f>INDEX(等级时间!$U$3:$AU$203,MATCH($Q82,等级时间!$U$3:$U$203,0),MATCH(R$4,等级时间!$U$3:$AU$3,0))</f>
        <v>167.31</v>
      </c>
      <c r="S82" s="77">
        <f t="shared" si="14"/>
        <v>7.1899999999999977</v>
      </c>
      <c r="T82" s="77">
        <f t="array" ref="T82">INDEX($F$4:$F$104,MATCH(MAX(IF($J$5:$J$104&lt;=$Q82,$J$5:$J$104)),$J$4:$J$104,0),0)*S82*IF($Q82&gt;=$O$7,3,IF($Q82&gt;=$O$6,2,1))</f>
        <v>9727502277.5999966</v>
      </c>
      <c r="U82" s="77">
        <f>SUM($T$5:$T82)</f>
        <v>84452888704.600006</v>
      </c>
      <c r="W82" s="77">
        <f>INDEX(等级时间!$U$3:$AU$203,MATCH($Q82,等级时间!$U$3:$U$203,0),MATCH(W$4,等级时间!$U$3:$AU$3,0))</f>
        <v>70.290000000000006</v>
      </c>
      <c r="X82" s="77">
        <f t="shared" si="15"/>
        <v>3.0200000000000102</v>
      </c>
      <c r="Y82" s="77">
        <f t="array" ref="Y82">INDEX($F$4:$F$104,MATCH(MAX(IF($J$5:$J$104&lt;=$Q82,$J$5:$J$104)),$J$4:$J$104,0),0)*X82*IF($Q82&gt;=$O$7,3,IF($Q82&gt;=$O$6,2,1))</f>
        <v>4085821540.800014</v>
      </c>
      <c r="Z82" s="77">
        <f>SUM($Y$5:$Y82)</f>
        <v>35479119848.600006</v>
      </c>
    </row>
    <row r="83" spans="2:26" x14ac:dyDescent="0.15">
      <c r="B83" s="77">
        <v>79</v>
      </c>
      <c r="C83" s="77">
        <f t="array" ref="C83">MAX(C82,MIN(IF(体力抽奖!$C$48:$C$60&gt;=$J83,体力抽奖!$J$48:$J$60)))</f>
        <v>21</v>
      </c>
      <c r="D83" s="77">
        <f>VLOOKUP($C83,猫咪!$B:$E,4,0)</f>
        <v>10485.76</v>
      </c>
      <c r="E83" s="110">
        <f t="shared" si="12"/>
        <v>89500</v>
      </c>
      <c r="F83" s="101">
        <f t="shared" si="13"/>
        <v>938565020</v>
      </c>
      <c r="G83" s="83">
        <f t="shared" si="10"/>
        <v>3100000000</v>
      </c>
      <c r="H83" s="77">
        <f>SUM($G$5:$G83)</f>
        <v>42311801200</v>
      </c>
      <c r="I83" s="77">
        <f t="array" ref="I83">MIN(IF(树木!$S$5:$S$85&gt;=$H83,树木!$P$5:$P$85))</f>
        <v>0</v>
      </c>
      <c r="J83" s="77">
        <f t="array" ref="J83">MIN(IF(树木!$S$5:$S$85&gt;=$H83,树木!$O$5:$O$85))</f>
        <v>0</v>
      </c>
      <c r="K83" s="77">
        <f t="array" ref="K83">MIN(IF(树木!$X$5:$X$85&gt;=$H83,树木!$U$5:$U$85))</f>
        <v>0</v>
      </c>
      <c r="L83" s="77">
        <f t="array" ref="L83">MIN(IF(树木!$X$5:$X$85&gt;=$H83,树木!$O$5:$O$85))</f>
        <v>0</v>
      </c>
      <c r="M83" s="80">
        <f t="shared" si="11"/>
        <v>310</v>
      </c>
      <c r="Q83" s="77">
        <v>98</v>
      </c>
      <c r="R83" s="77">
        <f>INDEX(等级时间!$U$3:$AU$203,MATCH($Q83,等级时间!$U$3:$U$203,0),MATCH(R$4,等级时间!$U$3:$AU$3,0))</f>
        <v>174.76</v>
      </c>
      <c r="S83" s="77">
        <f t="shared" si="14"/>
        <v>7.4499999999999886</v>
      </c>
      <c r="T83" s="77">
        <f t="array" ref="T83">INDEX($F$4:$F$104,MATCH(MAX(IF($J$5:$J$104&lt;=$Q83,$J$5:$J$104)),$J$4:$J$104,0),0)*S83*IF($Q83&gt;=$O$7,3,IF($Q83&gt;=$O$6,2,1))</f>
        <v>10137862106.999985</v>
      </c>
      <c r="U83" s="77">
        <f>SUM($T$5:$T83)</f>
        <v>94590750811.599991</v>
      </c>
      <c r="W83" s="77">
        <f>INDEX(等级时间!$U$3:$AU$203,MATCH($Q83,等级时间!$U$3:$U$203,0),MATCH(W$4,等级时间!$U$3:$AU$3,0))</f>
        <v>73.42</v>
      </c>
      <c r="X83" s="77">
        <f t="shared" si="15"/>
        <v>3.1299999999999955</v>
      </c>
      <c r="Y83" s="77">
        <f t="array" ref="Y83">INDEX($F$4:$F$104,MATCH(MAX(IF($J$5:$J$104&lt;=$Q83,$J$5:$J$104)),$J$4:$J$104,0),0)*X83*IF($Q83&gt;=$O$7,3,IF($Q83&gt;=$O$6,2,1))</f>
        <v>4259262871.799994</v>
      </c>
      <c r="Z83" s="77">
        <f>SUM($Y$5:$Y83)</f>
        <v>39738382720.400002</v>
      </c>
    </row>
    <row r="84" spans="2:26" x14ac:dyDescent="0.15">
      <c r="B84" s="77">
        <v>80</v>
      </c>
      <c r="C84" s="77">
        <f t="array" ref="C84">MAX(C83,MIN(IF(体力抽奖!$C$48:$C$60&gt;=$J84,体力抽奖!$J$48:$J$60)))</f>
        <v>21</v>
      </c>
      <c r="D84" s="77">
        <f>VLOOKUP($C84,猫咪!$B:$E,4,0)</f>
        <v>10485.76</v>
      </c>
      <c r="E84" s="110">
        <f t="shared" si="12"/>
        <v>90000</v>
      </c>
      <c r="F84" s="101">
        <f t="shared" si="13"/>
        <v>943808400</v>
      </c>
      <c r="G84" s="83">
        <f t="shared" si="10"/>
        <v>3300000000</v>
      </c>
      <c r="H84" s="77">
        <f>SUM($G$5:$G84)</f>
        <v>45611801200</v>
      </c>
      <c r="I84" s="77">
        <f t="array" ref="I84">MIN(IF(树木!$S$5:$S$85&gt;=$H84,树木!$P$5:$P$85))</f>
        <v>0</v>
      </c>
      <c r="J84" s="77">
        <f t="array" ref="J84">MIN(IF(树木!$S$5:$S$85&gt;=$H84,树木!$O$5:$O$85))</f>
        <v>0</v>
      </c>
      <c r="K84" s="77">
        <f t="array" ref="K84">MIN(IF(树木!$X$5:$X$85&gt;=$H84,树木!$U$5:$U$85))</f>
        <v>0</v>
      </c>
      <c r="L84" s="77">
        <f t="array" ref="L84">MIN(IF(树木!$X$5:$X$85&gt;=$H84,树木!$O$5:$O$85))</f>
        <v>0</v>
      </c>
      <c r="M84" s="80">
        <f t="shared" si="11"/>
        <v>312</v>
      </c>
      <c r="O84" s="70">
        <f>SUM(G84:G93)</f>
        <v>43600000000</v>
      </c>
      <c r="P84" s="70">
        <f>O84/100000</f>
        <v>436000</v>
      </c>
      <c r="Q84" s="77">
        <v>99</v>
      </c>
      <c r="R84" s="77">
        <f>INDEX(等级时间!$U$3:$AU$203,MATCH($Q84,等级时间!$U$3:$U$203,0),MATCH(R$4,等级时间!$U$3:$AU$3,0))</f>
        <v>182.47</v>
      </c>
      <c r="S84" s="77">
        <f t="shared" si="14"/>
        <v>7.710000000000008</v>
      </c>
      <c r="T84" s="77">
        <f t="array" ref="T84">INDEX($F$4:$F$104,MATCH(MAX(IF($J$5:$J$104&lt;=$Q84,$J$5:$J$104)),$J$4:$J$104,0),0)*S84*IF($Q84&gt;=$O$7,3,IF($Q84&gt;=$O$6,2,1))</f>
        <v>10552312162.800011</v>
      </c>
      <c r="U84" s="77">
        <f>SUM($T$5:$T84)</f>
        <v>105143062974.39999</v>
      </c>
      <c r="W84" s="77">
        <f>INDEX(等级时间!$U$3:$AU$203,MATCH($Q84,等级时间!$U$3:$U$203,0),MATCH(W$4,等级时间!$U$3:$AU$3,0))</f>
        <v>76.66</v>
      </c>
      <c r="X84" s="77">
        <f t="shared" si="15"/>
        <v>3.2399999999999949</v>
      </c>
      <c r="Y84" s="77">
        <f t="array" ref="Y84">INDEX($F$4:$F$104,MATCH(MAX(IF($J$5:$J$104&lt;=$Q84,$J$5:$J$104)),$J$4:$J$104,0),0)*X84*IF($Q84&gt;=$O$7,3,IF($Q84&gt;=$O$6,2,1))</f>
        <v>4434434683.1999931</v>
      </c>
      <c r="Z84" s="77">
        <f>SUM($Y$5:$Y84)</f>
        <v>44172817403.599991</v>
      </c>
    </row>
    <row r="85" spans="2:26" x14ac:dyDescent="0.15">
      <c r="B85" s="77">
        <v>81</v>
      </c>
      <c r="C85" s="77">
        <f t="array" ref="C85">MAX(C84,MIN(IF(体力抽奖!$C$48:$C$60&gt;=$J85,体力抽奖!$J$48:$J$60)))</f>
        <v>21</v>
      </c>
      <c r="D85" s="77">
        <f>VLOOKUP($C85,猫咪!$B:$E,4,0)</f>
        <v>10485.76</v>
      </c>
      <c r="E85" s="110">
        <f t="shared" si="12"/>
        <v>90500</v>
      </c>
      <c r="F85" s="101">
        <f t="shared" si="13"/>
        <v>949051780</v>
      </c>
      <c r="G85" s="83">
        <f t="shared" si="10"/>
        <v>3500000000</v>
      </c>
      <c r="H85" s="77">
        <f>SUM($G$5:$G85)</f>
        <v>49111801200</v>
      </c>
      <c r="I85" s="77">
        <f t="array" ref="I85">MIN(IF(树木!$S$5:$S$85&gt;=$H85,树木!$P$5:$P$85))</f>
        <v>0</v>
      </c>
      <c r="J85" s="77">
        <f t="array" ref="J85">MIN(IF(树木!$S$5:$S$85&gt;=$H85,树木!$O$5:$O$85))</f>
        <v>0</v>
      </c>
      <c r="K85" s="77">
        <f t="array" ref="K85">MIN(IF(树木!$X$5:$X$85&gt;=$H85,树木!$U$5:$U$85))</f>
        <v>0</v>
      </c>
      <c r="L85" s="77">
        <f t="array" ref="L85">MIN(IF(树木!$X$5:$X$85&gt;=$H85,树木!$O$5:$O$85))</f>
        <v>0</v>
      </c>
      <c r="M85" s="80">
        <f t="shared" si="11"/>
        <v>314</v>
      </c>
      <c r="Q85" s="77">
        <v>100</v>
      </c>
      <c r="R85" s="77">
        <f>INDEX(等级时间!$U$3:$AU$203,MATCH($Q85,等级时间!$U$3:$U$203,0),MATCH(R$4,等级时间!$U$3:$AU$3,0))</f>
        <v>190.45</v>
      </c>
      <c r="S85" s="77">
        <f t="shared" si="14"/>
        <v>7.9799999999999898</v>
      </c>
      <c r="T85" s="77">
        <f t="array" ref="T85">INDEX($F$4:$F$104,MATCH(MAX(IF($J$5:$J$104&lt;=$Q85,$J$5:$J$104)),$J$4:$J$104,0),0)*S85*IF($Q85&gt;=$O$7,3,IF($Q85&gt;=$O$6,2,1))</f>
        <v>22092667027.19997</v>
      </c>
      <c r="U85" s="77">
        <f>SUM($T$5:$T85)</f>
        <v>127235730001.59996</v>
      </c>
      <c r="W85" s="77">
        <f>INDEX(等级时间!$U$3:$AU$203,MATCH($Q85,等级时间!$U$3:$U$203,0),MATCH(W$4,等级时间!$U$3:$AU$3,0))</f>
        <v>80.010000000000005</v>
      </c>
      <c r="X85" s="77">
        <f t="shared" si="15"/>
        <v>3.3500000000000085</v>
      </c>
      <c r="Y85" s="77">
        <f t="array" ref="Y85">INDEX($F$4:$F$104,MATCH(MAX(IF($J$5:$J$104&lt;=$Q85,$J$5:$J$104)),$J$4:$J$104,0),0)*X85*IF($Q85&gt;=$O$7,3,IF($Q85&gt;=$O$6,2,1))</f>
        <v>9274490544.0000248</v>
      </c>
      <c r="Z85" s="77">
        <f>SUM($Y$5:$Y85)</f>
        <v>53447307947.600014</v>
      </c>
    </row>
    <row r="86" spans="2:26" x14ac:dyDescent="0.15">
      <c r="B86" s="77">
        <v>82</v>
      </c>
      <c r="C86" s="77">
        <f t="array" ref="C86">MAX(C85,MIN(IF(体力抽奖!$C$48:$C$60&gt;=$J86,体力抽奖!$J$48:$J$60)))</f>
        <v>21</v>
      </c>
      <c r="D86" s="77">
        <f>VLOOKUP($C86,猫咪!$B:$E,4,0)</f>
        <v>10485.76</v>
      </c>
      <c r="E86" s="110">
        <f t="shared" si="12"/>
        <v>91000</v>
      </c>
      <c r="F86" s="101">
        <f t="shared" si="13"/>
        <v>954295160</v>
      </c>
      <c r="G86" s="83">
        <f t="shared" si="10"/>
        <v>3700000000</v>
      </c>
      <c r="H86" s="77">
        <f>SUM($G$5:$G86)</f>
        <v>52811801200</v>
      </c>
      <c r="I86" s="77">
        <f t="array" ref="I86">MIN(IF(树木!$S$5:$S$85&gt;=$H86,树木!$P$5:$P$85))</f>
        <v>0</v>
      </c>
      <c r="J86" s="77">
        <f t="array" ref="J86">MIN(IF(树木!$S$5:$S$85&gt;=$H86,树木!$O$5:$O$85))</f>
        <v>0</v>
      </c>
      <c r="K86" s="77">
        <f t="array" ref="K86">MIN(IF(树木!$X$5:$X$85&gt;=$H86,树木!$U$5:$U$85))</f>
        <v>0</v>
      </c>
      <c r="L86" s="77">
        <f t="array" ref="L86">MIN(IF(树木!$X$5:$X$85&gt;=$H86,树木!$O$5:$O$85))</f>
        <v>0</v>
      </c>
      <c r="M86" s="80">
        <f t="shared" si="11"/>
        <v>315</v>
      </c>
    </row>
    <row r="87" spans="2:26" x14ac:dyDescent="0.15">
      <c r="B87" s="77">
        <v>83</v>
      </c>
      <c r="C87" s="77">
        <f t="array" ref="C87">MAX(C86,MIN(IF(体力抽奖!$C$48:$C$60&gt;=$J87,体力抽奖!$J$48:$J$60)))</f>
        <v>21</v>
      </c>
      <c r="D87" s="77">
        <f>VLOOKUP($C87,猫咪!$B:$E,4,0)</f>
        <v>10485.76</v>
      </c>
      <c r="E87" s="110">
        <f t="shared" si="12"/>
        <v>91500</v>
      </c>
      <c r="F87" s="101">
        <f t="shared" si="13"/>
        <v>959538540</v>
      </c>
      <c r="G87" s="83">
        <f t="shared" si="10"/>
        <v>3900000000</v>
      </c>
      <c r="H87" s="77">
        <f>SUM($G$5:$G87)</f>
        <v>56711801200</v>
      </c>
      <c r="I87" s="77">
        <f t="array" ref="I87">MIN(IF(树木!$S$5:$S$85&gt;=$H87,树木!$P$5:$P$85))</f>
        <v>0</v>
      </c>
      <c r="J87" s="77">
        <f t="array" ref="J87">MIN(IF(树木!$S$5:$S$85&gt;=$H87,树木!$O$5:$O$85))</f>
        <v>0</v>
      </c>
      <c r="K87" s="77">
        <f t="array" ref="K87">MIN(IF(树木!$X$5:$X$85&gt;=$H87,树木!$U$5:$U$85))</f>
        <v>0</v>
      </c>
      <c r="L87" s="77">
        <f t="array" ref="L87">MIN(IF(树木!$X$5:$X$85&gt;=$H87,树木!$O$5:$O$85))</f>
        <v>0</v>
      </c>
      <c r="M87" s="80">
        <f t="shared" si="11"/>
        <v>317</v>
      </c>
    </row>
    <row r="88" spans="2:26" x14ac:dyDescent="0.15">
      <c r="B88" s="77">
        <v>84</v>
      </c>
      <c r="C88" s="77">
        <f t="array" ref="C88">MAX(C87,MIN(IF(体力抽奖!$C$48:$C$60&gt;=$J88,体力抽奖!$J$48:$J$60)))</f>
        <v>21</v>
      </c>
      <c r="D88" s="77">
        <f>VLOOKUP($C88,猫咪!$B:$E,4,0)</f>
        <v>10485.76</v>
      </c>
      <c r="E88" s="110">
        <f t="shared" si="12"/>
        <v>92000</v>
      </c>
      <c r="F88" s="101">
        <f t="shared" si="13"/>
        <v>964781920</v>
      </c>
      <c r="G88" s="83">
        <f t="shared" si="10"/>
        <v>4200000000</v>
      </c>
      <c r="H88" s="77">
        <f>SUM($G$5:$G88)</f>
        <v>60911801200</v>
      </c>
      <c r="I88" s="77">
        <f t="array" ref="I88">MIN(IF(树木!$S$5:$S$85&gt;=$H88,树木!$P$5:$P$85))</f>
        <v>0</v>
      </c>
      <c r="J88" s="77">
        <f t="array" ref="J88">MIN(IF(树木!$S$5:$S$85&gt;=$H88,树木!$O$5:$O$85))</f>
        <v>0</v>
      </c>
      <c r="K88" s="77">
        <f t="array" ref="K88">MIN(IF(树木!$X$5:$X$85&gt;=$H88,树木!$U$5:$U$85))</f>
        <v>0</v>
      </c>
      <c r="L88" s="77">
        <f t="array" ref="L88">MIN(IF(树木!$X$5:$X$85&gt;=$H88,树木!$O$5:$O$85))</f>
        <v>0</v>
      </c>
      <c r="M88" s="80">
        <f t="shared" si="11"/>
        <v>319</v>
      </c>
    </row>
    <row r="89" spans="2:26" x14ac:dyDescent="0.15">
      <c r="B89" s="77">
        <v>85</v>
      </c>
      <c r="C89" s="77">
        <f t="array" ref="C89">MAX(C88,MIN(IF(体力抽奖!$C$48:$C$60&gt;=$J89,体力抽奖!$J$48:$J$60)))</f>
        <v>21</v>
      </c>
      <c r="D89" s="77">
        <f>VLOOKUP($C89,猫咪!$B:$E,4,0)</f>
        <v>10485.76</v>
      </c>
      <c r="E89" s="110">
        <f t="shared" si="12"/>
        <v>92500</v>
      </c>
      <c r="F89" s="101">
        <f t="shared" si="13"/>
        <v>970025300</v>
      </c>
      <c r="G89" s="83">
        <f t="shared" si="10"/>
        <v>4400000000</v>
      </c>
      <c r="H89" s="77">
        <f>SUM($G$5:$G89)</f>
        <v>65311801200</v>
      </c>
      <c r="I89" s="77">
        <f t="array" ref="I89">MIN(IF(树木!$S$5:$S$85&gt;=$H89,树木!$P$5:$P$85))</f>
        <v>0</v>
      </c>
      <c r="J89" s="77">
        <f t="array" ref="J89">MIN(IF(树木!$S$5:$S$85&gt;=$H89,树木!$O$5:$O$85))</f>
        <v>0</v>
      </c>
      <c r="K89" s="77">
        <f t="array" ref="K89">MIN(IF(树木!$X$5:$X$85&gt;=$H89,树木!$U$5:$U$85))</f>
        <v>0</v>
      </c>
      <c r="L89" s="77">
        <f t="array" ref="L89">MIN(IF(树木!$X$5:$X$85&gt;=$H89,树木!$O$5:$O$85))</f>
        <v>0</v>
      </c>
      <c r="M89" s="80">
        <f t="shared" si="11"/>
        <v>321</v>
      </c>
    </row>
    <row r="90" spans="2:26" x14ac:dyDescent="0.15">
      <c r="B90" s="77">
        <v>86</v>
      </c>
      <c r="C90" s="77">
        <f t="array" ref="C90">MAX(C89,MIN(IF(体力抽奖!$C$48:$C$60&gt;=$J90,体力抽奖!$J$48:$J$60)))</f>
        <v>21</v>
      </c>
      <c r="D90" s="77">
        <f>VLOOKUP($C90,猫咪!$B:$E,4,0)</f>
        <v>10485.76</v>
      </c>
      <c r="E90" s="110">
        <f t="shared" si="12"/>
        <v>93000</v>
      </c>
      <c r="F90" s="101">
        <f t="shared" si="13"/>
        <v>975268680</v>
      </c>
      <c r="G90" s="83">
        <f t="shared" si="10"/>
        <v>4700000000</v>
      </c>
      <c r="H90" s="77">
        <f>SUM($G$5:$G90)</f>
        <v>70011801200</v>
      </c>
      <c r="I90" s="77">
        <f t="array" ref="I90">MIN(IF(树木!$S$5:$S$85&gt;=$H90,树木!$P$5:$P$85))</f>
        <v>0</v>
      </c>
      <c r="J90" s="77">
        <f t="array" ref="J90">MIN(IF(树木!$S$5:$S$85&gt;=$H90,树木!$O$5:$O$85))</f>
        <v>0</v>
      </c>
      <c r="K90" s="77">
        <f t="array" ref="K90">MIN(IF(树木!$X$5:$X$85&gt;=$H90,树木!$U$5:$U$85))</f>
        <v>0</v>
      </c>
      <c r="L90" s="77">
        <f t="array" ref="L90">MIN(IF(树木!$X$5:$X$85&gt;=$H90,树木!$O$5:$O$85))</f>
        <v>0</v>
      </c>
      <c r="M90" s="80">
        <f t="shared" si="11"/>
        <v>322</v>
      </c>
    </row>
    <row r="91" spans="2:26" x14ac:dyDescent="0.15">
      <c r="B91" s="77">
        <v>87</v>
      </c>
      <c r="C91" s="77">
        <f t="array" ref="C91">MAX(C90,MIN(IF(体力抽奖!$C$48:$C$60&gt;=$J91,体力抽奖!$J$48:$J$60)))</f>
        <v>21</v>
      </c>
      <c r="D91" s="77">
        <f>VLOOKUP($C91,猫咪!$B:$E,4,0)</f>
        <v>10485.76</v>
      </c>
      <c r="E91" s="110">
        <f t="shared" si="12"/>
        <v>93500</v>
      </c>
      <c r="F91" s="101">
        <f t="shared" si="13"/>
        <v>980512060</v>
      </c>
      <c r="G91" s="83">
        <f t="shared" si="10"/>
        <v>5000000000</v>
      </c>
      <c r="H91" s="77">
        <f>SUM($G$5:$G91)</f>
        <v>75011801200</v>
      </c>
      <c r="I91" s="77">
        <f t="array" ref="I91">MIN(IF(树木!$S$5:$S$85&gt;=$H91,树木!$P$5:$P$85))</f>
        <v>0</v>
      </c>
      <c r="J91" s="77">
        <f t="array" ref="J91">MIN(IF(树木!$S$5:$S$85&gt;=$H91,树木!$O$5:$O$85))</f>
        <v>0</v>
      </c>
      <c r="K91" s="77">
        <f t="array" ref="K91">MIN(IF(树木!$X$5:$X$85&gt;=$H91,树木!$U$5:$U$85))</f>
        <v>0</v>
      </c>
      <c r="L91" s="77">
        <f t="array" ref="L91">MIN(IF(树木!$X$5:$X$85&gt;=$H91,树木!$O$5:$O$85))</f>
        <v>0</v>
      </c>
      <c r="M91" s="80">
        <f t="shared" si="11"/>
        <v>324</v>
      </c>
    </row>
    <row r="92" spans="2:26" x14ac:dyDescent="0.15">
      <c r="B92" s="77">
        <v>88</v>
      </c>
      <c r="C92" s="77">
        <f t="array" ref="C92">MAX(C91,MIN(IF(体力抽奖!$C$48:$C$60&gt;=$J92,体力抽奖!$J$48:$J$60)))</f>
        <v>21</v>
      </c>
      <c r="D92" s="77">
        <f>VLOOKUP($C92,猫咪!$B:$E,4,0)</f>
        <v>10485.76</v>
      </c>
      <c r="E92" s="110">
        <f t="shared" si="12"/>
        <v>94000</v>
      </c>
      <c r="F92" s="101">
        <f t="shared" si="13"/>
        <v>985755440</v>
      </c>
      <c r="G92" s="83">
        <f t="shared" si="10"/>
        <v>5300000000</v>
      </c>
      <c r="H92" s="77">
        <f>SUM($G$5:$G92)</f>
        <v>80311801200</v>
      </c>
      <c r="I92" s="77">
        <f t="array" ref="I92">MIN(IF(树木!$S$5:$S$85&gt;=$H92,树木!$P$5:$P$85))</f>
        <v>0</v>
      </c>
      <c r="J92" s="77">
        <f t="array" ref="J92">MIN(IF(树木!$S$5:$S$85&gt;=$H92,树木!$O$5:$O$85))</f>
        <v>0</v>
      </c>
      <c r="K92" s="77">
        <f t="array" ref="K92">MIN(IF(树木!$X$5:$X$85&gt;=$H92,树木!$U$5:$U$85))</f>
        <v>0</v>
      </c>
      <c r="L92" s="77">
        <f t="array" ref="L92">MIN(IF(树木!$X$5:$X$85&gt;=$H92,树木!$O$5:$O$85))</f>
        <v>0</v>
      </c>
      <c r="M92" s="80">
        <f t="shared" si="11"/>
        <v>326</v>
      </c>
    </row>
    <row r="93" spans="2:26" x14ac:dyDescent="0.15">
      <c r="B93" s="77">
        <v>89</v>
      </c>
      <c r="C93" s="77">
        <f t="array" ref="C93">MAX(C92,MIN(IF(体力抽奖!$C$48:$C$60&gt;=$J93,体力抽奖!$J$48:$J$60)))</f>
        <v>21</v>
      </c>
      <c r="D93" s="77">
        <f>VLOOKUP($C93,猫咪!$B:$E,4,0)</f>
        <v>10485.76</v>
      </c>
      <c r="E93" s="110">
        <f t="shared" si="12"/>
        <v>94500</v>
      </c>
      <c r="F93" s="101">
        <f t="shared" si="13"/>
        <v>990998820</v>
      </c>
      <c r="G93" s="83">
        <f t="shared" si="10"/>
        <v>5600000000</v>
      </c>
      <c r="H93" s="77">
        <f>SUM($G$5:$G93)</f>
        <v>85911801200</v>
      </c>
      <c r="I93" s="77">
        <f t="array" ref="I93">MIN(IF(树木!$S$5:$S$85&gt;=$H93,树木!$P$5:$P$85))</f>
        <v>0</v>
      </c>
      <c r="J93" s="77">
        <f t="array" ref="J93">MIN(IF(树木!$S$5:$S$85&gt;=$H93,树木!$O$5:$O$85))</f>
        <v>0</v>
      </c>
      <c r="K93" s="77">
        <f t="array" ref="K93">MIN(IF(树木!$X$5:$X$85&gt;=$H93,树木!$U$5:$U$85))</f>
        <v>0</v>
      </c>
      <c r="L93" s="77">
        <f t="array" ref="L93">MIN(IF(树木!$X$5:$X$85&gt;=$H93,树木!$O$5:$O$85))</f>
        <v>0</v>
      </c>
      <c r="M93" s="80">
        <f t="shared" si="11"/>
        <v>328</v>
      </c>
    </row>
    <row r="94" spans="2:26" x14ac:dyDescent="0.15">
      <c r="B94" s="77">
        <v>90</v>
      </c>
      <c r="C94" s="77">
        <f t="array" ref="C94">MAX(C93,MIN(IF(体力抽奖!$C$48:$C$60&gt;=$J94,体力抽奖!$J$48:$J$60)))</f>
        <v>21</v>
      </c>
      <c r="D94" s="77">
        <f>VLOOKUP($C94,猫咪!$B:$E,4,0)</f>
        <v>10485.76</v>
      </c>
      <c r="E94" s="110">
        <f t="shared" si="12"/>
        <v>95000</v>
      </c>
      <c r="F94" s="101">
        <f t="shared" si="13"/>
        <v>996242200</v>
      </c>
      <c r="G94" s="83">
        <f t="shared" si="10"/>
        <v>5900000000</v>
      </c>
      <c r="H94" s="77">
        <f>SUM($G$5:$G94)</f>
        <v>91811801200</v>
      </c>
      <c r="I94" s="77">
        <f t="array" ref="I94">MIN(IF(树木!$S$5:$S$85&gt;=$H94,树木!$P$5:$P$85))</f>
        <v>0</v>
      </c>
      <c r="J94" s="77">
        <f t="array" ref="J94">MIN(IF(树木!$S$5:$S$85&gt;=$H94,树木!$O$5:$O$85))</f>
        <v>0</v>
      </c>
      <c r="K94" s="77">
        <f t="array" ref="K94">MIN(IF(树木!$X$5:$X$85&gt;=$H94,树木!$U$5:$U$85))</f>
        <v>0</v>
      </c>
      <c r="L94" s="77">
        <f t="array" ref="L94">MIN(IF(树木!$X$5:$X$85&gt;=$H94,树木!$O$5:$O$85))</f>
        <v>0</v>
      </c>
      <c r="M94" s="80">
        <f t="shared" si="11"/>
        <v>329</v>
      </c>
      <c r="O94" s="70">
        <f>SUM(G94:G103)</f>
        <v>76000000000</v>
      </c>
      <c r="P94" s="70">
        <f>O94/100000</f>
        <v>760000</v>
      </c>
      <c r="R94" s="70">
        <f>O94/AC18</f>
        <v>10133333.333333334</v>
      </c>
    </row>
    <row r="95" spans="2:26" x14ac:dyDescent="0.15">
      <c r="B95" s="77">
        <v>91</v>
      </c>
      <c r="C95" s="77">
        <f t="array" ref="C95">MAX(C94,MIN(IF(体力抽奖!$C$48:$C$60&gt;=$J95,体力抽奖!$J$48:$J$60)))</f>
        <v>21</v>
      </c>
      <c r="D95" s="77">
        <f>VLOOKUP($C95,猫咪!$B:$E,4,0)</f>
        <v>10485.76</v>
      </c>
      <c r="E95" s="110">
        <f t="shared" si="12"/>
        <v>95500</v>
      </c>
      <c r="F95" s="101">
        <f t="shared" si="13"/>
        <v>1001485580</v>
      </c>
      <c r="G95" s="83">
        <f t="shared" si="10"/>
        <v>6200000000</v>
      </c>
      <c r="H95" s="77">
        <f>SUM($G$5:$G95)</f>
        <v>98011801200</v>
      </c>
      <c r="I95" s="77">
        <f t="array" ref="I95">MIN(IF(树木!$S$5:$S$85&gt;=$H95,树木!$P$5:$P$85))</f>
        <v>0</v>
      </c>
      <c r="J95" s="77">
        <f t="array" ref="J95">MIN(IF(树木!$S$5:$S$85&gt;=$H95,树木!$O$5:$O$85))</f>
        <v>0</v>
      </c>
      <c r="K95" s="77">
        <f t="array" ref="K95">MIN(IF(树木!$X$5:$X$85&gt;=$H95,树木!$U$5:$U$85))</f>
        <v>0</v>
      </c>
      <c r="L95" s="77">
        <f t="array" ref="L95">MIN(IF(树木!$X$5:$X$85&gt;=$H95,树木!$O$5:$O$85))</f>
        <v>0</v>
      </c>
      <c r="M95" s="80">
        <f t="shared" si="11"/>
        <v>331</v>
      </c>
    </row>
    <row r="96" spans="2:26" x14ac:dyDescent="0.15">
      <c r="B96" s="77">
        <v>92</v>
      </c>
      <c r="C96" s="77">
        <f t="array" ref="C96">MAX(C95,MIN(IF(体力抽奖!$C$48:$C$60&gt;=$J96,体力抽奖!$J$48:$J$60)))</f>
        <v>21</v>
      </c>
      <c r="D96" s="77">
        <f>VLOOKUP($C96,猫咪!$B:$E,4,0)</f>
        <v>10485.76</v>
      </c>
      <c r="E96" s="110">
        <f t="shared" si="12"/>
        <v>96000</v>
      </c>
      <c r="F96" s="101">
        <f t="shared" si="13"/>
        <v>1006728960</v>
      </c>
      <c r="G96" s="83">
        <f t="shared" si="10"/>
        <v>6600000000</v>
      </c>
      <c r="H96" s="77">
        <f>SUM($G$5:$G96)</f>
        <v>104611801200</v>
      </c>
      <c r="I96" s="77">
        <f t="array" ref="I96">MIN(IF(树木!$S$5:$S$85&gt;=$H96,树木!$P$5:$P$85))</f>
        <v>0</v>
      </c>
      <c r="J96" s="77">
        <f t="array" ref="J96">MIN(IF(树木!$S$5:$S$85&gt;=$H96,树木!$O$5:$O$85))</f>
        <v>0</v>
      </c>
      <c r="K96" s="77">
        <f t="array" ref="K96">MIN(IF(树木!$X$5:$X$85&gt;=$H96,树木!$U$5:$U$85))</f>
        <v>0</v>
      </c>
      <c r="L96" s="77">
        <f t="array" ref="L96">MIN(IF(树木!$X$5:$X$85&gt;=$H96,树木!$O$5:$O$85))</f>
        <v>0</v>
      </c>
      <c r="M96" s="80">
        <f t="shared" si="11"/>
        <v>333</v>
      </c>
    </row>
    <row r="97" spans="2:13" x14ac:dyDescent="0.15">
      <c r="B97" s="77">
        <v>93</v>
      </c>
      <c r="C97" s="77">
        <f t="array" ref="C97">MAX(C96,MIN(IF(体力抽奖!$C$48:$C$60&gt;=$J97,体力抽奖!$J$48:$J$60)))</f>
        <v>21</v>
      </c>
      <c r="D97" s="77">
        <f>VLOOKUP($C97,猫咪!$B:$E,4,0)</f>
        <v>10485.76</v>
      </c>
      <c r="E97" s="110">
        <f t="shared" si="12"/>
        <v>96500</v>
      </c>
      <c r="F97" s="101">
        <f t="shared" si="13"/>
        <v>1011972340</v>
      </c>
      <c r="G97" s="83">
        <f t="shared" si="10"/>
        <v>7000000000</v>
      </c>
      <c r="H97" s="77">
        <f>SUM($G$5:$G97)</f>
        <v>111611801200</v>
      </c>
      <c r="I97" s="77">
        <f t="array" ref="I97">MIN(IF(树木!$S$5:$S$85&gt;=$H97,树木!$P$5:$P$85))</f>
        <v>0</v>
      </c>
      <c r="J97" s="77">
        <f t="array" ref="J97">MIN(IF(树木!$S$5:$S$85&gt;=$H97,树木!$O$5:$O$85))</f>
        <v>0</v>
      </c>
      <c r="K97" s="77">
        <f t="array" ref="K97">MIN(IF(树木!$X$5:$X$85&gt;=$H97,树木!$U$5:$U$85))</f>
        <v>0</v>
      </c>
      <c r="L97" s="77">
        <f t="array" ref="L97">MIN(IF(树木!$X$5:$X$85&gt;=$H97,树木!$O$5:$O$85))</f>
        <v>0</v>
      </c>
      <c r="M97" s="80">
        <f t="shared" si="11"/>
        <v>335</v>
      </c>
    </row>
    <row r="98" spans="2:13" x14ac:dyDescent="0.15">
      <c r="B98" s="77">
        <v>94</v>
      </c>
      <c r="C98" s="77">
        <f t="array" ref="C98">MAX(C97,MIN(IF(体力抽奖!$C$48:$C$60&gt;=$J98,体力抽奖!$J$48:$J$60)))</f>
        <v>21</v>
      </c>
      <c r="D98" s="77">
        <f>VLOOKUP($C98,猫咪!$B:$E,4,0)</f>
        <v>10485.76</v>
      </c>
      <c r="E98" s="110">
        <f t="shared" si="12"/>
        <v>97000</v>
      </c>
      <c r="F98" s="101">
        <f t="shared" si="13"/>
        <v>1017215720</v>
      </c>
      <c r="G98" s="83">
        <f t="shared" si="10"/>
        <v>7300000000</v>
      </c>
      <c r="H98" s="77">
        <f>SUM($G$5:$G98)</f>
        <v>118911801200</v>
      </c>
      <c r="I98" s="77">
        <f t="array" ref="I98">MIN(IF(树木!$S$5:$S$85&gt;=$H98,树木!$P$5:$P$85))</f>
        <v>0</v>
      </c>
      <c r="J98" s="77">
        <f t="array" ref="J98">MIN(IF(树木!$S$5:$S$85&gt;=$H98,树木!$O$5:$O$85))</f>
        <v>0</v>
      </c>
      <c r="K98" s="77">
        <f t="array" ref="K98">MIN(IF(树木!$X$5:$X$85&gt;=$H98,树木!$U$5:$U$85))</f>
        <v>0</v>
      </c>
      <c r="L98" s="77">
        <f t="array" ref="L98">MIN(IF(树木!$X$5:$X$85&gt;=$H98,树木!$O$5:$O$85))</f>
        <v>0</v>
      </c>
      <c r="M98" s="80">
        <f t="shared" si="11"/>
        <v>336</v>
      </c>
    </row>
    <row r="99" spans="2:13" x14ac:dyDescent="0.15">
      <c r="B99" s="77">
        <v>95</v>
      </c>
      <c r="C99" s="77">
        <f t="array" ref="C99">MAX(C98,MIN(IF(体力抽奖!$C$48:$C$60&gt;=$J99,体力抽奖!$J$48:$J$60)))</f>
        <v>21</v>
      </c>
      <c r="D99" s="77">
        <f>VLOOKUP($C99,猫咪!$B:$E,4,0)</f>
        <v>10485.76</v>
      </c>
      <c r="E99" s="110">
        <f t="shared" si="12"/>
        <v>97500</v>
      </c>
      <c r="F99" s="101">
        <f t="shared" si="13"/>
        <v>1022459100</v>
      </c>
      <c r="G99" s="83">
        <f t="shared" si="10"/>
        <v>7700000000</v>
      </c>
      <c r="H99" s="77">
        <f>SUM($G$5:$G99)</f>
        <v>126611801200</v>
      </c>
      <c r="I99" s="77">
        <f t="array" ref="I99">MIN(IF(树木!$S$5:$S$85&gt;=$H99,树木!$P$5:$P$85))</f>
        <v>0</v>
      </c>
      <c r="J99" s="77">
        <f t="array" ref="J99">MIN(IF(树木!$S$5:$S$85&gt;=$H99,树木!$O$5:$O$85))</f>
        <v>0</v>
      </c>
      <c r="K99" s="77">
        <f t="array" ref="K99">MIN(IF(树木!$X$5:$X$85&gt;=$H99,树木!$U$5:$U$85))</f>
        <v>0</v>
      </c>
      <c r="L99" s="77">
        <f t="array" ref="L99">MIN(IF(树木!$X$5:$X$85&gt;=$H99,树木!$O$5:$O$85))</f>
        <v>0</v>
      </c>
      <c r="M99" s="80">
        <f t="shared" si="11"/>
        <v>338</v>
      </c>
    </row>
    <row r="100" spans="2:13" x14ac:dyDescent="0.15">
      <c r="B100" s="77">
        <v>96</v>
      </c>
      <c r="C100" s="77">
        <f t="array" ref="C100">MAX(C99,MIN(IF(体力抽奖!$C$48:$C$60&gt;=$J100,体力抽奖!$J$48:$J$60)))</f>
        <v>21</v>
      </c>
      <c r="D100" s="77">
        <f>VLOOKUP($C100,猫咪!$B:$E,4,0)</f>
        <v>10485.76</v>
      </c>
      <c r="E100" s="110">
        <f t="shared" si="12"/>
        <v>98000</v>
      </c>
      <c r="F100" s="101">
        <f t="shared" si="13"/>
        <v>1027702480</v>
      </c>
      <c r="G100" s="83">
        <f t="shared" si="10"/>
        <v>8200000000</v>
      </c>
      <c r="H100" s="77">
        <f>SUM($G$5:$G100)</f>
        <v>134811801200</v>
      </c>
      <c r="I100" s="77">
        <f t="array" ref="I100">MIN(IF(树木!$S$5:$S$85&gt;=$H100,树木!$P$5:$P$85))</f>
        <v>0</v>
      </c>
      <c r="J100" s="77">
        <f t="array" ref="J100">MIN(IF(树木!$S$5:$S$85&gt;=$H100,树木!$O$5:$O$85))</f>
        <v>0</v>
      </c>
      <c r="K100" s="77">
        <f t="array" ref="K100">MIN(IF(树木!$X$5:$X$85&gt;=$H100,树木!$U$5:$U$85))</f>
        <v>0</v>
      </c>
      <c r="L100" s="77">
        <f t="array" ref="L100">MIN(IF(树木!$X$5:$X$85&gt;=$H100,树木!$O$5:$O$85))</f>
        <v>0</v>
      </c>
      <c r="M100" s="80">
        <f t="shared" si="11"/>
        <v>340</v>
      </c>
    </row>
    <row r="101" spans="2:13" x14ac:dyDescent="0.15">
      <c r="B101" s="77">
        <v>97</v>
      </c>
      <c r="C101" s="77">
        <f t="array" ref="C101">MAX(C100,MIN(IF(体力抽奖!$C$48:$C$60&gt;=$J101,体力抽奖!$J$48:$J$60)))</f>
        <v>21</v>
      </c>
      <c r="D101" s="77">
        <f>VLOOKUP($C101,猫咪!$B:$E,4,0)</f>
        <v>10485.76</v>
      </c>
      <c r="E101" s="110">
        <f t="shared" si="12"/>
        <v>98500</v>
      </c>
      <c r="F101" s="101">
        <f t="shared" si="13"/>
        <v>1032945860</v>
      </c>
      <c r="G101" s="83">
        <f t="shared" si="10"/>
        <v>8600000000</v>
      </c>
      <c r="H101" s="77">
        <f>SUM($G$5:$G101)</f>
        <v>143411801200</v>
      </c>
      <c r="I101" s="77">
        <f t="array" ref="I101">MIN(IF(树木!$S$5:$S$85&gt;=$H101,树木!$P$5:$P$85))</f>
        <v>0</v>
      </c>
      <c r="J101" s="77">
        <f t="array" ref="J101">MIN(IF(树木!$S$5:$S$85&gt;=$H101,树木!$O$5:$O$85))</f>
        <v>0</v>
      </c>
      <c r="K101" s="77">
        <f t="array" ref="K101">MIN(IF(树木!$X$5:$X$85&gt;=$H101,树木!$U$5:$U$85))</f>
        <v>0</v>
      </c>
      <c r="L101" s="77">
        <f t="array" ref="L101">MIN(IF(树木!$X$5:$X$85&gt;=$H101,树木!$O$5:$O$85))</f>
        <v>0</v>
      </c>
      <c r="M101" s="80">
        <f t="shared" si="11"/>
        <v>342</v>
      </c>
    </row>
    <row r="102" spans="2:13" x14ac:dyDescent="0.15">
      <c r="B102" s="77">
        <v>98</v>
      </c>
      <c r="C102" s="77">
        <f t="array" ref="C102">MAX(C101,MIN(IF(体力抽奖!$C$48:$C$60&gt;=$J102,体力抽奖!$J$48:$J$60)))</f>
        <v>21</v>
      </c>
      <c r="D102" s="77">
        <f>VLOOKUP($C102,猫咪!$B:$E,4,0)</f>
        <v>10485.76</v>
      </c>
      <c r="E102" s="110">
        <f t="shared" si="12"/>
        <v>99000</v>
      </c>
      <c r="F102" s="101">
        <f t="shared" si="13"/>
        <v>1038189240</v>
      </c>
      <c r="G102" s="83">
        <f t="shared" si="10"/>
        <v>9000000000</v>
      </c>
      <c r="H102" s="77">
        <f>SUM($G$5:$G102)</f>
        <v>152411801200</v>
      </c>
      <c r="I102" s="77">
        <f t="array" ref="I102">MIN(IF(树木!$S$5:$S$85&gt;=$H102,树木!$P$5:$P$85))</f>
        <v>0</v>
      </c>
      <c r="J102" s="77">
        <f t="array" ref="J102">MIN(IF(树木!$S$5:$S$85&gt;=$H102,树木!$O$5:$O$85))</f>
        <v>0</v>
      </c>
      <c r="K102" s="77">
        <f t="array" ref="K102">MIN(IF(树木!$X$5:$X$85&gt;=$H102,树木!$U$5:$U$85))</f>
        <v>0</v>
      </c>
      <c r="L102" s="77">
        <f t="array" ref="L102">MIN(IF(树木!$X$5:$X$85&gt;=$H102,树木!$O$5:$O$85))</f>
        <v>0</v>
      </c>
      <c r="M102" s="80">
        <f t="shared" si="11"/>
        <v>343</v>
      </c>
    </row>
    <row r="103" spans="2:13" x14ac:dyDescent="0.15">
      <c r="B103" s="77">
        <v>99</v>
      </c>
      <c r="C103" s="77">
        <f t="array" ref="C103">MAX(C102,MIN(IF(体力抽奖!$C$48:$C$60&gt;=$J103,体力抽奖!$J$48:$J$60)))</f>
        <v>21</v>
      </c>
      <c r="D103" s="77">
        <f>VLOOKUP($C103,猫咪!$B:$E,4,0)</f>
        <v>10485.76</v>
      </c>
      <c r="E103" s="110">
        <f t="shared" si="12"/>
        <v>99500</v>
      </c>
      <c r="F103" s="101">
        <f t="shared" si="13"/>
        <v>1043432620</v>
      </c>
      <c r="G103" s="83">
        <f t="shared" si="10"/>
        <v>9500000000</v>
      </c>
      <c r="H103" s="77">
        <f>SUM($G$5:$G103)</f>
        <v>161911801200</v>
      </c>
      <c r="I103" s="77">
        <f t="array" ref="I103">MIN(IF(树木!$S$5:$S$85&gt;=$H103,树木!$P$5:$P$85))</f>
        <v>0</v>
      </c>
      <c r="J103" s="77">
        <f t="array" ref="J103">MIN(IF(树木!$S$5:$S$85&gt;=$H103,树木!$O$5:$O$85))</f>
        <v>0</v>
      </c>
      <c r="K103" s="77">
        <f t="array" ref="K103">MIN(IF(树木!$X$5:$X$85&gt;=$H103,树木!$U$5:$U$85))</f>
        <v>0</v>
      </c>
      <c r="L103" s="77">
        <f t="array" ref="L103">MIN(IF(树木!$X$5:$X$85&gt;=$H103,树木!$O$5:$O$85))</f>
        <v>0</v>
      </c>
      <c r="M103" s="80">
        <f t="shared" si="11"/>
        <v>345</v>
      </c>
    </row>
    <row r="104" spans="2:13" x14ac:dyDescent="0.15">
      <c r="B104" s="77">
        <v>100</v>
      </c>
      <c r="C104" s="77">
        <f t="array" ref="C104">MAX(C103,MIN(IF(体力抽奖!$C$48:$C$60&gt;=$J104,体力抽奖!$J$48:$J$60)))</f>
        <v>21</v>
      </c>
      <c r="D104" s="77">
        <f>VLOOKUP($C104,猫咪!$B:$E,4,0)</f>
        <v>10485.76</v>
      </c>
      <c r="E104" s="110">
        <f t="shared" si="12"/>
        <v>100000</v>
      </c>
      <c r="F104" s="101">
        <f t="shared" si="13"/>
        <v>1048676000</v>
      </c>
      <c r="G104" s="83">
        <f t="shared" si="10"/>
        <v>10000000000</v>
      </c>
      <c r="H104" s="77">
        <f>SUM($G$5:$G104)</f>
        <v>171911801200</v>
      </c>
      <c r="I104" s="77">
        <f t="array" ref="I104">MIN(IF(树木!$S$5:$S$85&gt;=$H104,树木!$P$5:$P$85))</f>
        <v>0</v>
      </c>
      <c r="J104" s="77">
        <f t="array" ref="J104">MIN(IF(树木!$S$5:$S$85&gt;=$H104,树木!$O$5:$O$85))</f>
        <v>0</v>
      </c>
      <c r="K104" s="77">
        <f t="array" ref="K104">MIN(IF(树木!$X$5:$X$85&gt;=$H104,树木!$U$5:$U$85))</f>
        <v>0</v>
      </c>
      <c r="L104" s="77">
        <f t="array" ref="L104">MIN(IF(树木!$X$5:$X$85&gt;=$H104,树木!$O$5:$O$85))</f>
        <v>0</v>
      </c>
      <c r="M104" s="80">
        <f t="shared" si="11"/>
        <v>347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4"/>
  <sheetViews>
    <sheetView topLeftCell="C1" workbookViewId="0">
      <pane ySplit="24" topLeftCell="A85" activePane="bottomLeft" state="frozen"/>
      <selection pane="bottomLeft" activeCell="R96" sqref="R96:Z96"/>
    </sheetView>
  </sheetViews>
  <sheetFormatPr defaultRowHeight="16.5" x14ac:dyDescent="0.15"/>
  <cols>
    <col min="1" max="2" width="9" style="70"/>
    <col min="3" max="3" width="8" style="70" bestFit="1" customWidth="1"/>
    <col min="4" max="4" width="14" style="70" bestFit="1" customWidth="1"/>
    <col min="5" max="5" width="13.125" style="102" bestFit="1" customWidth="1"/>
    <col min="6" max="6" width="11.375" style="70" bestFit="1" customWidth="1"/>
    <col min="7" max="7" width="12.75" style="81" bestFit="1" customWidth="1"/>
    <col min="8" max="8" width="12.875" style="70" bestFit="1" customWidth="1"/>
    <col min="9" max="9" width="15.375" style="70" bestFit="1" customWidth="1"/>
    <col min="10" max="10" width="11.75" style="70" bestFit="1" customWidth="1"/>
    <col min="11" max="11" width="16.5" style="70" bestFit="1" customWidth="1"/>
    <col min="12" max="12" width="12.875" style="70" bestFit="1" customWidth="1"/>
    <col min="13" max="13" width="10.5" style="70" bestFit="1" customWidth="1"/>
    <col min="14" max="17" width="9" style="70"/>
    <col min="18" max="18" width="11.375" style="70" bestFit="1" customWidth="1"/>
    <col min="19" max="19" width="15" style="70" bestFit="1" customWidth="1"/>
    <col min="20" max="20" width="12.875" style="70" bestFit="1" customWidth="1"/>
    <col min="21" max="21" width="9" style="70"/>
    <col min="22" max="22" width="6.5" style="70" bestFit="1" customWidth="1"/>
    <col min="23" max="23" width="12.5" style="70" bestFit="1" customWidth="1"/>
    <col min="24" max="24" width="15" style="70" bestFit="1" customWidth="1"/>
    <col min="25" max="25" width="12.875" style="70" bestFit="1" customWidth="1"/>
    <col min="26" max="16384" width="9" style="70"/>
  </cols>
  <sheetData>
    <row r="1" spans="2:29" x14ac:dyDescent="0.15">
      <c r="E1" s="102">
        <v>360</v>
      </c>
      <c r="G1" s="81">
        <v>5</v>
      </c>
    </row>
    <row r="2" spans="2:29" x14ac:dyDescent="0.15">
      <c r="E2" s="102">
        <v>4000</v>
      </c>
      <c r="G2" s="81">
        <v>10</v>
      </c>
    </row>
    <row r="3" spans="2:29" x14ac:dyDescent="0.15">
      <c r="G3" s="82" t="s">
        <v>266</v>
      </c>
      <c r="H3" s="79"/>
      <c r="I3" s="79"/>
      <c r="K3" s="79"/>
    </row>
    <row r="4" spans="2:29" x14ac:dyDescent="0.15">
      <c r="B4" s="77" t="s">
        <v>308</v>
      </c>
      <c r="C4" s="77" t="s">
        <v>305</v>
      </c>
      <c r="D4" s="77" t="s">
        <v>362</v>
      </c>
      <c r="E4" s="103" t="s">
        <v>371</v>
      </c>
      <c r="F4" s="77" t="s">
        <v>307</v>
      </c>
      <c r="G4" s="83" t="s">
        <v>285</v>
      </c>
      <c r="H4" s="77" t="s">
        <v>306</v>
      </c>
      <c r="I4" s="77" t="s">
        <v>282</v>
      </c>
      <c r="J4" s="77" t="s">
        <v>281</v>
      </c>
      <c r="K4" s="77" t="s">
        <v>283</v>
      </c>
      <c r="L4" s="77" t="s">
        <v>284</v>
      </c>
      <c r="M4" s="80"/>
      <c r="N4" s="77" t="s">
        <v>267</v>
      </c>
      <c r="P4" s="77" t="s">
        <v>9</v>
      </c>
      <c r="Q4" s="77" t="s">
        <v>34</v>
      </c>
      <c r="R4" s="77" t="s">
        <v>278</v>
      </c>
      <c r="S4" s="77" t="s">
        <v>347</v>
      </c>
      <c r="T4" s="77" t="s">
        <v>348</v>
      </c>
      <c r="V4" s="77" t="s">
        <v>279</v>
      </c>
      <c r="W4" s="77" t="s">
        <v>280</v>
      </c>
      <c r="X4" s="77" t="s">
        <v>276</v>
      </c>
      <c r="Y4" s="77" t="s">
        <v>277</v>
      </c>
      <c r="AA4" s="83" t="s">
        <v>9</v>
      </c>
      <c r="AB4" s="83" t="s">
        <v>393</v>
      </c>
      <c r="AC4" s="83" t="s">
        <v>394</v>
      </c>
    </row>
    <row r="5" spans="2:29" x14ac:dyDescent="0.15">
      <c r="B5" s="77">
        <v>1</v>
      </c>
      <c r="C5" s="77">
        <f t="array" ref="C5">MIN(IF(体力抽奖!$C$48:$C$60&gt;=$J5,体力抽奖!$J$48:$J$60))</f>
        <v>8</v>
      </c>
      <c r="D5" s="77">
        <f>VLOOKUP($C5,猫咪!$B:$E,4,0)</f>
        <v>1.28</v>
      </c>
      <c r="E5" s="110">
        <f>ROUND(B5*$E$1+$E$2,3-LEN(INT(B5*$E$1+$E$2)))</f>
        <v>4360</v>
      </c>
      <c r="F5" s="77">
        <f>E5*(1+D5)</f>
        <v>9940.8000000000011</v>
      </c>
      <c r="G5" s="83">
        <f t="shared" ref="G5:G36" si="0">ROUND(B5^G$1+G$2,IF(LEN(INT(B5^G$1+G$2))&lt;3,1-LEN(INT(B5^G$1+G$2)),2-LEN(INT(B5^G$1+G$2))))</f>
        <v>10</v>
      </c>
      <c r="H5" s="77">
        <f>SUM($G$5:$G5)</f>
        <v>10</v>
      </c>
      <c r="I5" s="77">
        <f t="array" ref="I5">MIN(IF(矿山!$S$5:$S$85&gt;=$H5,矿山!$P$5:$P$85))</f>
        <v>0.02</v>
      </c>
      <c r="J5" s="77">
        <f t="array" ref="J5">MIN(IF(矿山!$S$5:$S$85&gt;=$H5,矿山!$O$5:$O$85))</f>
        <v>20</v>
      </c>
      <c r="K5" s="77">
        <f t="array" ref="K5">MIN(IF(矿山!$X$5:$X$85&gt;=$H5,矿山!$U$5:$U$85))</f>
        <v>0.01</v>
      </c>
      <c r="L5" s="77">
        <f t="array" ref="L5">MIN(IF(矿山!$X$5:$X$85&gt;=$H5,矿山!$O$5:$O$85))</f>
        <v>20</v>
      </c>
      <c r="M5" s="80">
        <f>ROUNDUP(F5,-3)</f>
        <v>10000</v>
      </c>
      <c r="N5" s="77">
        <v>8</v>
      </c>
      <c r="P5" s="77">
        <v>20</v>
      </c>
      <c r="Q5" s="77">
        <f>INDEX(等级时间!$U$3:$AU$203,MATCH($P5,等级时间!$U$3:$U$203,0),MATCH(Q$4,等级时间!$U$3:$AU$3,0))</f>
        <v>0.02</v>
      </c>
      <c r="R5" s="77">
        <f>Q5</f>
        <v>0.02</v>
      </c>
      <c r="S5" s="77">
        <f t="array" ref="S5">INDEX($F$4:$F$104,MATCH(MAX(IF($J$5:$J$104&lt;=$P5,$J$5:$J$104)),$J$4:$J$104,0),0)*R5*IF($P5&gt;=$N$6,2,1)</f>
        <v>198.81600000000003</v>
      </c>
      <c r="T5" s="77">
        <f>SUM($S$5:$S5)</f>
        <v>198.81600000000003</v>
      </c>
      <c r="V5" s="77">
        <f>INDEX(等级时间!$U$3:$AU$203,MATCH($P5,等级时间!$U$3:$U$203,0),MATCH(V$4,等级时间!$U$3:$AU$3,0))</f>
        <v>0.01</v>
      </c>
      <c r="W5" s="77">
        <f>V5</f>
        <v>0.01</v>
      </c>
      <c r="X5" s="77">
        <f t="array" ref="X5">INDEX($F$4:$F$104,MATCH(MAX(IF($J$5:$J$104&lt;=$P5,$J$5:$J$104)),$J$4:$J$104,0),0)*W5*IF($P5&gt;=$N$6,2,1)</f>
        <v>99.408000000000015</v>
      </c>
      <c r="Y5" s="77">
        <f>SUM($X$5:$X5)</f>
        <v>99.408000000000015</v>
      </c>
      <c r="AA5" s="83">
        <v>20</v>
      </c>
      <c r="AB5" s="83">
        <v>1000</v>
      </c>
      <c r="AC5" s="83">
        <f>1/AB5</f>
        <v>1E-3</v>
      </c>
    </row>
    <row r="6" spans="2:29" x14ac:dyDescent="0.15">
      <c r="B6" s="77">
        <v>2</v>
      </c>
      <c r="C6" s="77">
        <f t="array" ref="C6">MIN(IF(体力抽奖!$C$48:$C$60&gt;=$J6,体力抽奖!$J$48:$J$60))</f>
        <v>8</v>
      </c>
      <c r="D6" s="77">
        <f>VLOOKUP($C6,猫咪!$B:$E,4,0)</f>
        <v>1.28</v>
      </c>
      <c r="E6" s="110">
        <f t="shared" ref="E6:E69" si="1">ROUND(B6*$E$1+$E$2,3-LEN(INT(B6*$E$1+$E$2)))</f>
        <v>4720</v>
      </c>
      <c r="F6" s="77">
        <f t="shared" ref="F6:F69" si="2">E6*(1+D6)</f>
        <v>10761.6</v>
      </c>
      <c r="G6" s="83">
        <f t="shared" si="0"/>
        <v>40</v>
      </c>
      <c r="H6" s="77">
        <f>SUM($G$5:$G6)</f>
        <v>50</v>
      </c>
      <c r="I6" s="77">
        <f t="array" ref="I6">MIN(IF(矿山!$S$5:$S$85&gt;=$H6,矿山!$P$5:$P$85))</f>
        <v>0.02</v>
      </c>
      <c r="J6" s="77">
        <f t="array" ref="J6">MIN(IF(矿山!$S$5:$S$85&gt;=$H6,矿山!$O$5:$O$85))</f>
        <v>20</v>
      </c>
      <c r="K6" s="77">
        <f t="array" ref="K6">MIN(IF(矿山!$X$5:$X$85&gt;=$H6,矿山!$U$5:$U$85))</f>
        <v>0.01</v>
      </c>
      <c r="L6" s="77">
        <f t="array" ref="L6">MIN(IF(矿山!$X$5:$X$85&gt;=$H6,矿山!$O$5:$O$85))</f>
        <v>20</v>
      </c>
      <c r="M6" s="80">
        <f t="shared" ref="M6:M69" si="3">ROUNDUP(F6,-3)</f>
        <v>11000</v>
      </c>
      <c r="N6" s="77">
        <v>30</v>
      </c>
      <c r="P6" s="77">
        <v>21</v>
      </c>
      <c r="Q6" s="77">
        <f>INDEX(等级时间!$U$3:$AU$203,MATCH($P6,等级时间!$U$3:$U$203,0),MATCH(Q$4,等级时间!$U$3:$AU$3,0))</f>
        <v>0.14000000000000001</v>
      </c>
      <c r="R6" s="77">
        <f>Q6-Q5</f>
        <v>0.12000000000000001</v>
      </c>
      <c r="S6" s="77">
        <f t="array" ref="S6">INDEX($F$4:$F$104,MATCH(MAX(IF($J$5:$J$104&lt;=$P6,$J$5:$J$104)),$J$4:$J$104,0),0)*R6*IF($P6&gt;=$N$6,2,1)</f>
        <v>1488.3840000000002</v>
      </c>
      <c r="T6" s="77">
        <f>SUM($S$5:$S6)</f>
        <v>1687.2000000000003</v>
      </c>
      <c r="V6" s="77">
        <f>INDEX(等级时间!$U$3:$AU$203,MATCH($P6,等级时间!$U$3:$U$203,0),MATCH(V$4,等级时间!$U$3:$AU$3,0))</f>
        <v>0.06</v>
      </c>
      <c r="W6" s="77">
        <f>V6-V5</f>
        <v>4.9999999999999996E-2</v>
      </c>
      <c r="X6" s="77">
        <f t="array" ref="X6">INDEX($F$4:$F$104,MATCH(MAX(IF($J$5:$J$104&lt;=$P6,$J$5:$J$104)),$J$4:$J$104,0),0)*W6*IF($P6&gt;=$N$6,2,1)</f>
        <v>620.16</v>
      </c>
      <c r="Y6" s="77">
        <f>SUM($X$5:$X6)</f>
        <v>719.56799999999998</v>
      </c>
      <c r="AA6" s="83">
        <v>30</v>
      </c>
      <c r="AB6" s="83">
        <v>1500</v>
      </c>
      <c r="AC6" s="83">
        <f t="shared" ref="AC6:AC18" si="4">1/AB6</f>
        <v>6.6666666666666664E-4</v>
      </c>
    </row>
    <row r="7" spans="2:29" x14ac:dyDescent="0.15">
      <c r="B7" s="77">
        <v>3</v>
      </c>
      <c r="C7" s="77">
        <f t="array" ref="C7">MIN(IF(体力抽奖!$C$48:$C$60&gt;=$J7,体力抽奖!$J$48:$J$60))</f>
        <v>8</v>
      </c>
      <c r="D7" s="77">
        <f>VLOOKUP($C7,猫咪!$B:$E,4,0)</f>
        <v>1.28</v>
      </c>
      <c r="E7" s="110">
        <f t="shared" si="1"/>
        <v>5080</v>
      </c>
      <c r="F7" s="77">
        <f t="shared" si="2"/>
        <v>11582.400000000001</v>
      </c>
      <c r="G7" s="83">
        <f t="shared" si="0"/>
        <v>250</v>
      </c>
      <c r="H7" s="77">
        <f>SUM($G$5:$G7)</f>
        <v>300</v>
      </c>
      <c r="I7" s="77">
        <f t="array" ref="I7">MIN(IF(矿山!$S$5:$S$85&gt;=$H7,矿山!$P$5:$P$85))</f>
        <v>0.02</v>
      </c>
      <c r="J7" s="77">
        <f t="array" ref="J7">MIN(IF(矿山!$S$5:$S$85&gt;=$H7,矿山!$O$5:$O$85))</f>
        <v>20</v>
      </c>
      <c r="K7" s="77">
        <f t="array" ref="K7">MIN(IF(矿山!$X$5:$X$85&gt;=$H7,矿山!$U$5:$U$85))</f>
        <v>0.06</v>
      </c>
      <c r="L7" s="77">
        <f t="array" ref="L7">MIN(IF(矿山!$X$5:$X$85&gt;=$H7,矿山!$O$5:$O$85))</f>
        <v>21</v>
      </c>
      <c r="M7" s="80">
        <f t="shared" si="3"/>
        <v>12000</v>
      </c>
      <c r="P7" s="77">
        <v>22</v>
      </c>
      <c r="Q7" s="77">
        <f>INDEX(等级时间!$U$3:$AU$203,MATCH($P7,等级时间!$U$3:$U$203,0),MATCH(Q$4,等级时间!$U$3:$AU$3,0))</f>
        <v>0.27</v>
      </c>
      <c r="R7" s="77">
        <f t="shared" ref="R7:R70" si="5">Q7-Q6</f>
        <v>0.13</v>
      </c>
      <c r="S7" s="77">
        <f t="array" ref="S7">INDEX($F$4:$F$104,MATCH(MAX(IF($J$5:$J$104&lt;=$P7,$J$5:$J$104)),$J$4:$J$104,0),0)*R7*IF($P7&gt;=$N$6,2,1)</f>
        <v>1719.1200000000003</v>
      </c>
      <c r="T7" s="77">
        <f>SUM($S$5:$S7)</f>
        <v>3406.3200000000006</v>
      </c>
      <c r="V7" s="77">
        <f>INDEX(等级时间!$U$3:$AU$203,MATCH($P7,等级时间!$U$3:$U$203,0),MATCH(V$4,等级时间!$U$3:$AU$3,0))</f>
        <v>0.11</v>
      </c>
      <c r="W7" s="77">
        <f t="shared" ref="W7:W70" si="6">V7-V6</f>
        <v>0.05</v>
      </c>
      <c r="X7" s="77">
        <f t="array" ref="X7">INDEX($F$4:$F$104,MATCH(MAX(IF($J$5:$J$104&lt;=$P7,$J$5:$J$104)),$J$4:$J$104,0),0)*W7*IF($P7&gt;=$N$6,2,1)</f>
        <v>661.20000000000016</v>
      </c>
      <c r="Y7" s="77">
        <f>SUM($X$5:$X7)</f>
        <v>1380.768</v>
      </c>
      <c r="AA7" s="83">
        <v>40</v>
      </c>
      <c r="AB7" s="83">
        <v>2500</v>
      </c>
      <c r="AC7" s="83">
        <f t="shared" si="4"/>
        <v>4.0000000000000002E-4</v>
      </c>
    </row>
    <row r="8" spans="2:29" x14ac:dyDescent="0.15">
      <c r="B8" s="77">
        <v>4</v>
      </c>
      <c r="C8" s="77">
        <f t="array" ref="C8">MIN(IF(体力抽奖!$C$48:$C$60&gt;=$J8,体力抽奖!$J$48:$J$60))</f>
        <v>8</v>
      </c>
      <c r="D8" s="77">
        <f>VLOOKUP($C8,猫咪!$B:$E,4,0)</f>
        <v>1.28</v>
      </c>
      <c r="E8" s="110">
        <f t="shared" si="1"/>
        <v>5440</v>
      </c>
      <c r="F8" s="77">
        <f t="shared" si="2"/>
        <v>12403.2</v>
      </c>
      <c r="G8" s="83">
        <f t="shared" si="0"/>
        <v>1000</v>
      </c>
      <c r="H8" s="77">
        <f>SUM($G$5:$G8)</f>
        <v>1300</v>
      </c>
      <c r="I8" s="77">
        <f t="array" ref="I8">MIN(IF(矿山!$S$5:$S$85&gt;=$H8,矿山!$P$5:$P$85))</f>
        <v>0.14000000000000001</v>
      </c>
      <c r="J8" s="77">
        <f t="array" ref="J8">MIN(IF(矿山!$S$5:$S$85&gt;=$H8,矿山!$O$5:$O$85))</f>
        <v>21</v>
      </c>
      <c r="K8" s="77">
        <f t="array" ref="K8">MIN(IF(矿山!$X$5:$X$85&gt;=$H8,矿山!$U$5:$U$85))</f>
        <v>0.06</v>
      </c>
      <c r="L8" s="77">
        <f t="array" ref="L8">MIN(IF(矿山!$X$5:$X$85&gt;=$H8,矿山!$O$5:$O$85))</f>
        <v>21</v>
      </c>
      <c r="M8" s="80">
        <f t="shared" si="3"/>
        <v>13000</v>
      </c>
      <c r="P8" s="77">
        <v>23</v>
      </c>
      <c r="Q8" s="77">
        <f>INDEX(等级时间!$U$3:$AU$203,MATCH($P8,等级时间!$U$3:$U$203,0),MATCH(Q$4,等级时间!$U$3:$AU$3,0))</f>
        <v>0.42</v>
      </c>
      <c r="R8" s="77">
        <f t="shared" si="5"/>
        <v>0.14999999999999997</v>
      </c>
      <c r="S8" s="77">
        <f t="array" ref="S8">INDEX($F$4:$F$104,MATCH(MAX(IF($J$5:$J$104&lt;=$P8,$J$5:$J$104)),$J$4:$J$104,0),0)*R8*IF($P8&gt;=$N$6,2,1)</f>
        <v>1983.6</v>
      </c>
      <c r="T8" s="77">
        <f>SUM($S$5:$S8)</f>
        <v>5389.92</v>
      </c>
      <c r="V8" s="77">
        <f>INDEX(等级时间!$U$3:$AU$203,MATCH($P8,等级时间!$U$3:$U$203,0),MATCH(V$4,等级时间!$U$3:$AU$3,0))</f>
        <v>0.18</v>
      </c>
      <c r="W8" s="77">
        <f t="shared" si="6"/>
        <v>6.9999999999999993E-2</v>
      </c>
      <c r="X8" s="77">
        <f t="array" ref="X8">INDEX($F$4:$F$104,MATCH(MAX(IF($J$5:$J$104&lt;=$P8,$J$5:$J$104)),$J$4:$J$104,0),0)*W8*IF($P8&gt;=$N$6,2,1)</f>
        <v>925.68000000000006</v>
      </c>
      <c r="Y8" s="77">
        <f>SUM($X$5:$X8)</f>
        <v>2306.4480000000003</v>
      </c>
      <c r="AA8" s="83">
        <v>50</v>
      </c>
      <c r="AB8" s="83">
        <v>3500</v>
      </c>
      <c r="AC8" s="83">
        <f t="shared" si="4"/>
        <v>2.8571428571428574E-4</v>
      </c>
    </row>
    <row r="9" spans="2:29" x14ac:dyDescent="0.15">
      <c r="B9" s="77">
        <v>5</v>
      </c>
      <c r="C9" s="77">
        <f t="array" ref="C9">MIN(IF(体力抽奖!$C$48:$C$60&gt;=$J9,体力抽奖!$J$48:$J$60))</f>
        <v>8</v>
      </c>
      <c r="D9" s="77">
        <f>VLOOKUP($C9,猫咪!$B:$E,4,0)</f>
        <v>1.28</v>
      </c>
      <c r="E9" s="110">
        <f t="shared" si="1"/>
        <v>5800</v>
      </c>
      <c r="F9" s="77">
        <f t="shared" si="2"/>
        <v>13224.000000000002</v>
      </c>
      <c r="G9" s="83">
        <f t="shared" si="0"/>
        <v>3100</v>
      </c>
      <c r="H9" s="77">
        <f>SUM($G$5:$G9)</f>
        <v>4400</v>
      </c>
      <c r="I9" s="77">
        <f t="array" ref="I9">MIN(IF(矿山!$S$5:$S$85&gt;=$H9,矿山!$P$5:$P$85))</f>
        <v>0.27</v>
      </c>
      <c r="J9" s="77">
        <f t="array" ref="J9">MIN(IF(矿山!$S$5:$S$85&gt;=$H9,矿山!$O$5:$O$85))</f>
        <v>22</v>
      </c>
      <c r="K9" s="77">
        <f t="array" ref="K9">MIN(IF(矿山!$X$5:$X$85&gt;=$H9,矿山!$U$5:$U$85))</f>
        <v>0.18</v>
      </c>
      <c r="L9" s="77">
        <f t="array" ref="L9">MIN(IF(矿山!$X$5:$X$85&gt;=$H9,矿山!$O$5:$O$85))</f>
        <v>23</v>
      </c>
      <c r="M9" s="80">
        <f t="shared" si="3"/>
        <v>14000</v>
      </c>
      <c r="P9" s="77">
        <v>24</v>
      </c>
      <c r="Q9" s="77">
        <f>INDEX(等级时间!$U$3:$AU$203,MATCH($P9,等级时间!$U$3:$U$203,0),MATCH(Q$4,等级时间!$U$3:$AU$3,0))</f>
        <v>0.59</v>
      </c>
      <c r="R9" s="77">
        <f t="shared" si="5"/>
        <v>0.16999999999999998</v>
      </c>
      <c r="S9" s="77">
        <f t="array" ref="S9">INDEX($F$4:$F$104,MATCH(MAX(IF($J$5:$J$104&lt;=$P9,$J$5:$J$104)),$J$4:$J$104,0),0)*R9*IF($P9&gt;=$N$6,2,1)</f>
        <v>2387.616</v>
      </c>
      <c r="T9" s="77">
        <f>SUM($S$5:$S9)</f>
        <v>7777.5360000000001</v>
      </c>
      <c r="V9" s="77">
        <f>INDEX(等级时间!$U$3:$AU$203,MATCH($P9,等级时间!$U$3:$U$203,0),MATCH(V$4,等级时间!$U$3:$AU$3,0))</f>
        <v>0.25</v>
      </c>
      <c r="W9" s="77">
        <f t="shared" si="6"/>
        <v>7.0000000000000007E-2</v>
      </c>
      <c r="X9" s="77">
        <f t="array" ref="X9">INDEX($F$4:$F$104,MATCH(MAX(IF($J$5:$J$104&lt;=$P9,$J$5:$J$104)),$J$4:$J$104,0),0)*W9*IF($P9&gt;=$N$6,2,1)</f>
        <v>983.13600000000019</v>
      </c>
      <c r="Y9" s="77">
        <f>SUM($X$5:$X9)</f>
        <v>3289.5840000000007</v>
      </c>
      <c r="AA9" s="83">
        <v>60</v>
      </c>
      <c r="AB9" s="83">
        <v>5000</v>
      </c>
      <c r="AC9" s="83">
        <f t="shared" si="4"/>
        <v>2.0000000000000001E-4</v>
      </c>
    </row>
    <row r="10" spans="2:29" x14ac:dyDescent="0.15">
      <c r="B10" s="77">
        <v>6</v>
      </c>
      <c r="C10" s="77">
        <f t="array" ref="C10">MIN(IF(体力抽奖!$C$48:$C$60&gt;=$J10,体力抽奖!$J$48:$J$60))</f>
        <v>8</v>
      </c>
      <c r="D10" s="77">
        <f>VLOOKUP($C10,猫咪!$B:$E,4,0)</f>
        <v>1.28</v>
      </c>
      <c r="E10" s="110">
        <f t="shared" si="1"/>
        <v>6160</v>
      </c>
      <c r="F10" s="77">
        <f t="shared" si="2"/>
        <v>14044.800000000001</v>
      </c>
      <c r="G10" s="83">
        <f t="shared" si="0"/>
        <v>7800</v>
      </c>
      <c r="H10" s="77">
        <f>SUM($G$5:$G10)</f>
        <v>12200</v>
      </c>
      <c r="I10" s="77">
        <f t="array" ref="I10">MIN(IF(矿山!$S$5:$S$85&gt;=$H10,矿山!$P$5:$P$85))</f>
        <v>0.59</v>
      </c>
      <c r="J10" s="77">
        <f t="array" ref="J10">MIN(IF(矿山!$S$5:$S$85&gt;=$H10,矿山!$O$5:$O$85))</f>
        <v>24</v>
      </c>
      <c r="K10" s="77">
        <f t="array" ref="K10">MIN(IF(矿山!$X$5:$X$85&gt;=$H10,矿山!$U$5:$U$85))</f>
        <v>0.5</v>
      </c>
      <c r="L10" s="77">
        <f t="array" ref="L10">MIN(IF(矿山!$X$5:$X$85&gt;=$H10,矿山!$O$5:$O$85))</f>
        <v>27</v>
      </c>
      <c r="M10" s="80">
        <f t="shared" si="3"/>
        <v>15000</v>
      </c>
      <c r="P10" s="77">
        <v>25</v>
      </c>
      <c r="Q10" s="77">
        <f>INDEX(等级时间!$U$3:$AU$203,MATCH($P10,等级时间!$U$3:$U$203,0),MATCH(Q$4,等级时间!$U$3:$AU$3,0))</f>
        <v>0.77</v>
      </c>
      <c r="R10" s="77">
        <f t="shared" si="5"/>
        <v>0.18000000000000005</v>
      </c>
      <c r="S10" s="77">
        <f t="array" ref="S10">INDEX($F$4:$F$104,MATCH(MAX(IF($J$5:$J$104&lt;=$P10,$J$5:$J$104)),$J$4:$J$104,0),0)*R10*IF($P10&gt;=$N$6,2,1)</f>
        <v>2528.0640000000008</v>
      </c>
      <c r="T10" s="77">
        <f>SUM($S$5:$S10)</f>
        <v>10305.6</v>
      </c>
      <c r="V10" s="77">
        <f>INDEX(等级时间!$U$3:$AU$203,MATCH($P10,等级时间!$U$3:$U$203,0),MATCH(V$4,等级时间!$U$3:$AU$3,0))</f>
        <v>0.32</v>
      </c>
      <c r="W10" s="77">
        <f t="shared" si="6"/>
        <v>7.0000000000000007E-2</v>
      </c>
      <c r="X10" s="77">
        <f t="array" ref="X10">INDEX($F$4:$F$104,MATCH(MAX(IF($J$5:$J$104&lt;=$P10,$J$5:$J$104)),$J$4:$J$104,0),0)*W10*IF($P10&gt;=$N$6,2,1)</f>
        <v>983.13600000000019</v>
      </c>
      <c r="Y10" s="77">
        <f>SUM($X$5:$X10)</f>
        <v>4272.7200000000012</v>
      </c>
      <c r="AA10" s="83">
        <v>70</v>
      </c>
      <c r="AB10" s="83">
        <v>8000</v>
      </c>
      <c r="AC10" s="83">
        <f t="shared" si="4"/>
        <v>1.25E-4</v>
      </c>
    </row>
    <row r="11" spans="2:29" x14ac:dyDescent="0.15">
      <c r="B11" s="77">
        <v>7</v>
      </c>
      <c r="C11" s="77">
        <f t="array" ref="C11">MIN(IF(体力抽奖!$C$48:$C$60&gt;=$J11,体力抽奖!$J$48:$J$60))</f>
        <v>8</v>
      </c>
      <c r="D11" s="77">
        <f>VLOOKUP($C11,猫咪!$B:$E,4,0)</f>
        <v>1.28</v>
      </c>
      <c r="E11" s="110">
        <f t="shared" si="1"/>
        <v>6520</v>
      </c>
      <c r="F11" s="77">
        <f t="shared" si="2"/>
        <v>14865.600000000002</v>
      </c>
      <c r="G11" s="83">
        <f t="shared" si="0"/>
        <v>17000</v>
      </c>
      <c r="H11" s="77">
        <f>SUM($G$5:$G11)</f>
        <v>29200</v>
      </c>
      <c r="I11" s="77">
        <f t="array" ref="I11">MIN(IF(矿山!$S$5:$S$85&gt;=$H11,矿山!$P$5:$P$85))</f>
        <v>1.2</v>
      </c>
      <c r="J11" s="77">
        <f t="array" ref="J11">MIN(IF(矿山!$S$5:$S$85&gt;=$H11,矿山!$O$5:$O$85))</f>
        <v>27</v>
      </c>
      <c r="K11" s="77">
        <f t="array" ref="K11">MIN(IF(矿山!$X$5:$X$85&gt;=$H11,矿山!$U$5:$U$85))</f>
        <v>0.83</v>
      </c>
      <c r="L11" s="77">
        <f t="array" ref="L11">MIN(IF(矿山!$X$5:$X$85&gt;=$H11,矿山!$O$5:$O$85))</f>
        <v>30</v>
      </c>
      <c r="M11" s="80">
        <f t="shared" si="3"/>
        <v>15000</v>
      </c>
      <c r="P11" s="77">
        <v>26</v>
      </c>
      <c r="Q11" s="77">
        <f>INDEX(等级时间!$U$3:$AU$203,MATCH($P11,等级时间!$U$3:$U$203,0),MATCH(Q$4,等级时间!$U$3:$AU$3,0))</f>
        <v>0.98</v>
      </c>
      <c r="R11" s="77">
        <f t="shared" si="5"/>
        <v>0.20999999999999996</v>
      </c>
      <c r="S11" s="77">
        <f t="array" ref="S11">INDEX($F$4:$F$104,MATCH(MAX(IF($J$5:$J$104&lt;=$P11,$J$5:$J$104)),$J$4:$J$104,0),0)*R11*IF($P11&gt;=$N$6,2,1)</f>
        <v>2949.4079999999999</v>
      </c>
      <c r="T11" s="77">
        <f>SUM($S$5:$S11)</f>
        <v>13255.008</v>
      </c>
      <c r="V11" s="77">
        <f>INDEX(等级时间!$U$3:$AU$203,MATCH($P11,等级时间!$U$3:$U$203,0),MATCH(V$4,等级时间!$U$3:$AU$3,0))</f>
        <v>0.41</v>
      </c>
      <c r="W11" s="77">
        <f t="shared" si="6"/>
        <v>8.9999999999999969E-2</v>
      </c>
      <c r="X11" s="77">
        <f t="array" ref="X11">INDEX($F$4:$F$104,MATCH(MAX(IF($J$5:$J$104&lt;=$P11,$J$5:$J$104)),$J$4:$J$104,0),0)*W11*IF($P11&gt;=$N$6,2,1)</f>
        <v>1264.0319999999997</v>
      </c>
      <c r="Y11" s="77">
        <f>SUM($X$5:$X11)</f>
        <v>5536.7520000000004</v>
      </c>
      <c r="AA11" s="83">
        <v>80</v>
      </c>
      <c r="AB11" s="83">
        <v>12000</v>
      </c>
      <c r="AC11" s="83">
        <f t="shared" si="4"/>
        <v>8.3333333333333331E-5</v>
      </c>
    </row>
    <row r="12" spans="2:29" x14ac:dyDescent="0.15">
      <c r="B12" s="77">
        <v>8</v>
      </c>
      <c r="C12" s="77">
        <f t="array" ref="C12">MIN(IF(体力抽奖!$C$48:$C$60&gt;=$J12,体力抽奖!$J$48:$J$60))</f>
        <v>10</v>
      </c>
      <c r="D12" s="77">
        <f>VLOOKUP($C12,猫咪!$B:$E,4,0)</f>
        <v>5.12</v>
      </c>
      <c r="E12" s="110">
        <f t="shared" si="1"/>
        <v>6880</v>
      </c>
      <c r="F12" s="77">
        <f t="shared" si="2"/>
        <v>42105.599999999999</v>
      </c>
      <c r="G12" s="83">
        <f t="shared" si="0"/>
        <v>33000</v>
      </c>
      <c r="H12" s="77">
        <f>SUM($G$5:$G12)</f>
        <v>62200</v>
      </c>
      <c r="I12" s="77">
        <f t="array" ref="I12">MIN(IF(矿山!$S$5:$S$85&gt;=$H12,矿山!$P$5:$P$85))</f>
        <v>1.98</v>
      </c>
      <c r="J12" s="77">
        <f t="array" ref="J12">MIN(IF(矿山!$S$5:$S$85&gt;=$H12,矿山!$O$5:$O$85))</f>
        <v>30</v>
      </c>
      <c r="K12" s="77">
        <f t="array" ref="K12">MIN(IF(矿山!$X$5:$X$85&gt;=$H12,矿山!$U$5:$U$85))</f>
        <v>1.23</v>
      </c>
      <c r="L12" s="77">
        <f t="array" ref="L12">MIN(IF(矿山!$X$5:$X$85&gt;=$H12,矿山!$O$5:$O$85))</f>
        <v>33</v>
      </c>
      <c r="M12" s="80">
        <f t="shared" si="3"/>
        <v>43000</v>
      </c>
      <c r="P12" s="77">
        <v>27</v>
      </c>
      <c r="Q12" s="77">
        <f>INDEX(等级时间!$U$3:$AU$203,MATCH($P12,等级时间!$U$3:$U$203,0),MATCH(Q$4,等级时间!$U$3:$AU$3,0))</f>
        <v>1.2</v>
      </c>
      <c r="R12" s="77">
        <f t="shared" si="5"/>
        <v>0.21999999999999997</v>
      </c>
      <c r="S12" s="77">
        <f t="array" ref="S12">INDEX($F$4:$F$104,MATCH(MAX(IF($J$5:$J$104&lt;=$P12,$J$5:$J$104)),$J$4:$J$104,0),0)*R12*IF($P12&gt;=$N$6,2,1)</f>
        <v>3270.4320000000002</v>
      </c>
      <c r="T12" s="77">
        <f>SUM($S$5:$S12)</f>
        <v>16525.439999999999</v>
      </c>
      <c r="V12" s="77">
        <f>INDEX(等级时间!$U$3:$AU$203,MATCH($P12,等级时间!$U$3:$U$203,0),MATCH(V$4,等级时间!$U$3:$AU$3,0))</f>
        <v>0.5</v>
      </c>
      <c r="W12" s="77">
        <f t="shared" si="6"/>
        <v>9.0000000000000024E-2</v>
      </c>
      <c r="X12" s="77">
        <f t="array" ref="X12">INDEX($F$4:$F$104,MATCH(MAX(IF($J$5:$J$104&lt;=$P12,$J$5:$J$104)),$J$4:$J$104,0),0)*W12*IF($P12&gt;=$N$6,2,1)</f>
        <v>1337.9040000000005</v>
      </c>
      <c r="Y12" s="77">
        <f>SUM($X$5:$X12)</f>
        <v>6874.6560000000009</v>
      </c>
      <c r="AA12" s="83">
        <v>90</v>
      </c>
      <c r="AB12" s="83">
        <v>18000</v>
      </c>
      <c r="AC12" s="83">
        <f t="shared" si="4"/>
        <v>5.5555555555555558E-5</v>
      </c>
    </row>
    <row r="13" spans="2:29" x14ac:dyDescent="0.15">
      <c r="B13" s="77">
        <v>9</v>
      </c>
      <c r="C13" s="77">
        <f t="array" ref="C13">MIN(IF(体力抽奖!$C$48:$C$60&gt;=$J13,体力抽奖!$J$48:$J$60))</f>
        <v>10</v>
      </c>
      <c r="D13" s="77">
        <f>VLOOKUP($C13,猫咪!$B:$E,4,0)</f>
        <v>5.12</v>
      </c>
      <c r="E13" s="110">
        <f t="shared" si="1"/>
        <v>7240</v>
      </c>
      <c r="F13" s="77">
        <f t="shared" si="2"/>
        <v>44308.800000000003</v>
      </c>
      <c r="G13" s="83">
        <f t="shared" si="0"/>
        <v>59000</v>
      </c>
      <c r="H13" s="77">
        <f>SUM($G$5:$G13)</f>
        <v>121200</v>
      </c>
      <c r="I13" s="77">
        <f t="array" ref="I13">MIN(IF(矿山!$S$5:$S$85&gt;=$H13,矿山!$P$5:$P$85))</f>
        <v>2.59</v>
      </c>
      <c r="J13" s="77">
        <f t="array" ref="J13">MIN(IF(矿山!$S$5:$S$85&gt;=$H13,矿山!$O$5:$O$85))</f>
        <v>32</v>
      </c>
      <c r="K13" s="77">
        <f t="array" ref="K13">MIN(IF(矿山!$X$5:$X$85&gt;=$H13,矿山!$U$5:$U$85))</f>
        <v>1.86</v>
      </c>
      <c r="L13" s="77">
        <f t="array" ref="L13">MIN(IF(矿山!$X$5:$X$85&gt;=$H13,矿山!$O$5:$O$85))</f>
        <v>37</v>
      </c>
      <c r="M13" s="80">
        <f t="shared" si="3"/>
        <v>45000</v>
      </c>
      <c r="P13" s="77">
        <v>28</v>
      </c>
      <c r="Q13" s="77">
        <f>INDEX(等级时间!$U$3:$AU$203,MATCH($P13,等级时间!$U$3:$U$203,0),MATCH(Q$4,等级时间!$U$3:$AU$3,0))</f>
        <v>1.44</v>
      </c>
      <c r="R13" s="77">
        <f t="shared" si="5"/>
        <v>0.24</v>
      </c>
      <c r="S13" s="77">
        <f t="array" ref="S13">INDEX($F$4:$F$104,MATCH(MAX(IF($J$5:$J$104&lt;=$P13,$J$5:$J$104)),$J$4:$J$104,0),0)*R13*IF($P13&gt;=$N$6,2,1)</f>
        <v>3567.7440000000006</v>
      </c>
      <c r="T13" s="77">
        <f>SUM($S$5:$S13)</f>
        <v>20093.184000000001</v>
      </c>
      <c r="V13" s="77">
        <f>INDEX(等级时间!$U$3:$AU$203,MATCH($P13,等级时间!$U$3:$U$203,0),MATCH(V$4,等级时间!$U$3:$AU$3,0))</f>
        <v>0.6</v>
      </c>
      <c r="W13" s="77">
        <f t="shared" si="6"/>
        <v>9.9999999999999978E-2</v>
      </c>
      <c r="X13" s="77">
        <f t="array" ref="X13">INDEX($F$4:$F$104,MATCH(MAX(IF($J$5:$J$104&lt;=$P13,$J$5:$J$104)),$J$4:$J$104,0),0)*W13*IF($P13&gt;=$N$6,2,1)</f>
        <v>1486.56</v>
      </c>
      <c r="Y13" s="77">
        <f>SUM($X$5:$X13)</f>
        <v>8361.2160000000003</v>
      </c>
      <c r="AA13" s="83">
        <v>100</v>
      </c>
      <c r="AB13" s="83">
        <v>25000</v>
      </c>
      <c r="AC13" s="83">
        <f t="shared" si="4"/>
        <v>4.0000000000000003E-5</v>
      </c>
    </row>
    <row r="14" spans="2:29" x14ac:dyDescent="0.15">
      <c r="B14" s="77">
        <v>10</v>
      </c>
      <c r="C14" s="77">
        <f t="array" ref="C14">MIN(IF(体力抽奖!$C$48:$C$60&gt;=$J14,体力抽奖!$J$48:$J$60))</f>
        <v>10</v>
      </c>
      <c r="D14" s="77">
        <f>VLOOKUP($C14,猫咪!$B:$E,4,0)</f>
        <v>5.12</v>
      </c>
      <c r="E14" s="110">
        <f t="shared" si="1"/>
        <v>7600</v>
      </c>
      <c r="F14" s="77">
        <f t="shared" si="2"/>
        <v>46512</v>
      </c>
      <c r="G14" s="83">
        <f t="shared" si="0"/>
        <v>100000</v>
      </c>
      <c r="H14" s="77">
        <f>SUM($G$5:$G14)</f>
        <v>221200</v>
      </c>
      <c r="I14" s="77">
        <f t="array" ref="I14">MIN(IF(矿山!$S$5:$S$85&gt;=$H14,矿山!$P$5:$P$85))</f>
        <v>3.63</v>
      </c>
      <c r="J14" s="77">
        <f t="array" ref="J14">MIN(IF(矿山!$S$5:$S$85&gt;=$H14,矿山!$O$5:$O$85))</f>
        <v>35</v>
      </c>
      <c r="K14" s="77">
        <f t="array" ref="K14">MIN(IF(矿山!$X$5:$X$85&gt;=$H14,矿山!$U$5:$U$85))</f>
        <v>2.44</v>
      </c>
      <c r="L14" s="77">
        <f t="array" ref="L14">MIN(IF(矿山!$X$5:$X$85&gt;=$H14,矿山!$O$5:$O$85))</f>
        <v>40</v>
      </c>
      <c r="M14" s="80">
        <f t="shared" si="3"/>
        <v>47000</v>
      </c>
      <c r="P14" s="77">
        <v>29</v>
      </c>
      <c r="Q14" s="77">
        <f>INDEX(等级时间!$U$3:$AU$203,MATCH($P14,等级时间!$U$3:$U$203,0),MATCH(Q$4,等级时间!$U$3:$AU$3,0))</f>
        <v>1.7</v>
      </c>
      <c r="R14" s="77">
        <f t="shared" si="5"/>
        <v>0.26</v>
      </c>
      <c r="S14" s="77">
        <f t="array" ref="S14">INDEX($F$4:$F$104,MATCH(MAX(IF($J$5:$J$104&lt;=$P14,$J$5:$J$104)),$J$4:$J$104,0),0)*R14*IF($P14&gt;=$N$6,2,1)</f>
        <v>3865.0560000000005</v>
      </c>
      <c r="T14" s="77">
        <f>SUM($S$5:$S14)</f>
        <v>23958.240000000002</v>
      </c>
      <c r="V14" s="77">
        <f>INDEX(等级时间!$U$3:$AU$203,MATCH($P14,等级时间!$U$3:$U$203,0),MATCH(V$4,等级时间!$U$3:$AU$3,0))</f>
        <v>0.71</v>
      </c>
      <c r="W14" s="77">
        <f t="shared" si="6"/>
        <v>0.10999999999999999</v>
      </c>
      <c r="X14" s="77">
        <f t="array" ref="X14">INDEX($F$4:$F$104,MATCH(MAX(IF($J$5:$J$104&lt;=$P14,$J$5:$J$104)),$J$4:$J$104,0),0)*W14*IF($P14&gt;=$N$6,2,1)</f>
        <v>1635.2160000000001</v>
      </c>
      <c r="Y14" s="77">
        <f>SUM($X$5:$X14)</f>
        <v>9996.4320000000007</v>
      </c>
      <c r="AA14" s="83">
        <v>110</v>
      </c>
      <c r="AB14" s="83">
        <v>40000</v>
      </c>
      <c r="AC14" s="83">
        <f t="shared" si="4"/>
        <v>2.5000000000000001E-5</v>
      </c>
    </row>
    <row r="15" spans="2:29" x14ac:dyDescent="0.15">
      <c r="B15" s="77">
        <v>11</v>
      </c>
      <c r="C15" s="77">
        <f t="array" ref="C15">MIN(IF(体力抽奖!$C$48:$C$60&gt;=$J15,体力抽奖!$J$48:$J$60))</f>
        <v>10</v>
      </c>
      <c r="D15" s="77">
        <f>VLOOKUP($C15,猫咪!$B:$E,4,0)</f>
        <v>5.12</v>
      </c>
      <c r="E15" s="110">
        <f t="shared" si="1"/>
        <v>7960</v>
      </c>
      <c r="F15" s="77">
        <f t="shared" si="2"/>
        <v>48715.200000000004</v>
      </c>
      <c r="G15" s="83">
        <f t="shared" si="0"/>
        <v>160000</v>
      </c>
      <c r="H15" s="77">
        <f>SUM($G$5:$G15)</f>
        <v>381200</v>
      </c>
      <c r="I15" s="77">
        <f t="array" ref="I15">MIN(IF(矿山!$S$5:$S$85&gt;=$H15,矿山!$P$5:$P$85))</f>
        <v>5.32</v>
      </c>
      <c r="J15" s="77">
        <f t="array" ref="J15">MIN(IF(矿山!$S$5:$S$85&gt;=$H15,矿山!$O$5:$O$85))</f>
        <v>39</v>
      </c>
      <c r="K15" s="77">
        <f t="array" ref="K15">MIN(IF(矿山!$X$5:$X$85&gt;=$H15,矿山!$U$5:$U$85))</f>
        <v>2.88</v>
      </c>
      <c r="L15" s="77">
        <f t="array" ref="L15">MIN(IF(矿山!$X$5:$X$85&gt;=$H15,矿山!$O$5:$O$85))</f>
        <v>42</v>
      </c>
      <c r="M15" s="80">
        <f t="shared" si="3"/>
        <v>49000</v>
      </c>
      <c r="P15" s="77">
        <v>30</v>
      </c>
      <c r="Q15" s="77">
        <f>INDEX(等级时间!$U$3:$AU$203,MATCH($P15,等级时间!$U$3:$U$203,0),MATCH(Q$4,等级时间!$U$3:$AU$3,0))</f>
        <v>1.98</v>
      </c>
      <c r="R15" s="77">
        <f t="shared" si="5"/>
        <v>0.28000000000000003</v>
      </c>
      <c r="S15" s="77">
        <f t="array" ref="S15">INDEX($F$4:$F$104,MATCH(MAX(IF($J$5:$J$104&lt;=$P15,$J$5:$J$104)),$J$4:$J$104,0),0)*R15*IF($P15&gt;=$N$6,2,1)</f>
        <v>23579.136000000002</v>
      </c>
      <c r="T15" s="77">
        <f>SUM($S$5:$S15)</f>
        <v>47537.376000000004</v>
      </c>
      <c r="V15" s="77">
        <f>INDEX(等级时间!$U$3:$AU$203,MATCH($P15,等级时间!$U$3:$U$203,0),MATCH(V$4,等级时间!$U$3:$AU$3,0))</f>
        <v>0.83</v>
      </c>
      <c r="W15" s="77">
        <f t="shared" si="6"/>
        <v>0.12</v>
      </c>
      <c r="X15" s="77">
        <f t="array" ref="X15">INDEX($F$4:$F$104,MATCH(MAX(IF($J$5:$J$104&lt;=$P15,$J$5:$J$104)),$J$4:$J$104,0),0)*W15*IF($P15&gt;=$N$6,2,1)</f>
        <v>10105.343999999999</v>
      </c>
      <c r="Y15" s="77">
        <f>SUM($X$5:$X15)</f>
        <v>20101.775999999998</v>
      </c>
      <c r="AA15" s="83">
        <v>120</v>
      </c>
      <c r="AB15" s="83">
        <v>60000</v>
      </c>
      <c r="AC15" s="83">
        <f t="shared" si="4"/>
        <v>1.6666666666666667E-5</v>
      </c>
    </row>
    <row r="16" spans="2:29" x14ac:dyDescent="0.15">
      <c r="B16" s="77">
        <v>12</v>
      </c>
      <c r="C16" s="77">
        <f t="array" ref="C16">MIN(IF(体力抽奖!$C$48:$C$60&gt;=$J16,体力抽奖!$J$48:$J$60))</f>
        <v>12</v>
      </c>
      <c r="D16" s="77">
        <f>VLOOKUP($C16,猫咪!$B:$E,4,0)</f>
        <v>20.48</v>
      </c>
      <c r="E16" s="110">
        <f t="shared" si="1"/>
        <v>8320</v>
      </c>
      <c r="F16" s="77">
        <f t="shared" si="2"/>
        <v>178713.60000000001</v>
      </c>
      <c r="G16" s="83">
        <f t="shared" si="0"/>
        <v>250000</v>
      </c>
      <c r="H16" s="77">
        <f>SUM($G$5:$G16)</f>
        <v>631200</v>
      </c>
      <c r="I16" s="77">
        <f t="array" ref="I16">MIN(IF(矿山!$S$5:$S$85&gt;=$H16,矿山!$P$5:$P$85))</f>
        <v>6.32</v>
      </c>
      <c r="J16" s="77">
        <f t="array" ref="J16">MIN(IF(矿山!$S$5:$S$85&gt;=$H16,矿山!$O$5:$O$85))</f>
        <v>41</v>
      </c>
      <c r="K16" s="77">
        <f t="array" ref="K16">MIN(IF(矿山!$X$5:$X$85&gt;=$H16,矿山!$U$5:$U$85))</f>
        <v>3.38</v>
      </c>
      <c r="L16" s="77">
        <f t="array" ref="L16">MIN(IF(矿山!$X$5:$X$85&gt;=$H16,矿山!$O$5:$O$85))</f>
        <v>44</v>
      </c>
      <c r="M16" s="80">
        <f t="shared" si="3"/>
        <v>179000</v>
      </c>
      <c r="P16" s="77">
        <v>31</v>
      </c>
      <c r="Q16" s="77">
        <f>INDEX(等级时间!$U$3:$AU$203,MATCH($P16,等级时间!$U$3:$U$203,0),MATCH(Q$4,等级时间!$U$3:$AU$3,0))</f>
        <v>2.2799999999999998</v>
      </c>
      <c r="R16" s="77">
        <f t="shared" si="5"/>
        <v>0.29999999999999982</v>
      </c>
      <c r="S16" s="77">
        <f t="array" ref="S16">INDEX($F$4:$F$104,MATCH(MAX(IF($J$5:$J$104&lt;=$P16,$J$5:$J$104)),$J$4:$J$104,0),0)*R16*IF($P16&gt;=$N$6,2,1)</f>
        <v>25263.359999999982</v>
      </c>
      <c r="T16" s="77">
        <f>SUM($S$5:$S16)</f>
        <v>72800.73599999999</v>
      </c>
      <c r="V16" s="77">
        <f>INDEX(等级时间!$U$3:$AU$203,MATCH($P16,等级时间!$U$3:$U$203,0),MATCH(V$4,等级时间!$U$3:$AU$3,0))</f>
        <v>0.96</v>
      </c>
      <c r="W16" s="77">
        <f t="shared" si="6"/>
        <v>0.13</v>
      </c>
      <c r="X16" s="77">
        <f t="array" ref="X16">INDEX($F$4:$F$104,MATCH(MAX(IF($J$5:$J$104&lt;=$P16,$J$5:$J$104)),$J$4:$J$104,0),0)*W16*IF($P16&gt;=$N$6,2,1)</f>
        <v>10947.456</v>
      </c>
      <c r="Y16" s="77">
        <f>SUM($X$5:$X16)</f>
        <v>31049.231999999996</v>
      </c>
      <c r="AA16" s="83">
        <v>130</v>
      </c>
      <c r="AB16" s="83">
        <v>90000</v>
      </c>
      <c r="AC16" s="83">
        <f t="shared" si="4"/>
        <v>1.1111111111111112E-5</v>
      </c>
    </row>
    <row r="17" spans="2:29" x14ac:dyDescent="0.15">
      <c r="B17" s="77">
        <v>13</v>
      </c>
      <c r="C17" s="77">
        <f t="array" ref="C17">MIN(IF(体力抽奖!$C$48:$C$60&gt;=$J17,体力抽奖!$J$48:$J$60))</f>
        <v>12</v>
      </c>
      <c r="D17" s="77">
        <f>VLOOKUP($C17,猫咪!$B:$E,4,0)</f>
        <v>20.48</v>
      </c>
      <c r="E17" s="110">
        <f t="shared" si="1"/>
        <v>8680</v>
      </c>
      <c r="F17" s="77">
        <f t="shared" si="2"/>
        <v>186446.4</v>
      </c>
      <c r="G17" s="83">
        <f t="shared" si="0"/>
        <v>370000</v>
      </c>
      <c r="H17" s="77">
        <f>SUM($G$5:$G17)</f>
        <v>1001200</v>
      </c>
      <c r="I17" s="77">
        <f t="array" ref="I17">MIN(IF(矿山!$S$5:$S$85&gt;=$H17,矿山!$P$5:$P$85))</f>
        <v>6.86</v>
      </c>
      <c r="J17" s="77">
        <f t="array" ref="J17">MIN(IF(矿山!$S$5:$S$85&gt;=$H17,矿山!$O$5:$O$85))</f>
        <v>42</v>
      </c>
      <c r="K17" s="77">
        <f t="array" ref="K17">MIN(IF(矿山!$X$5:$X$85&gt;=$H17,矿山!$U$5:$U$85))</f>
        <v>4.24</v>
      </c>
      <c r="L17" s="77">
        <f t="array" ref="L17">MIN(IF(矿山!$X$5:$X$85&gt;=$H17,矿山!$O$5:$O$85))</f>
        <v>47</v>
      </c>
      <c r="M17" s="80">
        <f t="shared" si="3"/>
        <v>187000</v>
      </c>
      <c r="P17" s="77">
        <v>32</v>
      </c>
      <c r="Q17" s="77">
        <f>INDEX(等级时间!$U$3:$AU$203,MATCH($P17,等级时间!$U$3:$U$203,0),MATCH(Q$4,等级时间!$U$3:$AU$3,0))</f>
        <v>2.59</v>
      </c>
      <c r="R17" s="77">
        <f t="shared" si="5"/>
        <v>0.31000000000000005</v>
      </c>
      <c r="S17" s="77">
        <f t="array" ref="S17">INDEX($F$4:$F$104,MATCH(MAX(IF($J$5:$J$104&lt;=$P17,$J$5:$J$104)),$J$4:$J$104,0),0)*R17*IF($P17&gt;=$N$6,2,1)</f>
        <v>27471.456000000006</v>
      </c>
      <c r="T17" s="77">
        <f>SUM($S$5:$S17)</f>
        <v>100272.192</v>
      </c>
      <c r="V17" s="77">
        <f>INDEX(等级时间!$U$3:$AU$203,MATCH($P17,等级时间!$U$3:$U$203,0),MATCH(V$4,等级时间!$U$3:$AU$3,0))</f>
        <v>1.0900000000000001</v>
      </c>
      <c r="W17" s="77">
        <f t="shared" si="6"/>
        <v>0.13000000000000012</v>
      </c>
      <c r="X17" s="77">
        <f t="array" ref="X17">INDEX($F$4:$F$104,MATCH(MAX(IF($J$5:$J$104&lt;=$P17,$J$5:$J$104)),$J$4:$J$104,0),0)*W17*IF($P17&gt;=$N$6,2,1)</f>
        <v>11520.288000000011</v>
      </c>
      <c r="Y17" s="77">
        <f>SUM($X$5:$X17)</f>
        <v>42569.520000000004</v>
      </c>
      <c r="AA17" s="83">
        <v>140</v>
      </c>
      <c r="AB17" s="83">
        <v>140000</v>
      </c>
      <c r="AC17" s="83">
        <f t="shared" si="4"/>
        <v>7.1428571428571427E-6</v>
      </c>
    </row>
    <row r="18" spans="2:29" x14ac:dyDescent="0.15">
      <c r="B18" s="77">
        <v>14</v>
      </c>
      <c r="C18" s="77">
        <f t="array" ref="C18">MIN(IF(体力抽奖!$C$48:$C$60&gt;=$J18,体力抽奖!$J$48:$J$60))</f>
        <v>12</v>
      </c>
      <c r="D18" s="77">
        <f>VLOOKUP($C18,猫咪!$B:$E,4,0)</f>
        <v>20.48</v>
      </c>
      <c r="E18" s="110">
        <f t="shared" si="1"/>
        <v>9040</v>
      </c>
      <c r="F18" s="77">
        <f t="shared" si="2"/>
        <v>194179.20000000001</v>
      </c>
      <c r="G18" s="83">
        <f t="shared" si="0"/>
        <v>540000</v>
      </c>
      <c r="H18" s="77">
        <f>SUM($G$5:$G18)</f>
        <v>1541200</v>
      </c>
      <c r="I18" s="77">
        <f t="array" ref="I18">MIN(IF(矿山!$S$5:$S$85&gt;=$H18,矿山!$P$5:$P$85))</f>
        <v>8.69</v>
      </c>
      <c r="J18" s="77">
        <f t="array" ref="J18">MIN(IF(矿山!$S$5:$S$85&gt;=$H18,矿山!$O$5:$O$85))</f>
        <v>45</v>
      </c>
      <c r="K18" s="77">
        <f t="array" ref="K18">MIN(IF(矿山!$X$5:$X$85&gt;=$H18,矿山!$U$5:$U$85))</f>
        <v>5.27</v>
      </c>
      <c r="L18" s="77">
        <f t="array" ref="L18">MIN(IF(矿山!$X$5:$X$85&gt;=$H18,矿山!$O$5:$O$85))</f>
        <v>50</v>
      </c>
      <c r="M18" s="80">
        <f t="shared" si="3"/>
        <v>195000</v>
      </c>
      <c r="P18" s="77">
        <v>33</v>
      </c>
      <c r="Q18" s="77">
        <f>INDEX(等级时间!$U$3:$AU$203,MATCH($P18,等级时间!$U$3:$U$203,0),MATCH(Q$4,等级时间!$U$3:$AU$3,0))</f>
        <v>2.92</v>
      </c>
      <c r="R18" s="77">
        <f t="shared" si="5"/>
        <v>0.33000000000000007</v>
      </c>
      <c r="S18" s="77">
        <f t="array" ref="S18">INDEX($F$4:$F$104,MATCH(MAX(IF($J$5:$J$104&lt;=$P18,$J$5:$J$104)),$J$4:$J$104,0),0)*R18*IF($P18&gt;=$N$6,2,1)</f>
        <v>29243.808000000008</v>
      </c>
      <c r="T18" s="77">
        <f>SUM($S$5:$S18)</f>
        <v>129516</v>
      </c>
      <c r="V18" s="77">
        <f>INDEX(等级时间!$U$3:$AU$203,MATCH($P18,等级时间!$U$3:$U$203,0),MATCH(V$4,等级时间!$U$3:$AU$3,0))</f>
        <v>1.23</v>
      </c>
      <c r="W18" s="77">
        <f t="shared" si="6"/>
        <v>0.1399999999999999</v>
      </c>
      <c r="X18" s="77">
        <f t="array" ref="X18">INDEX($F$4:$F$104,MATCH(MAX(IF($J$5:$J$104&lt;=$P18,$J$5:$J$104)),$J$4:$J$104,0),0)*W18*IF($P18&gt;=$N$6,2,1)</f>
        <v>12406.463999999993</v>
      </c>
      <c r="Y18" s="77">
        <f>SUM($X$5:$X18)</f>
        <v>54975.983999999997</v>
      </c>
      <c r="AA18" s="83">
        <v>150</v>
      </c>
      <c r="AB18" s="83">
        <v>200000</v>
      </c>
      <c r="AC18" s="83">
        <f t="shared" si="4"/>
        <v>5.0000000000000004E-6</v>
      </c>
    </row>
    <row r="19" spans="2:29" x14ac:dyDescent="0.15">
      <c r="B19" s="77">
        <v>15</v>
      </c>
      <c r="C19" s="77">
        <f t="array" ref="C19">MIN(IF(体力抽奖!$C$48:$C$60&gt;=$J19,体力抽奖!$J$48:$J$60))</f>
        <v>12</v>
      </c>
      <c r="D19" s="77">
        <f>VLOOKUP($C19,猫咪!$B:$E,4,0)</f>
        <v>20.48</v>
      </c>
      <c r="E19" s="110">
        <f t="shared" si="1"/>
        <v>9400</v>
      </c>
      <c r="F19" s="77">
        <f t="shared" si="2"/>
        <v>201912</v>
      </c>
      <c r="G19" s="83">
        <f t="shared" si="0"/>
        <v>760000</v>
      </c>
      <c r="H19" s="77">
        <f>SUM($G$5:$G19)</f>
        <v>2301200</v>
      </c>
      <c r="I19" s="77">
        <f t="array" ref="I19">MIN(IF(矿山!$S$5:$S$85&gt;=$H19,矿山!$P$5:$P$85))</f>
        <v>10.1</v>
      </c>
      <c r="J19" s="77">
        <f t="array" ref="J19">MIN(IF(矿山!$S$5:$S$85&gt;=$H19,矿山!$O$5:$O$85))</f>
        <v>47</v>
      </c>
      <c r="K19" s="77">
        <f t="array" ref="K19">MIN(IF(矿山!$X$5:$X$85&gt;=$H19,矿山!$U$5:$U$85))</f>
        <v>5.65</v>
      </c>
      <c r="L19" s="77">
        <f t="array" ref="L19">MIN(IF(矿山!$X$5:$X$85&gt;=$H19,矿山!$O$5:$O$85))</f>
        <v>51</v>
      </c>
      <c r="M19" s="80">
        <f t="shared" si="3"/>
        <v>202000</v>
      </c>
      <c r="P19" s="77">
        <v>34</v>
      </c>
      <c r="Q19" s="77">
        <f>INDEX(等级时间!$U$3:$AU$203,MATCH($P19,等级时间!$U$3:$U$203,0),MATCH(Q$4,等级时间!$U$3:$AU$3,0))</f>
        <v>3.27</v>
      </c>
      <c r="R19" s="77">
        <f t="shared" si="5"/>
        <v>0.35000000000000009</v>
      </c>
      <c r="S19" s="77">
        <f t="array" ref="S19">INDEX($F$4:$F$104,MATCH(MAX(IF($J$5:$J$104&lt;=$P19,$J$5:$J$104)),$J$4:$J$104,0),0)*R19*IF($P19&gt;=$N$6,2,1)</f>
        <v>31016.160000000011</v>
      </c>
      <c r="T19" s="77">
        <f>SUM($S$5:$S19)</f>
        <v>160532.16</v>
      </c>
      <c r="V19" s="77">
        <f>INDEX(等级时间!$U$3:$AU$203,MATCH($P19,等级时间!$U$3:$U$203,0),MATCH(V$4,等级时间!$U$3:$AU$3,0))</f>
        <v>1.37</v>
      </c>
      <c r="W19" s="77">
        <f t="shared" si="6"/>
        <v>0.14000000000000012</v>
      </c>
      <c r="X19" s="77">
        <f t="array" ref="X19">INDEX($F$4:$F$104,MATCH(MAX(IF($J$5:$J$104&lt;=$P19,$J$5:$J$104)),$J$4:$J$104,0),0)*W19*IF($P19&gt;=$N$6,2,1)</f>
        <v>12406.464000000013</v>
      </c>
      <c r="Y19" s="77">
        <f>SUM($X$5:$X19)</f>
        <v>67382.448000000004</v>
      </c>
    </row>
    <row r="20" spans="2:29" x14ac:dyDescent="0.15">
      <c r="B20" s="77">
        <v>16</v>
      </c>
      <c r="C20" s="77">
        <f t="array" ref="C20">MIN(IF(体力抽奖!$C$48:$C$60&gt;=$J20,体力抽奖!$J$48:$J$60))</f>
        <v>13</v>
      </c>
      <c r="D20" s="77">
        <f>VLOOKUP($C20,猫咪!$B:$E,4,0)</f>
        <v>40.96</v>
      </c>
      <c r="E20" s="110">
        <f t="shared" si="1"/>
        <v>9760</v>
      </c>
      <c r="F20" s="77">
        <f t="shared" si="2"/>
        <v>409529.60000000003</v>
      </c>
      <c r="G20" s="83">
        <f t="shared" si="0"/>
        <v>1000000</v>
      </c>
      <c r="H20" s="77">
        <f>SUM($G$5:$G20)</f>
        <v>3301200</v>
      </c>
      <c r="I20" s="77">
        <f t="array" ref="I20">MIN(IF(矿山!$S$5:$S$85&gt;=$H20,矿山!$P$5:$P$85))</f>
        <v>12.54</v>
      </c>
      <c r="J20" s="77">
        <f t="array" ref="J20">MIN(IF(矿山!$S$5:$S$85&gt;=$H20,矿山!$O$5:$O$85))</f>
        <v>50</v>
      </c>
      <c r="K20" s="77">
        <f t="array" ref="K20">MIN(IF(矿山!$X$5:$X$85&gt;=$H20,矿山!$U$5:$U$85))</f>
        <v>6.05</v>
      </c>
      <c r="L20" s="77">
        <f t="array" ref="L20">MIN(IF(矿山!$X$5:$X$85&gt;=$H20,矿山!$O$5:$O$85))</f>
        <v>52</v>
      </c>
      <c r="M20" s="80">
        <f t="shared" si="3"/>
        <v>410000</v>
      </c>
      <c r="P20" s="77">
        <v>35</v>
      </c>
      <c r="Q20" s="77">
        <f>INDEX(等级时间!$U$3:$AU$203,MATCH($P20,等级时间!$U$3:$U$203,0),MATCH(Q$4,等级时间!$U$3:$AU$3,0))</f>
        <v>3.63</v>
      </c>
      <c r="R20" s="77">
        <f t="shared" si="5"/>
        <v>0.35999999999999988</v>
      </c>
      <c r="S20" s="77">
        <f t="array" ref="S20">INDEX($F$4:$F$104,MATCH(MAX(IF($J$5:$J$104&lt;=$P20,$J$5:$J$104)),$J$4:$J$104,0),0)*R20*IF($P20&gt;=$N$6,2,1)</f>
        <v>33488.639999999985</v>
      </c>
      <c r="T20" s="77">
        <f>SUM($S$5:$S20)</f>
        <v>194020.8</v>
      </c>
      <c r="V20" s="77">
        <f>INDEX(等级时间!$U$3:$AU$203,MATCH($P20,等级时间!$U$3:$U$203,0),MATCH(V$4,等级时间!$U$3:$AU$3,0))</f>
        <v>1.53</v>
      </c>
      <c r="W20" s="77">
        <f t="shared" si="6"/>
        <v>0.15999999999999992</v>
      </c>
      <c r="X20" s="77">
        <f t="array" ref="X20">INDEX($F$4:$F$104,MATCH(MAX(IF($J$5:$J$104&lt;=$P20,$J$5:$J$104)),$J$4:$J$104,0),0)*W20*IF($P20&gt;=$N$6,2,1)</f>
        <v>14883.839999999993</v>
      </c>
      <c r="Y20" s="77">
        <f>SUM($X$5:$X20)</f>
        <v>82266.288</v>
      </c>
    </row>
    <row r="21" spans="2:29" x14ac:dyDescent="0.15">
      <c r="B21" s="77">
        <v>17</v>
      </c>
      <c r="C21" s="77">
        <f t="array" ref="C21">MIN(IF(体力抽奖!$C$48:$C$60&gt;=$J21,体力抽奖!$J$48:$J$60))</f>
        <v>13</v>
      </c>
      <c r="D21" s="77">
        <f>VLOOKUP($C21,猫咪!$B:$E,4,0)</f>
        <v>40.96</v>
      </c>
      <c r="E21" s="110">
        <f t="shared" si="1"/>
        <v>10100</v>
      </c>
      <c r="F21" s="77">
        <f t="shared" si="2"/>
        <v>423796</v>
      </c>
      <c r="G21" s="83">
        <f t="shared" si="0"/>
        <v>1400000</v>
      </c>
      <c r="H21" s="77">
        <f>SUM($G$5:$G21)</f>
        <v>4701200</v>
      </c>
      <c r="I21" s="77">
        <f t="array" ref="I21">MIN(IF(矿山!$S$5:$S$85&gt;=$H21,矿山!$P$5:$P$85))</f>
        <v>12.54</v>
      </c>
      <c r="J21" s="77">
        <f t="array" ref="J21">MIN(IF(矿山!$S$5:$S$85&gt;=$H21,矿山!$O$5:$O$85))</f>
        <v>50</v>
      </c>
      <c r="K21" s="77">
        <f t="array" ref="K21">MIN(IF(矿山!$X$5:$X$85&gt;=$H21,矿山!$U$5:$U$85))</f>
        <v>6.93</v>
      </c>
      <c r="L21" s="77">
        <f t="array" ref="L21">MIN(IF(矿山!$X$5:$X$85&gt;=$H21,矿山!$O$5:$O$85))</f>
        <v>54</v>
      </c>
      <c r="M21" s="80">
        <f t="shared" si="3"/>
        <v>424000</v>
      </c>
      <c r="P21" s="77">
        <v>36</v>
      </c>
      <c r="Q21" s="77">
        <f>INDEX(等级时间!$U$3:$AU$203,MATCH($P21,等级时间!$U$3:$U$203,0),MATCH(Q$4,等级时间!$U$3:$AU$3,0))</f>
        <v>4.0199999999999996</v>
      </c>
      <c r="R21" s="77">
        <f t="shared" si="5"/>
        <v>0.38999999999999968</v>
      </c>
      <c r="S21" s="77">
        <f t="array" ref="S21">INDEX($F$4:$F$104,MATCH(MAX(IF($J$5:$J$104&lt;=$P21,$J$5:$J$104)),$J$4:$J$104,0),0)*R21*IF($P21&gt;=$N$6,2,1)</f>
        <v>36279.359999999971</v>
      </c>
      <c r="T21" s="77">
        <f>SUM($S$5:$S21)</f>
        <v>230300.15999999997</v>
      </c>
      <c r="V21" s="77">
        <f>INDEX(等级时间!$U$3:$AU$203,MATCH($P21,等级时间!$U$3:$U$203,0),MATCH(V$4,等级时间!$U$3:$AU$3,0))</f>
        <v>1.69</v>
      </c>
      <c r="W21" s="77">
        <f t="shared" si="6"/>
        <v>0.15999999999999992</v>
      </c>
      <c r="X21" s="77">
        <f t="array" ref="X21">INDEX($F$4:$F$104,MATCH(MAX(IF($J$5:$J$104&lt;=$P21,$J$5:$J$104)),$J$4:$J$104,0),0)*W21*IF($P21&gt;=$N$6,2,1)</f>
        <v>14883.839999999993</v>
      </c>
      <c r="Y21" s="77">
        <f>SUM($X$5:$X21)</f>
        <v>97150.127999999997</v>
      </c>
    </row>
    <row r="22" spans="2:29" x14ac:dyDescent="0.15">
      <c r="B22" s="77">
        <v>18</v>
      </c>
      <c r="C22" s="77">
        <f t="array" ref="C22">MIN(IF(体力抽奖!$C$48:$C$60&gt;=$J22,体力抽奖!$J$48:$J$60))</f>
        <v>13</v>
      </c>
      <c r="D22" s="77">
        <f>VLOOKUP($C22,猫咪!$B:$E,4,0)</f>
        <v>40.96</v>
      </c>
      <c r="E22" s="110">
        <f t="shared" si="1"/>
        <v>10500</v>
      </c>
      <c r="F22" s="77">
        <f t="shared" si="2"/>
        <v>440580</v>
      </c>
      <c r="G22" s="83">
        <f t="shared" si="0"/>
        <v>1900000</v>
      </c>
      <c r="H22" s="77">
        <f>SUM($G$5:$G22)</f>
        <v>6601200</v>
      </c>
      <c r="I22" s="77">
        <f t="array" ref="I22">MIN(IF(矿山!$S$5:$S$85&gt;=$H22,矿山!$P$5:$P$85))</f>
        <v>14.41</v>
      </c>
      <c r="J22" s="77">
        <f t="array" ref="J22">MIN(IF(矿山!$S$5:$S$85&gt;=$H22,矿山!$O$5:$O$85))</f>
        <v>52</v>
      </c>
      <c r="K22" s="77">
        <f t="array" ref="K22">MIN(IF(矿山!$X$5:$X$85&gt;=$H22,矿山!$U$5:$U$85))</f>
        <v>7.91</v>
      </c>
      <c r="L22" s="77">
        <f t="array" ref="L22">MIN(IF(矿山!$X$5:$X$85&gt;=$H22,矿山!$O$5:$O$85))</f>
        <v>56</v>
      </c>
      <c r="M22" s="80">
        <f t="shared" si="3"/>
        <v>441000</v>
      </c>
      <c r="P22" s="77">
        <v>37</v>
      </c>
      <c r="Q22" s="77">
        <f>INDEX(等级时间!$U$3:$AU$203,MATCH($P22,等级时间!$U$3:$U$203,0),MATCH(Q$4,等级时间!$U$3:$AU$3,0))</f>
        <v>4.43</v>
      </c>
      <c r="R22" s="77">
        <f t="shared" si="5"/>
        <v>0.41000000000000014</v>
      </c>
      <c r="S22" s="77">
        <f t="array" ref="S22">INDEX($F$4:$F$104,MATCH(MAX(IF($J$5:$J$104&lt;=$P22,$J$5:$J$104)),$J$4:$J$104,0),0)*R22*IF($P22&gt;=$N$6,2,1)</f>
        <v>38139.840000000011</v>
      </c>
      <c r="T22" s="77">
        <f>SUM($S$5:$S22)</f>
        <v>268440</v>
      </c>
      <c r="V22" s="77">
        <f>INDEX(等级时间!$U$3:$AU$203,MATCH($P22,等级时间!$U$3:$U$203,0),MATCH(V$4,等级时间!$U$3:$AU$3,0))</f>
        <v>1.86</v>
      </c>
      <c r="W22" s="77">
        <f t="shared" si="6"/>
        <v>0.17000000000000015</v>
      </c>
      <c r="X22" s="77">
        <f t="array" ref="X22">INDEX($F$4:$F$104,MATCH(MAX(IF($J$5:$J$104&lt;=$P22,$J$5:$J$104)),$J$4:$J$104,0),0)*W22*IF($P22&gt;=$N$6,2,1)</f>
        <v>15814.080000000014</v>
      </c>
      <c r="Y22" s="77">
        <f>SUM($X$5:$X22)</f>
        <v>112964.20800000001</v>
      </c>
    </row>
    <row r="23" spans="2:29" x14ac:dyDescent="0.15">
      <c r="B23" s="77">
        <v>19</v>
      </c>
      <c r="C23" s="77">
        <f t="array" ref="C23">MIN(IF(体力抽奖!$C$48:$C$60&gt;=$J23,体力抽奖!$J$48:$J$60))</f>
        <v>13</v>
      </c>
      <c r="D23" s="77">
        <f>VLOOKUP($C23,猫咪!$B:$E,4,0)</f>
        <v>40.96</v>
      </c>
      <c r="E23" s="110">
        <f t="shared" si="1"/>
        <v>10800</v>
      </c>
      <c r="F23" s="77">
        <f t="shared" si="2"/>
        <v>453168</v>
      </c>
      <c r="G23" s="83">
        <f t="shared" si="0"/>
        <v>2500000</v>
      </c>
      <c r="H23" s="77">
        <f>SUM($G$5:$G23)</f>
        <v>9101200</v>
      </c>
      <c r="I23" s="77">
        <f t="array" ref="I23">MIN(IF(矿山!$S$5:$S$85&gt;=$H23,矿山!$P$5:$P$85))</f>
        <v>15.42</v>
      </c>
      <c r="J23" s="77">
        <f t="array" ref="J23">MIN(IF(矿山!$S$5:$S$85&gt;=$H23,矿山!$O$5:$O$85))</f>
        <v>53</v>
      </c>
      <c r="K23" s="77">
        <f t="array" ref="K23">MIN(IF(矿山!$X$5:$X$85&gt;=$H23,矿山!$U$5:$U$85))</f>
        <v>9</v>
      </c>
      <c r="L23" s="77">
        <f t="array" ref="L23">MIN(IF(矿山!$X$5:$X$85&gt;=$H23,矿山!$O$5:$O$85))</f>
        <v>58</v>
      </c>
      <c r="M23" s="80">
        <f t="shared" si="3"/>
        <v>454000</v>
      </c>
      <c r="P23" s="77">
        <v>38</v>
      </c>
      <c r="Q23" s="77">
        <f>INDEX(等级时间!$U$3:$AU$203,MATCH($P23,等级时间!$U$3:$U$203,0),MATCH(Q$4,等级时间!$U$3:$AU$3,0))</f>
        <v>4.8600000000000003</v>
      </c>
      <c r="R23" s="77">
        <f t="shared" si="5"/>
        <v>0.4300000000000006</v>
      </c>
      <c r="S23" s="77">
        <f t="array" ref="S23">INDEX($F$4:$F$104,MATCH(MAX(IF($J$5:$J$104&lt;=$P23,$J$5:$J$104)),$J$4:$J$104,0),0)*R23*IF($P23&gt;=$N$6,2,1)</f>
        <v>40000.320000000058</v>
      </c>
      <c r="T23" s="77">
        <f>SUM($S$5:$S23)</f>
        <v>308440.32000000007</v>
      </c>
      <c r="V23" s="77">
        <f>INDEX(等级时间!$U$3:$AU$203,MATCH($P23,等级时间!$U$3:$U$203,0),MATCH(V$4,等级时间!$U$3:$AU$3,0))</f>
        <v>2.04</v>
      </c>
      <c r="W23" s="77">
        <f t="shared" si="6"/>
        <v>0.17999999999999994</v>
      </c>
      <c r="X23" s="77">
        <f t="array" ref="X23">INDEX($F$4:$F$104,MATCH(MAX(IF($J$5:$J$104&lt;=$P23,$J$5:$J$104)),$J$4:$J$104,0),0)*W23*IF($P23&gt;=$N$6,2,1)</f>
        <v>16744.319999999992</v>
      </c>
      <c r="Y23" s="77">
        <f>SUM($X$5:$X23)</f>
        <v>129708.52800000001</v>
      </c>
    </row>
    <row r="24" spans="2:29" x14ac:dyDescent="0.15">
      <c r="B24" s="77">
        <v>20</v>
      </c>
      <c r="C24" s="77">
        <f t="array" ref="C24">MIN(IF(体力抽奖!$C$48:$C$60&gt;=$J24,体力抽奖!$J$48:$J$60))</f>
        <v>13</v>
      </c>
      <c r="D24" s="77">
        <f>VLOOKUP($C24,猫咪!$B:$E,4,0)</f>
        <v>40.96</v>
      </c>
      <c r="E24" s="110">
        <f t="shared" si="1"/>
        <v>11200</v>
      </c>
      <c r="F24" s="77">
        <f t="shared" si="2"/>
        <v>469952</v>
      </c>
      <c r="G24" s="83">
        <f t="shared" si="0"/>
        <v>3200000</v>
      </c>
      <c r="H24" s="77">
        <f>SUM($G$5:$G24)</f>
        <v>12301200</v>
      </c>
      <c r="I24" s="77">
        <f t="array" ref="I24">MIN(IF(矿山!$S$5:$S$85&gt;=$H24,矿山!$P$5:$P$85))</f>
        <v>16.489999999999998</v>
      </c>
      <c r="J24" s="77">
        <f t="array" ref="J24">MIN(IF(矿山!$S$5:$S$85&gt;=$H24,矿山!$O$5:$O$85))</f>
        <v>54</v>
      </c>
      <c r="K24" s="77">
        <f t="array" ref="K24">MIN(IF(矿山!$X$5:$X$85&gt;=$H24,矿山!$U$5:$U$85))</f>
        <v>10.199999999999999</v>
      </c>
      <c r="L24" s="77">
        <f t="array" ref="L24">MIN(IF(矿山!$X$5:$X$85&gt;=$H24,矿山!$O$5:$O$85))</f>
        <v>60</v>
      </c>
      <c r="M24" s="80">
        <f t="shared" si="3"/>
        <v>470000</v>
      </c>
      <c r="P24" s="77">
        <v>39</v>
      </c>
      <c r="Q24" s="77">
        <f>INDEX(等级时间!$U$3:$AU$203,MATCH($P24,等级时间!$U$3:$U$203,0),MATCH(Q$4,等级时间!$U$3:$AU$3,0))</f>
        <v>5.32</v>
      </c>
      <c r="R24" s="77">
        <f t="shared" si="5"/>
        <v>0.45999999999999996</v>
      </c>
      <c r="S24" s="77">
        <f t="array" ref="S24">INDEX($F$4:$F$104,MATCH(MAX(IF($J$5:$J$104&lt;=$P24,$J$5:$J$104)),$J$4:$J$104,0),0)*R24*IF($P24&gt;=$N$6,2,1)</f>
        <v>44817.984000000004</v>
      </c>
      <c r="T24" s="77">
        <f>SUM($S$5:$S24)</f>
        <v>353258.30400000006</v>
      </c>
      <c r="V24" s="77">
        <f>INDEX(等级时间!$U$3:$AU$203,MATCH($P24,等级时间!$U$3:$U$203,0),MATCH(V$4,等级时间!$U$3:$AU$3,0))</f>
        <v>2.23</v>
      </c>
      <c r="W24" s="77">
        <f t="shared" si="6"/>
        <v>0.18999999999999995</v>
      </c>
      <c r="X24" s="77">
        <f t="array" ref="X24">INDEX($F$4:$F$104,MATCH(MAX(IF($J$5:$J$104&lt;=$P24,$J$5:$J$104)),$J$4:$J$104,0),0)*W24*IF($P24&gt;=$N$6,2,1)</f>
        <v>18511.775999999998</v>
      </c>
      <c r="Y24" s="77">
        <f>SUM($X$5:$X24)</f>
        <v>148220.304</v>
      </c>
    </row>
    <row r="25" spans="2:29" x14ac:dyDescent="0.15">
      <c r="B25" s="77">
        <v>21</v>
      </c>
      <c r="C25" s="77">
        <f t="array" ref="C25">MIN(IF(体力抽奖!$C$48:$C$60&gt;=$J25,体力抽奖!$J$48:$J$60))</f>
        <v>13</v>
      </c>
      <c r="D25" s="77">
        <f>VLOOKUP($C25,猫咪!$B:$E,4,0)</f>
        <v>40.96</v>
      </c>
      <c r="E25" s="110">
        <f t="shared" si="1"/>
        <v>11600</v>
      </c>
      <c r="F25" s="77">
        <f t="shared" si="2"/>
        <v>486736</v>
      </c>
      <c r="G25" s="83">
        <f t="shared" si="0"/>
        <v>4100000</v>
      </c>
      <c r="H25" s="77">
        <f>SUM($G$5:$G25)</f>
        <v>16401200</v>
      </c>
      <c r="I25" s="77">
        <f t="array" ref="I25">MIN(IF(矿山!$S$5:$S$85&gt;=$H25,矿山!$P$5:$P$85))</f>
        <v>18.82</v>
      </c>
      <c r="J25" s="77">
        <f t="array" ref="J25">MIN(IF(矿山!$S$5:$S$85&gt;=$H25,矿山!$O$5:$O$85))</f>
        <v>56</v>
      </c>
      <c r="K25" s="77">
        <f t="array" ref="K25">MIN(IF(矿山!$X$5:$X$85&gt;=$H25,矿山!$U$5:$U$85))</f>
        <v>10.86</v>
      </c>
      <c r="L25" s="77">
        <f t="array" ref="L25">MIN(IF(矿山!$X$5:$X$85&gt;=$H25,矿山!$O$5:$O$85))</f>
        <v>61</v>
      </c>
      <c r="M25" s="80">
        <f t="shared" si="3"/>
        <v>487000</v>
      </c>
      <c r="P25" s="77">
        <v>40</v>
      </c>
      <c r="Q25" s="77">
        <f>INDEX(等级时间!$U$3:$AU$203,MATCH($P25,等级时间!$U$3:$U$203,0),MATCH(Q$4,等级时间!$U$3:$AU$3,0))</f>
        <v>5.8</v>
      </c>
      <c r="R25" s="77">
        <f t="shared" si="5"/>
        <v>0.47999999999999954</v>
      </c>
      <c r="S25" s="77">
        <f t="array" ref="S25">INDEX($F$4:$F$104,MATCH(MAX(IF($J$5:$J$104&lt;=$P25,$J$5:$J$104)),$J$4:$J$104,0),0)*R25*IF($P25&gt;=$N$6,2,1)</f>
        <v>46766.591999999961</v>
      </c>
      <c r="T25" s="77">
        <f>SUM($S$5:$S25)</f>
        <v>400024.89600000001</v>
      </c>
      <c r="V25" s="77">
        <f>INDEX(等级时间!$U$3:$AU$203,MATCH($P25,等级时间!$U$3:$U$203,0),MATCH(V$4,等级时间!$U$3:$AU$3,0))</f>
        <v>2.44</v>
      </c>
      <c r="W25" s="77">
        <f t="shared" si="6"/>
        <v>0.20999999999999996</v>
      </c>
      <c r="X25" s="77">
        <f t="array" ref="X25">INDEX($F$4:$F$104,MATCH(MAX(IF($J$5:$J$104&lt;=$P25,$J$5:$J$104)),$J$4:$J$104,0),0)*W25*IF($P25&gt;=$N$6,2,1)</f>
        <v>20460.383999999998</v>
      </c>
      <c r="Y25" s="77">
        <f>SUM($X$5:$X25)</f>
        <v>168680.68799999999</v>
      </c>
    </row>
    <row r="26" spans="2:29" x14ac:dyDescent="0.15">
      <c r="B26" s="77">
        <v>22</v>
      </c>
      <c r="C26" s="77">
        <f t="array" ref="C26">MIN(IF(体力抽奖!$C$48:$C$60&gt;=$J26,体力抽奖!$J$48:$J$60))</f>
        <v>13</v>
      </c>
      <c r="D26" s="77">
        <f>VLOOKUP($C26,猫咪!$B:$E,4,0)</f>
        <v>40.96</v>
      </c>
      <c r="E26" s="110">
        <f t="shared" si="1"/>
        <v>11900</v>
      </c>
      <c r="F26" s="77">
        <f t="shared" si="2"/>
        <v>499324</v>
      </c>
      <c r="G26" s="83">
        <f t="shared" si="0"/>
        <v>5200000</v>
      </c>
      <c r="H26" s="77">
        <f>SUM($G$5:$G26)</f>
        <v>21601200</v>
      </c>
      <c r="I26" s="77">
        <f t="array" ref="I26">MIN(IF(矿山!$S$5:$S$85&gt;=$H26,矿山!$P$5:$P$85))</f>
        <v>21.41</v>
      </c>
      <c r="J26" s="77">
        <f t="array" ref="J26">MIN(IF(矿山!$S$5:$S$85&gt;=$H26,矿山!$O$5:$O$85))</f>
        <v>58</v>
      </c>
      <c r="K26" s="77">
        <f t="array" ref="K26">MIN(IF(矿山!$X$5:$X$85&gt;=$H26,矿山!$U$5:$U$85))</f>
        <v>11.54</v>
      </c>
      <c r="L26" s="77">
        <f t="array" ref="L26">MIN(IF(矿山!$X$5:$X$85&gt;=$H26,矿山!$O$5:$O$85))</f>
        <v>62</v>
      </c>
      <c r="M26" s="80">
        <f t="shared" si="3"/>
        <v>500000</v>
      </c>
      <c r="P26" s="77">
        <v>41</v>
      </c>
      <c r="Q26" s="77">
        <f>INDEX(等级时间!$U$3:$AU$203,MATCH($P26,等级时间!$U$3:$U$203,0),MATCH(Q$4,等级时间!$U$3:$AU$3,0))</f>
        <v>6.32</v>
      </c>
      <c r="R26" s="77">
        <f t="shared" si="5"/>
        <v>0.52000000000000046</v>
      </c>
      <c r="S26" s="77">
        <f t="array" ref="S26">INDEX($F$4:$F$104,MATCH(MAX(IF($J$5:$J$104&lt;=$P26,$J$5:$J$104)),$J$4:$J$104,0),0)*R26*IF($P26&gt;=$N$6,2,1)</f>
        <v>185862.14400000017</v>
      </c>
      <c r="T26" s="77">
        <f>SUM($S$5:$S26)</f>
        <v>585887.04000000015</v>
      </c>
      <c r="V26" s="77">
        <f>INDEX(等级时间!$U$3:$AU$203,MATCH($P26,等级时间!$U$3:$U$203,0),MATCH(V$4,等级时间!$U$3:$AU$3,0))</f>
        <v>2.65</v>
      </c>
      <c r="W26" s="77">
        <f t="shared" si="6"/>
        <v>0.20999999999999996</v>
      </c>
      <c r="X26" s="77">
        <f t="array" ref="X26">INDEX($F$4:$F$104,MATCH(MAX(IF($J$5:$J$104&lt;=$P26,$J$5:$J$104)),$J$4:$J$104,0),0)*W26*IF($P26&gt;=$N$6,2,1)</f>
        <v>75059.711999999985</v>
      </c>
      <c r="Y26" s="77">
        <f>SUM($X$5:$X26)</f>
        <v>243740.39999999997</v>
      </c>
    </row>
    <row r="27" spans="2:29" x14ac:dyDescent="0.15">
      <c r="B27" s="77">
        <v>23</v>
      </c>
      <c r="C27" s="77">
        <f t="array" ref="C27">MIN(IF(体力抽奖!$C$48:$C$60&gt;=$J27,体力抽奖!$J$48:$J$60))</f>
        <v>15</v>
      </c>
      <c r="D27" s="77">
        <f>VLOOKUP($C27,猫咪!$B:$E,4,0)</f>
        <v>163.84</v>
      </c>
      <c r="E27" s="110">
        <f t="shared" si="1"/>
        <v>12300</v>
      </c>
      <c r="F27" s="77">
        <f t="shared" si="2"/>
        <v>2027532</v>
      </c>
      <c r="G27" s="83">
        <f t="shared" si="0"/>
        <v>6400000</v>
      </c>
      <c r="H27" s="77">
        <f>SUM($G$5:$G27)</f>
        <v>28001200</v>
      </c>
      <c r="I27" s="77">
        <f t="array" ref="I27">MIN(IF(矿山!$S$5:$S$85&gt;=$H27,矿山!$P$5:$P$85))</f>
        <v>24.29</v>
      </c>
      <c r="J27" s="77">
        <f t="array" ref="J27">MIN(IF(矿山!$S$5:$S$85&gt;=$H27,矿山!$O$5:$O$85))</f>
        <v>60</v>
      </c>
      <c r="K27" s="77">
        <f t="array" ref="K27">MIN(IF(矿山!$X$5:$X$85&gt;=$H27,矿山!$U$5:$U$85))</f>
        <v>12.26</v>
      </c>
      <c r="L27" s="77">
        <f t="array" ref="L27">MIN(IF(矿山!$X$5:$X$85&gt;=$H27,矿山!$O$5:$O$85))</f>
        <v>63</v>
      </c>
      <c r="M27" s="80">
        <f t="shared" si="3"/>
        <v>2028000</v>
      </c>
      <c r="P27" s="77">
        <v>42</v>
      </c>
      <c r="Q27" s="77">
        <f>INDEX(等级时间!$U$3:$AU$203,MATCH($P27,等级时间!$U$3:$U$203,0),MATCH(Q$4,等级时间!$U$3:$AU$3,0))</f>
        <v>6.86</v>
      </c>
      <c r="R27" s="77">
        <f t="shared" si="5"/>
        <v>0.54</v>
      </c>
      <c r="S27" s="77">
        <f t="array" ref="S27">INDEX($F$4:$F$104,MATCH(MAX(IF($J$5:$J$104&lt;=$P27,$J$5:$J$104)),$J$4:$J$104,0),0)*R27*IF($P27&gt;=$N$6,2,1)</f>
        <v>201362.11199999999</v>
      </c>
      <c r="T27" s="77">
        <f>SUM($S$5:$S27)</f>
        <v>787249.15200000012</v>
      </c>
      <c r="V27" s="77">
        <f>INDEX(等级时间!$U$3:$AU$203,MATCH($P27,等级时间!$U$3:$U$203,0),MATCH(V$4,等级时间!$U$3:$AU$3,0))</f>
        <v>2.88</v>
      </c>
      <c r="W27" s="77">
        <f t="shared" si="6"/>
        <v>0.22999999999999998</v>
      </c>
      <c r="X27" s="77">
        <f t="array" ref="X27">INDEX($F$4:$F$104,MATCH(MAX(IF($J$5:$J$104&lt;=$P27,$J$5:$J$104)),$J$4:$J$104,0),0)*W27*IF($P27&gt;=$N$6,2,1)</f>
        <v>85765.343999999997</v>
      </c>
      <c r="Y27" s="77">
        <f>SUM($X$5:$X27)</f>
        <v>329505.74399999995</v>
      </c>
    </row>
    <row r="28" spans="2:29" x14ac:dyDescent="0.15">
      <c r="B28" s="77">
        <v>24</v>
      </c>
      <c r="C28" s="77">
        <f t="array" ref="C28">MIN(IF(体力抽奖!$C$48:$C$60&gt;=$J28,体力抽奖!$J$48:$J$60))</f>
        <v>15</v>
      </c>
      <c r="D28" s="77">
        <f>VLOOKUP($C28,猫咪!$B:$E,4,0)</f>
        <v>163.84</v>
      </c>
      <c r="E28" s="110">
        <f t="shared" si="1"/>
        <v>12600</v>
      </c>
      <c r="F28" s="77">
        <f t="shared" si="2"/>
        <v>2076984</v>
      </c>
      <c r="G28" s="83">
        <f t="shared" si="0"/>
        <v>8000000</v>
      </c>
      <c r="H28" s="77">
        <f>SUM($G$5:$G28)</f>
        <v>36001200</v>
      </c>
      <c r="I28" s="77">
        <f t="array" ref="I28">MIN(IF(矿山!$S$5:$S$85&gt;=$H28,矿山!$P$5:$P$85))</f>
        <v>24.29</v>
      </c>
      <c r="J28" s="77">
        <f t="array" ref="J28">MIN(IF(矿山!$S$5:$S$85&gt;=$H28,矿山!$O$5:$O$85))</f>
        <v>60</v>
      </c>
      <c r="K28" s="77">
        <f t="array" ref="K28">MIN(IF(矿山!$X$5:$X$85&gt;=$H28,矿山!$U$5:$U$85))</f>
        <v>13.02</v>
      </c>
      <c r="L28" s="77">
        <f t="array" ref="L28">MIN(IF(矿山!$X$5:$X$85&gt;=$H28,矿山!$O$5:$O$85))</f>
        <v>64</v>
      </c>
      <c r="M28" s="80">
        <f t="shared" si="3"/>
        <v>2077000</v>
      </c>
      <c r="P28" s="77">
        <v>43</v>
      </c>
      <c r="Q28" s="77">
        <f>INDEX(等级时间!$U$3:$AU$203,MATCH($P28,等级时间!$U$3:$U$203,0),MATCH(Q$4,等级时间!$U$3:$AU$3,0))</f>
        <v>7.43</v>
      </c>
      <c r="R28" s="77">
        <f t="shared" si="5"/>
        <v>0.5699999999999994</v>
      </c>
      <c r="S28" s="77">
        <f t="array" ref="S28">INDEX($F$4:$F$104,MATCH(MAX(IF($J$5:$J$104&lt;=$P28,$J$5:$J$104)),$J$4:$J$104,0),0)*R28*IF($P28&gt;=$N$6,2,1)</f>
        <v>212548.89599999978</v>
      </c>
      <c r="T28" s="77">
        <f>SUM($S$5:$S28)</f>
        <v>999798.04799999995</v>
      </c>
      <c r="V28" s="77">
        <f>INDEX(等级时间!$U$3:$AU$203,MATCH($P28,等级时间!$U$3:$U$203,0),MATCH(V$4,等级时间!$U$3:$AU$3,0))</f>
        <v>3.12</v>
      </c>
      <c r="W28" s="77">
        <f t="shared" si="6"/>
        <v>0.24000000000000021</v>
      </c>
      <c r="X28" s="77">
        <f t="array" ref="X28">INDEX($F$4:$F$104,MATCH(MAX(IF($J$5:$J$104&lt;=$P28,$J$5:$J$104)),$J$4:$J$104,0),0)*W28*IF($P28&gt;=$N$6,2,1)</f>
        <v>89494.27200000007</v>
      </c>
      <c r="Y28" s="77">
        <f>SUM($X$5:$X28)</f>
        <v>419000.016</v>
      </c>
    </row>
    <row r="29" spans="2:29" x14ac:dyDescent="0.15">
      <c r="B29" s="77">
        <v>25</v>
      </c>
      <c r="C29" s="77">
        <f t="array" ref="C29">MIN(IF(体力抽奖!$C$48:$C$60&gt;=$J29,体力抽奖!$J$48:$J$60))</f>
        <v>15</v>
      </c>
      <c r="D29" s="77">
        <f>VLOOKUP($C29,猫咪!$B:$E,4,0)</f>
        <v>163.84</v>
      </c>
      <c r="E29" s="110">
        <f t="shared" si="1"/>
        <v>13000</v>
      </c>
      <c r="F29" s="77">
        <f t="shared" si="2"/>
        <v>2142920</v>
      </c>
      <c r="G29" s="83">
        <f t="shared" si="0"/>
        <v>9800000</v>
      </c>
      <c r="H29" s="77">
        <f>SUM($G$5:$G29)</f>
        <v>45801200</v>
      </c>
      <c r="I29" s="77">
        <f t="array" ref="I29">MIN(IF(矿山!$S$5:$S$85&gt;=$H29,矿山!$P$5:$P$85))</f>
        <v>25.84</v>
      </c>
      <c r="J29" s="77">
        <f t="array" ref="J29">MIN(IF(矿山!$S$5:$S$85&gt;=$H29,矿山!$O$5:$O$85))</f>
        <v>61</v>
      </c>
      <c r="K29" s="77">
        <f t="array" ref="K29">MIN(IF(矿山!$X$5:$X$85&gt;=$H29,矿山!$U$5:$U$85))</f>
        <v>13.82</v>
      </c>
      <c r="L29" s="77">
        <f t="array" ref="L29">MIN(IF(矿山!$X$5:$X$85&gt;=$H29,矿山!$O$5:$O$85))</f>
        <v>65</v>
      </c>
      <c r="M29" s="80">
        <f t="shared" si="3"/>
        <v>2143000</v>
      </c>
      <c r="P29" s="77">
        <v>44</v>
      </c>
      <c r="Q29" s="77">
        <f>INDEX(等级时间!$U$3:$AU$203,MATCH($P29,等级时间!$U$3:$U$203,0),MATCH(Q$4,等级时间!$U$3:$AU$3,0))</f>
        <v>8.0399999999999991</v>
      </c>
      <c r="R29" s="77">
        <f t="shared" si="5"/>
        <v>0.60999999999999943</v>
      </c>
      <c r="S29" s="77">
        <f t="array" ref="S29">INDEX($F$4:$F$104,MATCH(MAX(IF($J$5:$J$104&lt;=$P29,$J$5:$J$104)),$J$4:$J$104,0),0)*R29*IF($P29&gt;=$N$6,2,1)</f>
        <v>227464.60799999977</v>
      </c>
      <c r="T29" s="77">
        <f>SUM($S$5:$S29)</f>
        <v>1227262.6559999997</v>
      </c>
      <c r="V29" s="77">
        <f>INDEX(等级时间!$U$3:$AU$203,MATCH($P29,等级时间!$U$3:$U$203,0),MATCH(V$4,等级时间!$U$3:$AU$3,0))</f>
        <v>3.38</v>
      </c>
      <c r="W29" s="77">
        <f t="shared" si="6"/>
        <v>0.25999999999999979</v>
      </c>
      <c r="X29" s="77">
        <f t="array" ref="X29">INDEX($F$4:$F$104,MATCH(MAX(IF($J$5:$J$104&lt;=$P29,$J$5:$J$104)),$J$4:$J$104,0),0)*W29*IF($P29&gt;=$N$6,2,1)</f>
        <v>96952.127999999924</v>
      </c>
      <c r="Y29" s="77">
        <f>SUM($X$5:$X29)</f>
        <v>515952.14399999991</v>
      </c>
    </row>
    <row r="30" spans="2:29" x14ac:dyDescent="0.15">
      <c r="B30" s="77">
        <v>26</v>
      </c>
      <c r="C30" s="77">
        <f t="array" ref="C30">MIN(IF(体力抽奖!$C$48:$C$60&gt;=$J30,体力抽奖!$J$48:$J$60))</f>
        <v>15</v>
      </c>
      <c r="D30" s="77">
        <f>VLOOKUP($C30,猫咪!$B:$E,4,0)</f>
        <v>163.84</v>
      </c>
      <c r="E30" s="110">
        <f t="shared" si="1"/>
        <v>13400</v>
      </c>
      <c r="F30" s="77">
        <f t="shared" si="2"/>
        <v>2208856</v>
      </c>
      <c r="G30" s="83">
        <f t="shared" si="0"/>
        <v>12000000</v>
      </c>
      <c r="H30" s="77">
        <f>SUM($G$5:$G30)</f>
        <v>57801200</v>
      </c>
      <c r="I30" s="77">
        <f t="array" ref="I30">MIN(IF(矿山!$S$5:$S$85&gt;=$H30,矿山!$P$5:$P$85))</f>
        <v>27.47</v>
      </c>
      <c r="J30" s="77">
        <f t="array" ref="J30">MIN(IF(矿山!$S$5:$S$85&gt;=$H30,矿山!$O$5:$O$85))</f>
        <v>62</v>
      </c>
      <c r="K30" s="77">
        <f t="array" ref="K30">MIN(IF(矿山!$X$5:$X$85&gt;=$H30,矿山!$U$5:$U$85))</f>
        <v>15.54</v>
      </c>
      <c r="L30" s="77">
        <f t="array" ref="L30">MIN(IF(矿山!$X$5:$X$85&gt;=$H30,矿山!$O$5:$O$85))</f>
        <v>67</v>
      </c>
      <c r="M30" s="80">
        <f t="shared" si="3"/>
        <v>2209000</v>
      </c>
      <c r="P30" s="77">
        <v>45</v>
      </c>
      <c r="Q30" s="77">
        <f>INDEX(等级时间!$U$3:$AU$203,MATCH($P30,等级时间!$U$3:$U$203,0),MATCH(Q$4,等级时间!$U$3:$AU$3,0))</f>
        <v>8.69</v>
      </c>
      <c r="R30" s="77">
        <f t="shared" si="5"/>
        <v>0.65000000000000036</v>
      </c>
      <c r="S30" s="77">
        <f t="array" ref="S30">INDEX($F$4:$F$104,MATCH(MAX(IF($J$5:$J$104&lt;=$P30,$J$5:$J$104)),$J$4:$J$104,0),0)*R30*IF($P30&gt;=$N$6,2,1)</f>
        <v>252432.96000000017</v>
      </c>
      <c r="T30" s="77">
        <f>SUM($S$5:$S30)</f>
        <v>1479695.6159999999</v>
      </c>
      <c r="V30" s="77">
        <f>INDEX(等级时间!$U$3:$AU$203,MATCH($P30,等级时间!$U$3:$U$203,0),MATCH(V$4,等级时间!$U$3:$AU$3,0))</f>
        <v>3.65</v>
      </c>
      <c r="W30" s="77">
        <f t="shared" si="6"/>
        <v>0.27</v>
      </c>
      <c r="X30" s="77">
        <f t="array" ref="X30">INDEX($F$4:$F$104,MATCH(MAX(IF($J$5:$J$104&lt;=$P30,$J$5:$J$104)),$J$4:$J$104,0),0)*W30*IF($P30&gt;=$N$6,2,1)</f>
        <v>104856.76800000001</v>
      </c>
      <c r="Y30" s="77">
        <f>SUM($X$5:$X30)</f>
        <v>620808.91199999989</v>
      </c>
    </row>
    <row r="31" spans="2:29" x14ac:dyDescent="0.15">
      <c r="B31" s="77">
        <v>27</v>
      </c>
      <c r="C31" s="77">
        <f t="array" ref="C31">MIN(IF(体力抽奖!$C$48:$C$60&gt;=$J31,体力抽奖!$J$48:$J$60))</f>
        <v>15</v>
      </c>
      <c r="D31" s="77">
        <f>VLOOKUP($C31,猫咪!$B:$E,4,0)</f>
        <v>163.84</v>
      </c>
      <c r="E31" s="110">
        <f t="shared" si="1"/>
        <v>13700</v>
      </c>
      <c r="F31" s="77">
        <f t="shared" si="2"/>
        <v>2258308</v>
      </c>
      <c r="G31" s="83">
        <f t="shared" si="0"/>
        <v>14000000</v>
      </c>
      <c r="H31" s="77">
        <f>SUM($G$5:$G31)</f>
        <v>71801200</v>
      </c>
      <c r="I31" s="77">
        <f t="array" ref="I31">MIN(IF(矿山!$S$5:$S$85&gt;=$H31,矿山!$P$5:$P$85))</f>
        <v>29.19</v>
      </c>
      <c r="J31" s="77">
        <f t="array" ref="J31">MIN(IF(矿山!$S$5:$S$85&gt;=$H31,矿山!$O$5:$O$85))</f>
        <v>63</v>
      </c>
      <c r="K31" s="77">
        <f t="array" ref="K31">MIN(IF(矿山!$X$5:$X$85&gt;=$H31,矿山!$U$5:$U$85))</f>
        <v>16.46</v>
      </c>
      <c r="L31" s="77">
        <f t="array" ref="L31">MIN(IF(矿山!$X$5:$X$85&gt;=$H31,矿山!$O$5:$O$85))</f>
        <v>68</v>
      </c>
      <c r="M31" s="80">
        <f t="shared" si="3"/>
        <v>2259000</v>
      </c>
      <c r="P31" s="77">
        <v>46</v>
      </c>
      <c r="Q31" s="77">
        <f>INDEX(等级时间!$U$3:$AU$203,MATCH($P31,等级时间!$U$3:$U$203,0),MATCH(Q$4,等级时间!$U$3:$AU$3,0))</f>
        <v>9.3800000000000008</v>
      </c>
      <c r="R31" s="77">
        <f t="shared" si="5"/>
        <v>0.69000000000000128</v>
      </c>
      <c r="S31" s="77">
        <f t="array" ref="S31">INDEX($F$4:$F$104,MATCH(MAX(IF($J$5:$J$104&lt;=$P31,$J$5:$J$104)),$J$4:$J$104,0),0)*R31*IF($P31&gt;=$N$6,2,1)</f>
        <v>267967.2960000005</v>
      </c>
      <c r="T31" s="77">
        <f>SUM($S$5:$S31)</f>
        <v>1747662.9120000005</v>
      </c>
      <c r="V31" s="77">
        <f>INDEX(等级时间!$U$3:$AU$203,MATCH($P31,等级时间!$U$3:$U$203,0),MATCH(V$4,等级时间!$U$3:$AU$3,0))</f>
        <v>3.94</v>
      </c>
      <c r="W31" s="77">
        <f t="shared" si="6"/>
        <v>0.29000000000000004</v>
      </c>
      <c r="X31" s="77">
        <f t="array" ref="X31">INDEX($F$4:$F$104,MATCH(MAX(IF($J$5:$J$104&lt;=$P31,$J$5:$J$104)),$J$4:$J$104,0),0)*W31*IF($P31&gt;=$N$6,2,1)</f>
        <v>112623.93600000002</v>
      </c>
      <c r="Y31" s="77">
        <f>SUM($X$5:$X31)</f>
        <v>733432.84799999988</v>
      </c>
    </row>
    <row r="32" spans="2:29" x14ac:dyDescent="0.15">
      <c r="B32" s="77">
        <v>28</v>
      </c>
      <c r="C32" s="77">
        <f t="array" ref="C32">MIN(IF(体力抽奖!$C$48:$C$60&gt;=$J32,体力抽奖!$J$48:$J$60))</f>
        <v>15</v>
      </c>
      <c r="D32" s="77">
        <f>VLOOKUP($C32,猫咪!$B:$E,4,0)</f>
        <v>163.84</v>
      </c>
      <c r="E32" s="110">
        <f t="shared" si="1"/>
        <v>14100</v>
      </c>
      <c r="F32" s="77">
        <f t="shared" si="2"/>
        <v>2324244</v>
      </c>
      <c r="G32" s="83">
        <f t="shared" si="0"/>
        <v>17000000</v>
      </c>
      <c r="H32" s="77">
        <f>SUM($G$5:$G32)</f>
        <v>88801200</v>
      </c>
      <c r="I32" s="77">
        <f t="array" ref="I32">MIN(IF(矿山!$S$5:$S$85&gt;=$H32,矿山!$P$5:$P$85))</f>
        <v>31</v>
      </c>
      <c r="J32" s="77">
        <f t="array" ref="J32">MIN(IF(矿山!$S$5:$S$85&gt;=$H32,矿山!$O$5:$O$85))</f>
        <v>64</v>
      </c>
      <c r="K32" s="77">
        <f t="array" ref="K32">MIN(IF(矿山!$X$5:$X$85&gt;=$H32,矿山!$U$5:$U$85))</f>
        <v>18.440000000000001</v>
      </c>
      <c r="L32" s="77">
        <f t="array" ref="L32">MIN(IF(矿山!$X$5:$X$85&gt;=$H32,矿山!$O$5:$O$85))</f>
        <v>70</v>
      </c>
      <c r="M32" s="80">
        <f t="shared" si="3"/>
        <v>2325000</v>
      </c>
      <c r="P32" s="77">
        <v>47</v>
      </c>
      <c r="Q32" s="77">
        <f>INDEX(等级时间!$U$3:$AU$203,MATCH($P32,等级时间!$U$3:$U$203,0),MATCH(Q$4,等级时间!$U$3:$AU$3,0))</f>
        <v>10.1</v>
      </c>
      <c r="R32" s="77">
        <f t="shared" si="5"/>
        <v>0.71999999999999886</v>
      </c>
      <c r="S32" s="77">
        <f t="array" ref="S32">INDEX($F$4:$F$104,MATCH(MAX(IF($J$5:$J$104&lt;=$P32,$J$5:$J$104)),$J$4:$J$104,0),0)*R32*IF($P32&gt;=$N$6,2,1)</f>
        <v>290753.27999999956</v>
      </c>
      <c r="T32" s="77">
        <f>SUM($S$5:$S32)</f>
        <v>2038416.192</v>
      </c>
      <c r="V32" s="77">
        <f>INDEX(等级时间!$U$3:$AU$203,MATCH($P32,等级时间!$U$3:$U$203,0),MATCH(V$4,等级时间!$U$3:$AU$3,0))</f>
        <v>4.24</v>
      </c>
      <c r="W32" s="77">
        <f t="shared" si="6"/>
        <v>0.30000000000000027</v>
      </c>
      <c r="X32" s="77">
        <f t="array" ref="X32">INDEX($F$4:$F$104,MATCH(MAX(IF($J$5:$J$104&lt;=$P32,$J$5:$J$104)),$J$4:$J$104,0),0)*W32*IF($P32&gt;=$N$6,2,1)</f>
        <v>121147.20000000011</v>
      </c>
      <c r="Y32" s="77">
        <f>SUM($X$5:$X32)</f>
        <v>854580.04799999995</v>
      </c>
    </row>
    <row r="33" spans="2:25" x14ac:dyDescent="0.15">
      <c r="B33" s="77">
        <v>29</v>
      </c>
      <c r="C33" s="77">
        <f t="array" ref="C33">MIN(IF(体力抽奖!$C$48:$C$60&gt;=$J33,体力抽奖!$J$48:$J$60))</f>
        <v>15</v>
      </c>
      <c r="D33" s="77">
        <f>VLOOKUP($C33,猫咪!$B:$E,4,0)</f>
        <v>163.84</v>
      </c>
      <c r="E33" s="110">
        <f t="shared" si="1"/>
        <v>14400</v>
      </c>
      <c r="F33" s="77">
        <f t="shared" si="2"/>
        <v>2373696</v>
      </c>
      <c r="G33" s="83">
        <f t="shared" si="0"/>
        <v>21000000</v>
      </c>
      <c r="H33" s="77">
        <f>SUM($G$5:$G33)</f>
        <v>109801200</v>
      </c>
      <c r="I33" s="77">
        <f t="array" ref="I33">MIN(IF(矿山!$S$5:$S$85&gt;=$H33,矿山!$P$5:$P$85))</f>
        <v>32.9</v>
      </c>
      <c r="J33" s="77">
        <f t="array" ref="J33">MIN(IF(矿山!$S$5:$S$85&gt;=$H33,矿山!$O$5:$O$85))</f>
        <v>65</v>
      </c>
      <c r="K33" s="77">
        <f t="array" ref="K33">MIN(IF(矿山!$X$5:$X$85&gt;=$H33,矿山!$U$5:$U$85))</f>
        <v>18.440000000000001</v>
      </c>
      <c r="L33" s="77">
        <f t="array" ref="L33">MIN(IF(矿山!$X$5:$X$85&gt;=$H33,矿山!$O$5:$O$85))</f>
        <v>70</v>
      </c>
      <c r="M33" s="80">
        <f t="shared" si="3"/>
        <v>2374000</v>
      </c>
      <c r="P33" s="77">
        <v>48</v>
      </c>
      <c r="Q33" s="77">
        <f>INDEX(等级时间!$U$3:$AU$203,MATCH($P33,等级时间!$U$3:$U$203,0),MATCH(Q$4,等级时间!$U$3:$AU$3,0))</f>
        <v>10.86</v>
      </c>
      <c r="R33" s="77">
        <f t="shared" si="5"/>
        <v>0.75999999999999979</v>
      </c>
      <c r="S33" s="77">
        <f t="array" ref="S33">INDEX($F$4:$F$104,MATCH(MAX(IF($J$5:$J$104&lt;=$P33,$J$5:$J$104)),$J$4:$J$104,0),0)*R33*IF($P33&gt;=$N$6,2,1)</f>
        <v>306906.23999999993</v>
      </c>
      <c r="T33" s="77">
        <f>SUM($S$5:$S33)</f>
        <v>2345322.432</v>
      </c>
      <c r="V33" s="77">
        <f>INDEX(等级时间!$U$3:$AU$203,MATCH($P33,等级时间!$U$3:$U$203,0),MATCH(V$4,等级时间!$U$3:$AU$3,0))</f>
        <v>4.5599999999999996</v>
      </c>
      <c r="W33" s="77">
        <f t="shared" si="6"/>
        <v>0.3199999999999994</v>
      </c>
      <c r="X33" s="77">
        <f t="array" ref="X33">INDEX($F$4:$F$104,MATCH(MAX(IF($J$5:$J$104&lt;=$P33,$J$5:$J$104)),$J$4:$J$104,0),0)*W33*IF($P33&gt;=$N$6,2,1)</f>
        <v>129223.67999999976</v>
      </c>
      <c r="Y33" s="77">
        <f>SUM($X$5:$X33)</f>
        <v>983803.72799999965</v>
      </c>
    </row>
    <row r="34" spans="2:25" x14ac:dyDescent="0.15">
      <c r="B34" s="77">
        <v>30</v>
      </c>
      <c r="C34" s="77">
        <f t="array" ref="C34">MIN(IF(体力抽奖!$C$48:$C$60&gt;=$J34,体力抽奖!$J$48:$J$60))</f>
        <v>15</v>
      </c>
      <c r="D34" s="77">
        <f>VLOOKUP($C34,猫咪!$B:$E,4,0)</f>
        <v>163.84</v>
      </c>
      <c r="E34" s="110">
        <f t="shared" si="1"/>
        <v>14800</v>
      </c>
      <c r="F34" s="77">
        <f t="shared" si="2"/>
        <v>2439632</v>
      </c>
      <c r="G34" s="83">
        <f t="shared" si="0"/>
        <v>24000000</v>
      </c>
      <c r="H34" s="77">
        <f>SUM($G$5:$G34)</f>
        <v>133801200</v>
      </c>
      <c r="I34" s="77">
        <f t="array" ref="I34">MIN(IF(矿山!$S$5:$S$85&gt;=$H34,矿山!$P$5:$P$85))</f>
        <v>36.979999999999997</v>
      </c>
      <c r="J34" s="77">
        <f t="array" ref="J34">MIN(IF(矿山!$S$5:$S$85&gt;=$H34,矿山!$O$5:$O$85))</f>
        <v>67</v>
      </c>
      <c r="K34" s="77">
        <f t="array" ref="K34">MIN(IF(矿山!$X$5:$X$85&gt;=$H34,矿山!$U$5:$U$85))</f>
        <v>19.5</v>
      </c>
      <c r="L34" s="77">
        <f t="array" ref="L34">MIN(IF(矿山!$X$5:$X$85&gt;=$H34,矿山!$O$5:$O$85))</f>
        <v>71</v>
      </c>
      <c r="M34" s="80">
        <f t="shared" si="3"/>
        <v>2440000</v>
      </c>
      <c r="P34" s="77">
        <v>49</v>
      </c>
      <c r="Q34" s="77">
        <f>INDEX(等级时间!$U$3:$AU$203,MATCH($P34,等级时间!$U$3:$U$203,0),MATCH(Q$4,等级时间!$U$3:$AU$3,0))</f>
        <v>11.68</v>
      </c>
      <c r="R34" s="77">
        <f t="shared" si="5"/>
        <v>0.82000000000000028</v>
      </c>
      <c r="S34" s="77">
        <f t="array" ref="S34">INDEX($F$4:$F$104,MATCH(MAX(IF($J$5:$J$104&lt;=$P34,$J$5:$J$104)),$J$4:$J$104,0),0)*R34*IF($P34&gt;=$N$6,2,1)</f>
        <v>331135.68000000011</v>
      </c>
      <c r="T34" s="77">
        <f>SUM($S$5:$S34)</f>
        <v>2676458.1120000002</v>
      </c>
      <c r="V34" s="77">
        <f>INDEX(等级时间!$U$3:$AU$203,MATCH($P34,等级时间!$U$3:$U$203,0),MATCH(V$4,等级时间!$U$3:$AU$3,0))</f>
        <v>4.91</v>
      </c>
      <c r="W34" s="77">
        <f t="shared" si="6"/>
        <v>0.35000000000000053</v>
      </c>
      <c r="X34" s="77">
        <f t="array" ref="X34">INDEX($F$4:$F$104,MATCH(MAX(IF($J$5:$J$104&lt;=$P34,$J$5:$J$104)),$J$4:$J$104,0),0)*W34*IF($P34&gt;=$N$6,2,1)</f>
        <v>141338.40000000023</v>
      </c>
      <c r="Y34" s="77">
        <f>SUM($X$5:$X34)</f>
        <v>1125142.1279999998</v>
      </c>
    </row>
    <row r="35" spans="2:25" x14ac:dyDescent="0.15">
      <c r="B35" s="77">
        <v>31</v>
      </c>
      <c r="C35" s="77">
        <f t="array" ref="C35">MIN(IF(体力抽奖!$C$48:$C$60&gt;=$J35,体力抽奖!$J$48:$J$60))</f>
        <v>15</v>
      </c>
      <c r="D35" s="77">
        <f>VLOOKUP($C35,猫咪!$B:$E,4,0)</f>
        <v>163.84</v>
      </c>
      <c r="E35" s="110">
        <f t="shared" si="1"/>
        <v>15200</v>
      </c>
      <c r="F35" s="77">
        <f t="shared" si="2"/>
        <v>2505568</v>
      </c>
      <c r="G35" s="83">
        <f t="shared" si="0"/>
        <v>29000000</v>
      </c>
      <c r="H35" s="77">
        <f>SUM($G$5:$G35)</f>
        <v>162801200</v>
      </c>
      <c r="I35" s="77">
        <f t="array" ref="I35">MIN(IF(矿山!$S$5:$S$85&gt;=$H35,矿山!$P$5:$P$85))</f>
        <v>39.17</v>
      </c>
      <c r="J35" s="77">
        <f t="array" ref="J35">MIN(IF(矿山!$S$5:$S$85&gt;=$H35,矿山!$O$5:$O$85))</f>
        <v>68</v>
      </c>
      <c r="K35" s="77">
        <f t="array" ref="K35">MIN(IF(矿山!$X$5:$X$85&gt;=$H35,矿山!$U$5:$U$85))</f>
        <v>20.61</v>
      </c>
      <c r="L35" s="77">
        <f t="array" ref="L35">MIN(IF(矿山!$X$5:$X$85&gt;=$H35,矿山!$O$5:$O$85))</f>
        <v>72</v>
      </c>
      <c r="M35" s="80">
        <f t="shared" si="3"/>
        <v>2506000</v>
      </c>
      <c r="P35" s="77">
        <v>50</v>
      </c>
      <c r="Q35" s="77">
        <f>INDEX(等级时间!$U$3:$AU$203,MATCH($P35,等级时间!$U$3:$U$203,0),MATCH(Q$4,等级时间!$U$3:$AU$3,0))</f>
        <v>12.54</v>
      </c>
      <c r="R35" s="77">
        <f t="shared" si="5"/>
        <v>0.85999999999999943</v>
      </c>
      <c r="S35" s="77">
        <f t="array" ref="S35">INDEX($F$4:$F$104,MATCH(MAX(IF($J$5:$J$104&lt;=$P35,$J$5:$J$104)),$J$4:$J$104,0),0)*R35*IF($P35&gt;=$N$6,2,1)</f>
        <v>704390.91199999955</v>
      </c>
      <c r="T35" s="77">
        <f>SUM($S$5:$S35)</f>
        <v>3380849.0239999997</v>
      </c>
      <c r="V35" s="77">
        <f>INDEX(等级时间!$U$3:$AU$203,MATCH($P35,等级时间!$U$3:$U$203,0),MATCH(V$4,等级时间!$U$3:$AU$3,0))</f>
        <v>5.27</v>
      </c>
      <c r="W35" s="77">
        <f t="shared" si="6"/>
        <v>0.35999999999999943</v>
      </c>
      <c r="X35" s="77">
        <f t="array" ref="X35">INDEX($F$4:$F$104,MATCH(MAX(IF($J$5:$J$104&lt;=$P35,$J$5:$J$104)),$J$4:$J$104,0),0)*W35*IF($P35&gt;=$N$6,2,1)</f>
        <v>294861.31199999957</v>
      </c>
      <c r="Y35" s="77">
        <f>SUM($X$5:$X35)</f>
        <v>1420003.4399999995</v>
      </c>
    </row>
    <row r="36" spans="2:25" x14ac:dyDescent="0.15">
      <c r="B36" s="77">
        <v>32</v>
      </c>
      <c r="C36" s="77">
        <f t="array" ref="C36">MIN(IF(体力抽奖!$C$48:$C$60&gt;=$J36,体力抽奖!$J$48:$J$60))</f>
        <v>17</v>
      </c>
      <c r="D36" s="77">
        <f>VLOOKUP($C36,猫咪!$B:$E,4,0)</f>
        <v>655.36</v>
      </c>
      <c r="E36" s="110">
        <f t="shared" si="1"/>
        <v>15500</v>
      </c>
      <c r="F36" s="77">
        <f t="shared" si="2"/>
        <v>10173580</v>
      </c>
      <c r="G36" s="83">
        <f t="shared" si="0"/>
        <v>34000000</v>
      </c>
      <c r="H36" s="77">
        <f>SUM($G$5:$G36)</f>
        <v>196801200</v>
      </c>
      <c r="I36" s="77">
        <f t="array" ref="I36">MIN(IF(矿山!$S$5:$S$85&gt;=$H36,矿山!$P$5:$P$85))</f>
        <v>43.88</v>
      </c>
      <c r="J36" s="77">
        <f t="array" ref="J36">MIN(IF(矿山!$S$5:$S$85&gt;=$H36,矿山!$O$5:$O$85))</f>
        <v>70</v>
      </c>
      <c r="K36" s="77">
        <f t="array" ref="K36">MIN(IF(矿山!$X$5:$X$85&gt;=$H36,矿山!$U$5:$U$85))</f>
        <v>20.61</v>
      </c>
      <c r="L36" s="77">
        <f t="array" ref="L36">MIN(IF(矿山!$X$5:$X$85&gt;=$H36,矿山!$O$5:$O$85))</f>
        <v>72</v>
      </c>
      <c r="M36" s="80">
        <f t="shared" si="3"/>
        <v>10174000</v>
      </c>
      <c r="P36" s="77">
        <v>51</v>
      </c>
      <c r="Q36" s="77">
        <f>INDEX(等级时间!$U$3:$AU$203,MATCH($P36,等级时间!$U$3:$U$203,0),MATCH(Q$4,等级时间!$U$3:$AU$3,0))</f>
        <v>13.45</v>
      </c>
      <c r="R36" s="77">
        <f t="shared" si="5"/>
        <v>0.91000000000000014</v>
      </c>
      <c r="S36" s="77">
        <f t="array" ref="S36">INDEX($F$4:$F$104,MATCH(MAX(IF($J$5:$J$104&lt;=$P36,$J$5:$J$104)),$J$4:$J$104,0),0)*R36*IF($P36&gt;=$N$6,2,1)</f>
        <v>745343.87200000021</v>
      </c>
      <c r="T36" s="77">
        <f>SUM($S$5:$S36)</f>
        <v>4126192.8959999997</v>
      </c>
      <c r="V36" s="77">
        <f>INDEX(等级时间!$U$3:$AU$203,MATCH($P36,等级时间!$U$3:$U$203,0),MATCH(V$4,等级时间!$U$3:$AU$3,0))</f>
        <v>5.65</v>
      </c>
      <c r="W36" s="77">
        <f t="shared" si="6"/>
        <v>0.38000000000000078</v>
      </c>
      <c r="X36" s="77">
        <f t="array" ref="X36">INDEX($F$4:$F$104,MATCH(MAX(IF($J$5:$J$104&lt;=$P36,$J$5:$J$104)),$J$4:$J$104,0),0)*W36*IF($P36&gt;=$N$6,2,1)</f>
        <v>311242.49600000068</v>
      </c>
      <c r="Y36" s="77">
        <f>SUM($X$5:$X36)</f>
        <v>1731245.9360000002</v>
      </c>
    </row>
    <row r="37" spans="2:25" x14ac:dyDescent="0.15">
      <c r="B37" s="77">
        <v>33</v>
      </c>
      <c r="C37" s="77">
        <f t="array" ref="C37">MIN(IF(体力抽奖!$C$48:$C$60&gt;=$J37,体力抽奖!$J$48:$J$60))</f>
        <v>17</v>
      </c>
      <c r="D37" s="77">
        <f>VLOOKUP($C37,猫咪!$B:$E,4,0)</f>
        <v>655.36</v>
      </c>
      <c r="E37" s="110">
        <f t="shared" si="1"/>
        <v>15900</v>
      </c>
      <c r="F37" s="77">
        <f t="shared" si="2"/>
        <v>10436124</v>
      </c>
      <c r="G37" s="83">
        <f t="shared" ref="G37:G68" si="7">ROUND(B37^G$1+G$2,IF(LEN(INT(B37^G$1+G$2))&lt;3,1-LEN(INT(B37^G$1+G$2)),2-LEN(INT(B37^G$1+G$2))))</f>
        <v>39000000</v>
      </c>
      <c r="H37" s="77">
        <f>SUM($G$5:$G37)</f>
        <v>235801200</v>
      </c>
      <c r="I37" s="77">
        <f t="array" ref="I37">MIN(IF(矿山!$S$5:$S$85&gt;=$H37,矿山!$P$5:$P$85))</f>
        <v>43.88</v>
      </c>
      <c r="J37" s="77">
        <f t="array" ref="J37">MIN(IF(矿山!$S$5:$S$85&gt;=$H37,矿山!$O$5:$O$85))</f>
        <v>70</v>
      </c>
      <c r="K37" s="77">
        <f t="array" ref="K37">MIN(IF(矿山!$X$5:$X$85&gt;=$H37,矿山!$U$5:$U$85))</f>
        <v>21.77</v>
      </c>
      <c r="L37" s="77">
        <f t="array" ref="L37">MIN(IF(矿山!$X$5:$X$85&gt;=$H37,矿山!$O$5:$O$85))</f>
        <v>73</v>
      </c>
      <c r="M37" s="80">
        <f t="shared" si="3"/>
        <v>10437000</v>
      </c>
      <c r="P37" s="77">
        <v>52</v>
      </c>
      <c r="Q37" s="77">
        <f>INDEX(等级时间!$U$3:$AU$203,MATCH($P37,等级时间!$U$3:$U$203,0),MATCH(Q$4,等级时间!$U$3:$AU$3,0))</f>
        <v>14.41</v>
      </c>
      <c r="R37" s="77">
        <f t="shared" si="5"/>
        <v>0.96000000000000085</v>
      </c>
      <c r="S37" s="77">
        <f t="array" ref="S37">INDEX($F$4:$F$104,MATCH(MAX(IF($J$5:$J$104&lt;=$P37,$J$5:$J$104)),$J$4:$J$104,0),0)*R37*IF($P37&gt;=$N$6,2,1)</f>
        <v>845913.60000000079</v>
      </c>
      <c r="T37" s="77">
        <f>SUM($S$5:$S37)</f>
        <v>4972106.4960000003</v>
      </c>
      <c r="V37" s="77">
        <f>INDEX(等级时间!$U$3:$AU$203,MATCH($P37,等级时间!$U$3:$U$203,0),MATCH(V$4,等级时间!$U$3:$AU$3,0))</f>
        <v>6.05</v>
      </c>
      <c r="W37" s="77">
        <f t="shared" si="6"/>
        <v>0.39999999999999947</v>
      </c>
      <c r="X37" s="77">
        <f t="array" ref="X37">INDEX($F$4:$F$104,MATCH(MAX(IF($J$5:$J$104&lt;=$P37,$J$5:$J$104)),$J$4:$J$104,0),0)*W37*IF($P37&gt;=$N$6,2,1)</f>
        <v>352463.99999999953</v>
      </c>
      <c r="Y37" s="77">
        <f>SUM($X$5:$X37)</f>
        <v>2083709.9359999998</v>
      </c>
    </row>
    <row r="38" spans="2:25" x14ac:dyDescent="0.15">
      <c r="B38" s="77">
        <v>34</v>
      </c>
      <c r="C38" s="77">
        <f t="array" ref="C38">MIN(IF(体力抽奖!$C$48:$C$60&gt;=$J38,体力抽奖!$J$48:$J$60))</f>
        <v>17</v>
      </c>
      <c r="D38" s="77">
        <f>VLOOKUP($C38,猫咪!$B:$E,4,0)</f>
        <v>655.36</v>
      </c>
      <c r="E38" s="110">
        <f t="shared" si="1"/>
        <v>16200</v>
      </c>
      <c r="F38" s="77">
        <f t="shared" si="2"/>
        <v>10633032</v>
      </c>
      <c r="G38" s="83">
        <f t="shared" si="7"/>
        <v>45000000</v>
      </c>
      <c r="H38" s="77">
        <f>SUM($G$5:$G38)</f>
        <v>280801200</v>
      </c>
      <c r="I38" s="77">
        <f t="array" ref="I38">MIN(IF(矿山!$S$5:$S$85&gt;=$H38,矿山!$P$5:$P$85))</f>
        <v>43.88</v>
      </c>
      <c r="J38" s="77">
        <f t="array" ref="J38">MIN(IF(矿山!$S$5:$S$85&gt;=$H38,矿山!$O$5:$O$85))</f>
        <v>70</v>
      </c>
      <c r="K38" s="77">
        <f t="array" ref="K38">MIN(IF(矿山!$X$5:$X$85&gt;=$H38,矿山!$U$5:$U$85))</f>
        <v>22.98</v>
      </c>
      <c r="L38" s="77">
        <f t="array" ref="L38">MIN(IF(矿山!$X$5:$X$85&gt;=$H38,矿山!$O$5:$O$85))</f>
        <v>74</v>
      </c>
      <c r="M38" s="80">
        <f t="shared" si="3"/>
        <v>10634000</v>
      </c>
      <c r="P38" s="77">
        <v>53</v>
      </c>
      <c r="Q38" s="77">
        <f>INDEX(等级时间!$U$3:$AU$203,MATCH($P38,等级时间!$U$3:$U$203,0),MATCH(Q$4,等级时间!$U$3:$AU$3,0))</f>
        <v>15.42</v>
      </c>
      <c r="R38" s="77">
        <f t="shared" si="5"/>
        <v>1.0099999999999998</v>
      </c>
      <c r="S38" s="77">
        <f t="array" ref="S38">INDEX($F$4:$F$104,MATCH(MAX(IF($J$5:$J$104&lt;=$P38,$J$5:$J$104)),$J$4:$J$104,0),0)*R38*IF($P38&gt;=$N$6,2,1)</f>
        <v>915399.35999999975</v>
      </c>
      <c r="T38" s="77">
        <f>SUM($S$5:$S38)</f>
        <v>5887505.8559999997</v>
      </c>
      <c r="V38" s="77">
        <f>INDEX(等级时间!$U$3:$AU$203,MATCH($P38,等级时间!$U$3:$U$203,0),MATCH(V$4,等级时间!$U$3:$AU$3,0))</f>
        <v>6.48</v>
      </c>
      <c r="W38" s="77">
        <f t="shared" si="6"/>
        <v>0.4300000000000006</v>
      </c>
      <c r="X38" s="77">
        <f t="array" ref="X38">INDEX($F$4:$F$104,MATCH(MAX(IF($J$5:$J$104&lt;=$P38,$J$5:$J$104)),$J$4:$J$104,0),0)*W38*IF($P38&gt;=$N$6,2,1)</f>
        <v>389724.48000000056</v>
      </c>
      <c r="Y38" s="77">
        <f>SUM($X$5:$X38)</f>
        <v>2473434.4160000002</v>
      </c>
    </row>
    <row r="39" spans="2:25" x14ac:dyDescent="0.15">
      <c r="B39" s="77">
        <v>35</v>
      </c>
      <c r="C39" s="77">
        <f t="array" ref="C39">MIN(IF(体力抽奖!$C$48:$C$60&gt;=$J39,体力抽奖!$J$48:$J$60))</f>
        <v>17</v>
      </c>
      <c r="D39" s="77">
        <f>VLOOKUP($C39,猫咪!$B:$E,4,0)</f>
        <v>655.36</v>
      </c>
      <c r="E39" s="110">
        <f t="shared" si="1"/>
        <v>16600</v>
      </c>
      <c r="F39" s="77">
        <f t="shared" si="2"/>
        <v>10895576</v>
      </c>
      <c r="G39" s="83">
        <f t="shared" si="7"/>
        <v>53000000</v>
      </c>
      <c r="H39" s="77">
        <f>SUM($G$5:$G39)</f>
        <v>333801200</v>
      </c>
      <c r="I39" s="77">
        <f t="array" ref="I39">MIN(IF(矿山!$S$5:$S$85&gt;=$H39,矿山!$P$5:$P$85))</f>
        <v>46.4</v>
      </c>
      <c r="J39" s="77">
        <f t="array" ref="J39">MIN(IF(矿山!$S$5:$S$85&gt;=$H39,矿山!$O$5:$O$85))</f>
        <v>71</v>
      </c>
      <c r="K39" s="77">
        <f t="array" ref="K39">MIN(IF(矿山!$X$5:$X$85&gt;=$H39,矿山!$U$5:$U$85))</f>
        <v>24.25</v>
      </c>
      <c r="L39" s="77">
        <f t="array" ref="L39">MIN(IF(矿山!$X$5:$X$85&gt;=$H39,矿山!$O$5:$O$85))</f>
        <v>75</v>
      </c>
      <c r="M39" s="80">
        <f t="shared" si="3"/>
        <v>10896000</v>
      </c>
      <c r="P39" s="77">
        <v>54</v>
      </c>
      <c r="Q39" s="77">
        <f>INDEX(等级时间!$U$3:$AU$203,MATCH($P39,等级时间!$U$3:$U$203,0),MATCH(Q$4,等级时间!$U$3:$AU$3,0))</f>
        <v>16.489999999999998</v>
      </c>
      <c r="R39" s="77">
        <f t="shared" si="5"/>
        <v>1.0699999999999985</v>
      </c>
      <c r="S39" s="77">
        <f t="array" ref="S39">INDEX($F$4:$F$104,MATCH(MAX(IF($J$5:$J$104&lt;=$P39,$J$5:$J$104)),$J$4:$J$104,0),0)*R39*IF($P39&gt;=$N$6,2,1)</f>
        <v>1005697.2799999986</v>
      </c>
      <c r="T39" s="77">
        <f>SUM($S$5:$S39)</f>
        <v>6893203.1359999981</v>
      </c>
      <c r="V39" s="77">
        <f>INDEX(等级时间!$U$3:$AU$203,MATCH($P39,等级时间!$U$3:$U$203,0),MATCH(V$4,等级时间!$U$3:$AU$3,0))</f>
        <v>6.93</v>
      </c>
      <c r="W39" s="77">
        <f t="shared" si="6"/>
        <v>0.44999999999999929</v>
      </c>
      <c r="X39" s="77">
        <f t="array" ref="X39">INDEX($F$4:$F$104,MATCH(MAX(IF($J$5:$J$104&lt;=$P39,$J$5:$J$104)),$J$4:$J$104,0),0)*W39*IF($P39&gt;=$N$6,2,1)</f>
        <v>422956.79999999935</v>
      </c>
      <c r="Y39" s="77">
        <f>SUM($X$5:$X39)</f>
        <v>2896391.2159999995</v>
      </c>
    </row>
    <row r="40" spans="2:25" x14ac:dyDescent="0.15">
      <c r="B40" s="77">
        <v>36</v>
      </c>
      <c r="C40" s="77">
        <f t="array" ref="C40">MIN(IF(体力抽奖!$C$48:$C$60&gt;=$J40,体力抽奖!$J$48:$J$60))</f>
        <v>17</v>
      </c>
      <c r="D40" s="77">
        <f>VLOOKUP($C40,猫咪!$B:$E,4,0)</f>
        <v>655.36</v>
      </c>
      <c r="E40" s="110">
        <f t="shared" si="1"/>
        <v>17000</v>
      </c>
      <c r="F40" s="77">
        <f t="shared" si="2"/>
        <v>11158120</v>
      </c>
      <c r="G40" s="83">
        <f t="shared" si="7"/>
        <v>60000000</v>
      </c>
      <c r="H40" s="77">
        <f>SUM($G$5:$G40)</f>
        <v>393801200</v>
      </c>
      <c r="I40" s="77">
        <f t="array" ref="I40">MIN(IF(矿山!$S$5:$S$85&gt;=$H40,矿山!$P$5:$P$85))</f>
        <v>49.05</v>
      </c>
      <c r="J40" s="77">
        <f t="array" ref="J40">MIN(IF(矿山!$S$5:$S$85&gt;=$H40,矿山!$O$5:$O$85))</f>
        <v>72</v>
      </c>
      <c r="K40" s="77">
        <f t="array" ref="K40">MIN(IF(矿山!$X$5:$X$85&gt;=$H40,矿山!$U$5:$U$85))</f>
        <v>25.58</v>
      </c>
      <c r="L40" s="77">
        <f t="array" ref="L40">MIN(IF(矿山!$X$5:$X$85&gt;=$H40,矿山!$O$5:$O$85))</f>
        <v>76</v>
      </c>
      <c r="M40" s="80">
        <f t="shared" si="3"/>
        <v>11159000</v>
      </c>
      <c r="P40" s="77">
        <v>55</v>
      </c>
      <c r="Q40" s="77">
        <f>INDEX(等级时间!$U$3:$AU$203,MATCH($P40,等级时间!$U$3:$U$203,0),MATCH(Q$4,等级时间!$U$3:$AU$3,0))</f>
        <v>17.63</v>
      </c>
      <c r="R40" s="77">
        <f t="shared" si="5"/>
        <v>1.1400000000000006</v>
      </c>
      <c r="S40" s="77">
        <f t="array" ref="S40">INDEX($F$4:$F$104,MATCH(MAX(IF($J$5:$J$104&lt;=$P40,$J$5:$J$104)),$J$4:$J$104,0),0)*R40*IF($P40&gt;=$N$6,2,1)</f>
        <v>1071490.5600000005</v>
      </c>
      <c r="T40" s="77">
        <f>SUM($S$5:$S40)</f>
        <v>7964693.6959999986</v>
      </c>
      <c r="V40" s="77">
        <f>INDEX(等级时间!$U$3:$AU$203,MATCH($P40,等级时间!$U$3:$U$203,0),MATCH(V$4,等级时间!$U$3:$AU$3,0))</f>
        <v>7.41</v>
      </c>
      <c r="W40" s="77">
        <f t="shared" si="6"/>
        <v>0.48000000000000043</v>
      </c>
      <c r="X40" s="77">
        <f t="array" ref="X40">INDEX($F$4:$F$104,MATCH(MAX(IF($J$5:$J$104&lt;=$P40,$J$5:$J$104)),$J$4:$J$104,0),0)*W40*IF($P40&gt;=$N$6,2,1)</f>
        <v>451153.92000000039</v>
      </c>
      <c r="Y40" s="77">
        <f>SUM($X$5:$X40)</f>
        <v>3347545.1359999999</v>
      </c>
    </row>
    <row r="41" spans="2:25" x14ac:dyDescent="0.15">
      <c r="B41" s="77">
        <v>37</v>
      </c>
      <c r="C41" s="77">
        <f t="array" ref="C41">MIN(IF(体力抽奖!$C$48:$C$60&gt;=$J41,体力抽奖!$J$48:$J$60))</f>
        <v>17</v>
      </c>
      <c r="D41" s="77">
        <f>VLOOKUP($C41,猫咪!$B:$E,4,0)</f>
        <v>655.36</v>
      </c>
      <c r="E41" s="110">
        <f t="shared" si="1"/>
        <v>17300</v>
      </c>
      <c r="F41" s="77">
        <f t="shared" si="2"/>
        <v>11355028</v>
      </c>
      <c r="G41" s="83">
        <f t="shared" si="7"/>
        <v>69000000</v>
      </c>
      <c r="H41" s="77">
        <f>SUM($G$5:$G41)</f>
        <v>462801200</v>
      </c>
      <c r="I41" s="77">
        <f t="array" ref="I41">MIN(IF(矿山!$S$5:$S$85&gt;=$H41,矿山!$P$5:$P$85))</f>
        <v>49.05</v>
      </c>
      <c r="J41" s="77">
        <f t="array" ref="J41">MIN(IF(矿山!$S$5:$S$85&gt;=$H41,矿山!$O$5:$O$85))</f>
        <v>72</v>
      </c>
      <c r="K41" s="77">
        <f t="array" ref="K41">MIN(IF(矿山!$X$5:$X$85&gt;=$H41,矿山!$U$5:$U$85))</f>
        <v>26.96</v>
      </c>
      <c r="L41" s="77">
        <f t="array" ref="L41">MIN(IF(矿山!$X$5:$X$85&gt;=$H41,矿山!$O$5:$O$85))</f>
        <v>77</v>
      </c>
      <c r="M41" s="80">
        <f t="shared" si="3"/>
        <v>11356000</v>
      </c>
      <c r="P41" s="77">
        <v>56</v>
      </c>
      <c r="Q41" s="77">
        <f>INDEX(等级时间!$U$3:$AU$203,MATCH($P41,等级时间!$U$3:$U$203,0),MATCH(Q$4,等级时间!$U$3:$AU$3,0))</f>
        <v>18.82</v>
      </c>
      <c r="R41" s="77">
        <f t="shared" si="5"/>
        <v>1.1900000000000013</v>
      </c>
      <c r="S41" s="77">
        <f t="array" ref="S41">INDEX($F$4:$F$104,MATCH(MAX(IF($J$5:$J$104&lt;=$P41,$J$5:$J$104)),$J$4:$J$104,0),0)*R41*IF($P41&gt;=$N$6,2,1)</f>
        <v>1158431.6800000013</v>
      </c>
      <c r="T41" s="77">
        <f>SUM($S$5:$S41)</f>
        <v>9123125.3760000002</v>
      </c>
      <c r="V41" s="77">
        <f>INDEX(等级时间!$U$3:$AU$203,MATCH($P41,等级时间!$U$3:$U$203,0),MATCH(V$4,等级时间!$U$3:$AU$3,0))</f>
        <v>7.91</v>
      </c>
      <c r="W41" s="77">
        <f t="shared" si="6"/>
        <v>0.5</v>
      </c>
      <c r="X41" s="77">
        <f t="array" ref="X41">INDEX($F$4:$F$104,MATCH(MAX(IF($J$5:$J$104&lt;=$P41,$J$5:$J$104)),$J$4:$J$104,0),0)*W41*IF($P41&gt;=$N$6,2,1)</f>
        <v>486736</v>
      </c>
      <c r="Y41" s="77">
        <f>SUM($X$5:$X41)</f>
        <v>3834281.1359999999</v>
      </c>
    </row>
    <row r="42" spans="2:25" x14ac:dyDescent="0.15">
      <c r="B42" s="77">
        <v>38</v>
      </c>
      <c r="C42" s="77">
        <f t="array" ref="C42">MIN(IF(体力抽奖!$C$48:$C$60&gt;=$J42,体力抽奖!$J$48:$J$60))</f>
        <v>17</v>
      </c>
      <c r="D42" s="77">
        <f>VLOOKUP($C42,猫咪!$B:$E,4,0)</f>
        <v>655.36</v>
      </c>
      <c r="E42" s="110">
        <f t="shared" si="1"/>
        <v>17700</v>
      </c>
      <c r="F42" s="77">
        <f t="shared" si="2"/>
        <v>11617572</v>
      </c>
      <c r="G42" s="83">
        <f t="shared" si="7"/>
        <v>79000000</v>
      </c>
      <c r="H42" s="77">
        <f>SUM($G$5:$G42)</f>
        <v>541801200</v>
      </c>
      <c r="I42" s="77">
        <f t="array" ref="I42">MIN(IF(矿山!$S$5:$S$85&gt;=$H42,矿山!$P$5:$P$85))</f>
        <v>51.81</v>
      </c>
      <c r="J42" s="77">
        <f t="array" ref="J42">MIN(IF(矿山!$S$5:$S$85&gt;=$H42,矿山!$O$5:$O$85))</f>
        <v>73</v>
      </c>
      <c r="K42" s="77">
        <f t="array" ref="K42">MIN(IF(矿山!$X$5:$X$85&gt;=$H42,矿山!$U$5:$U$85))</f>
        <v>29.92</v>
      </c>
      <c r="L42" s="77">
        <f t="array" ref="L42">MIN(IF(矿山!$X$5:$X$85&gt;=$H42,矿山!$O$5:$O$85))</f>
        <v>79</v>
      </c>
      <c r="M42" s="80">
        <f t="shared" si="3"/>
        <v>11618000</v>
      </c>
      <c r="P42" s="77">
        <v>57</v>
      </c>
      <c r="Q42" s="77">
        <f>INDEX(等级时间!$U$3:$AU$203,MATCH($P42,等级时间!$U$3:$U$203,0),MATCH(Q$4,等级时间!$U$3:$AU$3,0))</f>
        <v>20.079999999999998</v>
      </c>
      <c r="R42" s="77">
        <f t="shared" si="5"/>
        <v>1.259999999999998</v>
      </c>
      <c r="S42" s="77">
        <f t="array" ref="S42">INDEX($F$4:$F$104,MATCH(MAX(IF($J$5:$J$104&lt;=$P42,$J$5:$J$104)),$J$4:$J$104,0),0)*R42*IF($P42&gt;=$N$6,2,1)</f>
        <v>1226574.7199999981</v>
      </c>
      <c r="T42" s="77">
        <f>SUM($S$5:$S42)</f>
        <v>10349700.095999999</v>
      </c>
      <c r="V42" s="77">
        <f>INDEX(等级时间!$U$3:$AU$203,MATCH($P42,等级时间!$U$3:$U$203,0),MATCH(V$4,等级时间!$U$3:$AU$3,0))</f>
        <v>8.44</v>
      </c>
      <c r="W42" s="77">
        <f t="shared" si="6"/>
        <v>0.52999999999999936</v>
      </c>
      <c r="X42" s="77">
        <f t="array" ref="X42">INDEX($F$4:$F$104,MATCH(MAX(IF($J$5:$J$104&lt;=$P42,$J$5:$J$104)),$J$4:$J$104,0),0)*W42*IF($P42&gt;=$N$6,2,1)</f>
        <v>515940.15999999939</v>
      </c>
      <c r="Y42" s="77">
        <f>SUM($X$5:$X42)</f>
        <v>4350221.2959999992</v>
      </c>
    </row>
    <row r="43" spans="2:25" x14ac:dyDescent="0.15">
      <c r="B43" s="77">
        <v>39</v>
      </c>
      <c r="C43" s="77">
        <f t="array" ref="C43">MIN(IF(体力抽奖!$C$48:$C$60&gt;=$J43,体力抽奖!$J$48:$J$60))</f>
        <v>17</v>
      </c>
      <c r="D43" s="77">
        <f>VLOOKUP($C43,猫咪!$B:$E,4,0)</f>
        <v>655.36</v>
      </c>
      <c r="E43" s="110">
        <f t="shared" si="1"/>
        <v>18000</v>
      </c>
      <c r="F43" s="77">
        <f t="shared" si="2"/>
        <v>11814480</v>
      </c>
      <c r="G43" s="83">
        <f t="shared" si="7"/>
        <v>90000000</v>
      </c>
      <c r="H43" s="77">
        <f>SUM($G$5:$G43)</f>
        <v>631801200</v>
      </c>
      <c r="I43" s="77">
        <f t="array" ref="I43">MIN(IF(矿山!$S$5:$S$85&gt;=$H43,矿山!$P$5:$P$85))</f>
        <v>54.7</v>
      </c>
      <c r="J43" s="77">
        <f t="array" ref="J43">MIN(IF(矿山!$S$5:$S$85&gt;=$H43,矿山!$O$5:$O$85))</f>
        <v>74</v>
      </c>
      <c r="K43" s="77">
        <f t="array" ref="K43">MIN(IF(矿山!$X$5:$X$85&gt;=$H43,矿山!$U$5:$U$85))</f>
        <v>31.49</v>
      </c>
      <c r="L43" s="77">
        <f t="array" ref="L43">MIN(IF(矿山!$X$5:$X$85&gt;=$H43,矿山!$O$5:$O$85))</f>
        <v>80</v>
      </c>
      <c r="M43" s="80">
        <f t="shared" si="3"/>
        <v>11815000</v>
      </c>
      <c r="P43" s="77">
        <v>58</v>
      </c>
      <c r="Q43" s="77">
        <f>INDEX(等级时间!$U$3:$AU$203,MATCH($P43,等级时间!$U$3:$U$203,0),MATCH(Q$4,等级时间!$U$3:$AU$3,0))</f>
        <v>21.41</v>
      </c>
      <c r="R43" s="77">
        <f t="shared" si="5"/>
        <v>1.3300000000000018</v>
      </c>
      <c r="S43" s="77">
        <f t="array" ref="S43">INDEX($F$4:$F$104,MATCH(MAX(IF($J$5:$J$104&lt;=$P43,$J$5:$J$104)),$J$4:$J$104,0),0)*R43*IF($P43&gt;=$N$6,2,1)</f>
        <v>1328201.8400000019</v>
      </c>
      <c r="T43" s="77">
        <f>SUM($S$5:$S43)</f>
        <v>11677901.936000001</v>
      </c>
      <c r="V43" s="77">
        <f>INDEX(等级时间!$U$3:$AU$203,MATCH($P43,等级时间!$U$3:$U$203,0),MATCH(V$4,等级时间!$U$3:$AU$3,0))</f>
        <v>9</v>
      </c>
      <c r="W43" s="77">
        <f t="shared" si="6"/>
        <v>0.5600000000000005</v>
      </c>
      <c r="X43" s="77">
        <f t="array" ref="X43">INDEX($F$4:$F$104,MATCH(MAX(IF($J$5:$J$104&lt;=$P43,$J$5:$J$104)),$J$4:$J$104,0),0)*W43*IF($P43&gt;=$N$6,2,1)</f>
        <v>559242.88000000047</v>
      </c>
      <c r="Y43" s="77">
        <f>SUM($X$5:$X43)</f>
        <v>4909464.176</v>
      </c>
    </row>
    <row r="44" spans="2:25" x14ac:dyDescent="0.15">
      <c r="B44" s="77">
        <v>40</v>
      </c>
      <c r="C44" s="77">
        <f t="array" ref="C44">MIN(IF(体力抽奖!$C$48:$C$60&gt;=$J44,体力抽奖!$J$48:$J$60))</f>
        <v>17</v>
      </c>
      <c r="D44" s="77">
        <f>VLOOKUP($C44,猫咪!$B:$E,4,0)</f>
        <v>655.36</v>
      </c>
      <c r="E44" s="110">
        <f t="shared" si="1"/>
        <v>18400</v>
      </c>
      <c r="F44" s="77">
        <f t="shared" si="2"/>
        <v>12077024</v>
      </c>
      <c r="G44" s="83">
        <f t="shared" si="7"/>
        <v>100000000</v>
      </c>
      <c r="H44" s="77">
        <f>SUM($G$5:$G44)</f>
        <v>731801200</v>
      </c>
      <c r="I44" s="77">
        <f t="array" ref="I44">MIN(IF(矿山!$S$5:$S$85&gt;=$H44,矿山!$P$5:$P$85))</f>
        <v>57.73</v>
      </c>
      <c r="J44" s="77">
        <f t="array" ref="J44">MIN(IF(矿山!$S$5:$S$85&gt;=$H44,矿山!$O$5:$O$85))</f>
        <v>75</v>
      </c>
      <c r="K44" s="77">
        <f t="array" ref="K44">MIN(IF(矿山!$X$5:$X$85&gt;=$H44,矿山!$U$5:$U$85))</f>
        <v>33.130000000000003</v>
      </c>
      <c r="L44" s="77">
        <f t="array" ref="L44">MIN(IF(矿山!$X$5:$X$85&gt;=$H44,矿山!$O$5:$O$85))</f>
        <v>81</v>
      </c>
      <c r="M44" s="80">
        <f t="shared" si="3"/>
        <v>12078000</v>
      </c>
      <c r="P44" s="77">
        <v>59</v>
      </c>
      <c r="Q44" s="77">
        <f>INDEX(等级时间!$U$3:$AU$203,MATCH($P44,等级时间!$U$3:$U$203,0),MATCH(Q$4,等级时间!$U$3:$AU$3,0))</f>
        <v>22.81</v>
      </c>
      <c r="R44" s="77">
        <f t="shared" si="5"/>
        <v>1.3999999999999986</v>
      </c>
      <c r="S44" s="77">
        <f t="array" ref="S44">INDEX($F$4:$F$104,MATCH(MAX(IF($J$5:$J$104&lt;=$P44,$J$5:$J$104)),$J$4:$J$104,0),0)*R44*IF($P44&gt;=$N$6,2,1)</f>
        <v>1398107.1999999986</v>
      </c>
      <c r="T44" s="77">
        <f>SUM($S$5:$S44)</f>
        <v>13076009.136</v>
      </c>
      <c r="V44" s="77">
        <f>INDEX(等级时间!$U$3:$AU$203,MATCH($P44,等级时间!$U$3:$U$203,0),MATCH(V$4,等级时间!$U$3:$AU$3,0))</f>
        <v>9.58</v>
      </c>
      <c r="W44" s="77">
        <f t="shared" si="6"/>
        <v>0.58000000000000007</v>
      </c>
      <c r="X44" s="77">
        <f t="array" ref="X44">INDEX($F$4:$F$104,MATCH(MAX(IF($J$5:$J$104&lt;=$P44,$J$5:$J$104)),$J$4:$J$104,0),0)*W44*IF($P44&gt;=$N$6,2,1)</f>
        <v>579215.84000000008</v>
      </c>
      <c r="Y44" s="77">
        <f>SUM($X$5:$X44)</f>
        <v>5488680.0159999998</v>
      </c>
    </row>
    <row r="45" spans="2:25" x14ac:dyDescent="0.15">
      <c r="B45" s="77">
        <v>41</v>
      </c>
      <c r="C45" s="77">
        <f t="array" ref="C45">MIN(IF(体力抽奖!$C$48:$C$60&gt;=$J45,体力抽奖!$J$48:$J$60))</f>
        <v>17</v>
      </c>
      <c r="D45" s="77">
        <f>VLOOKUP($C45,猫咪!$B:$E,4,0)</f>
        <v>655.36</v>
      </c>
      <c r="E45" s="110">
        <f t="shared" si="1"/>
        <v>18800</v>
      </c>
      <c r="F45" s="77">
        <f t="shared" si="2"/>
        <v>12339568</v>
      </c>
      <c r="G45" s="83">
        <f t="shared" si="7"/>
        <v>120000000</v>
      </c>
      <c r="H45" s="77">
        <f>SUM($G$5:$G45)</f>
        <v>851801200</v>
      </c>
      <c r="I45" s="77">
        <f t="array" ref="I45">MIN(IF(矿山!$S$5:$S$85&gt;=$H45,矿山!$P$5:$P$85))</f>
        <v>60.89</v>
      </c>
      <c r="J45" s="77">
        <f t="array" ref="J45">MIN(IF(矿山!$S$5:$S$85&gt;=$H45,矿山!$O$5:$O$85))</f>
        <v>76</v>
      </c>
      <c r="K45" s="77">
        <f t="array" ref="K45">MIN(IF(矿山!$X$5:$X$85&gt;=$H45,矿山!$U$5:$U$85))</f>
        <v>33.130000000000003</v>
      </c>
      <c r="L45" s="77">
        <f t="array" ref="L45">MIN(IF(矿山!$X$5:$X$85&gt;=$H45,矿山!$O$5:$O$85))</f>
        <v>81</v>
      </c>
      <c r="M45" s="80">
        <f t="shared" si="3"/>
        <v>12340000</v>
      </c>
      <c r="P45" s="77">
        <v>60</v>
      </c>
      <c r="Q45" s="77">
        <f>INDEX(等级时间!$U$3:$AU$203,MATCH($P45,等级时间!$U$3:$U$203,0),MATCH(Q$4,等级时间!$U$3:$AU$3,0))</f>
        <v>24.29</v>
      </c>
      <c r="R45" s="77">
        <f t="shared" si="5"/>
        <v>1.4800000000000004</v>
      </c>
      <c r="S45" s="77">
        <f t="array" ref="S45">INDEX($F$4:$F$104,MATCH(MAX(IF($J$5:$J$104&lt;=$P45,$J$5:$J$104)),$J$4:$J$104,0),0)*R45*IF($P45&gt;=$N$6,2,1)</f>
        <v>6001494.7200000016</v>
      </c>
      <c r="T45" s="77">
        <f>SUM($S$5:$S45)</f>
        <v>19077503.856000002</v>
      </c>
      <c r="V45" s="77">
        <f>INDEX(等级时间!$U$3:$AU$203,MATCH($P45,等级时间!$U$3:$U$203,0),MATCH(V$4,等级时间!$U$3:$AU$3,0))</f>
        <v>10.199999999999999</v>
      </c>
      <c r="W45" s="77">
        <f t="shared" si="6"/>
        <v>0.61999999999999922</v>
      </c>
      <c r="X45" s="77">
        <f t="array" ref="X45">INDEX($F$4:$F$104,MATCH(MAX(IF($J$5:$J$104&lt;=$P45,$J$5:$J$104)),$J$4:$J$104,0),0)*W45*IF($P45&gt;=$N$6,2,1)</f>
        <v>2514139.6799999969</v>
      </c>
      <c r="Y45" s="77">
        <f>SUM($X$5:$X45)</f>
        <v>8002819.6959999967</v>
      </c>
    </row>
    <row r="46" spans="2:25" x14ac:dyDescent="0.15">
      <c r="B46" s="77">
        <v>42</v>
      </c>
      <c r="C46" s="77">
        <f t="array" ref="C46">MIN(IF(体力抽奖!$C$48:$C$60&gt;=$J46,体力抽奖!$J$48:$J$60))</f>
        <v>17</v>
      </c>
      <c r="D46" s="77">
        <f>VLOOKUP($C46,猫咪!$B:$E,4,0)</f>
        <v>655.36</v>
      </c>
      <c r="E46" s="110">
        <f t="shared" si="1"/>
        <v>19100</v>
      </c>
      <c r="F46" s="77">
        <f t="shared" si="2"/>
        <v>12536476</v>
      </c>
      <c r="G46" s="83">
        <f t="shared" si="7"/>
        <v>130000000</v>
      </c>
      <c r="H46" s="77">
        <f>SUM($G$5:$G46)</f>
        <v>981801200</v>
      </c>
      <c r="I46" s="77">
        <f t="array" ref="I46">MIN(IF(矿山!$S$5:$S$85&gt;=$H46,矿山!$P$5:$P$85))</f>
        <v>64.180000000000007</v>
      </c>
      <c r="J46" s="77">
        <f t="array" ref="J46">MIN(IF(矿山!$S$5:$S$85&gt;=$H46,矿山!$O$5:$O$85))</f>
        <v>77</v>
      </c>
      <c r="K46" s="77">
        <f t="array" ref="K46">MIN(IF(矿山!$X$5:$X$85&gt;=$H46,矿山!$U$5:$U$85))</f>
        <v>34.840000000000003</v>
      </c>
      <c r="L46" s="77">
        <f t="array" ref="L46">MIN(IF(矿山!$X$5:$X$85&gt;=$H46,矿山!$O$5:$O$85))</f>
        <v>82</v>
      </c>
      <c r="M46" s="80">
        <f t="shared" si="3"/>
        <v>12537000</v>
      </c>
      <c r="P46" s="77">
        <v>61</v>
      </c>
      <c r="Q46" s="77">
        <f>INDEX(等级时间!$U$3:$AU$203,MATCH($P46,等级时间!$U$3:$U$203,0),MATCH(Q$4,等级时间!$U$3:$AU$3,0))</f>
        <v>25.84</v>
      </c>
      <c r="R46" s="77">
        <f t="shared" si="5"/>
        <v>1.5500000000000007</v>
      </c>
      <c r="S46" s="77">
        <f t="array" ref="S46">INDEX($F$4:$F$104,MATCH(MAX(IF($J$5:$J$104&lt;=$P46,$J$5:$J$104)),$J$4:$J$104,0),0)*R46*IF($P46&gt;=$N$6,2,1)</f>
        <v>6643052.0000000028</v>
      </c>
      <c r="T46" s="77">
        <f>SUM($S$5:$S46)</f>
        <v>25720555.856000006</v>
      </c>
      <c r="V46" s="77">
        <f>INDEX(等级时间!$U$3:$AU$203,MATCH($P46,等级时间!$U$3:$U$203,0),MATCH(V$4,等级时间!$U$3:$AU$3,0))</f>
        <v>10.86</v>
      </c>
      <c r="W46" s="77">
        <f t="shared" si="6"/>
        <v>0.66000000000000014</v>
      </c>
      <c r="X46" s="77">
        <f t="array" ref="X46">INDEX($F$4:$F$104,MATCH(MAX(IF($J$5:$J$104&lt;=$P46,$J$5:$J$104)),$J$4:$J$104,0),0)*W46*IF($P46&gt;=$N$6,2,1)</f>
        <v>2828654.4000000008</v>
      </c>
      <c r="Y46" s="77">
        <f>SUM($X$5:$X46)</f>
        <v>10831474.095999997</v>
      </c>
    </row>
    <row r="47" spans="2:25" x14ac:dyDescent="0.15">
      <c r="B47" s="77">
        <v>43</v>
      </c>
      <c r="C47" s="77">
        <f t="array" ref="C47">MIN(IF(体力抽奖!$C$48:$C$60&gt;=$J47,体力抽奖!$J$48:$J$60))</f>
        <v>17</v>
      </c>
      <c r="D47" s="77">
        <f>VLOOKUP($C47,猫咪!$B:$E,4,0)</f>
        <v>655.36</v>
      </c>
      <c r="E47" s="110">
        <f t="shared" si="1"/>
        <v>19500</v>
      </c>
      <c r="F47" s="77">
        <f t="shared" si="2"/>
        <v>12799020</v>
      </c>
      <c r="G47" s="83">
        <f t="shared" si="7"/>
        <v>150000000</v>
      </c>
      <c r="H47" s="77">
        <f>SUM($G$5:$G47)</f>
        <v>1131801200</v>
      </c>
      <c r="I47" s="77">
        <f t="array" ref="I47">MIN(IF(矿山!$S$5:$S$85&gt;=$H47,矿山!$P$5:$P$85))</f>
        <v>67.63</v>
      </c>
      <c r="J47" s="77">
        <f t="array" ref="J47">MIN(IF(矿山!$S$5:$S$85&gt;=$H47,矿山!$O$5:$O$85))</f>
        <v>78</v>
      </c>
      <c r="K47" s="77">
        <f t="array" ref="K47">MIN(IF(矿山!$X$5:$X$85&gt;=$H47,矿山!$U$5:$U$85))</f>
        <v>36.619999999999997</v>
      </c>
      <c r="L47" s="77">
        <f t="array" ref="L47">MIN(IF(矿山!$X$5:$X$85&gt;=$H47,矿山!$O$5:$O$85))</f>
        <v>83</v>
      </c>
      <c r="M47" s="80">
        <f t="shared" si="3"/>
        <v>12800000</v>
      </c>
      <c r="P47" s="77">
        <v>62</v>
      </c>
      <c r="Q47" s="77">
        <f>INDEX(等级时间!$U$3:$AU$203,MATCH($P47,等级时间!$U$3:$U$203,0),MATCH(Q$4,等级时间!$U$3:$AU$3,0))</f>
        <v>27.47</v>
      </c>
      <c r="R47" s="77">
        <f t="shared" si="5"/>
        <v>1.629999999999999</v>
      </c>
      <c r="S47" s="77">
        <f t="array" ref="S47">INDEX($F$4:$F$104,MATCH(MAX(IF($J$5:$J$104&lt;=$P47,$J$5:$J$104)),$J$4:$J$104,0),0)*R47*IF($P47&gt;=$N$6,2,1)</f>
        <v>7200870.5599999959</v>
      </c>
      <c r="T47" s="77">
        <f>SUM($S$5:$S47)</f>
        <v>32921426.416000001</v>
      </c>
      <c r="V47" s="77">
        <f>INDEX(等级时间!$U$3:$AU$203,MATCH($P47,等级时间!$U$3:$U$203,0),MATCH(V$4,等级时间!$U$3:$AU$3,0))</f>
        <v>11.54</v>
      </c>
      <c r="W47" s="77">
        <f t="shared" si="6"/>
        <v>0.67999999999999972</v>
      </c>
      <c r="X47" s="77">
        <f t="array" ref="X47">INDEX($F$4:$F$104,MATCH(MAX(IF($J$5:$J$104&lt;=$P47,$J$5:$J$104)),$J$4:$J$104,0),0)*W47*IF($P47&gt;=$N$6,2,1)</f>
        <v>3004044.1599999988</v>
      </c>
      <c r="Y47" s="77">
        <f>SUM($X$5:$X47)</f>
        <v>13835518.255999995</v>
      </c>
    </row>
    <row r="48" spans="2:25" x14ac:dyDescent="0.15">
      <c r="B48" s="77">
        <v>44</v>
      </c>
      <c r="C48" s="77">
        <f t="array" ref="C48">MIN(IF(体力抽奖!$C$48:$C$60&gt;=$J48,体力抽奖!$J$48:$J$60))</f>
        <v>17</v>
      </c>
      <c r="D48" s="77">
        <f>VLOOKUP($C48,猫咪!$B:$E,4,0)</f>
        <v>655.36</v>
      </c>
      <c r="E48" s="110">
        <f t="shared" si="1"/>
        <v>19800</v>
      </c>
      <c r="F48" s="77">
        <f t="shared" si="2"/>
        <v>12995928</v>
      </c>
      <c r="G48" s="83">
        <f t="shared" si="7"/>
        <v>160000000</v>
      </c>
      <c r="H48" s="77">
        <f>SUM($G$5:$G48)</f>
        <v>1291801200</v>
      </c>
      <c r="I48" s="77">
        <f t="array" ref="I48">MIN(IF(矿山!$S$5:$S$85&gt;=$H48,矿山!$P$5:$P$85))</f>
        <v>71.22</v>
      </c>
      <c r="J48" s="77">
        <f t="array" ref="J48">MIN(IF(矿山!$S$5:$S$85&gt;=$H48,矿山!$O$5:$O$85))</f>
        <v>79</v>
      </c>
      <c r="K48" s="77">
        <f t="array" ref="K48">MIN(IF(矿山!$X$5:$X$85&gt;=$H48,矿山!$U$5:$U$85))</f>
        <v>38.479999999999997</v>
      </c>
      <c r="L48" s="77">
        <f t="array" ref="L48">MIN(IF(矿山!$X$5:$X$85&gt;=$H48,矿山!$O$5:$O$85))</f>
        <v>84</v>
      </c>
      <c r="M48" s="80">
        <f t="shared" si="3"/>
        <v>12996000</v>
      </c>
      <c r="P48" s="77">
        <v>63</v>
      </c>
      <c r="Q48" s="77">
        <f>INDEX(等级时间!$U$3:$AU$203,MATCH($P48,等级时间!$U$3:$U$203,0),MATCH(Q$4,等级时间!$U$3:$AU$3,0))</f>
        <v>29.19</v>
      </c>
      <c r="R48" s="77">
        <f t="shared" si="5"/>
        <v>1.7200000000000024</v>
      </c>
      <c r="S48" s="77">
        <f t="array" ref="S48">INDEX($F$4:$F$104,MATCH(MAX(IF($J$5:$J$104&lt;=$P48,$J$5:$J$104)),$J$4:$J$104,0),0)*R48*IF($P48&gt;=$N$6,2,1)</f>
        <v>7768579.5200000107</v>
      </c>
      <c r="T48" s="77">
        <f>SUM($S$5:$S48)</f>
        <v>40690005.936000012</v>
      </c>
      <c r="V48" s="77">
        <f>INDEX(等级时间!$U$3:$AU$203,MATCH($P48,等级时间!$U$3:$U$203,0),MATCH(V$4,等级时间!$U$3:$AU$3,0))</f>
        <v>12.26</v>
      </c>
      <c r="W48" s="77">
        <f t="shared" si="6"/>
        <v>0.72000000000000064</v>
      </c>
      <c r="X48" s="77">
        <f t="array" ref="X48">INDEX($F$4:$F$104,MATCH(MAX(IF($J$5:$J$104&lt;=$P48,$J$5:$J$104)),$J$4:$J$104,0),0)*W48*IF($P48&gt;=$N$6,2,1)</f>
        <v>3251963.5200000028</v>
      </c>
      <c r="Y48" s="77">
        <f>SUM($X$5:$X48)</f>
        <v>17087481.775999997</v>
      </c>
    </row>
    <row r="49" spans="2:25" x14ac:dyDescent="0.15">
      <c r="B49" s="77">
        <v>45</v>
      </c>
      <c r="C49" s="77">
        <f t="array" ref="C49">MIN(IF(体力抽奖!$C$48:$C$60&gt;=$J49,体力抽奖!$J$48:$J$60))</f>
        <v>18</v>
      </c>
      <c r="D49" s="77">
        <f>VLOOKUP($C49,猫咪!$B:$E,4,0)</f>
        <v>1310.72</v>
      </c>
      <c r="E49" s="110">
        <f t="shared" si="1"/>
        <v>20200</v>
      </c>
      <c r="F49" s="77">
        <f t="shared" si="2"/>
        <v>26496744</v>
      </c>
      <c r="G49" s="83">
        <f t="shared" si="7"/>
        <v>180000000</v>
      </c>
      <c r="H49" s="77">
        <f>SUM($G$5:$G49)</f>
        <v>1471801200</v>
      </c>
      <c r="I49" s="77">
        <f t="array" ref="I49">MIN(IF(矿山!$S$5:$S$85&gt;=$H49,矿山!$P$5:$P$85))</f>
        <v>74.959999999999994</v>
      </c>
      <c r="J49" s="77">
        <f t="array" ref="J49">MIN(IF(矿山!$S$5:$S$85&gt;=$H49,矿山!$O$5:$O$85))</f>
        <v>80</v>
      </c>
      <c r="K49" s="77">
        <f t="array" ref="K49">MIN(IF(矿山!$X$5:$X$85&gt;=$H49,矿山!$U$5:$U$85))</f>
        <v>40.4</v>
      </c>
      <c r="L49" s="77">
        <f t="array" ref="L49">MIN(IF(矿山!$X$5:$X$85&gt;=$H49,矿山!$O$5:$O$85))</f>
        <v>85</v>
      </c>
      <c r="M49" s="80">
        <f t="shared" si="3"/>
        <v>26497000</v>
      </c>
      <c r="P49" s="77">
        <v>64</v>
      </c>
      <c r="Q49" s="77">
        <f>INDEX(等级时间!$U$3:$AU$203,MATCH($P49,等级时间!$U$3:$U$203,0),MATCH(Q$4,等级时间!$U$3:$AU$3,0))</f>
        <v>31</v>
      </c>
      <c r="R49" s="77">
        <f t="shared" si="5"/>
        <v>1.8099999999999987</v>
      </c>
      <c r="S49" s="77">
        <f t="array" ref="S49">INDEX($F$4:$F$104,MATCH(MAX(IF($J$5:$J$104&lt;=$P49,$J$5:$J$104)),$J$4:$J$104,0),0)*R49*IF($P49&gt;=$N$6,2,1)</f>
        <v>8413763.2799999937</v>
      </c>
      <c r="T49" s="77">
        <f>SUM($S$5:$S49)</f>
        <v>49103769.216000006</v>
      </c>
      <c r="V49" s="77">
        <f>INDEX(等级时间!$U$3:$AU$203,MATCH($P49,等级时间!$U$3:$U$203,0),MATCH(V$4,等级时间!$U$3:$AU$3,0))</f>
        <v>13.02</v>
      </c>
      <c r="W49" s="77">
        <f t="shared" si="6"/>
        <v>0.75999999999999979</v>
      </c>
      <c r="X49" s="77">
        <f t="array" ref="X49">INDEX($F$4:$F$104,MATCH(MAX(IF($J$5:$J$104&lt;=$P49,$J$5:$J$104)),$J$4:$J$104,0),0)*W49*IF($P49&gt;=$N$6,2,1)</f>
        <v>3532850.879999999</v>
      </c>
      <c r="Y49" s="77">
        <f>SUM($X$5:$X49)</f>
        <v>20620332.655999996</v>
      </c>
    </row>
    <row r="50" spans="2:25" x14ac:dyDescent="0.15">
      <c r="B50" s="77">
        <v>46</v>
      </c>
      <c r="C50" s="77">
        <f t="array" ref="C50">MIN(IF(体力抽奖!$C$48:$C$60&gt;=$J50,体力抽奖!$J$48:$J$60))</f>
        <v>18</v>
      </c>
      <c r="D50" s="77">
        <f>VLOOKUP($C50,猫咪!$B:$E,4,0)</f>
        <v>1310.72</v>
      </c>
      <c r="E50" s="110">
        <f t="shared" si="1"/>
        <v>20600</v>
      </c>
      <c r="F50" s="77">
        <f t="shared" si="2"/>
        <v>27021432</v>
      </c>
      <c r="G50" s="83">
        <f t="shared" si="7"/>
        <v>210000000</v>
      </c>
      <c r="H50" s="77">
        <f>SUM($G$5:$G50)</f>
        <v>1681801200</v>
      </c>
      <c r="I50" s="77">
        <f t="array" ref="I50">MIN(IF(矿山!$S$5:$S$85&gt;=$H50,矿山!$P$5:$P$85))</f>
        <v>74.959999999999994</v>
      </c>
      <c r="J50" s="77">
        <f t="array" ref="J50">MIN(IF(矿山!$S$5:$S$85&gt;=$H50,矿山!$O$5:$O$85))</f>
        <v>80</v>
      </c>
      <c r="K50" s="77">
        <f t="array" ref="K50">MIN(IF(矿山!$X$5:$X$85&gt;=$H50,矿山!$U$5:$U$85))</f>
        <v>42.41</v>
      </c>
      <c r="L50" s="77">
        <f t="array" ref="L50">MIN(IF(矿山!$X$5:$X$85&gt;=$H50,矿山!$O$5:$O$85))</f>
        <v>86</v>
      </c>
      <c r="M50" s="80">
        <f t="shared" si="3"/>
        <v>27022000</v>
      </c>
      <c r="P50" s="77">
        <v>65</v>
      </c>
      <c r="Q50" s="77">
        <f>INDEX(等级时间!$U$3:$AU$203,MATCH($P50,等级时间!$U$3:$U$203,0),MATCH(Q$4,等级时间!$U$3:$AU$3,0))</f>
        <v>32.9</v>
      </c>
      <c r="R50" s="77">
        <f t="shared" si="5"/>
        <v>1.8999999999999986</v>
      </c>
      <c r="S50" s="77">
        <f t="array" ref="S50">INDEX($F$4:$F$104,MATCH(MAX(IF($J$5:$J$104&lt;=$P50,$J$5:$J$104)),$J$4:$J$104,0),0)*R50*IF($P50&gt;=$N$6,2,1)</f>
        <v>9020044.7999999933</v>
      </c>
      <c r="T50" s="77">
        <f>SUM($S$5:$S50)</f>
        <v>58123814.016000003</v>
      </c>
      <c r="V50" s="77">
        <f>INDEX(等级时间!$U$3:$AU$203,MATCH($P50,等级时间!$U$3:$U$203,0),MATCH(V$4,等级时间!$U$3:$AU$3,0))</f>
        <v>13.82</v>
      </c>
      <c r="W50" s="77">
        <f t="shared" si="6"/>
        <v>0.80000000000000071</v>
      </c>
      <c r="X50" s="77">
        <f t="array" ref="X50">INDEX($F$4:$F$104,MATCH(MAX(IF($J$5:$J$104&lt;=$P50,$J$5:$J$104)),$J$4:$J$104,0),0)*W50*IF($P50&gt;=$N$6,2,1)</f>
        <v>3797913.6000000034</v>
      </c>
      <c r="Y50" s="77">
        <f>SUM($X$5:$X50)</f>
        <v>24418246.255999997</v>
      </c>
    </row>
    <row r="51" spans="2:25" x14ac:dyDescent="0.15">
      <c r="B51" s="77">
        <v>47</v>
      </c>
      <c r="C51" s="77">
        <f t="array" ref="C51">MIN(IF(体力抽奖!$C$48:$C$60&gt;=$J51,体力抽奖!$J$48:$J$60))</f>
        <v>18</v>
      </c>
      <c r="D51" s="77">
        <f>VLOOKUP($C51,猫咪!$B:$E,4,0)</f>
        <v>1310.72</v>
      </c>
      <c r="E51" s="110">
        <f t="shared" si="1"/>
        <v>20900</v>
      </c>
      <c r="F51" s="77">
        <f t="shared" si="2"/>
        <v>27414948</v>
      </c>
      <c r="G51" s="83">
        <f t="shared" si="7"/>
        <v>230000000</v>
      </c>
      <c r="H51" s="77">
        <f>SUM($G$5:$G51)</f>
        <v>1911801200</v>
      </c>
      <c r="I51" s="77">
        <f t="array" ref="I51">MIN(IF(矿山!$S$5:$S$85&gt;=$H51,矿山!$P$5:$P$85))</f>
        <v>78.86</v>
      </c>
      <c r="J51" s="77">
        <f t="array" ref="J51">MIN(IF(矿山!$S$5:$S$85&gt;=$H51,矿山!$O$5:$O$85))</f>
        <v>81</v>
      </c>
      <c r="K51" s="77">
        <f t="array" ref="K51">MIN(IF(矿山!$X$5:$X$85&gt;=$H51,矿山!$U$5:$U$85))</f>
        <v>46.67</v>
      </c>
      <c r="L51" s="77">
        <f t="array" ref="L51">MIN(IF(矿山!$X$5:$X$85&gt;=$H51,矿山!$O$5:$O$85))</f>
        <v>88</v>
      </c>
      <c r="M51" s="80">
        <f t="shared" si="3"/>
        <v>27415000</v>
      </c>
      <c r="P51" s="77">
        <v>66</v>
      </c>
      <c r="Q51" s="77">
        <f>INDEX(等级时间!$U$3:$AU$203,MATCH($P51,等级时间!$U$3:$U$203,0),MATCH(Q$4,等级时间!$U$3:$AU$3,0))</f>
        <v>34.89</v>
      </c>
      <c r="R51" s="77">
        <f t="shared" si="5"/>
        <v>1.990000000000002</v>
      </c>
      <c r="S51" s="77">
        <f t="array" ref="S51">INDEX($F$4:$F$104,MATCH(MAX(IF($J$5:$J$104&lt;=$P51,$J$5:$J$104)),$J$4:$J$104,0),0)*R51*IF($P51&gt;=$N$6,2,1)</f>
        <v>9447310.0800000094</v>
      </c>
      <c r="T51" s="77">
        <f>SUM($S$5:$S51)</f>
        <v>67571124.096000016</v>
      </c>
      <c r="V51" s="77">
        <f>INDEX(等级时间!$U$3:$AU$203,MATCH($P51,等级时间!$U$3:$U$203,0),MATCH(V$4,等级时间!$U$3:$AU$3,0))</f>
        <v>14.66</v>
      </c>
      <c r="W51" s="77">
        <f t="shared" si="6"/>
        <v>0.83999999999999986</v>
      </c>
      <c r="X51" s="77">
        <f t="array" ref="X51">INDEX($F$4:$F$104,MATCH(MAX(IF($J$5:$J$104&lt;=$P51,$J$5:$J$104)),$J$4:$J$104,0),0)*W51*IF($P51&gt;=$N$6,2,1)</f>
        <v>3987809.2799999993</v>
      </c>
      <c r="Y51" s="77">
        <f>SUM($X$5:$X51)</f>
        <v>28406055.535999998</v>
      </c>
    </row>
    <row r="52" spans="2:25" x14ac:dyDescent="0.15">
      <c r="B52" s="77">
        <v>48</v>
      </c>
      <c r="C52" s="77">
        <f t="array" ref="C52">MIN(IF(体力抽奖!$C$48:$C$60&gt;=$J52,体力抽奖!$J$48:$J$60))</f>
        <v>18</v>
      </c>
      <c r="D52" s="77">
        <f>VLOOKUP($C52,猫咪!$B:$E,4,0)</f>
        <v>1310.72</v>
      </c>
      <c r="E52" s="110">
        <f t="shared" si="1"/>
        <v>21300</v>
      </c>
      <c r="F52" s="77">
        <f t="shared" si="2"/>
        <v>27939636</v>
      </c>
      <c r="G52" s="83">
        <f t="shared" si="7"/>
        <v>250000000</v>
      </c>
      <c r="H52" s="77">
        <f>SUM($G$5:$G52)</f>
        <v>2161801200</v>
      </c>
      <c r="I52" s="77">
        <f t="array" ref="I52">MIN(IF(矿山!$S$5:$S$85&gt;=$H52,矿山!$P$5:$P$85))</f>
        <v>82.93</v>
      </c>
      <c r="J52" s="77">
        <f t="array" ref="J52">MIN(IF(矿山!$S$5:$S$85&gt;=$H52,矿山!$O$5:$O$85))</f>
        <v>82</v>
      </c>
      <c r="K52" s="77">
        <f t="array" ref="K52">MIN(IF(矿山!$X$5:$X$85&gt;=$H52,矿山!$U$5:$U$85))</f>
        <v>48.92</v>
      </c>
      <c r="L52" s="77">
        <f t="array" ref="L52">MIN(IF(矿山!$X$5:$X$85&gt;=$H52,矿山!$O$5:$O$85))</f>
        <v>89</v>
      </c>
      <c r="M52" s="80">
        <f t="shared" si="3"/>
        <v>27940000</v>
      </c>
      <c r="P52" s="77">
        <v>67</v>
      </c>
      <c r="Q52" s="77">
        <f>INDEX(等级时间!$U$3:$AU$203,MATCH($P52,等级时间!$U$3:$U$203,0),MATCH(Q$4,等级时间!$U$3:$AU$3,0))</f>
        <v>36.979999999999997</v>
      </c>
      <c r="R52" s="77">
        <f t="shared" si="5"/>
        <v>2.0899999999999963</v>
      </c>
      <c r="S52" s="77">
        <f t="array" ref="S52">INDEX($F$4:$F$104,MATCH(MAX(IF($J$5:$J$104&lt;=$P52,$J$5:$J$104)),$J$4:$J$104,0),0)*R52*IF($P52&gt;=$N$6,2,1)</f>
        <v>10197661.759999981</v>
      </c>
      <c r="T52" s="77">
        <f>SUM($S$5:$S52)</f>
        <v>77768785.855999991</v>
      </c>
      <c r="V52" s="77">
        <f>INDEX(等级时间!$U$3:$AU$203,MATCH($P52,等级时间!$U$3:$U$203,0),MATCH(V$4,等级时间!$U$3:$AU$3,0))</f>
        <v>15.54</v>
      </c>
      <c r="W52" s="77">
        <f t="shared" si="6"/>
        <v>0.87999999999999901</v>
      </c>
      <c r="X52" s="77">
        <f t="array" ref="X52">INDEX($F$4:$F$104,MATCH(MAX(IF($J$5:$J$104&lt;=$P52,$J$5:$J$104)),$J$4:$J$104,0),0)*W52*IF($P52&gt;=$N$6,2,1)</f>
        <v>4293752.3199999947</v>
      </c>
      <c r="Y52" s="77">
        <f>SUM($X$5:$X52)</f>
        <v>32699807.855999991</v>
      </c>
    </row>
    <row r="53" spans="2:25" x14ac:dyDescent="0.15">
      <c r="B53" s="77">
        <v>49</v>
      </c>
      <c r="C53" s="77">
        <f t="array" ref="C53">MIN(IF(体力抽奖!$C$48:$C$60&gt;=$J53,体力抽奖!$J$48:$J$60))</f>
        <v>18</v>
      </c>
      <c r="D53" s="77">
        <f>VLOOKUP($C53,猫咪!$B:$E,4,0)</f>
        <v>1310.72</v>
      </c>
      <c r="E53" s="110">
        <f t="shared" si="1"/>
        <v>21600</v>
      </c>
      <c r="F53" s="77">
        <f t="shared" si="2"/>
        <v>28333152</v>
      </c>
      <c r="G53" s="83">
        <f t="shared" si="7"/>
        <v>280000000</v>
      </c>
      <c r="H53" s="77">
        <f>SUM($G$5:$G53)</f>
        <v>2441801200</v>
      </c>
      <c r="I53" s="77">
        <f t="array" ref="I53">MIN(IF(矿山!$S$5:$S$85&gt;=$H53,矿山!$P$5:$P$85))</f>
        <v>87.17</v>
      </c>
      <c r="J53" s="77">
        <f t="array" ref="J53">MIN(IF(矿山!$S$5:$S$85&gt;=$H53,矿山!$O$5:$O$85))</f>
        <v>83</v>
      </c>
      <c r="K53" s="77">
        <f t="array" ref="K53">MIN(IF(矿山!$X$5:$X$85&gt;=$H53,矿山!$U$5:$U$85))</f>
        <v>51.26</v>
      </c>
      <c r="L53" s="77">
        <f t="array" ref="L53">MIN(IF(矿山!$X$5:$X$85&gt;=$H53,矿山!$O$5:$O$85))</f>
        <v>90</v>
      </c>
      <c r="M53" s="80">
        <f t="shared" si="3"/>
        <v>28334000</v>
      </c>
      <c r="P53" s="77">
        <v>68</v>
      </c>
      <c r="Q53" s="77">
        <f>INDEX(等级时间!$U$3:$AU$203,MATCH($P53,等级时间!$U$3:$U$203,0),MATCH(Q$4,等级时间!$U$3:$AU$3,0))</f>
        <v>39.17</v>
      </c>
      <c r="R53" s="77">
        <f t="shared" si="5"/>
        <v>2.1900000000000048</v>
      </c>
      <c r="S53" s="77">
        <f t="array" ref="S53">INDEX($F$4:$F$104,MATCH(MAX(IF($J$5:$J$104&lt;=$P53,$J$5:$J$104)),$J$4:$J$104,0),0)*R53*IF($P53&gt;=$N$6,2,1)</f>
        <v>10974387.840000024</v>
      </c>
      <c r="T53" s="77">
        <f>SUM($S$5:$S53)</f>
        <v>88743173.69600001</v>
      </c>
      <c r="V53" s="77">
        <f>INDEX(等级时间!$U$3:$AU$203,MATCH($P53,等级时间!$U$3:$U$203,0),MATCH(V$4,等级时间!$U$3:$AU$3,0))</f>
        <v>16.46</v>
      </c>
      <c r="W53" s="77">
        <f t="shared" si="6"/>
        <v>0.92000000000000171</v>
      </c>
      <c r="X53" s="77">
        <f t="array" ref="X53">INDEX($F$4:$F$104,MATCH(MAX(IF($J$5:$J$104&lt;=$P53,$J$5:$J$104)),$J$4:$J$104,0),0)*W53*IF($P53&gt;=$N$6,2,1)</f>
        <v>4610245.1200000085</v>
      </c>
      <c r="Y53" s="77">
        <f>SUM($X$5:$X53)</f>
        <v>37310052.975999996</v>
      </c>
    </row>
    <row r="54" spans="2:25" x14ac:dyDescent="0.15">
      <c r="B54" s="77">
        <v>50</v>
      </c>
      <c r="C54" s="77">
        <f t="array" ref="C54">MIN(IF(体力抽奖!$C$48:$C$60&gt;=$J54,体力抽奖!$J$48:$J$60))</f>
        <v>18</v>
      </c>
      <c r="D54" s="77">
        <f>VLOOKUP($C54,猫咪!$B:$E,4,0)</f>
        <v>1310.72</v>
      </c>
      <c r="E54" s="110">
        <f t="shared" si="1"/>
        <v>22000</v>
      </c>
      <c r="F54" s="77">
        <f t="shared" si="2"/>
        <v>28857840</v>
      </c>
      <c r="G54" s="83">
        <f t="shared" si="7"/>
        <v>310000000</v>
      </c>
      <c r="H54" s="77">
        <f>SUM($G$5:$G54)</f>
        <v>2751801200</v>
      </c>
      <c r="I54" s="77">
        <f t="array" ref="I54">MIN(IF(矿山!$S$5:$S$85&gt;=$H54,矿山!$P$5:$P$85))</f>
        <v>87.17</v>
      </c>
      <c r="J54" s="77">
        <f t="array" ref="J54">MIN(IF(矿山!$S$5:$S$85&gt;=$H54,矿山!$O$5:$O$85))</f>
        <v>83</v>
      </c>
      <c r="K54" s="77">
        <f t="array" ref="K54">MIN(IF(矿山!$X$5:$X$85&gt;=$H54,矿山!$U$5:$U$85))</f>
        <v>51.26</v>
      </c>
      <c r="L54" s="77">
        <f t="array" ref="L54">MIN(IF(矿山!$X$5:$X$85&gt;=$H54,矿山!$O$5:$O$85))</f>
        <v>90</v>
      </c>
      <c r="M54" s="80">
        <f t="shared" si="3"/>
        <v>28858000</v>
      </c>
      <c r="P54" s="77">
        <v>69</v>
      </c>
      <c r="Q54" s="77">
        <f>INDEX(等级时间!$U$3:$AU$203,MATCH($P54,等级时间!$U$3:$U$203,0),MATCH(Q$4,等级时间!$U$3:$AU$3,0))</f>
        <v>41.47</v>
      </c>
      <c r="R54" s="77">
        <f t="shared" si="5"/>
        <v>2.2999999999999972</v>
      </c>
      <c r="S54" s="77">
        <f t="array" ref="S54">INDEX($F$4:$F$104,MATCH(MAX(IF($J$5:$J$104&lt;=$P54,$J$5:$J$104)),$J$4:$J$104,0),0)*R54*IF($P54&gt;=$N$6,2,1)</f>
        <v>11525612.799999986</v>
      </c>
      <c r="T54" s="77">
        <f>SUM($S$5:$S54)</f>
        <v>100268786.49599999</v>
      </c>
      <c r="V54" s="77">
        <f>INDEX(等级时间!$U$3:$AU$203,MATCH($P54,等级时间!$U$3:$U$203,0),MATCH(V$4,等级时间!$U$3:$AU$3,0))</f>
        <v>17.420000000000002</v>
      </c>
      <c r="W54" s="77">
        <f t="shared" si="6"/>
        <v>0.96000000000000085</v>
      </c>
      <c r="X54" s="77">
        <f t="array" ref="X54">INDEX($F$4:$F$104,MATCH(MAX(IF($J$5:$J$104&lt;=$P54,$J$5:$J$104)),$J$4:$J$104,0),0)*W54*IF($P54&gt;=$N$6,2,1)</f>
        <v>4810690.5600000042</v>
      </c>
      <c r="Y54" s="77">
        <f>SUM($X$5:$X54)</f>
        <v>42120743.535999998</v>
      </c>
    </row>
    <row r="55" spans="2:25" x14ac:dyDescent="0.15">
      <c r="B55" s="77">
        <v>51</v>
      </c>
      <c r="C55" s="77">
        <f t="array" ref="C55">MIN(IF(体力抽奖!$C$48:$C$60&gt;=$J55,体力抽奖!$J$48:$J$60))</f>
        <v>18</v>
      </c>
      <c r="D55" s="77">
        <f>VLOOKUP($C55,猫咪!$B:$E,4,0)</f>
        <v>1310.72</v>
      </c>
      <c r="E55" s="110">
        <f t="shared" si="1"/>
        <v>22400</v>
      </c>
      <c r="F55" s="77">
        <f t="shared" si="2"/>
        <v>29382528</v>
      </c>
      <c r="G55" s="83">
        <f t="shared" si="7"/>
        <v>350000000</v>
      </c>
      <c r="H55" s="77">
        <f>SUM($G$5:$G55)</f>
        <v>3101801200</v>
      </c>
      <c r="I55" s="77">
        <f t="array" ref="I55">MIN(IF(矿山!$S$5:$S$85&gt;=$H55,矿山!$P$5:$P$85))</f>
        <v>91.58</v>
      </c>
      <c r="J55" s="77">
        <f t="array" ref="J55">MIN(IF(矿山!$S$5:$S$85&gt;=$H55,矿山!$O$5:$O$85))</f>
        <v>84</v>
      </c>
      <c r="K55" s="77">
        <f t="array" ref="K55">MIN(IF(矿山!$X$5:$X$85&gt;=$H55,矿山!$U$5:$U$85))</f>
        <v>51.26</v>
      </c>
      <c r="L55" s="77">
        <f t="array" ref="L55">MIN(IF(矿山!$X$5:$X$85&gt;=$H55,矿山!$O$5:$O$85))</f>
        <v>90</v>
      </c>
      <c r="M55" s="80">
        <f t="shared" si="3"/>
        <v>29383000</v>
      </c>
      <c r="P55" s="77">
        <v>70</v>
      </c>
      <c r="Q55" s="77">
        <f>INDEX(等级时间!$U$3:$AU$203,MATCH($P55,等级时间!$U$3:$U$203,0),MATCH(Q$4,等级时间!$U$3:$AU$3,0))</f>
        <v>43.88</v>
      </c>
      <c r="R55" s="77">
        <f t="shared" si="5"/>
        <v>2.4100000000000037</v>
      </c>
      <c r="S55" s="77">
        <f t="array" ref="S55">INDEX($F$4:$F$104,MATCH(MAX(IF($J$5:$J$104&lt;=$P55,$J$5:$J$104)),$J$4:$J$104,0),0)*R55*IF($P55&gt;=$N$6,2,1)</f>
        <v>49036655.600000076</v>
      </c>
      <c r="T55" s="77">
        <f>SUM($S$5:$S55)</f>
        <v>149305442.09600008</v>
      </c>
      <c r="V55" s="77">
        <f>INDEX(等级时间!$U$3:$AU$203,MATCH($P55,等级时间!$U$3:$U$203,0),MATCH(V$4,等级时间!$U$3:$AU$3,0))</f>
        <v>18.440000000000001</v>
      </c>
      <c r="W55" s="77">
        <f t="shared" si="6"/>
        <v>1.0199999999999996</v>
      </c>
      <c r="X55" s="77">
        <f t="array" ref="X55">INDEX($F$4:$F$104,MATCH(MAX(IF($J$5:$J$104&lt;=$P55,$J$5:$J$104)),$J$4:$J$104,0),0)*W55*IF($P55&gt;=$N$6,2,1)</f>
        <v>20754103.199999992</v>
      </c>
      <c r="Y55" s="77">
        <f>SUM($X$5:$X55)</f>
        <v>62874846.735999987</v>
      </c>
    </row>
    <row r="56" spans="2:25" x14ac:dyDescent="0.15">
      <c r="B56" s="77">
        <v>52</v>
      </c>
      <c r="C56" s="77">
        <f t="array" ref="C56">MIN(IF(体力抽奖!$C$48:$C$60&gt;=$J56,体力抽奖!$J$48:$J$60))</f>
        <v>18</v>
      </c>
      <c r="D56" s="77">
        <f>VLOOKUP($C56,猫咪!$B:$E,4,0)</f>
        <v>1310.72</v>
      </c>
      <c r="E56" s="110">
        <f t="shared" si="1"/>
        <v>22700</v>
      </c>
      <c r="F56" s="77">
        <f t="shared" si="2"/>
        <v>29776044</v>
      </c>
      <c r="G56" s="83">
        <f t="shared" si="7"/>
        <v>380000000</v>
      </c>
      <c r="H56" s="77">
        <f>SUM($G$5:$G56)</f>
        <v>3481801200</v>
      </c>
      <c r="I56" s="77">
        <f t="array" ref="I56">MIN(IF(矿山!$S$5:$S$85&gt;=$H56,矿山!$P$5:$P$85))</f>
        <v>96.17</v>
      </c>
      <c r="J56" s="77">
        <f t="array" ref="J56">MIN(IF(矿山!$S$5:$S$85&gt;=$H56,矿山!$O$5:$O$85))</f>
        <v>85</v>
      </c>
      <c r="K56" s="77">
        <f t="array" ref="K56">MIN(IF(矿山!$X$5:$X$85&gt;=$H56,矿山!$U$5:$U$85))</f>
        <v>53.69</v>
      </c>
      <c r="L56" s="77">
        <f t="array" ref="L56">MIN(IF(矿山!$X$5:$X$85&gt;=$H56,矿山!$O$5:$O$85))</f>
        <v>91</v>
      </c>
      <c r="M56" s="80">
        <f t="shared" si="3"/>
        <v>29777000</v>
      </c>
      <c r="P56" s="77">
        <v>71</v>
      </c>
      <c r="Q56" s="77">
        <f>INDEX(等级时间!$U$3:$AU$203,MATCH($P56,等级时间!$U$3:$U$203,0),MATCH(Q$4,等级时间!$U$3:$AU$3,0))</f>
        <v>46.4</v>
      </c>
      <c r="R56" s="77">
        <f t="shared" si="5"/>
        <v>2.519999999999996</v>
      </c>
      <c r="S56" s="77">
        <f t="array" ref="S56">INDEX($F$4:$F$104,MATCH(MAX(IF($J$5:$J$104&lt;=$P56,$J$5:$J$104)),$J$4:$J$104,0),0)*R56*IF($P56&gt;=$N$6,2,1)</f>
        <v>54913703.03999991</v>
      </c>
      <c r="T56" s="77">
        <f>SUM($S$5:$S56)</f>
        <v>204219145.13599998</v>
      </c>
      <c r="V56" s="77">
        <f>INDEX(等级时间!$U$3:$AU$203,MATCH($P56,等级时间!$U$3:$U$203,0),MATCH(V$4,等级时间!$U$3:$AU$3,0))</f>
        <v>19.5</v>
      </c>
      <c r="W56" s="77">
        <f t="shared" si="6"/>
        <v>1.0599999999999987</v>
      </c>
      <c r="X56" s="77">
        <f t="array" ref="X56">INDEX($F$4:$F$104,MATCH(MAX(IF($J$5:$J$104&lt;=$P56,$J$5:$J$104)),$J$4:$J$104,0),0)*W56*IF($P56&gt;=$N$6,2,1)</f>
        <v>23098621.119999971</v>
      </c>
      <c r="Y56" s="77">
        <f>SUM($X$5:$X56)</f>
        <v>85973467.855999961</v>
      </c>
    </row>
    <row r="57" spans="2:25" x14ac:dyDescent="0.15">
      <c r="B57" s="77">
        <v>53</v>
      </c>
      <c r="C57" s="77">
        <f t="array" ref="C57">MIN(IF(体力抽奖!$C$48:$C$60&gt;=$J57,体力抽奖!$J$48:$J$60))</f>
        <v>18</v>
      </c>
      <c r="D57" s="77">
        <f>VLOOKUP($C57,猫咪!$B:$E,4,0)</f>
        <v>1310.72</v>
      </c>
      <c r="E57" s="110">
        <f t="shared" si="1"/>
        <v>23100</v>
      </c>
      <c r="F57" s="77">
        <f t="shared" si="2"/>
        <v>30300732</v>
      </c>
      <c r="G57" s="83">
        <f t="shared" si="7"/>
        <v>420000000</v>
      </c>
      <c r="H57" s="77">
        <f>SUM($G$5:$G57)</f>
        <v>3901801200</v>
      </c>
      <c r="I57" s="77">
        <f t="array" ref="I57">MIN(IF(矿山!$S$5:$S$85&gt;=$H57,矿山!$P$5:$P$85))</f>
        <v>100.95</v>
      </c>
      <c r="J57" s="77">
        <f t="array" ref="J57">MIN(IF(矿山!$S$5:$S$85&gt;=$H57,矿山!$O$5:$O$85))</f>
        <v>86</v>
      </c>
      <c r="K57" s="77">
        <f t="array" ref="K57">MIN(IF(矿山!$X$5:$X$85&gt;=$H57,矿山!$U$5:$U$85))</f>
        <v>53.69</v>
      </c>
      <c r="L57" s="77">
        <f t="array" ref="L57">MIN(IF(矿山!$X$5:$X$85&gt;=$H57,矿山!$O$5:$O$85))</f>
        <v>91</v>
      </c>
      <c r="M57" s="80">
        <f t="shared" si="3"/>
        <v>30301000</v>
      </c>
      <c r="P57" s="77">
        <v>72</v>
      </c>
      <c r="Q57" s="77">
        <f>INDEX(等级时间!$U$3:$AU$203,MATCH($P57,等级时间!$U$3:$U$203,0),MATCH(Q$4,等级时间!$U$3:$AU$3,0))</f>
        <v>49.05</v>
      </c>
      <c r="R57" s="77">
        <f t="shared" si="5"/>
        <v>2.6499999999999986</v>
      </c>
      <c r="S57" s="77">
        <f t="array" ref="S57">INDEX($F$4:$F$104,MATCH(MAX(IF($J$5:$J$104&lt;=$P57,$J$5:$J$104)),$J$4:$J$104,0),0)*R57*IF($P57&gt;=$N$6,2,1)</f>
        <v>59138035.99999997</v>
      </c>
      <c r="T57" s="77">
        <f>SUM($S$5:$S57)</f>
        <v>263357181.13599995</v>
      </c>
      <c r="V57" s="77">
        <f>INDEX(等级时间!$U$3:$AU$203,MATCH($P57,等级时间!$U$3:$U$203,0),MATCH(V$4,等级时间!$U$3:$AU$3,0))</f>
        <v>20.61</v>
      </c>
      <c r="W57" s="77">
        <f t="shared" si="6"/>
        <v>1.1099999999999994</v>
      </c>
      <c r="X57" s="77">
        <f t="array" ref="X57">INDEX($F$4:$F$104,MATCH(MAX(IF($J$5:$J$104&lt;=$P57,$J$5:$J$104)),$J$4:$J$104,0),0)*W57*IF($P57&gt;=$N$6,2,1)</f>
        <v>24771026.399999987</v>
      </c>
      <c r="Y57" s="77">
        <f>SUM($X$5:$X57)</f>
        <v>110744494.25599995</v>
      </c>
    </row>
    <row r="58" spans="2:25" x14ac:dyDescent="0.15">
      <c r="B58" s="77">
        <v>54</v>
      </c>
      <c r="C58" s="77">
        <f t="array" ref="C58">MIN(IF(体力抽奖!$C$48:$C$60&gt;=$J58,体力抽奖!$J$48:$J$60))</f>
        <v>18</v>
      </c>
      <c r="D58" s="77">
        <f>VLOOKUP($C58,猫咪!$B:$E,4,0)</f>
        <v>1310.72</v>
      </c>
      <c r="E58" s="110">
        <f t="shared" si="1"/>
        <v>23400</v>
      </c>
      <c r="F58" s="77">
        <f t="shared" si="2"/>
        <v>30694248</v>
      </c>
      <c r="G58" s="83">
        <f t="shared" si="7"/>
        <v>460000000</v>
      </c>
      <c r="H58" s="77">
        <f>SUM($G$5:$G58)</f>
        <v>4361801200</v>
      </c>
      <c r="I58" s="77">
        <f t="array" ref="I58">MIN(IF(矿山!$S$5:$S$85&gt;=$H58,矿山!$P$5:$P$85))</f>
        <v>105.91</v>
      </c>
      <c r="J58" s="77">
        <f t="array" ref="J58">MIN(IF(矿山!$S$5:$S$85&gt;=$H58,矿山!$O$5:$O$85))</f>
        <v>87</v>
      </c>
      <c r="K58" s="77">
        <f t="array" ref="K58">MIN(IF(矿山!$X$5:$X$85&gt;=$H58,矿山!$U$5:$U$85))</f>
        <v>56.21</v>
      </c>
      <c r="L58" s="77">
        <f t="array" ref="L58">MIN(IF(矿山!$X$5:$X$85&gt;=$H58,矿山!$O$5:$O$85))</f>
        <v>92</v>
      </c>
      <c r="M58" s="80">
        <f t="shared" si="3"/>
        <v>30695000</v>
      </c>
      <c r="P58" s="77">
        <v>73</v>
      </c>
      <c r="Q58" s="77">
        <f>INDEX(等级时间!$U$3:$AU$203,MATCH($P58,等级时间!$U$3:$U$203,0),MATCH(Q$4,等级时间!$U$3:$AU$3,0))</f>
        <v>51.81</v>
      </c>
      <c r="R58" s="77">
        <f t="shared" si="5"/>
        <v>2.7600000000000051</v>
      </c>
      <c r="S58" s="77">
        <f t="array" ref="S58">INDEX($F$4:$F$104,MATCH(MAX(IF($J$5:$J$104&lt;=$P58,$J$5:$J$104)),$J$4:$J$104,0),0)*R58*IF($P58&gt;=$N$6,2,1)</f>
        <v>64128997.440000117</v>
      </c>
      <c r="T58" s="77">
        <f>SUM($S$5:$S58)</f>
        <v>327486178.57600009</v>
      </c>
      <c r="V58" s="77">
        <f>INDEX(等级时间!$U$3:$AU$203,MATCH($P58,等级时间!$U$3:$U$203,0),MATCH(V$4,等级时间!$U$3:$AU$3,0))</f>
        <v>21.77</v>
      </c>
      <c r="W58" s="77">
        <f t="shared" si="6"/>
        <v>1.1600000000000001</v>
      </c>
      <c r="X58" s="77">
        <f t="array" ref="X58">INDEX($F$4:$F$104,MATCH(MAX(IF($J$5:$J$104&lt;=$P58,$J$5:$J$104)),$J$4:$J$104,0),0)*W58*IF($P58&gt;=$N$6,2,1)</f>
        <v>26952767.040000003</v>
      </c>
      <c r="Y58" s="77">
        <f>SUM($X$5:$X58)</f>
        <v>137697261.29599994</v>
      </c>
    </row>
    <row r="59" spans="2:25" x14ac:dyDescent="0.15">
      <c r="B59" s="77">
        <v>55</v>
      </c>
      <c r="C59" s="77">
        <f t="array" ref="C59">MIN(IF(体力抽奖!$C$48:$C$60&gt;=$J59,体力抽奖!$J$48:$J$60))</f>
        <v>18</v>
      </c>
      <c r="D59" s="77">
        <f>VLOOKUP($C59,猫咪!$B:$E,4,0)</f>
        <v>1310.72</v>
      </c>
      <c r="E59" s="110">
        <f t="shared" si="1"/>
        <v>23800</v>
      </c>
      <c r="F59" s="77">
        <f t="shared" si="2"/>
        <v>31218936</v>
      </c>
      <c r="G59" s="83">
        <f t="shared" si="7"/>
        <v>500000000</v>
      </c>
      <c r="H59" s="77">
        <f>SUM($G$5:$G59)</f>
        <v>4861801200</v>
      </c>
      <c r="I59" s="77">
        <f t="array" ref="I59">MIN(IF(矿山!$S$5:$S$85&gt;=$H59,矿山!$P$5:$P$85))</f>
        <v>111.08</v>
      </c>
      <c r="J59" s="77">
        <f t="array" ref="J59">MIN(IF(矿山!$S$5:$S$85&gt;=$H59,矿山!$O$5:$O$85))</f>
        <v>88</v>
      </c>
      <c r="K59" s="77">
        <f t="array" ref="K59">MIN(IF(矿山!$X$5:$X$85&gt;=$H59,矿山!$U$5:$U$85))</f>
        <v>56.21</v>
      </c>
      <c r="L59" s="77">
        <f t="array" ref="L59">MIN(IF(矿山!$X$5:$X$85&gt;=$H59,矿山!$O$5:$O$85))</f>
        <v>92</v>
      </c>
      <c r="M59" s="80">
        <f t="shared" si="3"/>
        <v>31219000</v>
      </c>
      <c r="P59" s="77">
        <v>74</v>
      </c>
      <c r="Q59" s="77">
        <f>INDEX(等级时间!$U$3:$AU$203,MATCH($P59,等级时间!$U$3:$U$203,0),MATCH(Q$4,等级时间!$U$3:$AU$3,0))</f>
        <v>54.7</v>
      </c>
      <c r="R59" s="77">
        <f t="shared" si="5"/>
        <v>2.8900000000000006</v>
      </c>
      <c r="S59" s="77">
        <f t="array" ref="S59">INDEX($F$4:$F$104,MATCH(MAX(IF($J$5:$J$104&lt;=$P59,$J$5:$J$104)),$J$4:$J$104,0),0)*R59*IF($P59&gt;=$N$6,2,1)</f>
        <v>68287694.400000021</v>
      </c>
      <c r="T59" s="77">
        <f>SUM($S$5:$S59)</f>
        <v>395773872.97600013</v>
      </c>
      <c r="V59" s="77">
        <f>INDEX(等级时间!$U$3:$AU$203,MATCH($P59,等级时间!$U$3:$U$203,0),MATCH(V$4,等级时间!$U$3:$AU$3,0))</f>
        <v>22.98</v>
      </c>
      <c r="W59" s="77">
        <f t="shared" si="6"/>
        <v>1.2100000000000009</v>
      </c>
      <c r="X59" s="77">
        <f t="array" ref="X59">INDEX($F$4:$F$104,MATCH(MAX(IF($J$5:$J$104&lt;=$P59,$J$5:$J$104)),$J$4:$J$104,0),0)*W59*IF($P59&gt;=$N$6,2,1)</f>
        <v>28591041.60000002</v>
      </c>
      <c r="Y59" s="77">
        <f>SUM($X$5:$X59)</f>
        <v>166288302.89599997</v>
      </c>
    </row>
    <row r="60" spans="2:25" x14ac:dyDescent="0.15">
      <c r="B60" s="77">
        <v>56</v>
      </c>
      <c r="C60" s="77">
        <f t="array" ref="C60">MIN(IF(体力抽奖!$C$48:$C$60&gt;=$J60,体力抽奖!$J$48:$J$60))</f>
        <v>18</v>
      </c>
      <c r="D60" s="77">
        <f>VLOOKUP($C60,猫咪!$B:$E,4,0)</f>
        <v>1310.72</v>
      </c>
      <c r="E60" s="110">
        <f t="shared" si="1"/>
        <v>24200</v>
      </c>
      <c r="F60" s="77">
        <f t="shared" si="2"/>
        <v>31743624</v>
      </c>
      <c r="G60" s="83">
        <f t="shared" si="7"/>
        <v>550000000</v>
      </c>
      <c r="H60" s="77">
        <f>SUM($G$5:$G60)</f>
        <v>5411801200</v>
      </c>
      <c r="I60" s="77">
        <f t="array" ref="I60">MIN(IF(矿山!$S$5:$S$85&gt;=$H60,矿山!$P$5:$P$85))</f>
        <v>116.44</v>
      </c>
      <c r="J60" s="77">
        <f t="array" ref="J60">MIN(IF(矿山!$S$5:$S$85&gt;=$H60,矿山!$O$5:$O$85))</f>
        <v>89</v>
      </c>
      <c r="K60" s="77">
        <f t="array" ref="K60">MIN(IF(矿山!$X$5:$X$85&gt;=$H60,矿山!$U$5:$U$85))</f>
        <v>58.83</v>
      </c>
      <c r="L60" s="77">
        <f t="array" ref="L60">MIN(IF(矿山!$X$5:$X$85&gt;=$H60,矿山!$O$5:$O$85))</f>
        <v>93</v>
      </c>
      <c r="M60" s="80">
        <f t="shared" si="3"/>
        <v>31744000</v>
      </c>
      <c r="P60" s="77">
        <v>75</v>
      </c>
      <c r="Q60" s="77">
        <f>INDEX(等级时间!$U$3:$AU$203,MATCH($P60,等级时间!$U$3:$U$203,0),MATCH(Q$4,等级时间!$U$3:$AU$3,0))</f>
        <v>57.73</v>
      </c>
      <c r="R60" s="77">
        <f t="shared" si="5"/>
        <v>3.029999999999994</v>
      </c>
      <c r="S60" s="77">
        <f t="array" ref="S60">INDEX($F$4:$F$104,MATCH(MAX(IF($J$5:$J$104&lt;=$P60,$J$5:$J$104)),$J$4:$J$104,0),0)*R60*IF($P60&gt;=$N$6,2,1)</f>
        <v>73186765.439999849</v>
      </c>
      <c r="T60" s="77">
        <f>SUM($S$5:$S60)</f>
        <v>468960638.41600001</v>
      </c>
      <c r="V60" s="77">
        <f>INDEX(等级时间!$U$3:$AU$203,MATCH($P60,等级时间!$U$3:$U$203,0),MATCH(V$4,等级时间!$U$3:$AU$3,0))</f>
        <v>24.25</v>
      </c>
      <c r="W60" s="77">
        <f t="shared" si="6"/>
        <v>1.2699999999999996</v>
      </c>
      <c r="X60" s="77">
        <f t="array" ref="X60">INDEX($F$4:$F$104,MATCH(MAX(IF($J$5:$J$104&lt;=$P60,$J$5:$J$104)),$J$4:$J$104,0),0)*W60*IF($P60&gt;=$N$6,2,1)</f>
        <v>30675640.95999999</v>
      </c>
      <c r="Y60" s="77">
        <f>SUM($X$5:$X60)</f>
        <v>196963943.85599995</v>
      </c>
    </row>
    <row r="61" spans="2:25" x14ac:dyDescent="0.15">
      <c r="B61" s="77">
        <v>57</v>
      </c>
      <c r="C61" s="77">
        <f t="array" ref="C61">MIN(IF(体力抽奖!$C$48:$C$60&gt;=$J61,体力抽奖!$J$48:$J$60))</f>
        <v>20</v>
      </c>
      <c r="D61" s="77">
        <f>VLOOKUP($C61,猫咪!$B:$E,4,0)</f>
        <v>5242.88</v>
      </c>
      <c r="E61" s="110">
        <f t="shared" si="1"/>
        <v>24500</v>
      </c>
      <c r="F61" s="77">
        <f t="shared" si="2"/>
        <v>128475060</v>
      </c>
      <c r="G61" s="83">
        <f t="shared" si="7"/>
        <v>600000000</v>
      </c>
      <c r="H61" s="77">
        <f>SUM($G$5:$G61)</f>
        <v>6011801200</v>
      </c>
      <c r="I61" s="77">
        <f t="array" ref="I61">MIN(IF(矿山!$S$5:$S$85&gt;=$H61,矿山!$P$5:$P$85))</f>
        <v>122.01</v>
      </c>
      <c r="J61" s="77">
        <f t="array" ref="J61">MIN(IF(矿山!$S$5:$S$85&gt;=$H61,矿山!$O$5:$O$85))</f>
        <v>90</v>
      </c>
      <c r="K61" s="77">
        <f t="array" ref="K61">MIN(IF(矿山!$X$5:$X$85&gt;=$H61,矿山!$U$5:$U$85))</f>
        <v>58.83</v>
      </c>
      <c r="L61" s="77">
        <f t="array" ref="L61">MIN(IF(矿山!$X$5:$X$85&gt;=$H61,矿山!$O$5:$O$85))</f>
        <v>93</v>
      </c>
      <c r="M61" s="80">
        <f t="shared" si="3"/>
        <v>128476000</v>
      </c>
      <c r="P61" s="77">
        <v>76</v>
      </c>
      <c r="Q61" s="77">
        <f>INDEX(等级时间!$U$3:$AU$203,MATCH($P61,等级时间!$U$3:$U$203,0),MATCH(Q$4,等级时间!$U$3:$AU$3,0))</f>
        <v>60.89</v>
      </c>
      <c r="R61" s="77">
        <f t="shared" si="5"/>
        <v>3.1600000000000037</v>
      </c>
      <c r="S61" s="77">
        <f t="array" ref="S61">INDEX($F$4:$F$104,MATCH(MAX(IF($J$5:$J$104&lt;=$P61,$J$5:$J$104)),$J$4:$J$104,0),0)*R61*IF($P61&gt;=$N$6,2,1)</f>
        <v>77986069.760000095</v>
      </c>
      <c r="T61" s="77">
        <f>SUM($S$5:$S61)</f>
        <v>546946708.17600012</v>
      </c>
      <c r="V61" s="77">
        <f>INDEX(等级时间!$U$3:$AU$203,MATCH($P61,等级时间!$U$3:$U$203,0),MATCH(V$4,等级时间!$U$3:$AU$3,0))</f>
        <v>25.58</v>
      </c>
      <c r="W61" s="77">
        <f t="shared" si="6"/>
        <v>1.3299999999999983</v>
      </c>
      <c r="X61" s="77">
        <f t="array" ref="X61">INDEX($F$4:$F$104,MATCH(MAX(IF($J$5:$J$104&lt;=$P61,$J$5:$J$104)),$J$4:$J$104,0),0)*W61*IF($P61&gt;=$N$6,2,1)</f>
        <v>32823250.879999958</v>
      </c>
      <c r="Y61" s="77">
        <f>SUM($X$5:$X61)</f>
        <v>229787194.73599991</v>
      </c>
    </row>
    <row r="62" spans="2:25" x14ac:dyDescent="0.15">
      <c r="B62" s="77">
        <v>58</v>
      </c>
      <c r="C62" s="77">
        <f t="array" ref="C62">MIN(IF(体力抽奖!$C$48:$C$60&gt;=$J62,体力抽奖!$J$48:$J$60))</f>
        <v>20</v>
      </c>
      <c r="D62" s="77">
        <f>VLOOKUP($C62,猫咪!$B:$E,4,0)</f>
        <v>5242.88</v>
      </c>
      <c r="E62" s="110">
        <f t="shared" si="1"/>
        <v>24900</v>
      </c>
      <c r="F62" s="77">
        <f t="shared" si="2"/>
        <v>130572612</v>
      </c>
      <c r="G62" s="83">
        <f t="shared" si="7"/>
        <v>660000000</v>
      </c>
      <c r="H62" s="77">
        <f>SUM($G$5:$G62)</f>
        <v>6671801200</v>
      </c>
      <c r="I62" s="77">
        <f t="array" ref="I62">MIN(IF(矿山!$S$5:$S$85&gt;=$H62,矿山!$P$5:$P$85))</f>
        <v>122.01</v>
      </c>
      <c r="J62" s="77">
        <f t="array" ref="J62">MIN(IF(矿山!$S$5:$S$85&gt;=$H62,矿山!$O$5:$O$85))</f>
        <v>90</v>
      </c>
      <c r="K62" s="77">
        <f t="array" ref="K62">MIN(IF(矿山!$X$5:$X$85&gt;=$H62,矿山!$U$5:$U$85))</f>
        <v>61.54</v>
      </c>
      <c r="L62" s="77">
        <f t="array" ref="L62">MIN(IF(矿山!$X$5:$X$85&gt;=$H62,矿山!$O$5:$O$85))</f>
        <v>94</v>
      </c>
      <c r="M62" s="80">
        <f t="shared" si="3"/>
        <v>130573000</v>
      </c>
      <c r="P62" s="77">
        <v>77</v>
      </c>
      <c r="Q62" s="77">
        <f>INDEX(等级时间!$U$3:$AU$203,MATCH($P62,等级时间!$U$3:$U$203,0),MATCH(Q$4,等级时间!$U$3:$AU$3,0))</f>
        <v>64.180000000000007</v>
      </c>
      <c r="R62" s="77">
        <f t="shared" si="5"/>
        <v>3.2900000000000063</v>
      </c>
      <c r="S62" s="77">
        <f t="array" ref="S62">INDEX($F$4:$F$104,MATCH(MAX(IF($J$5:$J$104&lt;=$P62,$J$5:$J$104)),$J$4:$J$104,0),0)*R62*IF($P62&gt;=$N$6,2,1)</f>
        <v>82490012.080000162</v>
      </c>
      <c r="T62" s="77">
        <f>SUM($S$5:$S62)</f>
        <v>629436720.25600028</v>
      </c>
      <c r="V62" s="77">
        <f>INDEX(等级时间!$U$3:$AU$203,MATCH($P62,等级时间!$U$3:$U$203,0),MATCH(V$4,等级时间!$U$3:$AU$3,0))</f>
        <v>26.96</v>
      </c>
      <c r="W62" s="77">
        <f t="shared" si="6"/>
        <v>1.3800000000000026</v>
      </c>
      <c r="X62" s="77">
        <f t="array" ref="X62">INDEX($F$4:$F$104,MATCH(MAX(IF($J$5:$J$104&lt;=$P62,$J$5:$J$104)),$J$4:$J$104,0),0)*W62*IF($P62&gt;=$N$6,2,1)</f>
        <v>34600673.760000065</v>
      </c>
      <c r="Y62" s="77">
        <f>SUM($X$5:$X62)</f>
        <v>264387868.49599999</v>
      </c>
    </row>
    <row r="63" spans="2:25" x14ac:dyDescent="0.15">
      <c r="B63" s="77">
        <v>59</v>
      </c>
      <c r="C63" s="77">
        <f t="array" ref="C63">MIN(IF(体力抽奖!$C$48:$C$60&gt;=$J63,体力抽奖!$J$48:$J$60))</f>
        <v>20</v>
      </c>
      <c r="D63" s="77">
        <f>VLOOKUP($C63,猫咪!$B:$E,4,0)</f>
        <v>5242.88</v>
      </c>
      <c r="E63" s="110">
        <f t="shared" si="1"/>
        <v>25200</v>
      </c>
      <c r="F63" s="77">
        <f t="shared" si="2"/>
        <v>132145776</v>
      </c>
      <c r="G63" s="83">
        <f t="shared" si="7"/>
        <v>710000000</v>
      </c>
      <c r="H63" s="77">
        <f>SUM($G$5:$G63)</f>
        <v>7381801200</v>
      </c>
      <c r="I63" s="77">
        <f t="array" ref="I63">MIN(IF(矿山!$S$5:$S$85&gt;=$H63,矿山!$P$5:$P$85))</f>
        <v>122.01</v>
      </c>
      <c r="J63" s="77">
        <f t="array" ref="J63">MIN(IF(矿山!$S$5:$S$85&gt;=$H63,矿山!$O$5:$O$85))</f>
        <v>90</v>
      </c>
      <c r="K63" s="77">
        <f t="array" ref="K63">MIN(IF(矿山!$X$5:$X$85&gt;=$H63,矿山!$U$5:$U$85))</f>
        <v>64.36</v>
      </c>
      <c r="L63" s="77">
        <f t="array" ref="L63">MIN(IF(矿山!$X$5:$X$85&gt;=$H63,矿山!$O$5:$O$85))</f>
        <v>95</v>
      </c>
      <c r="M63" s="80">
        <f t="shared" si="3"/>
        <v>132146000</v>
      </c>
      <c r="P63" s="77">
        <v>78</v>
      </c>
      <c r="Q63" s="77">
        <f>INDEX(等级时间!$U$3:$AU$203,MATCH($P63,等级时间!$U$3:$U$203,0),MATCH(Q$4,等级时间!$U$3:$AU$3,0))</f>
        <v>67.63</v>
      </c>
      <c r="R63" s="77">
        <f t="shared" si="5"/>
        <v>3.4499999999999886</v>
      </c>
      <c r="S63" s="77">
        <f t="array" ref="S63">INDEX($F$4:$F$104,MATCH(MAX(IF($J$5:$J$104&lt;=$P63,$J$5:$J$104)),$J$4:$J$104,0),0)*R63*IF($P63&gt;=$N$6,2,1)</f>
        <v>88313237.999999702</v>
      </c>
      <c r="T63" s="77">
        <f>SUM($S$5:$S63)</f>
        <v>717749958.25600004</v>
      </c>
      <c r="V63" s="77">
        <f>INDEX(等级时间!$U$3:$AU$203,MATCH($P63,等级时间!$U$3:$U$203,0),MATCH(V$4,等级时间!$U$3:$AU$3,0))</f>
        <v>28.41</v>
      </c>
      <c r="W63" s="77">
        <f t="shared" si="6"/>
        <v>1.4499999999999993</v>
      </c>
      <c r="X63" s="77">
        <f t="array" ref="X63">INDEX($F$4:$F$104,MATCH(MAX(IF($J$5:$J$104&lt;=$P63,$J$5:$J$104)),$J$4:$J$104,0),0)*W63*IF($P63&gt;=$N$6,2,1)</f>
        <v>37117157.999999985</v>
      </c>
      <c r="Y63" s="77">
        <f>SUM($X$5:$X63)</f>
        <v>301505026.49599999</v>
      </c>
    </row>
    <row r="64" spans="2:25" x14ac:dyDescent="0.15">
      <c r="B64" s="77">
        <v>60</v>
      </c>
      <c r="C64" s="77">
        <f t="array" ref="C64">MIN(IF(体力抽奖!$C$48:$C$60&gt;=$J64,体力抽奖!$J$48:$J$60))</f>
        <v>20</v>
      </c>
      <c r="D64" s="77">
        <f>VLOOKUP($C64,猫咪!$B:$E,4,0)</f>
        <v>5242.88</v>
      </c>
      <c r="E64" s="110">
        <f t="shared" si="1"/>
        <v>25600</v>
      </c>
      <c r="F64" s="77">
        <f t="shared" si="2"/>
        <v>134243328</v>
      </c>
      <c r="G64" s="83">
        <f t="shared" si="7"/>
        <v>780000000</v>
      </c>
      <c r="H64" s="77">
        <f>SUM($G$5:$G64)</f>
        <v>8161801200</v>
      </c>
      <c r="I64" s="77">
        <f t="array" ref="I64">MIN(IF(矿山!$S$5:$S$85&gt;=$H64,矿山!$P$5:$P$85))</f>
        <v>127.79</v>
      </c>
      <c r="J64" s="77">
        <f t="array" ref="J64">MIN(IF(矿山!$S$5:$S$85&gt;=$H64,矿山!$O$5:$O$85))</f>
        <v>91</v>
      </c>
      <c r="K64" s="77">
        <f t="array" ref="K64">MIN(IF(矿山!$X$5:$X$85&gt;=$H64,矿山!$U$5:$U$85))</f>
        <v>64.36</v>
      </c>
      <c r="L64" s="77">
        <f t="array" ref="L64">MIN(IF(矿山!$X$5:$X$85&gt;=$H64,矿山!$O$5:$O$85))</f>
        <v>95</v>
      </c>
      <c r="M64" s="80">
        <f t="shared" si="3"/>
        <v>134244000</v>
      </c>
      <c r="P64" s="77">
        <v>79</v>
      </c>
      <c r="Q64" s="77">
        <f>INDEX(等级时间!$U$3:$AU$203,MATCH($P64,等级时间!$U$3:$U$203,0),MATCH(Q$4,等级时间!$U$3:$AU$3,0))</f>
        <v>71.22</v>
      </c>
      <c r="R64" s="77">
        <f t="shared" si="5"/>
        <v>3.5900000000000034</v>
      </c>
      <c r="S64" s="77">
        <f t="array" ref="S64">INDEX($F$4:$F$104,MATCH(MAX(IF($J$5:$J$104&lt;=$P64,$J$5:$J$104)),$J$4:$J$104,0),0)*R64*IF($P64&gt;=$N$6,2,1)</f>
        <v>93310763.040000096</v>
      </c>
      <c r="T64" s="77">
        <f>SUM($S$5:$S64)</f>
        <v>811060721.29600012</v>
      </c>
      <c r="V64" s="77">
        <f>INDEX(等级时间!$U$3:$AU$203,MATCH($P64,等级时间!$U$3:$U$203,0),MATCH(V$4,等级时间!$U$3:$AU$3,0))</f>
        <v>29.92</v>
      </c>
      <c r="W64" s="77">
        <f t="shared" si="6"/>
        <v>1.5100000000000016</v>
      </c>
      <c r="X64" s="77">
        <f t="array" ref="X64">INDEX($F$4:$F$104,MATCH(MAX(IF($J$5:$J$104&lt;=$P64,$J$5:$J$104)),$J$4:$J$104,0),0)*W64*IF($P64&gt;=$N$6,2,1)</f>
        <v>39247702.56000004</v>
      </c>
      <c r="Y64" s="77">
        <f>SUM($X$5:$X64)</f>
        <v>340752729.05600005</v>
      </c>
    </row>
    <row r="65" spans="2:25" x14ac:dyDescent="0.15">
      <c r="B65" s="77">
        <v>61</v>
      </c>
      <c r="C65" s="77">
        <f t="array" ref="C65">MIN(IF(体力抽奖!$C$48:$C$60&gt;=$J65,体力抽奖!$J$48:$J$60))</f>
        <v>20</v>
      </c>
      <c r="D65" s="77">
        <f>VLOOKUP($C65,猫咪!$B:$E,4,0)</f>
        <v>5242.88</v>
      </c>
      <c r="E65" s="110">
        <f t="shared" si="1"/>
        <v>26000</v>
      </c>
      <c r="F65" s="77">
        <f t="shared" si="2"/>
        <v>136340880</v>
      </c>
      <c r="G65" s="83">
        <f t="shared" si="7"/>
        <v>840000000</v>
      </c>
      <c r="H65" s="77">
        <f>SUM($G$5:$G65)</f>
        <v>9001801200</v>
      </c>
      <c r="I65" s="77">
        <f t="array" ref="I65">MIN(IF(矿山!$S$5:$S$85&gt;=$H65,矿山!$P$5:$P$85))</f>
        <v>127.79</v>
      </c>
      <c r="J65" s="77">
        <f t="array" ref="J65">MIN(IF(矿山!$S$5:$S$85&gt;=$H65,矿山!$O$5:$O$85))</f>
        <v>91</v>
      </c>
      <c r="K65" s="77">
        <f t="array" ref="K65">MIN(IF(矿山!$X$5:$X$85&gt;=$H65,矿山!$U$5:$U$85))</f>
        <v>67.27</v>
      </c>
      <c r="L65" s="77">
        <f t="array" ref="L65">MIN(IF(矿山!$X$5:$X$85&gt;=$H65,矿山!$O$5:$O$85))</f>
        <v>96</v>
      </c>
      <c r="M65" s="80">
        <f t="shared" si="3"/>
        <v>136341000</v>
      </c>
      <c r="P65" s="77">
        <v>80</v>
      </c>
      <c r="Q65" s="77">
        <f>INDEX(等级时间!$U$3:$AU$203,MATCH($P65,等级时间!$U$3:$U$203,0),MATCH(Q$4,等级时间!$U$3:$AU$3,0))</f>
        <v>74.959999999999994</v>
      </c>
      <c r="R65" s="77">
        <f t="shared" si="5"/>
        <v>3.7399999999999949</v>
      </c>
      <c r="S65" s="77">
        <f t="array" ref="S65">INDEX($F$4:$F$104,MATCH(MAX(IF($J$5:$J$104&lt;=$P65,$J$5:$J$104)),$J$4:$J$104,0),0)*R65*IF($P65&gt;=$N$6,2,1)</f>
        <v>198195645.11999974</v>
      </c>
      <c r="T65" s="77">
        <f>SUM($S$5:$S65)</f>
        <v>1009256366.4159999</v>
      </c>
      <c r="V65" s="77">
        <f>INDEX(等级时间!$U$3:$AU$203,MATCH($P65,等级时间!$U$3:$U$203,0),MATCH(V$4,等级时间!$U$3:$AU$3,0))</f>
        <v>31.49</v>
      </c>
      <c r="W65" s="77">
        <f t="shared" si="6"/>
        <v>1.5699999999999967</v>
      </c>
      <c r="X65" s="77">
        <f t="array" ref="X65">INDEX($F$4:$F$104,MATCH(MAX(IF($J$5:$J$104&lt;=$P65,$J$5:$J$104)),$J$4:$J$104,0),0)*W65*IF($P65&gt;=$N$6,2,1)</f>
        <v>83199776.159999833</v>
      </c>
      <c r="Y65" s="77">
        <f>SUM($X$5:$X65)</f>
        <v>423952505.2159999</v>
      </c>
    </row>
    <row r="66" spans="2:25" x14ac:dyDescent="0.15">
      <c r="B66" s="77">
        <v>62</v>
      </c>
      <c r="C66" s="77">
        <f t="array" ref="C66">MIN(IF(体力抽奖!$C$48:$C$60&gt;=$J66,体力抽奖!$J$48:$J$60))</f>
        <v>20</v>
      </c>
      <c r="D66" s="77">
        <f>VLOOKUP($C66,猫咪!$B:$E,4,0)</f>
        <v>5242.88</v>
      </c>
      <c r="E66" s="110">
        <f t="shared" si="1"/>
        <v>26300</v>
      </c>
      <c r="F66" s="77">
        <f t="shared" si="2"/>
        <v>137914044</v>
      </c>
      <c r="G66" s="83">
        <f t="shared" si="7"/>
        <v>920000000</v>
      </c>
      <c r="H66" s="77">
        <f>SUM($G$5:$G66)</f>
        <v>9921801200</v>
      </c>
      <c r="I66" s="77">
        <f t="array" ref="I66">MIN(IF(矿山!$S$5:$S$85&gt;=$H66,矿山!$P$5:$P$85))</f>
        <v>133.80000000000001</v>
      </c>
      <c r="J66" s="77">
        <f t="array" ref="J66">MIN(IF(矿山!$S$5:$S$85&gt;=$H66,矿山!$O$5:$O$85))</f>
        <v>92</v>
      </c>
      <c r="K66" s="77">
        <f t="array" ref="K66">MIN(IF(矿山!$X$5:$X$85&gt;=$H66,矿山!$U$5:$U$85))</f>
        <v>70.290000000000006</v>
      </c>
      <c r="L66" s="77">
        <f t="array" ref="L66">MIN(IF(矿山!$X$5:$X$85&gt;=$H66,矿山!$O$5:$O$85))</f>
        <v>97</v>
      </c>
      <c r="M66" s="80">
        <f t="shared" si="3"/>
        <v>137915000</v>
      </c>
      <c r="P66" s="77">
        <v>81</v>
      </c>
      <c r="Q66" s="77">
        <f>INDEX(等级时间!$U$3:$AU$203,MATCH($P66,等级时间!$U$3:$U$203,0),MATCH(Q$4,等级时间!$U$3:$AU$3,0))</f>
        <v>78.86</v>
      </c>
      <c r="R66" s="77">
        <f t="shared" si="5"/>
        <v>3.9000000000000057</v>
      </c>
      <c r="S66" s="77">
        <f t="array" ref="S66">INDEX($F$4:$F$104,MATCH(MAX(IF($J$5:$J$104&lt;=$P66,$J$5:$J$104)),$J$4:$J$104,0),0)*R66*IF($P66&gt;=$N$6,2,1)</f>
        <v>213836594.4000003</v>
      </c>
      <c r="T66" s="77">
        <f>SUM($S$5:$S66)</f>
        <v>1223092960.8160002</v>
      </c>
      <c r="V66" s="77">
        <f>INDEX(等级时间!$U$3:$AU$203,MATCH($P66,等级时间!$U$3:$U$203,0),MATCH(V$4,等级时间!$U$3:$AU$3,0))</f>
        <v>33.130000000000003</v>
      </c>
      <c r="W66" s="77">
        <f t="shared" si="6"/>
        <v>1.6400000000000041</v>
      </c>
      <c r="X66" s="77">
        <f t="array" ref="X66">INDEX($F$4:$F$104,MATCH(MAX(IF($J$5:$J$104&lt;=$P66,$J$5:$J$104)),$J$4:$J$104,0),0)*W66*IF($P66&gt;=$N$6,2,1)</f>
        <v>89921029.440000221</v>
      </c>
      <c r="Y66" s="77">
        <f>SUM($X$5:$X66)</f>
        <v>513873534.65600014</v>
      </c>
    </row>
    <row r="67" spans="2:25" x14ac:dyDescent="0.15">
      <c r="B67" s="77">
        <v>63</v>
      </c>
      <c r="C67" s="77">
        <f t="array" ref="C67">MIN(IF(体力抽奖!$C$48:$C$60&gt;=$J67,体力抽奖!$J$48:$J$60))</f>
        <v>20</v>
      </c>
      <c r="D67" s="77">
        <f>VLOOKUP($C67,猫咪!$B:$E,4,0)</f>
        <v>5242.88</v>
      </c>
      <c r="E67" s="110">
        <f t="shared" si="1"/>
        <v>26700</v>
      </c>
      <c r="F67" s="77">
        <f t="shared" si="2"/>
        <v>140011596</v>
      </c>
      <c r="G67" s="83">
        <f t="shared" si="7"/>
        <v>990000000</v>
      </c>
      <c r="H67" s="77">
        <f>SUM($G$5:$G67)</f>
        <v>10911801200</v>
      </c>
      <c r="I67" s="77">
        <f t="array" ref="I67">MIN(IF(矿山!$S$5:$S$85&gt;=$H67,矿山!$P$5:$P$85))</f>
        <v>133.80000000000001</v>
      </c>
      <c r="J67" s="77">
        <f t="array" ref="J67">MIN(IF(矿山!$S$5:$S$85&gt;=$H67,矿山!$O$5:$O$85))</f>
        <v>92</v>
      </c>
      <c r="K67" s="77">
        <f t="array" ref="K67">MIN(IF(矿山!$X$5:$X$85&gt;=$H67,矿山!$U$5:$U$85))</f>
        <v>73.42</v>
      </c>
      <c r="L67" s="77">
        <f t="array" ref="L67">MIN(IF(矿山!$X$5:$X$85&gt;=$H67,矿山!$O$5:$O$85))</f>
        <v>98</v>
      </c>
      <c r="M67" s="80">
        <f t="shared" si="3"/>
        <v>140012000</v>
      </c>
      <c r="P67" s="77">
        <v>82</v>
      </c>
      <c r="Q67" s="77">
        <f>INDEX(等级时间!$U$3:$AU$203,MATCH($P67,等级时间!$U$3:$U$203,0),MATCH(Q$4,等级时间!$U$3:$AU$3,0))</f>
        <v>82.93</v>
      </c>
      <c r="R67" s="77">
        <f t="shared" si="5"/>
        <v>4.0700000000000074</v>
      </c>
      <c r="S67" s="77">
        <f t="array" ref="S67">INDEX($F$4:$F$104,MATCH(MAX(IF($J$5:$J$104&lt;=$P67,$J$5:$J$104)),$J$4:$J$104,0),0)*R67*IF($P67&gt;=$N$6,2,1)</f>
        <v>227428637.04000041</v>
      </c>
      <c r="T67" s="77">
        <f>SUM($S$5:$S67)</f>
        <v>1450521597.8560007</v>
      </c>
      <c r="V67" s="77">
        <f>INDEX(等级时间!$U$3:$AU$203,MATCH($P67,等级时间!$U$3:$U$203,0),MATCH(V$4,等级时间!$U$3:$AU$3,0))</f>
        <v>34.840000000000003</v>
      </c>
      <c r="W67" s="77">
        <f t="shared" si="6"/>
        <v>1.7100000000000009</v>
      </c>
      <c r="X67" s="77">
        <f t="array" ref="X67">INDEX($F$4:$F$104,MATCH(MAX(IF($J$5:$J$104&lt;=$P67,$J$5:$J$104)),$J$4:$J$104,0),0)*W67*IF($P67&gt;=$N$6,2,1)</f>
        <v>95553555.120000049</v>
      </c>
      <c r="Y67" s="77">
        <f>SUM($X$5:$X67)</f>
        <v>609427089.77600014</v>
      </c>
    </row>
    <row r="68" spans="2:25" x14ac:dyDescent="0.15">
      <c r="B68" s="77">
        <v>64</v>
      </c>
      <c r="C68" s="77">
        <f t="array" ref="C68">MIN(IF(体力抽奖!$C$48:$C$60&gt;=$J68,体力抽奖!$J$48:$J$60))</f>
        <v>20</v>
      </c>
      <c r="D68" s="77">
        <f>VLOOKUP($C68,猫咪!$B:$E,4,0)</f>
        <v>5242.88</v>
      </c>
      <c r="E68" s="110">
        <f t="shared" si="1"/>
        <v>27000</v>
      </c>
      <c r="F68" s="77">
        <f t="shared" si="2"/>
        <v>141584760</v>
      </c>
      <c r="G68" s="83">
        <f t="shared" si="7"/>
        <v>1100000000</v>
      </c>
      <c r="H68" s="77">
        <f>SUM($G$5:$G68)</f>
        <v>12011801200</v>
      </c>
      <c r="I68" s="77">
        <f t="array" ref="I68">MIN(IF(矿山!$S$5:$S$85&gt;=$H68,矿山!$P$5:$P$85))</f>
        <v>133.80000000000001</v>
      </c>
      <c r="J68" s="77">
        <f t="array" ref="J68">MIN(IF(矿山!$S$5:$S$85&gt;=$H68,矿山!$O$5:$O$85))</f>
        <v>92</v>
      </c>
      <c r="K68" s="77">
        <f t="array" ref="K68">MIN(IF(矿山!$X$5:$X$85&gt;=$H68,矿山!$U$5:$U$85))</f>
        <v>73.42</v>
      </c>
      <c r="L68" s="77">
        <f t="array" ref="L68">MIN(IF(矿山!$X$5:$X$85&gt;=$H68,矿山!$O$5:$O$85))</f>
        <v>98</v>
      </c>
      <c r="M68" s="80">
        <f t="shared" si="3"/>
        <v>141585000</v>
      </c>
      <c r="P68" s="77">
        <v>83</v>
      </c>
      <c r="Q68" s="77">
        <f>INDEX(等级时间!$U$3:$AU$203,MATCH($P68,等级时间!$U$3:$U$203,0),MATCH(Q$4,等级时间!$U$3:$AU$3,0))</f>
        <v>87.17</v>
      </c>
      <c r="R68" s="77">
        <f t="shared" si="5"/>
        <v>4.2399999999999949</v>
      </c>
      <c r="S68" s="77">
        <f t="array" ref="S68">INDEX($F$4:$F$104,MATCH(MAX(IF($J$5:$J$104&lt;=$P68,$J$5:$J$104)),$J$4:$J$104,0),0)*R68*IF($P68&gt;=$N$6,2,1)</f>
        <v>240265128.95999971</v>
      </c>
      <c r="T68" s="77">
        <f>SUM($S$5:$S68)</f>
        <v>1690786726.8160005</v>
      </c>
      <c r="V68" s="77">
        <f>INDEX(等级时间!$U$3:$AU$203,MATCH($P68,等级时间!$U$3:$U$203,0),MATCH(V$4,等级时间!$U$3:$AU$3,0))</f>
        <v>36.619999999999997</v>
      </c>
      <c r="W68" s="77">
        <f t="shared" si="6"/>
        <v>1.779999999999994</v>
      </c>
      <c r="X68" s="77">
        <f t="array" ref="X68">INDEX($F$4:$F$104,MATCH(MAX(IF($J$5:$J$104&lt;=$P68,$J$5:$J$104)),$J$4:$J$104,0),0)*W68*IF($P68&gt;=$N$6,2,1)</f>
        <v>100866021.11999966</v>
      </c>
      <c r="Y68" s="77">
        <f>SUM($X$5:$X68)</f>
        <v>710293110.89599979</v>
      </c>
    </row>
    <row r="69" spans="2:25" x14ac:dyDescent="0.15">
      <c r="B69" s="77">
        <v>65</v>
      </c>
      <c r="C69" s="77">
        <f t="array" ref="C69">MIN(IF(体力抽奖!$C$48:$C$60&gt;=$J69,体力抽奖!$J$48:$J$60))</f>
        <v>20</v>
      </c>
      <c r="D69" s="77">
        <f>VLOOKUP($C69,猫咪!$B:$E,4,0)</f>
        <v>5242.88</v>
      </c>
      <c r="E69" s="110">
        <f t="shared" si="1"/>
        <v>27400</v>
      </c>
      <c r="F69" s="77">
        <f t="shared" si="2"/>
        <v>143682312</v>
      </c>
      <c r="G69" s="83">
        <f t="shared" ref="G69:G104" si="8">ROUND(B69^G$1+G$2,IF(LEN(INT(B69^G$1+G$2))&lt;3,1-LEN(INT(B69^G$1+G$2)),2-LEN(INT(B69^G$1+G$2))))</f>
        <v>1200000000</v>
      </c>
      <c r="H69" s="77">
        <f>SUM($G$5:$G69)</f>
        <v>13211801200</v>
      </c>
      <c r="I69" s="77">
        <f t="array" ref="I69">MIN(IF(矿山!$S$5:$S$85&gt;=$H69,矿山!$P$5:$P$85))</f>
        <v>140.03</v>
      </c>
      <c r="J69" s="77">
        <f t="array" ref="J69">MIN(IF(矿山!$S$5:$S$85&gt;=$H69,矿山!$O$5:$O$85))</f>
        <v>93</v>
      </c>
      <c r="K69" s="77">
        <f t="array" ref="K69">MIN(IF(矿山!$X$5:$X$85&gt;=$H69,矿山!$U$5:$U$85))</f>
        <v>76.66</v>
      </c>
      <c r="L69" s="77">
        <f t="array" ref="L69">MIN(IF(矿山!$X$5:$X$85&gt;=$H69,矿山!$O$5:$O$85))</f>
        <v>99</v>
      </c>
      <c r="M69" s="80">
        <f t="shared" si="3"/>
        <v>143683000</v>
      </c>
      <c r="P69" s="77">
        <v>84</v>
      </c>
      <c r="Q69" s="77">
        <f>INDEX(等级时间!$U$3:$AU$203,MATCH($P69,等级时间!$U$3:$U$203,0),MATCH(Q$4,等级时间!$U$3:$AU$3,0))</f>
        <v>91.58</v>
      </c>
      <c r="R69" s="77">
        <f t="shared" si="5"/>
        <v>4.4099999999999966</v>
      </c>
      <c r="S69" s="77">
        <f t="array" ref="S69">INDEX($F$4:$F$104,MATCH(MAX(IF($J$5:$J$104&lt;=$P69,$J$5:$J$104)),$J$4:$J$104,0),0)*R69*IF($P69&gt;=$N$6,2,1)</f>
        <v>259153896.9599998</v>
      </c>
      <c r="T69" s="77">
        <f>SUM($S$5:$S69)</f>
        <v>1949940623.7760003</v>
      </c>
      <c r="V69" s="77">
        <f>INDEX(等级时间!$U$3:$AU$203,MATCH($P69,等级时间!$U$3:$U$203,0),MATCH(V$4,等级时间!$U$3:$AU$3,0))</f>
        <v>38.479999999999997</v>
      </c>
      <c r="W69" s="77">
        <f t="shared" si="6"/>
        <v>1.8599999999999994</v>
      </c>
      <c r="X69" s="77">
        <f t="array" ref="X69">INDEX($F$4:$F$104,MATCH(MAX(IF($J$5:$J$104&lt;=$P69,$J$5:$J$104)),$J$4:$J$104,0),0)*W69*IF($P69&gt;=$N$6,2,1)</f>
        <v>109303004.15999997</v>
      </c>
      <c r="Y69" s="77">
        <f>SUM($X$5:$X69)</f>
        <v>819596115.05599976</v>
      </c>
    </row>
    <row r="70" spans="2:25" x14ac:dyDescent="0.15">
      <c r="B70" s="77">
        <v>66</v>
      </c>
      <c r="C70" s="77">
        <f t="array" ref="C70">MIN(IF(体力抽奖!$C$48:$C$60&gt;=$J70,体力抽奖!$J$48:$J$60))</f>
        <v>20</v>
      </c>
      <c r="D70" s="77">
        <f>VLOOKUP($C70,猫咪!$B:$E,4,0)</f>
        <v>5242.88</v>
      </c>
      <c r="E70" s="110">
        <f t="shared" ref="E70:E104" si="9">ROUND(B70*$E$1+$E$2,3-LEN(INT(B70*$E$1+$E$2)))</f>
        <v>27800</v>
      </c>
      <c r="F70" s="77">
        <f t="shared" ref="F70:F103" si="10">E70*(1+D70)</f>
        <v>145779864</v>
      </c>
      <c r="G70" s="83">
        <f t="shared" si="8"/>
        <v>1300000000</v>
      </c>
      <c r="H70" s="77">
        <f>SUM($G$5:$G70)</f>
        <v>14511801200</v>
      </c>
      <c r="I70" s="77">
        <f t="array" ref="I70">MIN(IF(矿山!$S$5:$S$85&gt;=$H70,矿山!$P$5:$P$85))</f>
        <v>140.03</v>
      </c>
      <c r="J70" s="77">
        <f t="array" ref="J70">MIN(IF(矿山!$S$5:$S$85&gt;=$H70,矿山!$O$5:$O$85))</f>
        <v>93</v>
      </c>
      <c r="K70" s="77">
        <f t="array" ref="K70">MIN(IF(矿山!$X$5:$X$85&gt;=$H70,矿山!$U$5:$U$85))</f>
        <v>80.010000000000005</v>
      </c>
      <c r="L70" s="77">
        <f t="array" ref="L70">MIN(IF(矿山!$X$5:$X$85&gt;=$H70,矿山!$O$5:$O$85))</f>
        <v>100</v>
      </c>
      <c r="M70" s="80">
        <f t="shared" ref="M70:M103" si="11">ROUNDUP(F70,-3)</f>
        <v>145780000</v>
      </c>
      <c r="P70" s="77">
        <v>85</v>
      </c>
      <c r="Q70" s="77">
        <f>INDEX(等级时间!$U$3:$AU$203,MATCH($P70,等级时间!$U$3:$U$203,0),MATCH(Q$4,等级时间!$U$3:$AU$3,0))</f>
        <v>96.17</v>
      </c>
      <c r="R70" s="77">
        <f t="shared" si="5"/>
        <v>4.5900000000000034</v>
      </c>
      <c r="S70" s="77">
        <f t="array" ref="S70">INDEX($F$4:$F$104,MATCH(MAX(IF($J$5:$J$104&lt;=$P70,$J$5:$J$104)),$J$4:$J$104,0),0)*R70*IF($P70&gt;=$N$6,2,1)</f>
        <v>273344083.9200002</v>
      </c>
      <c r="T70" s="77">
        <f>SUM($S$5:$S70)</f>
        <v>2223284707.6960006</v>
      </c>
      <c r="V70" s="77">
        <f>INDEX(等级时间!$U$3:$AU$203,MATCH($P70,等级时间!$U$3:$U$203,0),MATCH(V$4,等级时间!$U$3:$AU$3,0))</f>
        <v>40.4</v>
      </c>
      <c r="W70" s="77">
        <f t="shared" si="6"/>
        <v>1.9200000000000017</v>
      </c>
      <c r="X70" s="77">
        <f t="array" ref="X70">INDEX($F$4:$F$104,MATCH(MAX(IF($J$5:$J$104&lt;=$P70,$J$5:$J$104)),$J$4:$J$104,0),0)*W70*IF($P70&gt;=$N$6,2,1)</f>
        <v>114340008.9600001</v>
      </c>
      <c r="Y70" s="77">
        <f>SUM($X$5:$X70)</f>
        <v>933936124.01599979</v>
      </c>
    </row>
    <row r="71" spans="2:25" x14ac:dyDescent="0.15">
      <c r="B71" s="77">
        <v>67</v>
      </c>
      <c r="C71" s="77">
        <f t="array" ref="C71">MIN(IF(体力抽奖!$C$48:$C$60&gt;=$J71,体力抽奖!$J$48:$J$60))</f>
        <v>20</v>
      </c>
      <c r="D71" s="77">
        <f>VLOOKUP($C71,猫咪!$B:$E,4,0)</f>
        <v>5242.88</v>
      </c>
      <c r="E71" s="110">
        <f t="shared" si="9"/>
        <v>28100</v>
      </c>
      <c r="F71" s="77">
        <f t="shared" si="10"/>
        <v>147353028</v>
      </c>
      <c r="G71" s="83">
        <f t="shared" si="8"/>
        <v>1400000000</v>
      </c>
      <c r="H71" s="77">
        <f>SUM($G$5:$G71)</f>
        <v>15911801200</v>
      </c>
      <c r="I71" s="77">
        <f t="array" ref="I71">MIN(IF(矿山!$S$5:$S$85&gt;=$H71,矿山!$P$5:$P$85))</f>
        <v>146.47999999999999</v>
      </c>
      <c r="J71" s="77">
        <f t="array" ref="J71">MIN(IF(矿山!$S$5:$S$85&gt;=$H71,矿山!$O$5:$O$85))</f>
        <v>94</v>
      </c>
      <c r="K71" s="77">
        <f t="array" ref="K71">MIN(IF(矿山!$X$5:$X$85&gt;=$H71,矿山!$U$5:$U$85))</f>
        <v>80.010000000000005</v>
      </c>
      <c r="L71" s="77">
        <f t="array" ref="L71">MIN(IF(矿山!$X$5:$X$85&gt;=$H71,矿山!$O$5:$O$85))</f>
        <v>100</v>
      </c>
      <c r="M71" s="80">
        <f t="shared" si="11"/>
        <v>147354000</v>
      </c>
      <c r="P71" s="77">
        <v>86</v>
      </c>
      <c r="Q71" s="77">
        <f>INDEX(等级时间!$U$3:$AU$203,MATCH($P71,等级时间!$U$3:$U$203,0),MATCH(Q$4,等级时间!$U$3:$AU$3,0))</f>
        <v>100.95</v>
      </c>
      <c r="R71" s="77">
        <f t="shared" ref="R71:R85" si="12">Q71-Q70</f>
        <v>4.7800000000000011</v>
      </c>
      <c r="S71" s="77">
        <f t="array" ref="S71">INDEX($F$4:$F$104,MATCH(MAX(IF($J$5:$J$104&lt;=$P71,$J$5:$J$104)),$J$4:$J$104,0),0)*R71*IF($P71&gt;=$N$6,2,1)</f>
        <v>289674997.92000008</v>
      </c>
      <c r="T71" s="77">
        <f>SUM($S$5:$S71)</f>
        <v>2512959705.6160007</v>
      </c>
      <c r="V71" s="77">
        <f>INDEX(等级时间!$U$3:$AU$203,MATCH($P71,等级时间!$U$3:$U$203,0),MATCH(V$4,等级时间!$U$3:$AU$3,0))</f>
        <v>42.41</v>
      </c>
      <c r="W71" s="77">
        <f t="shared" ref="W71:W85" si="13">V71-V70</f>
        <v>2.009999999999998</v>
      </c>
      <c r="X71" s="77">
        <f t="array" ref="X71">INDEX($F$4:$F$104,MATCH(MAX(IF($J$5:$J$104&lt;=$P71,$J$5:$J$104)),$J$4:$J$104,0),0)*W71*IF($P71&gt;=$N$6,2,1)</f>
        <v>121808942.63999988</v>
      </c>
      <c r="Y71" s="77">
        <f>SUM($X$5:$X71)</f>
        <v>1055745066.6559997</v>
      </c>
    </row>
    <row r="72" spans="2:25" x14ac:dyDescent="0.15">
      <c r="B72" s="77">
        <v>68</v>
      </c>
      <c r="C72" s="77">
        <f t="array" ref="C72">MIN(IF(体力抽奖!$C$48:$C$60&gt;=$J72,体力抽奖!$J$48:$J$60))</f>
        <v>20</v>
      </c>
      <c r="D72" s="77">
        <f>VLOOKUP($C72,猫咪!$B:$E,4,0)</f>
        <v>5242.88</v>
      </c>
      <c r="E72" s="110">
        <f t="shared" si="9"/>
        <v>28500</v>
      </c>
      <c r="F72" s="77">
        <f t="shared" si="10"/>
        <v>149450580</v>
      </c>
      <c r="G72" s="83">
        <f t="shared" si="8"/>
        <v>1500000000</v>
      </c>
      <c r="H72" s="77">
        <f>SUM($G$5:$G72)</f>
        <v>17411801200</v>
      </c>
      <c r="I72" s="77">
        <f t="array" ref="I72">MIN(IF(矿山!$S$5:$S$85&gt;=$H72,矿山!$P$5:$P$85))</f>
        <v>153.18</v>
      </c>
      <c r="J72" s="77">
        <f t="array" ref="J72">MIN(IF(矿山!$S$5:$S$85&gt;=$H72,矿山!$O$5:$O$85))</f>
        <v>95</v>
      </c>
      <c r="K72" s="77">
        <f t="array" ref="K72">MIN(IF(矿山!$X$5:$X$85&gt;=$H72,矿山!$U$5:$U$85))</f>
        <v>0</v>
      </c>
      <c r="L72" s="77">
        <f t="array" ref="L72">MIN(IF(矿山!$X$5:$X$85&gt;=$H72,矿山!$O$5:$O$85))</f>
        <v>0</v>
      </c>
      <c r="M72" s="80">
        <f t="shared" si="11"/>
        <v>149451000</v>
      </c>
      <c r="P72" s="77">
        <v>87</v>
      </c>
      <c r="Q72" s="77">
        <f>INDEX(等级时间!$U$3:$AU$203,MATCH($P72,等级时间!$U$3:$U$203,0),MATCH(Q$4,等级时间!$U$3:$AU$3,0))</f>
        <v>105.91</v>
      </c>
      <c r="R72" s="77">
        <f t="shared" si="12"/>
        <v>4.9599999999999937</v>
      </c>
      <c r="S72" s="77">
        <f t="array" ref="S72">INDEX($F$4:$F$104,MATCH(MAX(IF($J$5:$J$104&lt;=$P72,$J$5:$J$104)),$J$4:$J$104,0),0)*R72*IF($P72&gt;=$N$6,2,1)</f>
        <v>304486940.15999961</v>
      </c>
      <c r="T72" s="77">
        <f>SUM($S$5:$S72)</f>
        <v>2817446645.776</v>
      </c>
      <c r="V72" s="77">
        <f>INDEX(等级时间!$U$3:$AU$203,MATCH($P72,等级时间!$U$3:$U$203,0),MATCH(V$4,等级时间!$U$3:$AU$3,0))</f>
        <v>44.5</v>
      </c>
      <c r="W72" s="77">
        <f t="shared" si="13"/>
        <v>2.0900000000000034</v>
      </c>
      <c r="X72" s="77">
        <f t="array" ref="X72">INDEX($F$4:$F$104,MATCH(MAX(IF($J$5:$J$104&lt;=$P72,$J$5:$J$104)),$J$4:$J$104,0),0)*W72*IF($P72&gt;=$N$6,2,1)</f>
        <v>128301956.64000021</v>
      </c>
      <c r="Y72" s="77">
        <f>SUM($X$5:$X72)</f>
        <v>1184047023.2959998</v>
      </c>
    </row>
    <row r="73" spans="2:25" x14ac:dyDescent="0.15">
      <c r="B73" s="77">
        <v>69</v>
      </c>
      <c r="C73" s="77">
        <f t="array" ref="C73">MIN(IF(体力抽奖!$C$48:$C$60&gt;=$J73,体力抽奖!$J$48:$J$60))</f>
        <v>20</v>
      </c>
      <c r="D73" s="77">
        <f>VLOOKUP($C73,猫咪!$B:$E,4,0)</f>
        <v>5242.88</v>
      </c>
      <c r="E73" s="110">
        <f t="shared" si="9"/>
        <v>28800</v>
      </c>
      <c r="F73" s="77">
        <f t="shared" si="10"/>
        <v>151023744</v>
      </c>
      <c r="G73" s="83">
        <f t="shared" si="8"/>
        <v>1600000000</v>
      </c>
      <c r="H73" s="77">
        <f>SUM($G$5:$G73)</f>
        <v>19011801200</v>
      </c>
      <c r="I73" s="77">
        <f t="array" ref="I73">MIN(IF(矿山!$S$5:$S$85&gt;=$H73,矿山!$P$5:$P$85))</f>
        <v>153.18</v>
      </c>
      <c r="J73" s="77">
        <f t="array" ref="J73">MIN(IF(矿山!$S$5:$S$85&gt;=$H73,矿山!$O$5:$O$85))</f>
        <v>95</v>
      </c>
      <c r="K73" s="77">
        <f t="array" ref="K73">MIN(IF(矿山!$X$5:$X$85&gt;=$H73,矿山!$U$5:$U$85))</f>
        <v>0</v>
      </c>
      <c r="L73" s="77">
        <f t="array" ref="L73">MIN(IF(矿山!$X$5:$X$85&gt;=$H73,矿山!$O$5:$O$85))</f>
        <v>0</v>
      </c>
      <c r="M73" s="80">
        <f t="shared" si="11"/>
        <v>151024000</v>
      </c>
      <c r="P73" s="77">
        <v>88</v>
      </c>
      <c r="Q73" s="77">
        <f>INDEX(等级时间!$U$3:$AU$203,MATCH($P73,等级时间!$U$3:$U$203,0),MATCH(Q$4,等级时间!$U$3:$AU$3,0))</f>
        <v>111.08</v>
      </c>
      <c r="R73" s="77">
        <f t="shared" si="12"/>
        <v>5.1700000000000017</v>
      </c>
      <c r="S73" s="77">
        <f t="array" ref="S73">INDEX($F$4:$F$104,MATCH(MAX(IF($J$5:$J$104&lt;=$P73,$J$5:$J$104)),$J$4:$J$104,0),0)*R73*IF($P73&gt;=$N$6,2,1)</f>
        <v>322803798.24000013</v>
      </c>
      <c r="T73" s="77">
        <f>SUM($S$5:$S73)</f>
        <v>3140250444.0160003</v>
      </c>
      <c r="V73" s="77">
        <f>INDEX(等级时间!$U$3:$AU$203,MATCH($P73,等级时间!$U$3:$U$203,0),MATCH(V$4,等级时间!$U$3:$AU$3,0))</f>
        <v>46.67</v>
      </c>
      <c r="W73" s="77">
        <f t="shared" si="13"/>
        <v>2.1700000000000017</v>
      </c>
      <c r="X73" s="77">
        <f t="array" ref="X73">INDEX($F$4:$F$104,MATCH(MAX(IF($J$5:$J$104&lt;=$P73,$J$5:$J$104)),$J$4:$J$104,0),0)*W73*IF($P73&gt;=$N$6,2,1)</f>
        <v>135490182.2400001</v>
      </c>
      <c r="Y73" s="77">
        <f>SUM($X$5:$X73)</f>
        <v>1319537205.5359998</v>
      </c>
    </row>
    <row r="74" spans="2:25" x14ac:dyDescent="0.15">
      <c r="B74" s="77">
        <v>70</v>
      </c>
      <c r="C74" s="77">
        <f t="array" ref="C74">MIN(IF(体力抽奖!$C$48:$C$60&gt;=$J74,体力抽奖!$J$48:$J$60))</f>
        <v>20</v>
      </c>
      <c r="D74" s="77">
        <f>VLOOKUP($C74,猫咪!$B:$E,4,0)</f>
        <v>5242.88</v>
      </c>
      <c r="E74" s="110">
        <f t="shared" si="9"/>
        <v>29200</v>
      </c>
      <c r="F74" s="77">
        <f t="shared" si="10"/>
        <v>153121296</v>
      </c>
      <c r="G74" s="83">
        <f t="shared" si="8"/>
        <v>1700000000</v>
      </c>
      <c r="H74" s="77">
        <f>SUM($G$5:$G74)</f>
        <v>20711801200</v>
      </c>
      <c r="I74" s="77">
        <f t="array" ref="I74">MIN(IF(矿山!$S$5:$S$85&gt;=$H74,矿山!$P$5:$P$85))</f>
        <v>160.12</v>
      </c>
      <c r="J74" s="77">
        <f t="array" ref="J74">MIN(IF(矿山!$S$5:$S$85&gt;=$H74,矿山!$O$5:$O$85))</f>
        <v>96</v>
      </c>
      <c r="K74" s="77">
        <f t="array" ref="K74">MIN(IF(矿山!$X$5:$X$85&gt;=$H74,矿山!$U$5:$U$85))</f>
        <v>0</v>
      </c>
      <c r="L74" s="77">
        <f t="array" ref="L74">MIN(IF(矿山!$X$5:$X$85&gt;=$H74,矿山!$O$5:$O$85))</f>
        <v>0</v>
      </c>
      <c r="M74" s="80">
        <f t="shared" si="11"/>
        <v>153122000</v>
      </c>
      <c r="P74" s="77">
        <v>89</v>
      </c>
      <c r="Q74" s="77">
        <f>INDEX(等级时间!$U$3:$AU$203,MATCH($P74,等级时间!$U$3:$U$203,0),MATCH(Q$4,等级时间!$U$3:$AU$3,0))</f>
        <v>116.44</v>
      </c>
      <c r="R74" s="77">
        <f t="shared" si="12"/>
        <v>5.3599999999999994</v>
      </c>
      <c r="S74" s="77">
        <f t="array" ref="S74">INDEX($F$4:$F$104,MATCH(MAX(IF($J$5:$J$104&lt;=$P74,$J$5:$J$104)),$J$4:$J$104,0),0)*R74*IF($P74&gt;=$N$6,2,1)</f>
        <v>340291649.27999997</v>
      </c>
      <c r="T74" s="77">
        <f>SUM($S$5:$S74)</f>
        <v>3480542093.2960005</v>
      </c>
      <c r="V74" s="77">
        <f>INDEX(等级时间!$U$3:$AU$203,MATCH($P74,等级时间!$U$3:$U$203,0),MATCH(V$4,等级时间!$U$3:$AU$3,0))</f>
        <v>48.92</v>
      </c>
      <c r="W74" s="77">
        <f t="shared" si="13"/>
        <v>2.25</v>
      </c>
      <c r="X74" s="77">
        <f t="array" ref="X74">INDEX($F$4:$F$104,MATCH(MAX(IF($J$5:$J$104&lt;=$P74,$J$5:$J$104)),$J$4:$J$104,0),0)*W74*IF($P74&gt;=$N$6,2,1)</f>
        <v>142846308</v>
      </c>
      <c r="Y74" s="77">
        <f>SUM($X$5:$X74)</f>
        <v>1462383513.5359998</v>
      </c>
    </row>
    <row r="75" spans="2:25" x14ac:dyDescent="0.15">
      <c r="B75" s="77">
        <v>71</v>
      </c>
      <c r="C75" s="77">
        <f t="array" ref="C75">MIN(IF(体力抽奖!$C$48:$C$60&gt;=$J75,体力抽奖!$J$48:$J$60))</f>
        <v>20</v>
      </c>
      <c r="D75" s="77">
        <f>VLOOKUP($C75,猫咪!$B:$E,4,0)</f>
        <v>5242.88</v>
      </c>
      <c r="E75" s="110">
        <f t="shared" si="9"/>
        <v>29600</v>
      </c>
      <c r="F75" s="77">
        <f t="shared" si="10"/>
        <v>155218848</v>
      </c>
      <c r="G75" s="83">
        <f t="shared" si="8"/>
        <v>1800000000</v>
      </c>
      <c r="H75" s="77">
        <f>SUM($G$5:$G75)</f>
        <v>22511801200</v>
      </c>
      <c r="I75" s="77">
        <f t="array" ref="I75">MIN(IF(矿山!$S$5:$S$85&gt;=$H75,矿山!$P$5:$P$85))</f>
        <v>160.12</v>
      </c>
      <c r="J75" s="77">
        <f t="array" ref="J75">MIN(IF(矿山!$S$5:$S$85&gt;=$H75,矿山!$O$5:$O$85))</f>
        <v>96</v>
      </c>
      <c r="K75" s="77">
        <f t="array" ref="K75">MIN(IF(矿山!$X$5:$X$85&gt;=$H75,矿山!$U$5:$U$85))</f>
        <v>0</v>
      </c>
      <c r="L75" s="77">
        <f t="array" ref="L75">MIN(IF(矿山!$X$5:$X$85&gt;=$H75,矿山!$O$5:$O$85))</f>
        <v>0</v>
      </c>
      <c r="M75" s="80">
        <f t="shared" si="11"/>
        <v>155219000</v>
      </c>
      <c r="P75" s="77">
        <v>90</v>
      </c>
      <c r="Q75" s="77">
        <f>INDEX(等级时间!$U$3:$AU$203,MATCH($P75,等级时间!$U$3:$U$203,0),MATCH(Q$4,等级时间!$U$3:$AU$3,0))</f>
        <v>122.01</v>
      </c>
      <c r="R75" s="77">
        <f t="shared" si="12"/>
        <v>5.5700000000000074</v>
      </c>
      <c r="S75" s="77">
        <f t="array" ref="S75">INDEX($F$4:$F$104,MATCH(MAX(IF($J$5:$J$104&lt;=$P75,$J$5:$J$104)),$J$4:$J$104,0),0)*R75*IF($P75&gt;=$N$6,2,1)</f>
        <v>1431212168.400002</v>
      </c>
      <c r="T75" s="77">
        <f>SUM($S$5:$S75)</f>
        <v>4911754261.696003</v>
      </c>
      <c r="V75" s="77">
        <f>INDEX(等级时间!$U$3:$AU$203,MATCH($P75,等级时间!$U$3:$U$203,0),MATCH(V$4,等级时间!$U$3:$AU$3,0))</f>
        <v>51.26</v>
      </c>
      <c r="W75" s="77">
        <f t="shared" si="13"/>
        <v>2.3399999999999963</v>
      </c>
      <c r="X75" s="77">
        <f t="array" ref="X75">INDEX($F$4:$F$104,MATCH(MAX(IF($J$5:$J$104&lt;=$P75,$J$5:$J$104)),$J$4:$J$104,0),0)*W75*IF($P75&gt;=$N$6,2,1)</f>
        <v>601263280.799999</v>
      </c>
      <c r="Y75" s="77">
        <f>SUM($X$5:$X75)</f>
        <v>2063646794.3359988</v>
      </c>
    </row>
    <row r="76" spans="2:25" x14ac:dyDescent="0.15">
      <c r="B76" s="77">
        <v>72</v>
      </c>
      <c r="C76" s="77">
        <f t="array" ref="C76">MIN(IF(体力抽奖!$C$48:$C$60&gt;=$J76,体力抽奖!$J$48:$J$60))</f>
        <v>20</v>
      </c>
      <c r="D76" s="77">
        <f>VLOOKUP($C76,猫咪!$B:$E,4,0)</f>
        <v>5242.88</v>
      </c>
      <c r="E76" s="110">
        <f t="shared" si="9"/>
        <v>29900</v>
      </c>
      <c r="F76" s="77">
        <f t="shared" si="10"/>
        <v>156792012</v>
      </c>
      <c r="G76" s="83">
        <f t="shared" si="8"/>
        <v>1900000000</v>
      </c>
      <c r="H76" s="77">
        <f>SUM($G$5:$G76)</f>
        <v>24411801200</v>
      </c>
      <c r="I76" s="77">
        <f t="array" ref="I76">MIN(IF(矿山!$S$5:$S$85&gt;=$H76,矿山!$P$5:$P$85))</f>
        <v>167.31</v>
      </c>
      <c r="J76" s="77">
        <f t="array" ref="J76">MIN(IF(矿山!$S$5:$S$85&gt;=$H76,矿山!$O$5:$O$85))</f>
        <v>97</v>
      </c>
      <c r="K76" s="77">
        <f t="array" ref="K76">MIN(IF(矿山!$X$5:$X$85&gt;=$H76,矿山!$U$5:$U$85))</f>
        <v>0</v>
      </c>
      <c r="L76" s="77">
        <f t="array" ref="L76">MIN(IF(矿山!$X$5:$X$85&gt;=$H76,矿山!$O$5:$O$85))</f>
        <v>0</v>
      </c>
      <c r="M76" s="80">
        <f t="shared" si="11"/>
        <v>156793000</v>
      </c>
      <c r="P76" s="77">
        <v>91</v>
      </c>
      <c r="Q76" s="77">
        <f>INDEX(等级时间!$U$3:$AU$203,MATCH($P76,等级时间!$U$3:$U$203,0),MATCH(Q$4,等级时间!$U$3:$AU$3,0))</f>
        <v>127.79</v>
      </c>
      <c r="R76" s="77">
        <f t="shared" si="12"/>
        <v>5.7800000000000011</v>
      </c>
      <c r="S76" s="77">
        <f t="array" ref="S76">INDEX($F$4:$F$104,MATCH(MAX(IF($J$5:$J$104&lt;=$P76,$J$5:$J$104)),$J$4:$J$104,0),0)*R76*IF($P76&gt;=$N$6,2,1)</f>
        <v>1551852871.6800003</v>
      </c>
      <c r="T76" s="77">
        <f>SUM($S$5:$S76)</f>
        <v>6463607133.3760033</v>
      </c>
      <c r="V76" s="77">
        <f>INDEX(等级时间!$U$3:$AU$203,MATCH($P76,等级时间!$U$3:$U$203,0),MATCH(V$4,等级时间!$U$3:$AU$3,0))</f>
        <v>53.69</v>
      </c>
      <c r="W76" s="77">
        <f t="shared" si="13"/>
        <v>2.4299999999999997</v>
      </c>
      <c r="X76" s="77">
        <f t="array" ref="X76">INDEX($F$4:$F$104,MATCH(MAX(IF($J$5:$J$104&lt;=$P76,$J$5:$J$104)),$J$4:$J$104,0),0)*W76*IF($P76&gt;=$N$6,2,1)</f>
        <v>652422574.07999992</v>
      </c>
      <c r="Y76" s="77">
        <f>SUM($X$5:$X76)</f>
        <v>2716069368.4159985</v>
      </c>
    </row>
    <row r="77" spans="2:25" x14ac:dyDescent="0.15">
      <c r="B77" s="77">
        <v>73</v>
      </c>
      <c r="C77" s="77">
        <f t="array" ref="C77">MIN(IF(体力抽奖!$C$48:$C$60&gt;=$J77,体力抽奖!$J$48:$J$60))</f>
        <v>20</v>
      </c>
      <c r="D77" s="77">
        <f>VLOOKUP($C77,猫咪!$B:$E,4,0)</f>
        <v>5242.88</v>
      </c>
      <c r="E77" s="110">
        <f t="shared" si="9"/>
        <v>30300</v>
      </c>
      <c r="F77" s="77">
        <f t="shared" si="10"/>
        <v>158889564</v>
      </c>
      <c r="G77" s="83">
        <f t="shared" si="8"/>
        <v>2100000000</v>
      </c>
      <c r="H77" s="77">
        <f>SUM($G$5:$G77)</f>
        <v>26511801200</v>
      </c>
      <c r="I77" s="77">
        <f t="array" ref="I77">MIN(IF(矿山!$S$5:$S$85&gt;=$H77,矿山!$P$5:$P$85))</f>
        <v>174.76</v>
      </c>
      <c r="J77" s="77">
        <f t="array" ref="J77">MIN(IF(矿山!$S$5:$S$85&gt;=$H77,矿山!$O$5:$O$85))</f>
        <v>98</v>
      </c>
      <c r="K77" s="77">
        <f t="array" ref="K77">MIN(IF(矿山!$X$5:$X$85&gt;=$H77,矿山!$U$5:$U$85))</f>
        <v>0</v>
      </c>
      <c r="L77" s="77">
        <f t="array" ref="L77">MIN(IF(矿山!$X$5:$X$85&gt;=$H77,矿山!$O$5:$O$85))</f>
        <v>0</v>
      </c>
      <c r="M77" s="80">
        <f t="shared" si="11"/>
        <v>158890000</v>
      </c>
      <c r="P77" s="77">
        <v>92</v>
      </c>
      <c r="Q77" s="77">
        <f>INDEX(等级时间!$U$3:$AU$203,MATCH($P77,等级时间!$U$3:$U$203,0),MATCH(Q$4,等级时间!$U$3:$AU$3,0))</f>
        <v>133.80000000000001</v>
      </c>
      <c r="R77" s="77">
        <f t="shared" si="12"/>
        <v>6.0100000000000051</v>
      </c>
      <c r="S77" s="77">
        <f t="array" ref="S77">INDEX($F$4:$F$104,MATCH(MAX(IF($J$5:$J$104&lt;=$P77,$J$5:$J$104)),$J$4:$J$104,0),0)*R77*IF($P77&gt;=$N$6,2,1)</f>
        <v>1657726808.8800013</v>
      </c>
      <c r="T77" s="77">
        <f>SUM($S$5:$S77)</f>
        <v>8121333942.2560043</v>
      </c>
      <c r="V77" s="77">
        <f>INDEX(等级时间!$U$3:$AU$203,MATCH($P77,等级时间!$U$3:$U$203,0),MATCH(V$4,等级时间!$U$3:$AU$3,0))</f>
        <v>56.21</v>
      </c>
      <c r="W77" s="77">
        <f t="shared" si="13"/>
        <v>2.5200000000000031</v>
      </c>
      <c r="X77" s="77">
        <f t="array" ref="X77">INDEX($F$4:$F$104,MATCH(MAX(IF($J$5:$J$104&lt;=$P77,$J$5:$J$104)),$J$4:$J$104,0),0)*W77*IF($P77&gt;=$N$6,2,1)</f>
        <v>695086781.76000082</v>
      </c>
      <c r="Y77" s="77">
        <f>SUM($X$5:$X77)</f>
        <v>3411156150.1759992</v>
      </c>
    </row>
    <row r="78" spans="2:25" x14ac:dyDescent="0.15">
      <c r="B78" s="77">
        <v>74</v>
      </c>
      <c r="C78" s="77">
        <f t="array" ref="C78">MIN(IF(体力抽奖!$C$48:$C$60&gt;=$J78,体力抽奖!$J$48:$J$60))</f>
        <v>20</v>
      </c>
      <c r="D78" s="77">
        <f>VLOOKUP($C78,猫咪!$B:$E,4,0)</f>
        <v>5242.88</v>
      </c>
      <c r="E78" s="110">
        <f t="shared" si="9"/>
        <v>30600</v>
      </c>
      <c r="F78" s="77">
        <f t="shared" si="10"/>
        <v>160462728</v>
      </c>
      <c r="G78" s="83">
        <f t="shared" si="8"/>
        <v>2200000000</v>
      </c>
      <c r="H78" s="77">
        <f>SUM($G$5:$G78)</f>
        <v>28711801200</v>
      </c>
      <c r="I78" s="77">
        <f t="array" ref="I78">MIN(IF(矿山!$S$5:$S$85&gt;=$H78,矿山!$P$5:$P$85))</f>
        <v>182.47</v>
      </c>
      <c r="J78" s="77">
        <f t="array" ref="J78">MIN(IF(矿山!$S$5:$S$85&gt;=$H78,矿山!$O$5:$O$85))</f>
        <v>99</v>
      </c>
      <c r="K78" s="77">
        <f t="array" ref="K78">MIN(IF(矿山!$X$5:$X$85&gt;=$H78,矿山!$U$5:$U$85))</f>
        <v>0</v>
      </c>
      <c r="L78" s="77">
        <f t="array" ref="L78">MIN(IF(矿山!$X$5:$X$85&gt;=$H78,矿山!$O$5:$O$85))</f>
        <v>0</v>
      </c>
      <c r="M78" s="80">
        <f t="shared" si="11"/>
        <v>160463000</v>
      </c>
      <c r="P78" s="77">
        <v>93</v>
      </c>
      <c r="Q78" s="77">
        <f>INDEX(等级时间!$U$3:$AU$203,MATCH($P78,等级时间!$U$3:$U$203,0),MATCH(Q$4,等级时间!$U$3:$AU$3,0))</f>
        <v>140.03</v>
      </c>
      <c r="R78" s="77">
        <f t="shared" si="12"/>
        <v>6.2299999999999898</v>
      </c>
      <c r="S78" s="77">
        <f t="array" ref="S78">INDEX($F$4:$F$104,MATCH(MAX(IF($J$5:$J$104&lt;=$P78,$J$5:$J$104)),$J$4:$J$104,0),0)*R78*IF($P78&gt;=$N$6,2,1)</f>
        <v>1790281607.5199971</v>
      </c>
      <c r="T78" s="77">
        <f>SUM($S$5:$S78)</f>
        <v>9911615549.776001</v>
      </c>
      <c r="V78" s="77">
        <f>INDEX(等级时间!$U$3:$AU$203,MATCH($P78,等级时间!$U$3:$U$203,0),MATCH(V$4,等级时间!$U$3:$AU$3,0))</f>
        <v>58.83</v>
      </c>
      <c r="W78" s="77">
        <f t="shared" si="13"/>
        <v>2.6199999999999974</v>
      </c>
      <c r="X78" s="77">
        <f t="array" ref="X78">INDEX($F$4:$F$104,MATCH(MAX(IF($J$5:$J$104&lt;=$P78,$J$5:$J$104)),$J$4:$J$104,0),0)*W78*IF($P78&gt;=$N$6,2,1)</f>
        <v>752895314.87999928</v>
      </c>
      <c r="Y78" s="77">
        <f>SUM($X$5:$X78)</f>
        <v>4164051465.0559983</v>
      </c>
    </row>
    <row r="79" spans="2:25" x14ac:dyDescent="0.15">
      <c r="B79" s="77">
        <v>75</v>
      </c>
      <c r="C79" s="77">
        <f t="array" ref="C79">MIN(IF(体力抽奖!$C$48:$C$60&gt;=$J79,体力抽奖!$J$48:$J$60))</f>
        <v>20</v>
      </c>
      <c r="D79" s="77">
        <f>VLOOKUP($C79,猫咪!$B:$E,4,0)</f>
        <v>5242.88</v>
      </c>
      <c r="E79" s="110">
        <f t="shared" si="9"/>
        <v>31000</v>
      </c>
      <c r="F79" s="77">
        <f t="shared" si="10"/>
        <v>162560280</v>
      </c>
      <c r="G79" s="83">
        <f t="shared" si="8"/>
        <v>2400000000</v>
      </c>
      <c r="H79" s="77">
        <f>SUM($G$5:$G79)</f>
        <v>31111801200</v>
      </c>
      <c r="I79" s="77">
        <f t="array" ref="I79">MIN(IF(矿山!$S$5:$S$85&gt;=$H79,矿山!$P$5:$P$85))</f>
        <v>182.47</v>
      </c>
      <c r="J79" s="77">
        <f t="array" ref="J79">MIN(IF(矿山!$S$5:$S$85&gt;=$H79,矿山!$O$5:$O$85))</f>
        <v>99</v>
      </c>
      <c r="K79" s="77">
        <f t="array" ref="K79">MIN(IF(矿山!$X$5:$X$85&gt;=$H79,矿山!$U$5:$U$85))</f>
        <v>0</v>
      </c>
      <c r="L79" s="77">
        <f t="array" ref="L79">MIN(IF(矿山!$X$5:$X$85&gt;=$H79,矿山!$O$5:$O$85))</f>
        <v>0</v>
      </c>
      <c r="M79" s="80">
        <f t="shared" si="11"/>
        <v>162561000</v>
      </c>
      <c r="P79" s="77">
        <v>94</v>
      </c>
      <c r="Q79" s="77">
        <f>INDEX(等级时间!$U$3:$AU$203,MATCH($P79,等级时间!$U$3:$U$203,0),MATCH(Q$4,等级时间!$U$3:$AU$3,0))</f>
        <v>146.47999999999999</v>
      </c>
      <c r="R79" s="77">
        <f t="shared" si="12"/>
        <v>6.4499999999999886</v>
      </c>
      <c r="S79" s="77">
        <f t="array" ref="S79">INDEX($F$4:$F$104,MATCH(MAX(IF($J$5:$J$104&lt;=$P79,$J$5:$J$104)),$J$4:$J$104,0),0)*R79*IF($P79&gt;=$N$6,2,1)</f>
        <v>1900854061.1999967</v>
      </c>
      <c r="T79" s="77">
        <f>SUM($S$5:$S79)</f>
        <v>11812469610.975998</v>
      </c>
      <c r="V79" s="77">
        <f>INDEX(等级时间!$U$3:$AU$203,MATCH($P79,等级时间!$U$3:$U$203,0),MATCH(V$4,等级时间!$U$3:$AU$3,0))</f>
        <v>61.54</v>
      </c>
      <c r="W79" s="77">
        <f t="shared" si="13"/>
        <v>2.7100000000000009</v>
      </c>
      <c r="X79" s="77">
        <f t="array" ref="X79">INDEX($F$4:$F$104,MATCH(MAX(IF($J$5:$J$104&lt;=$P79,$J$5:$J$104)),$J$4:$J$104,0),0)*W79*IF($P79&gt;=$N$6,2,1)</f>
        <v>798653411.76000023</v>
      </c>
      <c r="Y79" s="77">
        <f>SUM($X$5:$X79)</f>
        <v>4962704876.8159981</v>
      </c>
    </row>
    <row r="80" spans="2:25" x14ac:dyDescent="0.15">
      <c r="B80" s="77">
        <v>76</v>
      </c>
      <c r="C80" s="77">
        <f t="array" ref="C80">MIN(IF(体力抽奖!$C$48:$C$60&gt;=$J80,体力抽奖!$J$48:$J$60))</f>
        <v>21</v>
      </c>
      <c r="D80" s="77">
        <f>VLOOKUP($C80,猫咪!$B:$E,4,0)</f>
        <v>10485.76</v>
      </c>
      <c r="E80" s="110">
        <f t="shared" si="9"/>
        <v>31400</v>
      </c>
      <c r="F80" s="77">
        <f t="shared" si="10"/>
        <v>329284264</v>
      </c>
      <c r="G80" s="83">
        <f t="shared" si="8"/>
        <v>2500000000</v>
      </c>
      <c r="H80" s="77">
        <f>SUM($G$5:$G80)</f>
        <v>33611801200</v>
      </c>
      <c r="I80" s="77">
        <f t="array" ref="I80">MIN(IF(矿山!$S$5:$S$85&gt;=$H80,矿山!$P$5:$P$85))</f>
        <v>190.45</v>
      </c>
      <c r="J80" s="77">
        <f t="array" ref="J80">MIN(IF(矿山!$S$5:$S$85&gt;=$H80,矿山!$O$5:$O$85))</f>
        <v>100</v>
      </c>
      <c r="K80" s="77">
        <f t="array" ref="K80">MIN(IF(矿山!$X$5:$X$85&gt;=$H80,矿山!$U$5:$U$85))</f>
        <v>0</v>
      </c>
      <c r="L80" s="77">
        <f t="array" ref="L80">MIN(IF(矿山!$X$5:$X$85&gt;=$H80,矿山!$O$5:$O$85))</f>
        <v>0</v>
      </c>
      <c r="M80" s="80">
        <f t="shared" si="11"/>
        <v>329285000</v>
      </c>
      <c r="P80" s="77">
        <v>95</v>
      </c>
      <c r="Q80" s="77">
        <f>INDEX(等级时间!$U$3:$AU$203,MATCH($P80,等级时间!$U$3:$U$203,0),MATCH(Q$4,等级时间!$U$3:$AU$3,0))</f>
        <v>153.18</v>
      </c>
      <c r="R80" s="77">
        <f t="shared" si="12"/>
        <v>6.7000000000000171</v>
      </c>
      <c r="S80" s="77">
        <f t="array" ref="S80">INDEX($F$4:$F$104,MATCH(MAX(IF($J$5:$J$104&lt;=$P80,$J$5:$J$104)),$J$4:$J$104,0),0)*R80*IF($P80&gt;=$N$6,2,1)</f>
        <v>2002637772.000005</v>
      </c>
      <c r="T80" s="77">
        <f>SUM($S$5:$S80)</f>
        <v>13815107382.976004</v>
      </c>
      <c r="V80" s="77">
        <f>INDEX(等级时间!$U$3:$AU$203,MATCH($P80,等级时间!$U$3:$U$203,0),MATCH(V$4,等级时间!$U$3:$AU$3,0))</f>
        <v>64.36</v>
      </c>
      <c r="W80" s="77">
        <f t="shared" si="13"/>
        <v>2.8200000000000003</v>
      </c>
      <c r="X80" s="77">
        <f t="array" ref="X80">INDEX($F$4:$F$104,MATCH(MAX(IF($J$5:$J$104&lt;=$P80,$J$5:$J$104)),$J$4:$J$104,0),0)*W80*IF($P80&gt;=$N$6,2,1)</f>
        <v>842901271.20000005</v>
      </c>
      <c r="Y80" s="77">
        <f>SUM($X$5:$X80)</f>
        <v>5805606148.0159979</v>
      </c>
    </row>
    <row r="81" spans="2:25" x14ac:dyDescent="0.15">
      <c r="B81" s="77">
        <v>77</v>
      </c>
      <c r="C81" s="77">
        <f t="array" ref="C81">MIN(IF(体力抽奖!$C$48:$C$60&gt;=$J81,体力抽奖!$J$48:$J$60))</f>
        <v>21</v>
      </c>
      <c r="D81" s="77">
        <f>VLOOKUP($C81,猫咪!$B:$E,4,0)</f>
        <v>10485.76</v>
      </c>
      <c r="E81" s="110">
        <f t="shared" si="9"/>
        <v>31700</v>
      </c>
      <c r="F81" s="77">
        <f t="shared" si="10"/>
        <v>332430292</v>
      </c>
      <c r="G81" s="83">
        <f t="shared" si="8"/>
        <v>2700000000</v>
      </c>
      <c r="H81" s="77">
        <f>SUM($G$5:$G81)</f>
        <v>36311801200</v>
      </c>
      <c r="I81" s="77">
        <f t="array" ref="I81">MIN(IF(矿山!$S$5:$S$85&gt;=$H81,矿山!$P$5:$P$85))</f>
        <v>190.45</v>
      </c>
      <c r="J81" s="77">
        <f t="array" ref="J81">MIN(IF(矿山!$S$5:$S$85&gt;=$H81,矿山!$O$5:$O$85))</f>
        <v>100</v>
      </c>
      <c r="K81" s="77">
        <f t="array" ref="K81">MIN(IF(矿山!$X$5:$X$85&gt;=$H81,矿山!$U$5:$U$85))</f>
        <v>0</v>
      </c>
      <c r="L81" s="77">
        <f t="array" ref="L81">MIN(IF(矿山!$X$5:$X$85&gt;=$H81,矿山!$O$5:$O$85))</f>
        <v>0</v>
      </c>
      <c r="M81" s="80">
        <f t="shared" si="11"/>
        <v>332431000</v>
      </c>
      <c r="P81" s="77">
        <v>96</v>
      </c>
      <c r="Q81" s="77">
        <f>INDEX(等级时间!$U$3:$AU$203,MATCH($P81,等级时间!$U$3:$U$203,0),MATCH(Q$4,等级时间!$U$3:$AU$3,0))</f>
        <v>160.12</v>
      </c>
      <c r="R81" s="77">
        <f t="shared" si="12"/>
        <v>6.9399999999999977</v>
      </c>
      <c r="S81" s="77">
        <f t="array" ref="S81">INDEX($F$4:$F$104,MATCH(MAX(IF($J$5:$J$104&lt;=$P81,$J$5:$J$104)),$J$4:$J$104,0),0)*R81*IF($P81&gt;=$N$6,2,1)</f>
        <v>2125323588.4799993</v>
      </c>
      <c r="T81" s="77">
        <f>SUM($S$5:$S81)</f>
        <v>15940430971.456003</v>
      </c>
      <c r="V81" s="77">
        <f>INDEX(等级时间!$U$3:$AU$203,MATCH($P81,等级时间!$U$3:$U$203,0),MATCH(V$4,等级时间!$U$3:$AU$3,0))</f>
        <v>67.27</v>
      </c>
      <c r="W81" s="77">
        <f t="shared" si="13"/>
        <v>2.9099999999999966</v>
      </c>
      <c r="X81" s="77">
        <f t="array" ref="X81">INDEX($F$4:$F$104,MATCH(MAX(IF($J$5:$J$104&lt;=$P81,$J$5:$J$104)),$J$4:$J$104,0),0)*W81*IF($P81&gt;=$N$6,2,1)</f>
        <v>891165942.71999896</v>
      </c>
      <c r="Y81" s="77">
        <f>SUM($X$5:$X81)</f>
        <v>6696772090.7359972</v>
      </c>
    </row>
    <row r="82" spans="2:25" x14ac:dyDescent="0.15">
      <c r="B82" s="77">
        <v>78</v>
      </c>
      <c r="C82" s="77">
        <f t="array" ref="C82">MAX(C81,MIN(IF(体力抽奖!$C$48:$C$60&gt;=$J82,体力抽奖!$J$48:$J$60)))</f>
        <v>21</v>
      </c>
      <c r="D82" s="77">
        <f>VLOOKUP($C82,猫咪!$B:$E,4,0)</f>
        <v>10485.76</v>
      </c>
      <c r="E82" s="110">
        <f t="shared" si="9"/>
        <v>32100</v>
      </c>
      <c r="F82" s="77">
        <f t="shared" si="10"/>
        <v>336624996</v>
      </c>
      <c r="G82" s="83">
        <f t="shared" si="8"/>
        <v>2900000000</v>
      </c>
      <c r="H82" s="77">
        <f>SUM($G$5:$G82)</f>
        <v>39211801200</v>
      </c>
      <c r="I82" s="77">
        <f t="array" ref="I82">MIN(IF(矿山!$S$5:$S$85&gt;=$H82,矿山!$P$5:$P$85))</f>
        <v>0</v>
      </c>
      <c r="J82" s="77">
        <f t="array" ref="J82">MIN(IF(矿山!$S$5:$S$85&gt;=$H82,矿山!$O$5:$O$85))</f>
        <v>0</v>
      </c>
      <c r="K82" s="77">
        <f t="array" ref="K82">MIN(IF(矿山!$X$5:$X$85&gt;=$H82,矿山!$U$5:$U$85))</f>
        <v>0</v>
      </c>
      <c r="L82" s="77">
        <f t="array" ref="L82">MIN(IF(矿山!$X$5:$X$85&gt;=$H82,矿山!$O$5:$O$85))</f>
        <v>0</v>
      </c>
      <c r="M82" s="80">
        <f t="shared" si="11"/>
        <v>336625000</v>
      </c>
      <c r="P82" s="77">
        <v>97</v>
      </c>
      <c r="Q82" s="77">
        <f>INDEX(等级时间!$U$3:$AU$203,MATCH($P82,等级时间!$U$3:$U$203,0),MATCH(Q$4,等级时间!$U$3:$AU$3,0))</f>
        <v>167.31</v>
      </c>
      <c r="R82" s="77">
        <f t="shared" si="12"/>
        <v>7.1899999999999977</v>
      </c>
      <c r="S82" s="77">
        <f t="array" ref="S82">INDEX($F$4:$F$104,MATCH(MAX(IF($J$5:$J$104&lt;=$P82,$J$5:$J$104)),$J$4:$J$104,0),0)*R82*IF($P82&gt;=$N$6,2,1)</f>
        <v>2254669132.5599995</v>
      </c>
      <c r="T82" s="77">
        <f>SUM($S$5:$S82)</f>
        <v>18195100104.016003</v>
      </c>
      <c r="V82" s="77">
        <f>INDEX(等级时间!$U$3:$AU$203,MATCH($P82,等级时间!$U$3:$U$203,0),MATCH(V$4,等级时间!$U$3:$AU$3,0))</f>
        <v>70.290000000000006</v>
      </c>
      <c r="W82" s="77">
        <f t="shared" si="13"/>
        <v>3.0200000000000102</v>
      </c>
      <c r="X82" s="77">
        <f t="array" ref="X82">INDEX($F$4:$F$104,MATCH(MAX(IF($J$5:$J$104&lt;=$P82,$J$5:$J$104)),$J$4:$J$104,0),0)*W82*IF($P82&gt;=$N$6,2,1)</f>
        <v>947023752.48000324</v>
      </c>
      <c r="Y82" s="77">
        <f>SUM($X$5:$X82)</f>
        <v>7643795843.2160006</v>
      </c>
    </row>
    <row r="83" spans="2:25" x14ac:dyDescent="0.15">
      <c r="B83" s="77">
        <v>79</v>
      </c>
      <c r="C83" s="77">
        <f t="array" ref="C83">MAX(C82,MIN(IF(体力抽奖!$C$48:$C$60&gt;=$J83,体力抽奖!$J$48:$J$60)))</f>
        <v>21</v>
      </c>
      <c r="D83" s="77">
        <f>VLOOKUP($C83,猫咪!$B:$E,4,0)</f>
        <v>10485.76</v>
      </c>
      <c r="E83" s="110">
        <f t="shared" si="9"/>
        <v>32400</v>
      </c>
      <c r="F83" s="77">
        <f t="shared" si="10"/>
        <v>339771024</v>
      </c>
      <c r="G83" s="83">
        <f t="shared" si="8"/>
        <v>3100000000</v>
      </c>
      <c r="H83" s="77">
        <f>SUM($G$5:$G83)</f>
        <v>42311801200</v>
      </c>
      <c r="I83" s="77">
        <f t="array" ref="I83">MIN(IF(矿山!$S$5:$S$85&gt;=$H83,矿山!$P$5:$P$85))</f>
        <v>0</v>
      </c>
      <c r="J83" s="77">
        <f t="array" ref="J83">MIN(IF(矿山!$S$5:$S$85&gt;=$H83,矿山!$O$5:$O$85))</f>
        <v>0</v>
      </c>
      <c r="K83" s="77">
        <f t="array" ref="K83">MIN(IF(矿山!$X$5:$X$85&gt;=$H83,矿山!$U$5:$U$85))</f>
        <v>0</v>
      </c>
      <c r="L83" s="77">
        <f t="array" ref="L83">MIN(IF(矿山!$X$5:$X$85&gt;=$H83,矿山!$O$5:$O$85))</f>
        <v>0</v>
      </c>
      <c r="M83" s="80">
        <f t="shared" si="11"/>
        <v>339772000</v>
      </c>
      <c r="P83" s="77">
        <v>98</v>
      </c>
      <c r="Q83" s="77">
        <f>INDEX(等级时间!$U$3:$AU$203,MATCH($P83,等级时间!$U$3:$U$203,0),MATCH(Q$4,等级时间!$U$3:$AU$3,0))</f>
        <v>174.76</v>
      </c>
      <c r="R83" s="77">
        <f t="shared" si="12"/>
        <v>7.4499999999999886</v>
      </c>
      <c r="S83" s="77">
        <f t="array" ref="S83">INDEX($F$4:$F$104,MATCH(MAX(IF($J$5:$J$104&lt;=$P83,$J$5:$J$104)),$J$4:$J$104,0),0)*R83*IF($P83&gt;=$N$6,2,1)</f>
        <v>2367454503.5999966</v>
      </c>
      <c r="T83" s="77">
        <f>SUM($S$5:$S83)</f>
        <v>20562554607.615997</v>
      </c>
      <c r="V83" s="77">
        <f>INDEX(等级时间!$U$3:$AU$203,MATCH($P83,等级时间!$U$3:$U$203,0),MATCH(V$4,等级时间!$U$3:$AU$3,0))</f>
        <v>73.42</v>
      </c>
      <c r="W83" s="77">
        <f t="shared" si="13"/>
        <v>3.1299999999999955</v>
      </c>
      <c r="X83" s="77">
        <f t="array" ref="X83">INDEX($F$4:$F$104,MATCH(MAX(IF($J$5:$J$104&lt;=$P83,$J$5:$J$104)),$J$4:$J$104,0),0)*W83*IF($P83&gt;=$N$6,2,1)</f>
        <v>994648670.63999856</v>
      </c>
      <c r="Y83" s="77">
        <f>SUM($X$5:$X83)</f>
        <v>8638444513.855999</v>
      </c>
    </row>
    <row r="84" spans="2:25" x14ac:dyDescent="0.15">
      <c r="B84" s="77">
        <v>80</v>
      </c>
      <c r="C84" s="77">
        <f t="array" ref="C84">MAX(C83,MIN(IF(体力抽奖!$C$48:$C$60&gt;=$J84,体力抽奖!$J$48:$J$60)))</f>
        <v>21</v>
      </c>
      <c r="D84" s="77">
        <f>VLOOKUP($C84,猫咪!$B:$E,4,0)</f>
        <v>10485.76</v>
      </c>
      <c r="E84" s="110">
        <f t="shared" si="9"/>
        <v>32800</v>
      </c>
      <c r="F84" s="77">
        <f t="shared" si="10"/>
        <v>343965728</v>
      </c>
      <c r="G84" s="83">
        <f t="shared" si="8"/>
        <v>3300000000</v>
      </c>
      <c r="H84" s="77">
        <f>SUM($G$5:$G84)</f>
        <v>45611801200</v>
      </c>
      <c r="I84" s="77">
        <f t="array" ref="I84">MIN(IF(矿山!$S$5:$S$85&gt;=$H84,矿山!$P$5:$P$85))</f>
        <v>0</v>
      </c>
      <c r="J84" s="77">
        <f t="array" ref="J84">MIN(IF(矿山!$S$5:$S$85&gt;=$H84,矿山!$O$5:$O$85))</f>
        <v>0</v>
      </c>
      <c r="K84" s="77">
        <f t="array" ref="K84">MIN(IF(矿山!$X$5:$X$85&gt;=$H84,矿山!$U$5:$U$85))</f>
        <v>0</v>
      </c>
      <c r="L84" s="77">
        <f t="array" ref="L84">MIN(IF(矿山!$X$5:$X$85&gt;=$H84,矿山!$O$5:$O$85))</f>
        <v>0</v>
      </c>
      <c r="M84" s="80">
        <f t="shared" si="11"/>
        <v>343966000</v>
      </c>
      <c r="P84" s="77">
        <v>99</v>
      </c>
      <c r="Q84" s="77">
        <f>INDEX(等级时间!$U$3:$AU$203,MATCH($P84,等级时间!$U$3:$U$203,0),MATCH(Q$4,等级时间!$U$3:$AU$3,0))</f>
        <v>182.47</v>
      </c>
      <c r="R84" s="77">
        <f t="shared" si="12"/>
        <v>7.710000000000008</v>
      </c>
      <c r="S84" s="77">
        <f t="array" ref="S84">INDEX($F$4:$F$104,MATCH(MAX(IF($J$5:$J$104&lt;=$P84,$J$5:$J$104)),$J$4:$J$104,0),0)*R84*IF($P84&gt;=$N$6,2,1)</f>
        <v>2474335265.7600026</v>
      </c>
      <c r="T84" s="77">
        <f>SUM($S$5:$S84)</f>
        <v>23036889873.375999</v>
      </c>
      <c r="V84" s="77">
        <f>INDEX(等级时间!$U$3:$AU$203,MATCH($P84,等级时间!$U$3:$U$203,0),MATCH(V$4,等级时间!$U$3:$AU$3,0))</f>
        <v>76.66</v>
      </c>
      <c r="W84" s="77">
        <f t="shared" si="13"/>
        <v>3.2399999999999949</v>
      </c>
      <c r="X84" s="77">
        <f t="array" ref="X84">INDEX($F$4:$F$104,MATCH(MAX(IF($J$5:$J$104&lt;=$P84,$J$5:$J$104)),$J$4:$J$104,0),0)*W84*IF($P84&gt;=$N$6,2,1)</f>
        <v>1039798477.4399984</v>
      </c>
      <c r="Y84" s="77">
        <f>SUM($X$5:$X84)</f>
        <v>9678242991.2959976</v>
      </c>
    </row>
    <row r="85" spans="2:25" x14ac:dyDescent="0.15">
      <c r="B85" s="77">
        <v>81</v>
      </c>
      <c r="C85" s="77">
        <f t="array" ref="C85">MAX(C84,MIN(IF(体力抽奖!$C$48:$C$60&gt;=$J85,体力抽奖!$J$48:$J$60)))</f>
        <v>21</v>
      </c>
      <c r="D85" s="77">
        <f>VLOOKUP($C85,猫咪!$B:$E,4,0)</f>
        <v>10485.76</v>
      </c>
      <c r="E85" s="110">
        <f t="shared" si="9"/>
        <v>33200</v>
      </c>
      <c r="F85" s="77">
        <f t="shared" si="10"/>
        <v>348160432</v>
      </c>
      <c r="G85" s="83">
        <f t="shared" si="8"/>
        <v>3500000000</v>
      </c>
      <c r="H85" s="77">
        <f>SUM($G$5:$G85)</f>
        <v>49111801200</v>
      </c>
      <c r="I85" s="77">
        <f t="array" ref="I85">MIN(IF(矿山!$S$5:$S$85&gt;=$H85,矿山!$P$5:$P$85))</f>
        <v>0</v>
      </c>
      <c r="J85" s="77">
        <f t="array" ref="J85">MIN(IF(矿山!$S$5:$S$85&gt;=$H85,矿山!$O$5:$O$85))</f>
        <v>0</v>
      </c>
      <c r="K85" s="77">
        <f t="array" ref="K85">MIN(IF(矿山!$X$5:$X$85&gt;=$H85,矿山!$U$5:$U$85))</f>
        <v>0</v>
      </c>
      <c r="L85" s="77">
        <f t="array" ref="L85">MIN(IF(矿山!$X$5:$X$85&gt;=$H85,矿山!$O$5:$O$85))</f>
        <v>0</v>
      </c>
      <c r="M85" s="80">
        <f t="shared" si="11"/>
        <v>348161000</v>
      </c>
      <c r="P85" s="77">
        <v>100</v>
      </c>
      <c r="Q85" s="77">
        <f>INDEX(等级时间!$U$3:$AU$203,MATCH($P85,等级时间!$U$3:$U$203,0),MATCH(Q$4,等级时间!$U$3:$AU$3,0))</f>
        <v>190.45</v>
      </c>
      <c r="R85" s="77">
        <f t="shared" si="12"/>
        <v>7.9799999999999898</v>
      </c>
      <c r="S85" s="77">
        <f t="array" ref="S85">INDEX($F$4:$F$104,MATCH(MAX(IF($J$5:$J$104&lt;=$P85,$J$5:$J$104)),$J$4:$J$104,0),0)*R85*IF($P85&gt;=$N$6,2,1)</f>
        <v>5255376853.4399929</v>
      </c>
      <c r="T85" s="77">
        <f>SUM($S$5:$S85)</f>
        <v>28292266726.815994</v>
      </c>
      <c r="V85" s="77">
        <f>INDEX(等级时间!$U$3:$AU$203,MATCH($P85,等级时间!$U$3:$U$203,0),MATCH(V$4,等级时间!$U$3:$AU$3,0))</f>
        <v>80.010000000000005</v>
      </c>
      <c r="W85" s="77">
        <f t="shared" si="13"/>
        <v>3.3500000000000085</v>
      </c>
      <c r="X85" s="77">
        <f t="array" ref="X85">INDEX($F$4:$F$104,MATCH(MAX(IF($J$5:$J$104&lt;=$P85,$J$5:$J$104)),$J$4:$J$104,0),0)*W85*IF($P85&gt;=$N$6,2,1)</f>
        <v>2206204568.8000054</v>
      </c>
      <c r="Y85" s="77">
        <f>SUM($X$5:$X85)</f>
        <v>11884447560.096003</v>
      </c>
    </row>
    <row r="86" spans="2:25" x14ac:dyDescent="0.15">
      <c r="B86" s="77">
        <v>82</v>
      </c>
      <c r="C86" s="77">
        <f t="array" ref="C86">MAX(C85,MIN(IF(体力抽奖!$C$48:$C$60&gt;=$J86,体力抽奖!$J$48:$J$60)))</f>
        <v>21</v>
      </c>
      <c r="D86" s="77">
        <f>VLOOKUP($C86,猫咪!$B:$E,4,0)</f>
        <v>10485.76</v>
      </c>
      <c r="E86" s="110">
        <f t="shared" si="9"/>
        <v>33500</v>
      </c>
      <c r="F86" s="77">
        <f t="shared" si="10"/>
        <v>351306460</v>
      </c>
      <c r="G86" s="83">
        <f t="shared" si="8"/>
        <v>3700000000</v>
      </c>
      <c r="H86" s="77">
        <f>SUM($G$5:$G86)</f>
        <v>52811801200</v>
      </c>
      <c r="I86" s="77">
        <f t="array" ref="I86">MIN(IF(矿山!$S$5:$S$85&gt;=$H86,矿山!$P$5:$P$85))</f>
        <v>0</v>
      </c>
      <c r="J86" s="77">
        <f t="array" ref="J86">MIN(IF(矿山!$S$5:$S$85&gt;=$H86,矿山!$O$5:$O$85))</f>
        <v>0</v>
      </c>
      <c r="K86" s="77">
        <f t="array" ref="K86">MIN(IF(矿山!$X$5:$X$85&gt;=$H86,矿山!$U$5:$U$85))</f>
        <v>0</v>
      </c>
      <c r="L86" s="77">
        <f t="array" ref="L86">MIN(IF(矿山!$X$5:$X$85&gt;=$H86,矿山!$O$5:$O$85))</f>
        <v>0</v>
      </c>
      <c r="M86" s="80">
        <f t="shared" si="11"/>
        <v>351307000</v>
      </c>
    </row>
    <row r="87" spans="2:25" x14ac:dyDescent="0.15">
      <c r="B87" s="77">
        <v>83</v>
      </c>
      <c r="C87" s="77">
        <f t="array" ref="C87">MAX(C86,MIN(IF(体力抽奖!$C$48:$C$60&gt;=$J87,体力抽奖!$J$48:$J$60)))</f>
        <v>21</v>
      </c>
      <c r="D87" s="77">
        <f>VLOOKUP($C87,猫咪!$B:$E,4,0)</f>
        <v>10485.76</v>
      </c>
      <c r="E87" s="110">
        <f t="shared" si="9"/>
        <v>33900</v>
      </c>
      <c r="F87" s="77">
        <f t="shared" si="10"/>
        <v>355501164</v>
      </c>
      <c r="G87" s="83">
        <f t="shared" si="8"/>
        <v>3900000000</v>
      </c>
      <c r="H87" s="77">
        <f>SUM($G$5:$G87)</f>
        <v>56711801200</v>
      </c>
      <c r="I87" s="77">
        <f t="array" ref="I87">MIN(IF(矿山!$S$5:$S$85&gt;=$H87,矿山!$P$5:$P$85))</f>
        <v>0</v>
      </c>
      <c r="J87" s="77">
        <f t="array" ref="J87">MIN(IF(矿山!$S$5:$S$85&gt;=$H87,矿山!$O$5:$O$85))</f>
        <v>0</v>
      </c>
      <c r="K87" s="77">
        <f t="array" ref="K87">MIN(IF(矿山!$X$5:$X$85&gt;=$H87,矿山!$U$5:$U$85))</f>
        <v>0</v>
      </c>
      <c r="L87" s="77">
        <f t="array" ref="L87">MIN(IF(矿山!$X$5:$X$85&gt;=$H87,矿山!$O$5:$O$85))</f>
        <v>0</v>
      </c>
      <c r="M87" s="80">
        <f t="shared" si="11"/>
        <v>355502000</v>
      </c>
    </row>
    <row r="88" spans="2:25" x14ac:dyDescent="0.15">
      <c r="B88" s="77">
        <v>84</v>
      </c>
      <c r="C88" s="77">
        <f t="array" ref="C88">MAX(C87,MIN(IF(体力抽奖!$C$48:$C$60&gt;=$J88,体力抽奖!$J$48:$J$60)))</f>
        <v>21</v>
      </c>
      <c r="D88" s="77">
        <f>VLOOKUP($C88,猫咪!$B:$E,4,0)</f>
        <v>10485.76</v>
      </c>
      <c r="E88" s="110">
        <f t="shared" si="9"/>
        <v>34200</v>
      </c>
      <c r="F88" s="77">
        <f t="shared" si="10"/>
        <v>358647192</v>
      </c>
      <c r="G88" s="83">
        <f t="shared" si="8"/>
        <v>4200000000</v>
      </c>
      <c r="H88" s="77">
        <f>SUM($G$5:$G88)</f>
        <v>60911801200</v>
      </c>
      <c r="I88" s="77">
        <f t="array" ref="I88">MIN(IF(矿山!$S$5:$S$85&gt;=$H88,矿山!$P$5:$P$85))</f>
        <v>0</v>
      </c>
      <c r="J88" s="77">
        <f t="array" ref="J88">MIN(IF(矿山!$S$5:$S$85&gt;=$H88,矿山!$O$5:$O$85))</f>
        <v>0</v>
      </c>
      <c r="K88" s="77">
        <f t="array" ref="K88">MIN(IF(矿山!$X$5:$X$85&gt;=$H88,矿山!$U$5:$U$85))</f>
        <v>0</v>
      </c>
      <c r="L88" s="77">
        <f t="array" ref="L88">MIN(IF(矿山!$X$5:$X$85&gt;=$H88,矿山!$O$5:$O$85))</f>
        <v>0</v>
      </c>
      <c r="M88" s="80">
        <f t="shared" si="11"/>
        <v>358648000</v>
      </c>
    </row>
    <row r="89" spans="2:25" x14ac:dyDescent="0.15">
      <c r="B89" s="77">
        <v>85</v>
      </c>
      <c r="C89" s="77">
        <f t="array" ref="C89">MAX(C88,MIN(IF(体力抽奖!$C$48:$C$60&gt;=$J89,体力抽奖!$J$48:$J$60)))</f>
        <v>21</v>
      </c>
      <c r="D89" s="77">
        <f>VLOOKUP($C89,猫咪!$B:$E,4,0)</f>
        <v>10485.76</v>
      </c>
      <c r="E89" s="110">
        <f t="shared" si="9"/>
        <v>34600</v>
      </c>
      <c r="F89" s="77">
        <f t="shared" si="10"/>
        <v>362841896</v>
      </c>
      <c r="G89" s="83">
        <f t="shared" si="8"/>
        <v>4400000000</v>
      </c>
      <c r="H89" s="77">
        <f>SUM($G$5:$G89)</f>
        <v>65311801200</v>
      </c>
      <c r="I89" s="77">
        <f t="array" ref="I89">MIN(IF(矿山!$S$5:$S$85&gt;=$H89,矿山!$P$5:$P$85))</f>
        <v>0</v>
      </c>
      <c r="J89" s="77">
        <f t="array" ref="J89">MIN(IF(矿山!$S$5:$S$85&gt;=$H89,矿山!$O$5:$O$85))</f>
        <v>0</v>
      </c>
      <c r="K89" s="77">
        <f t="array" ref="K89">MIN(IF(矿山!$X$5:$X$85&gt;=$H89,矿山!$U$5:$U$85))</f>
        <v>0</v>
      </c>
      <c r="L89" s="77">
        <f t="array" ref="L89">MIN(IF(矿山!$X$5:$X$85&gt;=$H89,矿山!$O$5:$O$85))</f>
        <v>0</v>
      </c>
      <c r="M89" s="80">
        <f t="shared" si="11"/>
        <v>362842000</v>
      </c>
    </row>
    <row r="90" spans="2:25" x14ac:dyDescent="0.15">
      <c r="B90" s="77">
        <v>86</v>
      </c>
      <c r="C90" s="77">
        <f t="array" ref="C90">MAX(C89,MIN(IF(体力抽奖!$C$48:$C$60&gt;=$J90,体力抽奖!$J$48:$J$60)))</f>
        <v>21</v>
      </c>
      <c r="D90" s="77">
        <f>VLOOKUP($C90,猫咪!$B:$E,4,0)</f>
        <v>10485.76</v>
      </c>
      <c r="E90" s="110">
        <f t="shared" si="9"/>
        <v>35000</v>
      </c>
      <c r="F90" s="77">
        <f t="shared" si="10"/>
        <v>367036600</v>
      </c>
      <c r="G90" s="83">
        <f t="shared" si="8"/>
        <v>4700000000</v>
      </c>
      <c r="H90" s="77">
        <f>SUM($G$5:$G90)</f>
        <v>70011801200</v>
      </c>
      <c r="I90" s="77">
        <f t="array" ref="I90">MIN(IF(矿山!$S$5:$S$85&gt;=$H90,矿山!$P$5:$P$85))</f>
        <v>0</v>
      </c>
      <c r="J90" s="77">
        <f t="array" ref="J90">MIN(IF(矿山!$S$5:$S$85&gt;=$H90,矿山!$O$5:$O$85))</f>
        <v>0</v>
      </c>
      <c r="K90" s="77">
        <f t="array" ref="K90">MIN(IF(矿山!$X$5:$X$85&gt;=$H90,矿山!$U$5:$U$85))</f>
        <v>0</v>
      </c>
      <c r="L90" s="77">
        <f t="array" ref="L90">MIN(IF(矿山!$X$5:$X$85&gt;=$H90,矿山!$O$5:$O$85))</f>
        <v>0</v>
      </c>
      <c r="M90" s="80">
        <f t="shared" si="11"/>
        <v>367037000</v>
      </c>
    </row>
    <row r="91" spans="2:25" x14ac:dyDescent="0.15">
      <c r="B91" s="77">
        <v>87</v>
      </c>
      <c r="C91" s="77">
        <f t="array" ref="C91">MAX(C90,MIN(IF(体力抽奖!$C$48:$C$60&gt;=$J91,体力抽奖!$J$48:$J$60)))</f>
        <v>21</v>
      </c>
      <c r="D91" s="77">
        <f>VLOOKUP($C91,猫咪!$B:$E,4,0)</f>
        <v>10485.76</v>
      </c>
      <c r="E91" s="110">
        <f t="shared" si="9"/>
        <v>35300</v>
      </c>
      <c r="F91" s="77">
        <f t="shared" si="10"/>
        <v>370182628</v>
      </c>
      <c r="G91" s="83">
        <f t="shared" si="8"/>
        <v>5000000000</v>
      </c>
      <c r="H91" s="77">
        <f>SUM($G$5:$G91)</f>
        <v>75011801200</v>
      </c>
      <c r="I91" s="77">
        <f t="array" ref="I91">MIN(IF(矿山!$S$5:$S$85&gt;=$H91,矿山!$P$5:$P$85))</f>
        <v>0</v>
      </c>
      <c r="J91" s="77">
        <f t="array" ref="J91">MIN(IF(矿山!$S$5:$S$85&gt;=$H91,矿山!$O$5:$O$85))</f>
        <v>0</v>
      </c>
      <c r="K91" s="77">
        <f t="array" ref="K91">MIN(IF(矿山!$X$5:$X$85&gt;=$H91,矿山!$U$5:$U$85))</f>
        <v>0</v>
      </c>
      <c r="L91" s="77">
        <f t="array" ref="L91">MIN(IF(矿山!$X$5:$X$85&gt;=$H91,矿山!$O$5:$O$85))</f>
        <v>0</v>
      </c>
      <c r="M91" s="80">
        <f t="shared" si="11"/>
        <v>370183000</v>
      </c>
    </row>
    <row r="92" spans="2:25" x14ac:dyDescent="0.15">
      <c r="B92" s="77">
        <v>88</v>
      </c>
      <c r="C92" s="77">
        <f t="array" ref="C92">MAX(C91,MIN(IF(体力抽奖!$C$48:$C$60&gt;=$J92,体力抽奖!$J$48:$J$60)))</f>
        <v>21</v>
      </c>
      <c r="D92" s="77">
        <f>VLOOKUP($C92,猫咪!$B:$E,4,0)</f>
        <v>10485.76</v>
      </c>
      <c r="E92" s="110">
        <f t="shared" si="9"/>
        <v>35700</v>
      </c>
      <c r="F92" s="77">
        <f t="shared" si="10"/>
        <v>374377332</v>
      </c>
      <c r="G92" s="83">
        <f t="shared" si="8"/>
        <v>5300000000</v>
      </c>
      <c r="H92" s="77">
        <f>SUM($G$5:$G92)</f>
        <v>80311801200</v>
      </c>
      <c r="I92" s="77">
        <f t="array" ref="I92">MIN(IF(矿山!$S$5:$S$85&gt;=$H92,矿山!$P$5:$P$85))</f>
        <v>0</v>
      </c>
      <c r="J92" s="77">
        <f t="array" ref="J92">MIN(IF(矿山!$S$5:$S$85&gt;=$H92,矿山!$O$5:$O$85))</f>
        <v>0</v>
      </c>
      <c r="K92" s="77">
        <f t="array" ref="K92">MIN(IF(矿山!$X$5:$X$85&gt;=$H92,矿山!$U$5:$U$85))</f>
        <v>0</v>
      </c>
      <c r="L92" s="77">
        <f t="array" ref="L92">MIN(IF(矿山!$X$5:$X$85&gt;=$H92,矿山!$O$5:$O$85))</f>
        <v>0</v>
      </c>
      <c r="M92" s="80">
        <f t="shared" si="11"/>
        <v>374378000</v>
      </c>
    </row>
    <row r="93" spans="2:25" x14ac:dyDescent="0.15">
      <c r="B93" s="77">
        <v>89</v>
      </c>
      <c r="C93" s="77">
        <f t="array" ref="C93">MAX(C92,MIN(IF(体力抽奖!$C$48:$C$60&gt;=$J93,体力抽奖!$J$48:$J$60)))</f>
        <v>21</v>
      </c>
      <c r="D93" s="77">
        <f>VLOOKUP($C93,猫咪!$B:$E,4,0)</f>
        <v>10485.76</v>
      </c>
      <c r="E93" s="110">
        <f t="shared" si="9"/>
        <v>36000</v>
      </c>
      <c r="F93" s="77">
        <f t="shared" si="10"/>
        <v>377523360</v>
      </c>
      <c r="G93" s="83">
        <f t="shared" si="8"/>
        <v>5600000000</v>
      </c>
      <c r="H93" s="77">
        <f>SUM($G$5:$G93)</f>
        <v>85911801200</v>
      </c>
      <c r="I93" s="77">
        <f t="array" ref="I93">MIN(IF(矿山!$S$5:$S$85&gt;=$H93,矿山!$P$5:$P$85))</f>
        <v>0</v>
      </c>
      <c r="J93" s="77">
        <f t="array" ref="J93">MIN(IF(矿山!$S$5:$S$85&gt;=$H93,矿山!$O$5:$O$85))</f>
        <v>0</v>
      </c>
      <c r="K93" s="77">
        <f t="array" ref="K93">MIN(IF(矿山!$X$5:$X$85&gt;=$H93,矿山!$U$5:$U$85))</f>
        <v>0</v>
      </c>
      <c r="L93" s="77">
        <f t="array" ref="L93">MIN(IF(矿山!$X$5:$X$85&gt;=$H93,矿山!$O$5:$O$85))</f>
        <v>0</v>
      </c>
      <c r="M93" s="80">
        <f t="shared" si="11"/>
        <v>377524000</v>
      </c>
    </row>
    <row r="94" spans="2:25" x14ac:dyDescent="0.15">
      <c r="B94" s="77">
        <v>90</v>
      </c>
      <c r="C94" s="77">
        <f t="array" ref="C94">MAX(C93,MIN(IF(体力抽奖!$C$48:$C$60&gt;=$J94,体力抽奖!$J$48:$J$60)))</f>
        <v>21</v>
      </c>
      <c r="D94" s="77">
        <f>VLOOKUP($C94,猫咪!$B:$E,4,0)</f>
        <v>10485.76</v>
      </c>
      <c r="E94" s="110">
        <f t="shared" si="9"/>
        <v>36400</v>
      </c>
      <c r="F94" s="77">
        <f t="shared" si="10"/>
        <v>381718064</v>
      </c>
      <c r="G94" s="83">
        <f t="shared" si="8"/>
        <v>5900000000</v>
      </c>
      <c r="H94" s="77">
        <f>SUM($G$5:$G94)</f>
        <v>91811801200</v>
      </c>
      <c r="I94" s="77">
        <f t="array" ref="I94">MIN(IF(矿山!$S$5:$S$85&gt;=$H94,矿山!$P$5:$P$85))</f>
        <v>0</v>
      </c>
      <c r="J94" s="77">
        <f t="array" ref="J94">MIN(IF(矿山!$S$5:$S$85&gt;=$H94,矿山!$O$5:$O$85))</f>
        <v>0</v>
      </c>
      <c r="K94" s="77">
        <f t="array" ref="K94">MIN(IF(矿山!$X$5:$X$85&gt;=$H94,矿山!$U$5:$U$85))</f>
        <v>0</v>
      </c>
      <c r="L94" s="77">
        <f t="array" ref="L94">MIN(IF(矿山!$X$5:$X$85&gt;=$H94,矿山!$O$5:$O$85))</f>
        <v>0</v>
      </c>
      <c r="M94" s="80">
        <f t="shared" si="11"/>
        <v>381719000</v>
      </c>
    </row>
    <row r="95" spans="2:25" x14ac:dyDescent="0.15">
      <c r="B95" s="77">
        <v>91</v>
      </c>
      <c r="C95" s="77">
        <f t="array" ref="C95">MAX(C94,MIN(IF(体力抽奖!$C$48:$C$60&gt;=$J95,体力抽奖!$J$48:$J$60)))</f>
        <v>21</v>
      </c>
      <c r="D95" s="77">
        <f>VLOOKUP($C95,猫咪!$B:$E,4,0)</f>
        <v>10485.76</v>
      </c>
      <c r="E95" s="110">
        <f t="shared" si="9"/>
        <v>36800</v>
      </c>
      <c r="F95" s="77">
        <f t="shared" si="10"/>
        <v>385912768</v>
      </c>
      <c r="G95" s="83">
        <f t="shared" si="8"/>
        <v>6200000000</v>
      </c>
      <c r="H95" s="77">
        <f>SUM($G$5:$G95)</f>
        <v>98011801200</v>
      </c>
      <c r="I95" s="77">
        <f t="array" ref="I95">MIN(IF(矿山!$S$5:$S$85&gt;=$H95,矿山!$P$5:$P$85))</f>
        <v>0</v>
      </c>
      <c r="J95" s="77">
        <f t="array" ref="J95">MIN(IF(矿山!$S$5:$S$85&gt;=$H95,矿山!$O$5:$O$85))</f>
        <v>0</v>
      </c>
      <c r="K95" s="77">
        <f t="array" ref="K95">MIN(IF(矿山!$X$5:$X$85&gt;=$H95,矿山!$U$5:$U$85))</f>
        <v>0</v>
      </c>
      <c r="L95" s="77">
        <f t="array" ref="L95">MIN(IF(矿山!$X$5:$X$85&gt;=$H95,矿山!$O$5:$O$85))</f>
        <v>0</v>
      </c>
      <c r="M95" s="80">
        <f t="shared" si="11"/>
        <v>385913000</v>
      </c>
    </row>
    <row r="96" spans="2:25" x14ac:dyDescent="0.15">
      <c r="B96" s="77">
        <v>92</v>
      </c>
      <c r="C96" s="77">
        <f t="array" ref="C96">MAX(C95,MIN(IF(体力抽奖!$C$48:$C$60&gt;=$J96,体力抽奖!$J$48:$J$60)))</f>
        <v>21</v>
      </c>
      <c r="D96" s="77">
        <f>VLOOKUP($C96,猫咪!$B:$E,4,0)</f>
        <v>10485.76</v>
      </c>
      <c r="E96" s="110">
        <f t="shared" si="9"/>
        <v>37100</v>
      </c>
      <c r="F96" s="77">
        <f t="shared" si="10"/>
        <v>389058796</v>
      </c>
      <c r="G96" s="83">
        <f t="shared" si="8"/>
        <v>6600000000</v>
      </c>
      <c r="H96" s="77">
        <f>SUM($G$5:$G96)</f>
        <v>104611801200</v>
      </c>
      <c r="I96" s="77">
        <f t="array" ref="I96">MIN(IF(矿山!$S$5:$S$85&gt;=$H96,矿山!$P$5:$P$85))</f>
        <v>0</v>
      </c>
      <c r="J96" s="77">
        <f t="array" ref="J96">MIN(IF(矿山!$S$5:$S$85&gt;=$H96,矿山!$O$5:$O$85))</f>
        <v>0</v>
      </c>
      <c r="K96" s="77">
        <f t="array" ref="K96">MIN(IF(矿山!$X$5:$X$85&gt;=$H96,矿山!$U$5:$U$85))</f>
        <v>0</v>
      </c>
      <c r="L96" s="77">
        <f t="array" ref="L96">MIN(IF(矿山!$X$5:$X$85&gt;=$H96,矿山!$O$5:$O$85))</f>
        <v>0</v>
      </c>
      <c r="M96" s="80">
        <f t="shared" si="11"/>
        <v>389059000</v>
      </c>
    </row>
    <row r="97" spans="2:13" x14ac:dyDescent="0.15">
      <c r="B97" s="77">
        <v>93</v>
      </c>
      <c r="C97" s="77">
        <f t="array" ref="C97">MAX(C96,MIN(IF(体力抽奖!$C$48:$C$60&gt;=$J97,体力抽奖!$J$48:$J$60)))</f>
        <v>21</v>
      </c>
      <c r="D97" s="77">
        <f>VLOOKUP($C97,猫咪!$B:$E,4,0)</f>
        <v>10485.76</v>
      </c>
      <c r="E97" s="110">
        <f t="shared" si="9"/>
        <v>37500</v>
      </c>
      <c r="F97" s="77">
        <f t="shared" si="10"/>
        <v>393253500</v>
      </c>
      <c r="G97" s="83">
        <f t="shared" si="8"/>
        <v>7000000000</v>
      </c>
      <c r="H97" s="77">
        <f>SUM($G$5:$G97)</f>
        <v>111611801200</v>
      </c>
      <c r="I97" s="77">
        <f t="array" ref="I97">MIN(IF(矿山!$S$5:$S$85&gt;=$H97,矿山!$P$5:$P$85))</f>
        <v>0</v>
      </c>
      <c r="J97" s="77">
        <f t="array" ref="J97">MIN(IF(矿山!$S$5:$S$85&gt;=$H97,矿山!$O$5:$O$85))</f>
        <v>0</v>
      </c>
      <c r="K97" s="77">
        <f t="array" ref="K97">MIN(IF(矿山!$X$5:$X$85&gt;=$H97,矿山!$U$5:$U$85))</f>
        <v>0</v>
      </c>
      <c r="L97" s="77">
        <f t="array" ref="L97">MIN(IF(矿山!$X$5:$X$85&gt;=$H97,矿山!$O$5:$O$85))</f>
        <v>0</v>
      </c>
      <c r="M97" s="80">
        <f t="shared" si="11"/>
        <v>393254000</v>
      </c>
    </row>
    <row r="98" spans="2:13" x14ac:dyDescent="0.15">
      <c r="B98" s="77">
        <v>94</v>
      </c>
      <c r="C98" s="77">
        <f t="array" ref="C98">MAX(C97,MIN(IF(体力抽奖!$C$48:$C$60&gt;=$J98,体力抽奖!$J$48:$J$60)))</f>
        <v>21</v>
      </c>
      <c r="D98" s="77">
        <f>VLOOKUP($C98,猫咪!$B:$E,4,0)</f>
        <v>10485.76</v>
      </c>
      <c r="E98" s="110">
        <f t="shared" si="9"/>
        <v>37800</v>
      </c>
      <c r="F98" s="77">
        <f t="shared" si="10"/>
        <v>396399528</v>
      </c>
      <c r="G98" s="83">
        <f t="shared" si="8"/>
        <v>7300000000</v>
      </c>
      <c r="H98" s="77">
        <f>SUM($G$5:$G98)</f>
        <v>118911801200</v>
      </c>
      <c r="I98" s="77">
        <f t="array" ref="I98">MIN(IF(矿山!$S$5:$S$85&gt;=$H98,矿山!$P$5:$P$85))</f>
        <v>0</v>
      </c>
      <c r="J98" s="77">
        <f t="array" ref="J98">MIN(IF(矿山!$S$5:$S$85&gt;=$H98,矿山!$O$5:$O$85))</f>
        <v>0</v>
      </c>
      <c r="K98" s="77">
        <f t="array" ref="K98">MIN(IF(矿山!$X$5:$X$85&gt;=$H98,矿山!$U$5:$U$85))</f>
        <v>0</v>
      </c>
      <c r="L98" s="77">
        <f t="array" ref="L98">MIN(IF(矿山!$X$5:$X$85&gt;=$H98,矿山!$O$5:$O$85))</f>
        <v>0</v>
      </c>
      <c r="M98" s="80">
        <f t="shared" si="11"/>
        <v>396400000</v>
      </c>
    </row>
    <row r="99" spans="2:13" x14ac:dyDescent="0.15">
      <c r="B99" s="77">
        <v>95</v>
      </c>
      <c r="C99" s="77">
        <f t="array" ref="C99">MAX(C98,MIN(IF(体力抽奖!$C$48:$C$60&gt;=$J99,体力抽奖!$J$48:$J$60)))</f>
        <v>21</v>
      </c>
      <c r="D99" s="77">
        <f>VLOOKUP($C99,猫咪!$B:$E,4,0)</f>
        <v>10485.76</v>
      </c>
      <c r="E99" s="110">
        <f t="shared" si="9"/>
        <v>38200</v>
      </c>
      <c r="F99" s="77">
        <f t="shared" si="10"/>
        <v>400594232</v>
      </c>
      <c r="G99" s="83">
        <f t="shared" si="8"/>
        <v>7700000000</v>
      </c>
      <c r="H99" s="77">
        <f>SUM($G$5:$G99)</f>
        <v>126611801200</v>
      </c>
      <c r="I99" s="77">
        <f t="array" ref="I99">MIN(IF(矿山!$S$5:$S$85&gt;=$H99,矿山!$P$5:$P$85))</f>
        <v>0</v>
      </c>
      <c r="J99" s="77">
        <f t="array" ref="J99">MIN(IF(矿山!$S$5:$S$85&gt;=$H99,矿山!$O$5:$O$85))</f>
        <v>0</v>
      </c>
      <c r="K99" s="77">
        <f t="array" ref="K99">MIN(IF(矿山!$X$5:$X$85&gt;=$H99,矿山!$U$5:$U$85))</f>
        <v>0</v>
      </c>
      <c r="L99" s="77">
        <f t="array" ref="L99">MIN(IF(矿山!$X$5:$X$85&gt;=$H99,矿山!$O$5:$O$85))</f>
        <v>0</v>
      </c>
      <c r="M99" s="80">
        <f t="shared" si="11"/>
        <v>400595000</v>
      </c>
    </row>
    <row r="100" spans="2:13" x14ac:dyDescent="0.15">
      <c r="B100" s="77">
        <v>96</v>
      </c>
      <c r="C100" s="77">
        <f t="array" ref="C100">MAX(C99,MIN(IF(体力抽奖!$C$48:$C$60&gt;=$J100,体力抽奖!$J$48:$J$60)))</f>
        <v>21</v>
      </c>
      <c r="D100" s="77">
        <f>VLOOKUP($C100,猫咪!$B:$E,4,0)</f>
        <v>10485.76</v>
      </c>
      <c r="E100" s="110">
        <f t="shared" si="9"/>
        <v>38600</v>
      </c>
      <c r="F100" s="77">
        <f t="shared" si="10"/>
        <v>404788936</v>
      </c>
      <c r="G100" s="83">
        <f t="shared" si="8"/>
        <v>8200000000</v>
      </c>
      <c r="H100" s="77">
        <f>SUM($G$5:$G100)</f>
        <v>134811801200</v>
      </c>
      <c r="I100" s="77">
        <f t="array" ref="I100">MIN(IF(矿山!$S$5:$S$85&gt;=$H100,矿山!$P$5:$P$85))</f>
        <v>0</v>
      </c>
      <c r="J100" s="77">
        <f t="array" ref="J100">MIN(IF(矿山!$S$5:$S$85&gt;=$H100,矿山!$O$5:$O$85))</f>
        <v>0</v>
      </c>
      <c r="K100" s="77">
        <f t="array" ref="K100">MIN(IF(矿山!$X$5:$X$85&gt;=$H100,矿山!$U$5:$U$85))</f>
        <v>0</v>
      </c>
      <c r="L100" s="77">
        <f t="array" ref="L100">MIN(IF(矿山!$X$5:$X$85&gt;=$H100,矿山!$O$5:$O$85))</f>
        <v>0</v>
      </c>
      <c r="M100" s="80">
        <f t="shared" si="11"/>
        <v>404789000</v>
      </c>
    </row>
    <row r="101" spans="2:13" x14ac:dyDescent="0.15">
      <c r="B101" s="77">
        <v>97</v>
      </c>
      <c r="C101" s="77">
        <f t="array" ref="C101">MAX(C100,MIN(IF(体力抽奖!$C$48:$C$60&gt;=$J101,体力抽奖!$J$48:$J$60)))</f>
        <v>21</v>
      </c>
      <c r="D101" s="77">
        <f>VLOOKUP($C101,猫咪!$B:$E,4,0)</f>
        <v>10485.76</v>
      </c>
      <c r="E101" s="110">
        <f t="shared" si="9"/>
        <v>38900</v>
      </c>
      <c r="F101" s="77">
        <f t="shared" si="10"/>
        <v>407934964</v>
      </c>
      <c r="G101" s="83">
        <f t="shared" si="8"/>
        <v>8600000000</v>
      </c>
      <c r="H101" s="77">
        <f>SUM($G$5:$G101)</f>
        <v>143411801200</v>
      </c>
      <c r="I101" s="77">
        <f t="array" ref="I101">MIN(IF(矿山!$S$5:$S$85&gt;=$H101,矿山!$P$5:$P$85))</f>
        <v>0</v>
      </c>
      <c r="J101" s="77">
        <f t="array" ref="J101">MIN(IF(矿山!$S$5:$S$85&gt;=$H101,矿山!$O$5:$O$85))</f>
        <v>0</v>
      </c>
      <c r="K101" s="77">
        <f t="array" ref="K101">MIN(IF(矿山!$X$5:$X$85&gt;=$H101,矿山!$U$5:$U$85))</f>
        <v>0</v>
      </c>
      <c r="L101" s="77">
        <f t="array" ref="L101">MIN(IF(矿山!$X$5:$X$85&gt;=$H101,矿山!$O$5:$O$85))</f>
        <v>0</v>
      </c>
      <c r="M101" s="80">
        <f t="shared" si="11"/>
        <v>407935000</v>
      </c>
    </row>
    <row r="102" spans="2:13" x14ac:dyDescent="0.15">
      <c r="B102" s="77">
        <v>98</v>
      </c>
      <c r="C102" s="77">
        <f t="array" ref="C102">MAX(C101,MIN(IF(体力抽奖!$C$48:$C$60&gt;=$J102,体力抽奖!$J$48:$J$60)))</f>
        <v>21</v>
      </c>
      <c r="D102" s="77">
        <f>VLOOKUP($C102,猫咪!$B:$E,4,0)</f>
        <v>10485.76</v>
      </c>
      <c r="E102" s="110">
        <f t="shared" si="9"/>
        <v>39300</v>
      </c>
      <c r="F102" s="77">
        <f t="shared" si="10"/>
        <v>412129668</v>
      </c>
      <c r="G102" s="83">
        <f t="shared" si="8"/>
        <v>9000000000</v>
      </c>
      <c r="H102" s="77">
        <f>SUM($G$5:$G102)</f>
        <v>152411801200</v>
      </c>
      <c r="I102" s="77">
        <f t="array" ref="I102">MIN(IF(矿山!$S$5:$S$85&gt;=$H102,矿山!$P$5:$P$85))</f>
        <v>0</v>
      </c>
      <c r="J102" s="77">
        <f t="array" ref="J102">MIN(IF(矿山!$S$5:$S$85&gt;=$H102,矿山!$O$5:$O$85))</f>
        <v>0</v>
      </c>
      <c r="K102" s="77">
        <f t="array" ref="K102">MIN(IF(矿山!$X$5:$X$85&gt;=$H102,矿山!$U$5:$U$85))</f>
        <v>0</v>
      </c>
      <c r="L102" s="77">
        <f t="array" ref="L102">MIN(IF(矿山!$X$5:$X$85&gt;=$H102,矿山!$O$5:$O$85))</f>
        <v>0</v>
      </c>
      <c r="M102" s="80">
        <f t="shared" si="11"/>
        <v>412130000</v>
      </c>
    </row>
    <row r="103" spans="2:13" x14ac:dyDescent="0.15">
      <c r="B103" s="77">
        <v>99</v>
      </c>
      <c r="C103" s="77">
        <f t="array" ref="C103">MAX(C102,MIN(IF(体力抽奖!$C$48:$C$60&gt;=$J103,体力抽奖!$J$48:$J$60)))</f>
        <v>21</v>
      </c>
      <c r="D103" s="77">
        <f>VLOOKUP($C103,猫咪!$B:$E,4,0)</f>
        <v>10485.76</v>
      </c>
      <c r="E103" s="110">
        <f t="shared" si="9"/>
        <v>39600</v>
      </c>
      <c r="F103" s="77">
        <f t="shared" si="10"/>
        <v>415275696</v>
      </c>
      <c r="G103" s="83">
        <f t="shared" si="8"/>
        <v>9500000000</v>
      </c>
      <c r="H103" s="77">
        <f>SUM($G$5:$G103)</f>
        <v>161911801200</v>
      </c>
      <c r="I103" s="77">
        <f t="array" ref="I103">MIN(IF(矿山!$S$5:$S$85&gt;=$H103,矿山!$P$5:$P$85))</f>
        <v>0</v>
      </c>
      <c r="J103" s="77">
        <f t="array" ref="J103">MIN(IF(矿山!$S$5:$S$85&gt;=$H103,矿山!$O$5:$O$85))</f>
        <v>0</v>
      </c>
      <c r="K103" s="77">
        <f t="array" ref="K103">MIN(IF(矿山!$X$5:$X$85&gt;=$H103,矿山!$U$5:$U$85))</f>
        <v>0</v>
      </c>
      <c r="L103" s="77">
        <f t="array" ref="L103">MIN(IF(矿山!$X$5:$X$85&gt;=$H103,矿山!$O$5:$O$85))</f>
        <v>0</v>
      </c>
      <c r="M103" s="80">
        <f t="shared" si="11"/>
        <v>415276000</v>
      </c>
    </row>
    <row r="104" spans="2:13" x14ac:dyDescent="0.15">
      <c r="B104" s="77">
        <v>100</v>
      </c>
      <c r="C104" s="77">
        <f t="array" ref="C104">MAX(C103,MIN(IF(体力抽奖!$C$48:$C$60&gt;=$J104,体力抽奖!$J$48:$J$60)))</f>
        <v>21</v>
      </c>
      <c r="D104" s="77">
        <f>VLOOKUP($C104,猫咪!$B:$E,4,0)</f>
        <v>10485.76</v>
      </c>
      <c r="E104" s="110">
        <f t="shared" si="9"/>
        <v>40000</v>
      </c>
      <c r="F104" s="77">
        <f t="shared" ref="F104" si="14">D104*(1+E104)</f>
        <v>419440885.75999999</v>
      </c>
      <c r="G104" s="83">
        <f t="shared" si="8"/>
        <v>10000000000</v>
      </c>
      <c r="H104" s="77">
        <f>SUM($G$5:$G104)</f>
        <v>171911801200</v>
      </c>
      <c r="I104" s="77">
        <f t="array" ref="I104">MIN(IF(矿山!$S$5:$S$85&gt;=$H104,矿山!$P$5:$P$85))</f>
        <v>0</v>
      </c>
      <c r="J104" s="77">
        <f t="array" ref="J104">MIN(IF(矿山!$S$5:$S$85&gt;=$H104,矿山!$O$5:$O$85))</f>
        <v>0</v>
      </c>
      <c r="K104" s="77">
        <f t="array" ref="K104">MIN(IF(矿山!$X$5:$X$85&gt;=$H104,矿山!$U$5:$U$85))</f>
        <v>0</v>
      </c>
      <c r="L104" s="77">
        <f t="array" ref="L104">MIN(IF(矿山!$X$5:$X$85&gt;=$H104,矿山!$O$5:$O$85))</f>
        <v>0</v>
      </c>
      <c r="M104" s="80">
        <f>ROUNDUP(F104,-3)</f>
        <v>419441000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"/>
  <sheetViews>
    <sheetView workbookViewId="0">
      <selection activeCell="B10" sqref="A10:B12"/>
    </sheetView>
  </sheetViews>
  <sheetFormatPr defaultRowHeight="16.5" x14ac:dyDescent="0.15"/>
  <cols>
    <col min="1" max="4" width="9" style="70"/>
    <col min="5" max="14" width="3.25" style="70" customWidth="1"/>
    <col min="15" max="16384" width="9" style="70"/>
  </cols>
  <sheetData>
    <row r="5" spans="1:14" x14ac:dyDescent="0.15">
      <c r="E5" s="70">
        <v>1</v>
      </c>
      <c r="F5" s="70">
        <v>2</v>
      </c>
      <c r="G5" s="70">
        <v>3</v>
      </c>
      <c r="H5" s="70">
        <v>4</v>
      </c>
      <c r="I5" s="70">
        <v>5</v>
      </c>
      <c r="J5" s="70">
        <v>6</v>
      </c>
      <c r="K5" s="70">
        <v>7</v>
      </c>
      <c r="L5" s="70">
        <v>8</v>
      </c>
      <c r="M5" s="70">
        <v>9</v>
      </c>
      <c r="N5" s="70">
        <v>10</v>
      </c>
    </row>
    <row r="6" spans="1:14" ht="18" customHeight="1" x14ac:dyDescent="0.15">
      <c r="A6" s="77" t="s">
        <v>267</v>
      </c>
      <c r="B6" s="77" t="s">
        <v>271</v>
      </c>
      <c r="D6" s="70">
        <v>1</v>
      </c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 ht="18" customHeight="1" x14ac:dyDescent="0.15">
      <c r="A7" s="77">
        <v>3</v>
      </c>
      <c r="B7" s="77" t="s">
        <v>259</v>
      </c>
      <c r="D7" s="70">
        <v>2</v>
      </c>
      <c r="E7" s="77"/>
      <c r="F7" s="78" t="s">
        <v>259</v>
      </c>
      <c r="G7" s="77"/>
      <c r="H7" s="77"/>
      <c r="I7" s="78" t="s">
        <v>259</v>
      </c>
      <c r="J7" s="77"/>
      <c r="K7" s="77"/>
      <c r="L7" s="78" t="s">
        <v>270</v>
      </c>
      <c r="M7" s="77"/>
      <c r="N7" s="77"/>
    </row>
    <row r="8" spans="1:14" ht="18" customHeight="1" x14ac:dyDescent="0.15">
      <c r="A8" s="77">
        <v>6</v>
      </c>
      <c r="B8" s="77" t="s">
        <v>260</v>
      </c>
      <c r="D8" s="70">
        <v>3</v>
      </c>
      <c r="E8" s="77"/>
      <c r="F8" s="77"/>
      <c r="G8" s="77"/>
      <c r="H8" s="77"/>
      <c r="I8" s="77"/>
      <c r="J8" s="77"/>
      <c r="K8" s="77"/>
      <c r="L8" s="77"/>
      <c r="M8" s="77"/>
      <c r="N8" s="77"/>
    </row>
    <row r="9" spans="1:14" ht="18" customHeight="1" x14ac:dyDescent="0.15">
      <c r="A9" s="77">
        <v>8</v>
      </c>
      <c r="B9" s="77" t="s">
        <v>270</v>
      </c>
      <c r="D9" s="70">
        <v>4</v>
      </c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1:14" ht="18" customHeight="1" x14ac:dyDescent="0.15">
      <c r="A10" s="77">
        <v>10</v>
      </c>
      <c r="B10" s="77" t="s">
        <v>13</v>
      </c>
      <c r="D10" s="70">
        <v>5</v>
      </c>
      <c r="E10" s="77"/>
      <c r="F10" s="78" t="s">
        <v>268</v>
      </c>
      <c r="G10" s="77"/>
      <c r="H10" s="77"/>
      <c r="I10" s="78" t="s">
        <v>269</v>
      </c>
      <c r="J10" s="77"/>
      <c r="K10" s="77"/>
      <c r="L10" s="78" t="s">
        <v>270</v>
      </c>
      <c r="M10" s="77"/>
      <c r="N10" s="77"/>
    </row>
    <row r="11" spans="1:14" ht="18" customHeight="1" x14ac:dyDescent="0.15">
      <c r="A11" s="77">
        <v>20</v>
      </c>
      <c r="B11" s="77" t="s">
        <v>259</v>
      </c>
      <c r="D11" s="70">
        <v>6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spans="1:14" ht="18" customHeight="1" x14ac:dyDescent="0.15">
      <c r="A12" s="77">
        <v>30</v>
      </c>
      <c r="B12" s="77" t="s">
        <v>270</v>
      </c>
      <c r="D12" s="70">
        <v>7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</row>
    <row r="13" spans="1:14" ht="18" customHeight="1" x14ac:dyDescent="0.15">
      <c r="A13" s="77">
        <v>40</v>
      </c>
      <c r="B13" s="77" t="s">
        <v>260</v>
      </c>
      <c r="D13" s="70">
        <v>8</v>
      </c>
      <c r="E13" s="77"/>
      <c r="F13" s="78" t="s">
        <v>268</v>
      </c>
      <c r="G13" s="77"/>
      <c r="H13" s="77"/>
      <c r="I13" s="78" t="s">
        <v>269</v>
      </c>
      <c r="J13" s="77"/>
      <c r="K13" s="77"/>
      <c r="L13" s="78" t="s">
        <v>259</v>
      </c>
      <c r="M13" s="77"/>
      <c r="N13" s="77"/>
    </row>
    <row r="14" spans="1:14" ht="18" customHeight="1" x14ac:dyDescent="0.15">
      <c r="A14" s="77">
        <v>50</v>
      </c>
      <c r="B14" s="77" t="s">
        <v>13</v>
      </c>
      <c r="D14" s="70">
        <v>9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1:14" ht="18" customHeight="1" x14ac:dyDescent="0.15">
      <c r="A15" s="77">
        <v>60</v>
      </c>
      <c r="B15" s="77" t="s">
        <v>259</v>
      </c>
      <c r="D15" s="70">
        <v>10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6"/>
  <sheetViews>
    <sheetView topLeftCell="AE1" workbookViewId="0">
      <selection activeCell="AH37" sqref="AH37:AP37"/>
    </sheetView>
  </sheetViews>
  <sheetFormatPr defaultRowHeight="16.5" x14ac:dyDescent="0.15"/>
  <cols>
    <col min="1" max="1" width="9" style="70"/>
    <col min="2" max="2" width="17.25" style="70" bestFit="1" customWidth="1"/>
    <col min="3" max="5" width="9" style="70"/>
    <col min="6" max="6" width="12.25" style="70" bestFit="1" customWidth="1"/>
    <col min="7" max="7" width="8" style="70" bestFit="1" customWidth="1"/>
    <col min="8" max="8" width="15.875" style="70" bestFit="1" customWidth="1"/>
    <col min="9" max="22" width="8.75" style="70" customWidth="1"/>
    <col min="23" max="23" width="9" style="70"/>
    <col min="24" max="25" width="15.5" style="70" bestFit="1" customWidth="1"/>
    <col min="26" max="31" width="16.625" style="70" bestFit="1" customWidth="1"/>
    <col min="32" max="32" width="17.75" style="70" bestFit="1" customWidth="1"/>
    <col min="33" max="33" width="9" style="70"/>
    <col min="34" max="42" width="20" style="70" customWidth="1"/>
    <col min="43" max="16384" width="9" style="70"/>
  </cols>
  <sheetData>
    <row r="2" spans="2:42" x14ac:dyDescent="0.35">
      <c r="B2" s="70" t="s">
        <v>310</v>
      </c>
      <c r="C2" s="70" t="s">
        <v>311</v>
      </c>
      <c r="E2" s="98" t="s">
        <v>360</v>
      </c>
      <c r="F2" s="98" t="s">
        <v>320</v>
      </c>
      <c r="G2" s="101" t="s">
        <v>341</v>
      </c>
      <c r="J2" s="98" t="s">
        <v>361</v>
      </c>
      <c r="K2" s="98" t="s">
        <v>320</v>
      </c>
      <c r="L2" s="101" t="s">
        <v>341</v>
      </c>
    </row>
    <row r="3" spans="2:42" x14ac:dyDescent="0.35">
      <c r="B3" s="70" t="s">
        <v>309</v>
      </c>
      <c r="E3" s="145">
        <v>1</v>
      </c>
      <c r="F3" s="145" t="s">
        <v>1</v>
      </c>
      <c r="G3" s="146">
        <v>0.2</v>
      </c>
      <c r="J3" s="98">
        <v>1</v>
      </c>
      <c r="K3" s="98" t="s">
        <v>140</v>
      </c>
      <c r="L3" s="108">
        <v>0.15</v>
      </c>
    </row>
    <row r="4" spans="2:42" x14ac:dyDescent="0.35">
      <c r="B4" s="70" t="s">
        <v>318</v>
      </c>
      <c r="E4" s="98">
        <v>2</v>
      </c>
      <c r="F4" s="98" t="s">
        <v>140</v>
      </c>
      <c r="G4" s="108">
        <v>0.1</v>
      </c>
      <c r="J4" s="98">
        <v>2</v>
      </c>
      <c r="K4" s="98" t="s">
        <v>287</v>
      </c>
      <c r="L4" s="108">
        <v>0.15</v>
      </c>
    </row>
    <row r="5" spans="2:42" x14ac:dyDescent="0.35">
      <c r="B5" s="70" t="s">
        <v>319</v>
      </c>
      <c r="E5" s="145">
        <v>3</v>
      </c>
      <c r="F5" s="98" t="s">
        <v>287</v>
      </c>
      <c r="G5" s="108">
        <v>0.1</v>
      </c>
      <c r="J5" s="98">
        <v>3</v>
      </c>
      <c r="K5" s="98" t="s">
        <v>7</v>
      </c>
      <c r="L5" s="108">
        <v>0.15</v>
      </c>
    </row>
    <row r="6" spans="2:42" x14ac:dyDescent="0.35">
      <c r="E6" s="98">
        <v>4</v>
      </c>
      <c r="F6" s="98" t="s">
        <v>289</v>
      </c>
      <c r="G6" s="108">
        <v>0.5</v>
      </c>
      <c r="J6" s="98">
        <v>4</v>
      </c>
      <c r="K6" s="98" t="s">
        <v>289</v>
      </c>
      <c r="L6" s="108">
        <v>0.55000000000000004</v>
      </c>
    </row>
    <row r="7" spans="2:42" x14ac:dyDescent="0.35">
      <c r="E7" s="145">
        <v>5</v>
      </c>
      <c r="F7" s="101" t="s">
        <v>392</v>
      </c>
      <c r="G7" s="108">
        <v>0.1</v>
      </c>
    </row>
    <row r="9" spans="2:42" x14ac:dyDescent="0.15">
      <c r="E9" s="144" t="s">
        <v>355</v>
      </c>
      <c r="F9" s="144" t="s">
        <v>354</v>
      </c>
      <c r="G9" s="144" t="s">
        <v>35</v>
      </c>
      <c r="H9" s="144" t="s">
        <v>36</v>
      </c>
      <c r="I9" s="144" t="s">
        <v>37</v>
      </c>
      <c r="J9" s="144" t="s">
        <v>38</v>
      </c>
      <c r="K9" s="144" t="s">
        <v>39</v>
      </c>
      <c r="L9" s="144" t="s">
        <v>40</v>
      </c>
      <c r="M9" s="144" t="s">
        <v>41</v>
      </c>
      <c r="N9" s="144" t="s">
        <v>42</v>
      </c>
      <c r="O9" s="144" t="s">
        <v>43</v>
      </c>
      <c r="P9" s="144" t="s">
        <v>44</v>
      </c>
      <c r="Q9" s="144" t="s">
        <v>45</v>
      </c>
      <c r="R9" s="144" t="s">
        <v>46</v>
      </c>
      <c r="S9" s="144" t="s">
        <v>47</v>
      </c>
      <c r="T9" s="144" t="s">
        <v>48</v>
      </c>
      <c r="U9" s="144" t="s">
        <v>49</v>
      </c>
      <c r="V9" s="144" t="s">
        <v>87</v>
      </c>
    </row>
    <row r="10" spans="2:42" x14ac:dyDescent="0.15">
      <c r="E10" s="144" t="s">
        <v>356</v>
      </c>
      <c r="F10" s="144">
        <v>5</v>
      </c>
      <c r="G10" s="144">
        <v>8</v>
      </c>
      <c r="H10" s="144">
        <v>11</v>
      </c>
      <c r="I10" s="144">
        <v>14</v>
      </c>
      <c r="J10" s="144">
        <v>17</v>
      </c>
      <c r="K10" s="144">
        <v>20</v>
      </c>
      <c r="L10" s="144">
        <v>23</v>
      </c>
      <c r="M10" s="144">
        <v>26</v>
      </c>
      <c r="N10" s="144">
        <v>29</v>
      </c>
      <c r="O10" s="144">
        <v>32</v>
      </c>
      <c r="P10" s="144">
        <v>35</v>
      </c>
      <c r="Q10" s="144">
        <v>38</v>
      </c>
      <c r="R10" s="144">
        <v>41</v>
      </c>
      <c r="S10" s="144">
        <v>44</v>
      </c>
      <c r="T10" s="144">
        <v>46</v>
      </c>
      <c r="U10" s="144">
        <v>48</v>
      </c>
      <c r="V10" s="144">
        <v>50</v>
      </c>
    </row>
    <row r="11" spans="2:42" x14ac:dyDescent="0.15">
      <c r="X11" s="70">
        <v>29</v>
      </c>
      <c r="Y11" s="70">
        <v>39</v>
      </c>
      <c r="Z11" s="70">
        <v>49</v>
      </c>
      <c r="AA11" s="70">
        <v>59</v>
      </c>
      <c r="AB11" s="70">
        <v>69</v>
      </c>
      <c r="AC11" s="70">
        <v>79</v>
      </c>
      <c r="AD11" s="70">
        <v>89</v>
      </c>
      <c r="AE11" s="70">
        <v>99</v>
      </c>
      <c r="AF11" s="70">
        <v>109</v>
      </c>
      <c r="AH11" s="70">
        <v>29</v>
      </c>
      <c r="AI11" s="70">
        <v>39</v>
      </c>
      <c r="AJ11" s="70">
        <v>49</v>
      </c>
      <c r="AK11" s="70">
        <v>59</v>
      </c>
      <c r="AL11" s="70">
        <v>69</v>
      </c>
      <c r="AM11" s="70">
        <v>79</v>
      </c>
      <c r="AN11" s="70">
        <v>89</v>
      </c>
      <c r="AO11" s="70">
        <v>99</v>
      </c>
      <c r="AP11" s="70">
        <v>109</v>
      </c>
    </row>
    <row r="12" spans="2:42" x14ac:dyDescent="0.15">
      <c r="I12" s="70">
        <f>ROUND(SUMPRODUCT($G$15:$G$19,I15:I19),-4)</f>
        <v>50000</v>
      </c>
      <c r="J12" s="70">
        <f t="shared" ref="J12:P12" si="0">ROUND(SUMPRODUCT($G$15:$G$19,J15:J19),-4)</f>
        <v>70000</v>
      </c>
      <c r="K12" s="70">
        <f t="shared" si="0"/>
        <v>120000</v>
      </c>
      <c r="L12" s="70">
        <f t="shared" si="0"/>
        <v>170000</v>
      </c>
      <c r="M12" s="70">
        <f t="shared" si="0"/>
        <v>250000</v>
      </c>
      <c r="N12" s="70">
        <f t="shared" si="0"/>
        <v>390000</v>
      </c>
      <c r="O12" s="70">
        <f t="shared" si="0"/>
        <v>590000</v>
      </c>
      <c r="P12" s="70">
        <f t="shared" si="0"/>
        <v>890000</v>
      </c>
      <c r="Q12" s="70">
        <f>ROUND(SUMPRODUCT($G$15:$G$19,Q15:Q19),-5)</f>
        <v>1200000</v>
      </c>
      <c r="X12" s="70" t="str">
        <f t="shared" ref="X12" si="1">"70002_"&amp;I12</f>
        <v>70002_50000</v>
      </c>
      <c r="Y12" s="70" t="str">
        <f t="shared" ref="Y12" si="2">"70002_"&amp;J12</f>
        <v>70002_70000</v>
      </c>
      <c r="Z12" s="70" t="str">
        <f t="shared" ref="Z12" si="3">"70002_"&amp;K12</f>
        <v>70002_120000</v>
      </c>
      <c r="AA12" s="70" t="str">
        <f t="shared" ref="AA12" si="4">"70002_"&amp;L12</f>
        <v>70002_170000</v>
      </c>
      <c r="AB12" s="70" t="str">
        <f t="shared" ref="AB12" si="5">"70002_"&amp;M12</f>
        <v>70002_250000</v>
      </c>
      <c r="AC12" s="70" t="str">
        <f t="shared" ref="AC12" si="6">"70002_"&amp;N12</f>
        <v>70002_390000</v>
      </c>
      <c r="AD12" s="70" t="str">
        <f t="shared" ref="AD12" si="7">"70002_"&amp;O12</f>
        <v>70002_590000</v>
      </c>
      <c r="AE12" s="70" t="str">
        <f t="shared" ref="AE12:AF12" si="8">"70002_"&amp;P12</f>
        <v>70002_890000</v>
      </c>
      <c r="AF12" s="70" t="str">
        <f t="shared" si="8"/>
        <v>70002_1200000</v>
      </c>
    </row>
    <row r="13" spans="2:42" x14ac:dyDescent="0.15">
      <c r="G13" s="106">
        <f>SUM(G15:G19)</f>
        <v>2.5</v>
      </c>
      <c r="H13" s="70">
        <f>SUM(H15:H19)</f>
        <v>49.25</v>
      </c>
      <c r="I13" s="157" t="s">
        <v>321</v>
      </c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9"/>
    </row>
    <row r="14" spans="2:42" x14ac:dyDescent="0.35">
      <c r="E14" s="57" t="s">
        <v>322</v>
      </c>
      <c r="F14" s="77" t="s">
        <v>315</v>
      </c>
      <c r="G14" s="101" t="s">
        <v>341</v>
      </c>
      <c r="H14" s="77" t="s">
        <v>340</v>
      </c>
      <c r="I14" s="83" t="s">
        <v>323</v>
      </c>
      <c r="J14" s="83" t="s">
        <v>324</v>
      </c>
      <c r="K14" s="83" t="s">
        <v>325</v>
      </c>
      <c r="L14" s="83" t="s">
        <v>326</v>
      </c>
      <c r="M14" s="83" t="s">
        <v>327</v>
      </c>
      <c r="N14" s="83" t="s">
        <v>328</v>
      </c>
      <c r="O14" s="83" t="s">
        <v>329</v>
      </c>
      <c r="P14" s="83" t="s">
        <v>330</v>
      </c>
      <c r="Q14" s="143" t="s">
        <v>331</v>
      </c>
      <c r="R14" s="143" t="s">
        <v>332</v>
      </c>
      <c r="S14" s="143" t="s">
        <v>333</v>
      </c>
      <c r="T14" s="143" t="s">
        <v>334</v>
      </c>
      <c r="U14" s="143" t="s">
        <v>335</v>
      </c>
      <c r="V14" s="143" t="s">
        <v>336</v>
      </c>
    </row>
    <row r="15" spans="2:42" x14ac:dyDescent="0.35">
      <c r="E15" s="57">
        <v>1</v>
      </c>
      <c r="F15" s="77">
        <v>5</v>
      </c>
      <c r="G15" s="142">
        <v>0.75</v>
      </c>
      <c r="H15" s="77">
        <f>F15*G15</f>
        <v>3.75</v>
      </c>
      <c r="I15" s="83">
        <f>VLOOKUP(INT(SUBSTITUTE(I$14,"级","")),猫咪!$W$3:$Y$17,2,0)*$F15</f>
        <v>5000</v>
      </c>
      <c r="J15" s="83">
        <f>VLOOKUP(INT(SUBSTITUTE(J$14,"级","")),猫咪!$W$3:$Y$17,2,0)*$F15</f>
        <v>7500</v>
      </c>
      <c r="K15" s="83">
        <f>VLOOKUP(INT(SUBSTITUTE(K$14,"级","")),猫咪!$W$3:$Y$17,2,0)*$F15</f>
        <v>12500</v>
      </c>
      <c r="L15" s="83">
        <f>VLOOKUP(INT(SUBSTITUTE(L$14,"级","")),猫咪!$W$3:$Y$17,2,0)*$F15</f>
        <v>17500</v>
      </c>
      <c r="M15" s="83">
        <f>VLOOKUP(INT(SUBSTITUTE(M$14,"级","")),猫咪!$W$3:$Y$17,2,0)*$F15</f>
        <v>25000</v>
      </c>
      <c r="N15" s="83">
        <f>VLOOKUP(INT(SUBSTITUTE(N$14,"级","")),猫咪!$W$3:$Y$17,2,0)*$F15</f>
        <v>40000</v>
      </c>
      <c r="O15" s="83">
        <f>VLOOKUP(INT(SUBSTITUTE(O$14,"级","")),猫咪!$W$3:$Y$17,2,0)*$F15</f>
        <v>60000</v>
      </c>
      <c r="P15" s="83">
        <f>VLOOKUP(INT(SUBSTITUTE(P$14,"级","")),猫咪!$W$3:$Y$17,2,0)*$F15</f>
        <v>90000</v>
      </c>
      <c r="Q15" s="143">
        <f>VLOOKUP(INT(SUBSTITUTE(Q$14,"级","")),猫咪!$W$3:$Y$17,2,0)*$F15</f>
        <v>125000</v>
      </c>
      <c r="R15" s="143">
        <f>VLOOKUP(INT(SUBSTITUTE(R$14,"级","")),猫咪!$W$3:$Y$17,2,0)*$F15</f>
        <v>200000</v>
      </c>
      <c r="S15" s="143">
        <f>VLOOKUP(INT(SUBSTITUTE(S$14,"级","")),猫咪!$W$3:$Y$17,2,0)*$F15</f>
        <v>300000</v>
      </c>
      <c r="T15" s="143">
        <f>VLOOKUP(INT(SUBSTITUTE(T$14,"级","")),猫咪!$W$3:$Y$17,2,0)*$F15</f>
        <v>450000</v>
      </c>
      <c r="U15" s="143">
        <f>VLOOKUP(INT(SUBSTITUTE(U$14,"级","")),猫咪!$W$3:$Y$17,2,0)*$F15</f>
        <v>700000</v>
      </c>
      <c r="V15" s="143">
        <f>VLOOKUP(INT(SUBSTITUTE(V$14,"级","")),猫咪!$W$3:$Y$17,2,0)*$F15</f>
        <v>1000000</v>
      </c>
      <c r="X15" s="70" t="str">
        <f>"70002_"&amp;I15&amp;"_"&amp;$G15*100</f>
        <v>70002_5000_75</v>
      </c>
      <c r="Y15" s="70" t="str">
        <f t="shared" ref="Y15:AF19" si="9">"70002_"&amp;J15&amp;"_"&amp;$G15*100</f>
        <v>70002_7500_75</v>
      </c>
      <c r="Z15" s="70" t="str">
        <f t="shared" si="9"/>
        <v>70002_12500_75</v>
      </c>
      <c r="AA15" s="70" t="str">
        <f t="shared" si="9"/>
        <v>70002_17500_75</v>
      </c>
      <c r="AB15" s="70" t="str">
        <f t="shared" si="9"/>
        <v>70002_25000_75</v>
      </c>
      <c r="AC15" s="70" t="str">
        <f t="shared" si="9"/>
        <v>70002_40000_75</v>
      </c>
      <c r="AD15" s="70" t="str">
        <f t="shared" si="9"/>
        <v>70002_60000_75</v>
      </c>
      <c r="AE15" s="70" t="str">
        <f t="shared" si="9"/>
        <v>70002_90000_75</v>
      </c>
      <c r="AF15" s="70" t="str">
        <f t="shared" si="9"/>
        <v>70002_125000_75</v>
      </c>
      <c r="AH15" s="70" t="str">
        <f>X15</f>
        <v>70002_5000_75</v>
      </c>
      <c r="AI15" s="70" t="str">
        <f t="shared" ref="AI15:AP15" si="10">Y15</f>
        <v>70002_7500_75</v>
      </c>
      <c r="AJ15" s="70" t="str">
        <f t="shared" si="10"/>
        <v>70002_12500_75</v>
      </c>
      <c r="AK15" s="70" t="str">
        <f t="shared" si="10"/>
        <v>70002_17500_75</v>
      </c>
      <c r="AL15" s="70" t="str">
        <f t="shared" si="10"/>
        <v>70002_25000_75</v>
      </c>
      <c r="AM15" s="70" t="str">
        <f t="shared" si="10"/>
        <v>70002_40000_75</v>
      </c>
      <c r="AN15" s="70" t="str">
        <f t="shared" si="10"/>
        <v>70002_60000_75</v>
      </c>
      <c r="AO15" s="70" t="str">
        <f t="shared" si="10"/>
        <v>70002_90000_75</v>
      </c>
      <c r="AP15" s="70" t="str">
        <f t="shared" si="10"/>
        <v>70002_125000_75</v>
      </c>
    </row>
    <row r="16" spans="2:42" x14ac:dyDescent="0.35">
      <c r="E16" s="57">
        <v>2</v>
      </c>
      <c r="F16" s="77">
        <v>10</v>
      </c>
      <c r="G16" s="142">
        <v>0.75</v>
      </c>
      <c r="H16" s="77">
        <f t="shared" ref="H16:H19" si="11">F16*G16</f>
        <v>7.5</v>
      </c>
      <c r="I16" s="83">
        <f>VLOOKUP(INT(SUBSTITUTE(I$14,"级","")),猫咪!$W$3:$Y$17,2,0)*$F16</f>
        <v>10000</v>
      </c>
      <c r="J16" s="83">
        <f>VLOOKUP(INT(SUBSTITUTE(J$14,"级","")),猫咪!$W$3:$Y$17,2,0)*$F16</f>
        <v>15000</v>
      </c>
      <c r="K16" s="83">
        <f>VLOOKUP(INT(SUBSTITUTE(K$14,"级","")),猫咪!$W$3:$Y$17,2,0)*$F16</f>
        <v>25000</v>
      </c>
      <c r="L16" s="83">
        <f>VLOOKUP(INT(SUBSTITUTE(L$14,"级","")),猫咪!$W$3:$Y$17,2,0)*$F16</f>
        <v>35000</v>
      </c>
      <c r="M16" s="83">
        <f>VLOOKUP(INT(SUBSTITUTE(M$14,"级","")),猫咪!$W$3:$Y$17,2,0)*$F16</f>
        <v>50000</v>
      </c>
      <c r="N16" s="83">
        <f>VLOOKUP(INT(SUBSTITUTE(N$14,"级","")),猫咪!$W$3:$Y$17,2,0)*$F16</f>
        <v>80000</v>
      </c>
      <c r="O16" s="83">
        <f>VLOOKUP(INT(SUBSTITUTE(O$14,"级","")),猫咪!$W$3:$Y$17,2,0)*$F16</f>
        <v>120000</v>
      </c>
      <c r="P16" s="83">
        <f>VLOOKUP(INT(SUBSTITUTE(P$14,"级","")),猫咪!$W$3:$Y$17,2,0)*$F16</f>
        <v>180000</v>
      </c>
      <c r="Q16" s="143">
        <f>VLOOKUP(INT(SUBSTITUTE(Q$14,"级","")),猫咪!$W$3:$Y$17,2,0)*$F16</f>
        <v>250000</v>
      </c>
      <c r="R16" s="143">
        <f>VLOOKUP(INT(SUBSTITUTE(R$14,"级","")),猫咪!$W$3:$Y$17,2,0)*$F16</f>
        <v>400000</v>
      </c>
      <c r="S16" s="143">
        <f>VLOOKUP(INT(SUBSTITUTE(S$14,"级","")),猫咪!$W$3:$Y$17,2,0)*$F16</f>
        <v>600000</v>
      </c>
      <c r="T16" s="143">
        <f>VLOOKUP(INT(SUBSTITUTE(T$14,"级","")),猫咪!$W$3:$Y$17,2,0)*$F16</f>
        <v>900000</v>
      </c>
      <c r="U16" s="143">
        <f>VLOOKUP(INT(SUBSTITUTE(U$14,"级","")),猫咪!$W$3:$Y$17,2,0)*$F16</f>
        <v>1400000</v>
      </c>
      <c r="V16" s="143">
        <f>VLOOKUP(INT(SUBSTITUTE(V$14,"级","")),猫咪!$W$3:$Y$17,2,0)*$F16</f>
        <v>2000000</v>
      </c>
      <c r="X16" s="70" t="str">
        <f t="shared" ref="X16:X19" si="12">"70002_"&amp;I16&amp;"_"&amp;$G16*100</f>
        <v>70002_10000_75</v>
      </c>
      <c r="Y16" s="70" t="str">
        <f t="shared" si="9"/>
        <v>70002_15000_75</v>
      </c>
      <c r="Z16" s="70" t="str">
        <f t="shared" si="9"/>
        <v>70002_25000_75</v>
      </c>
      <c r="AA16" s="70" t="str">
        <f t="shared" si="9"/>
        <v>70002_35000_75</v>
      </c>
      <c r="AB16" s="70" t="str">
        <f t="shared" si="9"/>
        <v>70002_50000_75</v>
      </c>
      <c r="AC16" s="70" t="str">
        <f t="shared" si="9"/>
        <v>70002_80000_75</v>
      </c>
      <c r="AD16" s="70" t="str">
        <f t="shared" si="9"/>
        <v>70002_120000_75</v>
      </c>
      <c r="AE16" s="70" t="str">
        <f t="shared" si="9"/>
        <v>70002_180000_75</v>
      </c>
      <c r="AF16" s="70" t="str">
        <f t="shared" si="9"/>
        <v>70002_250000_75</v>
      </c>
      <c r="AH16" s="70" t="str">
        <f>AH15&amp;","&amp;X16</f>
        <v>70002_5000_75,70002_10000_75</v>
      </c>
      <c r="AI16" s="70" t="str">
        <f t="shared" ref="AI16:AP19" si="13">AI15&amp;","&amp;Y16</f>
        <v>70002_7500_75,70002_15000_75</v>
      </c>
      <c r="AJ16" s="70" t="str">
        <f t="shared" si="13"/>
        <v>70002_12500_75,70002_25000_75</v>
      </c>
      <c r="AK16" s="70" t="str">
        <f t="shared" si="13"/>
        <v>70002_17500_75,70002_35000_75</v>
      </c>
      <c r="AL16" s="70" t="str">
        <f t="shared" si="13"/>
        <v>70002_25000_75,70002_50000_75</v>
      </c>
      <c r="AM16" s="70" t="str">
        <f t="shared" si="13"/>
        <v>70002_40000_75,70002_80000_75</v>
      </c>
      <c r="AN16" s="70" t="str">
        <f t="shared" si="13"/>
        <v>70002_60000_75,70002_120000_75</v>
      </c>
      <c r="AO16" s="70" t="str">
        <f t="shared" si="13"/>
        <v>70002_90000_75,70002_180000_75</v>
      </c>
      <c r="AP16" s="70" t="str">
        <f t="shared" si="13"/>
        <v>70002_125000_75,70002_250000_75</v>
      </c>
    </row>
    <row r="17" spans="5:42" x14ac:dyDescent="0.35">
      <c r="E17" s="57">
        <v>3</v>
      </c>
      <c r="F17" s="77">
        <v>20</v>
      </c>
      <c r="G17" s="142">
        <v>0.5</v>
      </c>
      <c r="H17" s="77">
        <f t="shared" si="11"/>
        <v>10</v>
      </c>
      <c r="I17" s="83">
        <f>VLOOKUP(INT(SUBSTITUTE(I$14,"级","")),猫咪!$W$3:$Y$17,2,0)*$F17</f>
        <v>20000</v>
      </c>
      <c r="J17" s="83">
        <f>VLOOKUP(INT(SUBSTITUTE(J$14,"级","")),猫咪!$W$3:$Y$17,2,0)*$F17</f>
        <v>30000</v>
      </c>
      <c r="K17" s="83">
        <f>VLOOKUP(INT(SUBSTITUTE(K$14,"级","")),猫咪!$W$3:$Y$17,2,0)*$F17</f>
        <v>50000</v>
      </c>
      <c r="L17" s="83">
        <f>VLOOKUP(INT(SUBSTITUTE(L$14,"级","")),猫咪!$W$3:$Y$17,2,0)*$F17</f>
        <v>70000</v>
      </c>
      <c r="M17" s="83">
        <f>VLOOKUP(INT(SUBSTITUTE(M$14,"级","")),猫咪!$W$3:$Y$17,2,0)*$F17</f>
        <v>100000</v>
      </c>
      <c r="N17" s="83">
        <f>VLOOKUP(INT(SUBSTITUTE(N$14,"级","")),猫咪!$W$3:$Y$17,2,0)*$F17</f>
        <v>160000</v>
      </c>
      <c r="O17" s="83">
        <f>VLOOKUP(INT(SUBSTITUTE(O$14,"级","")),猫咪!$W$3:$Y$17,2,0)*$F17</f>
        <v>240000</v>
      </c>
      <c r="P17" s="83">
        <f>VLOOKUP(INT(SUBSTITUTE(P$14,"级","")),猫咪!$W$3:$Y$17,2,0)*$F17</f>
        <v>360000</v>
      </c>
      <c r="Q17" s="143">
        <f>VLOOKUP(INT(SUBSTITUTE(Q$14,"级","")),猫咪!$W$3:$Y$17,2,0)*$F17</f>
        <v>500000</v>
      </c>
      <c r="R17" s="143">
        <f>VLOOKUP(INT(SUBSTITUTE(R$14,"级","")),猫咪!$W$3:$Y$17,2,0)*$F17</f>
        <v>800000</v>
      </c>
      <c r="S17" s="143">
        <f>VLOOKUP(INT(SUBSTITUTE(S$14,"级","")),猫咪!$W$3:$Y$17,2,0)*$F17</f>
        <v>1200000</v>
      </c>
      <c r="T17" s="143">
        <f>VLOOKUP(INT(SUBSTITUTE(T$14,"级","")),猫咪!$W$3:$Y$17,2,0)*$F17</f>
        <v>1800000</v>
      </c>
      <c r="U17" s="143">
        <f>VLOOKUP(INT(SUBSTITUTE(U$14,"级","")),猫咪!$W$3:$Y$17,2,0)*$F17</f>
        <v>2800000</v>
      </c>
      <c r="V17" s="143">
        <f>VLOOKUP(INT(SUBSTITUTE(V$14,"级","")),猫咪!$W$3:$Y$17,2,0)*$F17</f>
        <v>4000000</v>
      </c>
      <c r="X17" s="70" t="str">
        <f t="shared" si="12"/>
        <v>70002_20000_50</v>
      </c>
      <c r="Y17" s="70" t="str">
        <f t="shared" si="9"/>
        <v>70002_30000_50</v>
      </c>
      <c r="Z17" s="70" t="str">
        <f t="shared" si="9"/>
        <v>70002_50000_50</v>
      </c>
      <c r="AA17" s="70" t="str">
        <f t="shared" si="9"/>
        <v>70002_70000_50</v>
      </c>
      <c r="AB17" s="70" t="str">
        <f t="shared" si="9"/>
        <v>70002_100000_50</v>
      </c>
      <c r="AC17" s="70" t="str">
        <f t="shared" si="9"/>
        <v>70002_160000_50</v>
      </c>
      <c r="AD17" s="70" t="str">
        <f t="shared" si="9"/>
        <v>70002_240000_50</v>
      </c>
      <c r="AE17" s="70" t="str">
        <f t="shared" si="9"/>
        <v>70002_360000_50</v>
      </c>
      <c r="AF17" s="70" t="str">
        <f t="shared" si="9"/>
        <v>70002_500000_50</v>
      </c>
      <c r="AH17" s="70" t="str">
        <f t="shared" ref="AH17:AH19" si="14">AH16&amp;","&amp;X17</f>
        <v>70002_5000_75,70002_10000_75,70002_20000_50</v>
      </c>
      <c r="AI17" s="70" t="str">
        <f t="shared" si="13"/>
        <v>70002_7500_75,70002_15000_75,70002_30000_50</v>
      </c>
      <c r="AJ17" s="70" t="str">
        <f t="shared" si="13"/>
        <v>70002_12500_75,70002_25000_75,70002_50000_50</v>
      </c>
      <c r="AK17" s="70" t="str">
        <f t="shared" si="13"/>
        <v>70002_17500_75,70002_35000_75,70002_70000_50</v>
      </c>
      <c r="AL17" s="70" t="str">
        <f t="shared" si="13"/>
        <v>70002_25000_75,70002_50000_75,70002_100000_50</v>
      </c>
      <c r="AM17" s="70" t="str">
        <f t="shared" si="13"/>
        <v>70002_40000_75,70002_80000_75,70002_160000_50</v>
      </c>
      <c r="AN17" s="70" t="str">
        <f t="shared" si="13"/>
        <v>70002_60000_75,70002_120000_75,70002_240000_50</v>
      </c>
      <c r="AO17" s="70" t="str">
        <f t="shared" si="13"/>
        <v>70002_90000_75,70002_180000_75,70002_360000_50</v>
      </c>
      <c r="AP17" s="70" t="str">
        <f t="shared" si="13"/>
        <v>70002_125000_75,70002_250000_75,70002_500000_50</v>
      </c>
    </row>
    <row r="18" spans="5:42" x14ac:dyDescent="0.35">
      <c r="E18" s="57">
        <v>4</v>
      </c>
      <c r="F18" s="77">
        <v>40</v>
      </c>
      <c r="G18" s="142">
        <v>0.3</v>
      </c>
      <c r="H18" s="77">
        <f t="shared" si="11"/>
        <v>12</v>
      </c>
      <c r="I18" s="83">
        <f>VLOOKUP(INT(SUBSTITUTE(I$14,"级","")),猫咪!$W$3:$Y$17,2,0)*$F18</f>
        <v>40000</v>
      </c>
      <c r="J18" s="83">
        <f>VLOOKUP(INT(SUBSTITUTE(J$14,"级","")),猫咪!$W$3:$Y$17,2,0)*$F18</f>
        <v>60000</v>
      </c>
      <c r="K18" s="83">
        <f>VLOOKUP(INT(SUBSTITUTE(K$14,"级","")),猫咪!$W$3:$Y$17,2,0)*$F18</f>
        <v>100000</v>
      </c>
      <c r="L18" s="83">
        <f>VLOOKUP(INT(SUBSTITUTE(L$14,"级","")),猫咪!$W$3:$Y$17,2,0)*$F18</f>
        <v>140000</v>
      </c>
      <c r="M18" s="83">
        <f>VLOOKUP(INT(SUBSTITUTE(M$14,"级","")),猫咪!$W$3:$Y$17,2,0)*$F18</f>
        <v>200000</v>
      </c>
      <c r="N18" s="83">
        <f>VLOOKUP(INT(SUBSTITUTE(N$14,"级","")),猫咪!$W$3:$Y$17,2,0)*$F18</f>
        <v>320000</v>
      </c>
      <c r="O18" s="83">
        <f>VLOOKUP(INT(SUBSTITUTE(O$14,"级","")),猫咪!$W$3:$Y$17,2,0)*$F18</f>
        <v>480000</v>
      </c>
      <c r="P18" s="83">
        <f>VLOOKUP(INT(SUBSTITUTE(P$14,"级","")),猫咪!$W$3:$Y$17,2,0)*$F18</f>
        <v>720000</v>
      </c>
      <c r="Q18" s="143">
        <f>VLOOKUP(INT(SUBSTITUTE(Q$14,"级","")),猫咪!$W$3:$Y$17,2,0)*$F18</f>
        <v>1000000</v>
      </c>
      <c r="R18" s="143">
        <f>VLOOKUP(INT(SUBSTITUTE(R$14,"级","")),猫咪!$W$3:$Y$17,2,0)*$F18</f>
        <v>1600000</v>
      </c>
      <c r="S18" s="143">
        <f>VLOOKUP(INT(SUBSTITUTE(S$14,"级","")),猫咪!$W$3:$Y$17,2,0)*$F18</f>
        <v>2400000</v>
      </c>
      <c r="T18" s="143">
        <f>VLOOKUP(INT(SUBSTITUTE(T$14,"级","")),猫咪!$W$3:$Y$17,2,0)*$F18</f>
        <v>3600000</v>
      </c>
      <c r="U18" s="143">
        <f>VLOOKUP(INT(SUBSTITUTE(U$14,"级","")),猫咪!$W$3:$Y$17,2,0)*$F18</f>
        <v>5600000</v>
      </c>
      <c r="V18" s="143">
        <f>VLOOKUP(INT(SUBSTITUTE(V$14,"级","")),猫咪!$W$3:$Y$17,2,0)*$F18</f>
        <v>8000000</v>
      </c>
      <c r="X18" s="70" t="str">
        <f t="shared" si="12"/>
        <v>70002_40000_30</v>
      </c>
      <c r="Y18" s="70" t="str">
        <f t="shared" si="9"/>
        <v>70002_60000_30</v>
      </c>
      <c r="Z18" s="70" t="str">
        <f t="shared" si="9"/>
        <v>70002_100000_30</v>
      </c>
      <c r="AA18" s="70" t="str">
        <f t="shared" si="9"/>
        <v>70002_140000_30</v>
      </c>
      <c r="AB18" s="70" t="str">
        <f t="shared" si="9"/>
        <v>70002_200000_30</v>
      </c>
      <c r="AC18" s="70" t="str">
        <f t="shared" si="9"/>
        <v>70002_320000_30</v>
      </c>
      <c r="AD18" s="70" t="str">
        <f t="shared" si="9"/>
        <v>70002_480000_30</v>
      </c>
      <c r="AE18" s="70" t="str">
        <f t="shared" si="9"/>
        <v>70002_720000_30</v>
      </c>
      <c r="AF18" s="70" t="str">
        <f t="shared" si="9"/>
        <v>70002_1000000_30</v>
      </c>
      <c r="AH18" s="70" t="str">
        <f t="shared" si="14"/>
        <v>70002_5000_75,70002_10000_75,70002_20000_50,70002_40000_30</v>
      </c>
      <c r="AI18" s="70" t="str">
        <f t="shared" si="13"/>
        <v>70002_7500_75,70002_15000_75,70002_30000_50,70002_60000_30</v>
      </c>
      <c r="AJ18" s="70" t="str">
        <f t="shared" si="13"/>
        <v>70002_12500_75,70002_25000_75,70002_50000_50,70002_100000_30</v>
      </c>
      <c r="AK18" s="70" t="str">
        <f t="shared" si="13"/>
        <v>70002_17500_75,70002_35000_75,70002_70000_50,70002_140000_30</v>
      </c>
      <c r="AL18" s="70" t="str">
        <f t="shared" si="13"/>
        <v>70002_25000_75,70002_50000_75,70002_100000_50,70002_200000_30</v>
      </c>
      <c r="AM18" s="70" t="str">
        <f t="shared" si="13"/>
        <v>70002_40000_75,70002_80000_75,70002_160000_50,70002_320000_30</v>
      </c>
      <c r="AN18" s="70" t="str">
        <f t="shared" si="13"/>
        <v>70002_60000_75,70002_120000_75,70002_240000_50,70002_480000_30</v>
      </c>
      <c r="AO18" s="70" t="str">
        <f t="shared" si="13"/>
        <v>70002_90000_75,70002_180000_75,70002_360000_50,70002_720000_30</v>
      </c>
      <c r="AP18" s="70" t="str">
        <f t="shared" si="13"/>
        <v>70002_125000_75,70002_250000_75,70002_500000_50,70002_1000000_30</v>
      </c>
    </row>
    <row r="19" spans="5:42" x14ac:dyDescent="0.35">
      <c r="E19" s="57">
        <v>5</v>
      </c>
      <c r="F19" s="77">
        <v>80</v>
      </c>
      <c r="G19" s="142">
        <v>0.2</v>
      </c>
      <c r="H19" s="77">
        <f t="shared" si="11"/>
        <v>16</v>
      </c>
      <c r="I19" s="83">
        <f>VLOOKUP(INT(SUBSTITUTE(I$14,"级","")),猫咪!$W$3:$Y$17,2,0)*$F19</f>
        <v>80000</v>
      </c>
      <c r="J19" s="83">
        <f>VLOOKUP(INT(SUBSTITUTE(J$14,"级","")),猫咪!$W$3:$Y$17,2,0)*$F19</f>
        <v>120000</v>
      </c>
      <c r="K19" s="83">
        <f>VLOOKUP(INT(SUBSTITUTE(K$14,"级","")),猫咪!$W$3:$Y$17,2,0)*$F19</f>
        <v>200000</v>
      </c>
      <c r="L19" s="83">
        <f>VLOOKUP(INT(SUBSTITUTE(L$14,"级","")),猫咪!$W$3:$Y$17,2,0)*$F19</f>
        <v>280000</v>
      </c>
      <c r="M19" s="83">
        <f>VLOOKUP(INT(SUBSTITUTE(M$14,"级","")),猫咪!$W$3:$Y$17,2,0)*$F19</f>
        <v>400000</v>
      </c>
      <c r="N19" s="83">
        <f>VLOOKUP(INT(SUBSTITUTE(N$14,"级","")),猫咪!$W$3:$Y$17,2,0)*$F19</f>
        <v>640000</v>
      </c>
      <c r="O19" s="83">
        <f>VLOOKUP(INT(SUBSTITUTE(O$14,"级","")),猫咪!$W$3:$Y$17,2,0)*$F19</f>
        <v>960000</v>
      </c>
      <c r="P19" s="83">
        <f>VLOOKUP(INT(SUBSTITUTE(P$14,"级","")),猫咪!$W$3:$Y$17,2,0)*$F19</f>
        <v>1440000</v>
      </c>
      <c r="Q19" s="143">
        <f>VLOOKUP(INT(SUBSTITUTE(Q$14,"级","")),猫咪!$W$3:$Y$17,2,0)*$F19</f>
        <v>2000000</v>
      </c>
      <c r="R19" s="143">
        <f>VLOOKUP(INT(SUBSTITUTE(R$14,"级","")),猫咪!$W$3:$Y$17,2,0)*$F19</f>
        <v>3200000</v>
      </c>
      <c r="S19" s="143">
        <f>VLOOKUP(INT(SUBSTITUTE(S$14,"级","")),猫咪!$W$3:$Y$17,2,0)*$F19</f>
        <v>4800000</v>
      </c>
      <c r="T19" s="143">
        <f>VLOOKUP(INT(SUBSTITUTE(T$14,"级","")),猫咪!$W$3:$Y$17,2,0)*$F19</f>
        <v>7200000</v>
      </c>
      <c r="U19" s="143">
        <f>VLOOKUP(INT(SUBSTITUTE(U$14,"级","")),猫咪!$W$3:$Y$17,2,0)*$F19</f>
        <v>11200000</v>
      </c>
      <c r="V19" s="143">
        <f>VLOOKUP(INT(SUBSTITUTE(V$14,"级","")),猫咪!$W$3:$Y$17,2,0)*$F19</f>
        <v>16000000</v>
      </c>
      <c r="X19" s="70" t="str">
        <f t="shared" si="12"/>
        <v>70002_80000_20</v>
      </c>
      <c r="Y19" s="70" t="str">
        <f t="shared" si="9"/>
        <v>70002_120000_20</v>
      </c>
      <c r="Z19" s="70" t="str">
        <f t="shared" si="9"/>
        <v>70002_200000_20</v>
      </c>
      <c r="AA19" s="70" t="str">
        <f t="shared" si="9"/>
        <v>70002_280000_20</v>
      </c>
      <c r="AB19" s="70" t="str">
        <f t="shared" si="9"/>
        <v>70002_400000_20</v>
      </c>
      <c r="AC19" s="70" t="str">
        <f t="shared" si="9"/>
        <v>70002_640000_20</v>
      </c>
      <c r="AD19" s="70" t="str">
        <f t="shared" si="9"/>
        <v>70002_960000_20</v>
      </c>
      <c r="AE19" s="70" t="str">
        <f t="shared" si="9"/>
        <v>70002_1440000_20</v>
      </c>
      <c r="AF19" s="70" t="str">
        <f t="shared" si="9"/>
        <v>70002_2000000_20</v>
      </c>
      <c r="AH19" s="70" t="str">
        <f t="shared" si="14"/>
        <v>70002_5000_75,70002_10000_75,70002_20000_50,70002_40000_30,70002_80000_20</v>
      </c>
      <c r="AI19" s="70" t="str">
        <f t="shared" si="13"/>
        <v>70002_7500_75,70002_15000_75,70002_30000_50,70002_60000_30,70002_120000_20</v>
      </c>
      <c r="AJ19" s="70" t="str">
        <f t="shared" si="13"/>
        <v>70002_12500_75,70002_25000_75,70002_50000_50,70002_100000_30,70002_200000_20</v>
      </c>
      <c r="AK19" s="70" t="str">
        <f t="shared" si="13"/>
        <v>70002_17500_75,70002_35000_75,70002_70000_50,70002_140000_30,70002_280000_20</v>
      </c>
      <c r="AL19" s="70" t="str">
        <f t="shared" si="13"/>
        <v>70002_25000_75,70002_50000_75,70002_100000_50,70002_200000_30,70002_400000_20</v>
      </c>
      <c r="AM19" s="70" t="str">
        <f t="shared" si="13"/>
        <v>70002_40000_75,70002_80000_75,70002_160000_50,70002_320000_30,70002_640000_20</v>
      </c>
      <c r="AN19" s="70" t="str">
        <f t="shared" si="13"/>
        <v>70002_60000_75,70002_120000_75,70002_240000_50,70002_480000_30,70002_960000_20</v>
      </c>
      <c r="AO19" s="70" t="str">
        <f t="shared" si="13"/>
        <v>70002_90000_75,70002_180000_75,70002_360000_50,70002_720000_30,70002_1440000_20</v>
      </c>
      <c r="AP19" s="70" t="str">
        <f t="shared" si="13"/>
        <v>70002_125000_75,70002_250000_75,70002_500000_50,70002_1000000_30,70002_2000000_20</v>
      </c>
    </row>
    <row r="22" spans="5:42" x14ac:dyDescent="0.15">
      <c r="G22" s="106">
        <f>SUM(G24:G28)</f>
        <v>1</v>
      </c>
      <c r="H22" s="70">
        <f>SUM(H24:H28)</f>
        <v>19.700000000000003</v>
      </c>
      <c r="I22" s="157" t="s">
        <v>351</v>
      </c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 spans="5:42" x14ac:dyDescent="0.35">
      <c r="E23" s="57" t="s">
        <v>322</v>
      </c>
      <c r="F23" s="77" t="s">
        <v>342</v>
      </c>
      <c r="G23" s="101" t="s">
        <v>341</v>
      </c>
      <c r="H23" s="77" t="s">
        <v>340</v>
      </c>
      <c r="I23" s="83" t="s">
        <v>323</v>
      </c>
      <c r="J23" s="83" t="s">
        <v>324</v>
      </c>
      <c r="K23" s="83" t="s">
        <v>325</v>
      </c>
      <c r="L23" s="83" t="s">
        <v>326</v>
      </c>
      <c r="M23" s="83" t="s">
        <v>327</v>
      </c>
      <c r="N23" s="83" t="s">
        <v>328</v>
      </c>
      <c r="O23" s="83" t="s">
        <v>329</v>
      </c>
      <c r="P23" s="83" t="s">
        <v>330</v>
      </c>
      <c r="Q23" s="143" t="s">
        <v>331</v>
      </c>
      <c r="R23" s="143" t="s">
        <v>332</v>
      </c>
      <c r="S23" s="143" t="s">
        <v>333</v>
      </c>
      <c r="T23" s="143" t="s">
        <v>334</v>
      </c>
      <c r="U23" s="143" t="s">
        <v>335</v>
      </c>
      <c r="V23" s="143" t="s">
        <v>336</v>
      </c>
    </row>
    <row r="24" spans="5:42" x14ac:dyDescent="0.35">
      <c r="E24" s="57">
        <v>1</v>
      </c>
      <c r="F24" s="77">
        <v>5</v>
      </c>
      <c r="G24" s="142">
        <v>0.3</v>
      </c>
      <c r="H24" s="77">
        <f>F24*G24</f>
        <v>1.5</v>
      </c>
      <c r="I24" s="83">
        <f>ROUND(VLOOKUP(INT(SUBSTITUTE(I$23,"级","")),树木!$Z$4:$AB$18,2,0)*$F24,-1)</f>
        <v>5000</v>
      </c>
      <c r="J24" s="83">
        <f>ROUND(VLOOKUP(INT(SUBSTITUTE(J$23,"级","")),树木!$Z$4:$AB$18,2,0)*$F24,-1)</f>
        <v>7500</v>
      </c>
      <c r="K24" s="83">
        <f>ROUND(VLOOKUP(INT(SUBSTITUTE(K$23,"级","")),树木!$Z$4:$AB$18,2,0)*$F24,-1)</f>
        <v>12500</v>
      </c>
      <c r="L24" s="83">
        <f>ROUND(VLOOKUP(INT(SUBSTITUTE(L$23,"级","")),树木!$Z$4:$AB$18,2,0)*$F24,-1)</f>
        <v>17500</v>
      </c>
      <c r="M24" s="83">
        <f>ROUND(VLOOKUP(INT(SUBSTITUTE(M$23,"级","")),树木!$Z$4:$AB$18,2,0)*$F24,-1)</f>
        <v>25000</v>
      </c>
      <c r="N24" s="83">
        <f>ROUND(VLOOKUP(INT(SUBSTITUTE(N$23,"级","")),树木!$Z$4:$AB$18,2,0)*$F24,-1)</f>
        <v>40000</v>
      </c>
      <c r="O24" s="83">
        <f>ROUND(VLOOKUP(INT(SUBSTITUTE(O$23,"级","")),树木!$Z$4:$AB$18,2,0)*$F24,-1)</f>
        <v>60000</v>
      </c>
      <c r="P24" s="83">
        <f>ROUND(VLOOKUP(INT(SUBSTITUTE(P$23,"级","")),树木!$Z$4:$AB$18,2,0)*$F24,-1)</f>
        <v>90000</v>
      </c>
      <c r="Q24" s="143">
        <f>ROUND(VLOOKUP(INT(SUBSTITUTE(Q$23,"级","")),树木!$Z$4:$AB$18,2,0)*$F24,-1)</f>
        <v>125000</v>
      </c>
      <c r="R24" s="143">
        <f>ROUND(VLOOKUP(INT(SUBSTITUTE(R$23,"级","")),树木!$Z$4:$AB$18,2,0)*$F24,-1)</f>
        <v>200000</v>
      </c>
      <c r="S24" s="143">
        <f>ROUND(VLOOKUP(INT(SUBSTITUTE(S$23,"级","")),树木!$Z$4:$AB$18,2,0)*$F24,-1)</f>
        <v>300000</v>
      </c>
      <c r="T24" s="143">
        <f>ROUND(VLOOKUP(INT(SUBSTITUTE(T$23,"级","")),树木!$Z$4:$AB$18,2,0)*$F24,-1)</f>
        <v>450000</v>
      </c>
      <c r="U24" s="143">
        <f>ROUND(VLOOKUP(INT(SUBSTITUTE(U$23,"级","")),树木!$Z$4:$AB$18,2,0)*$F24,-1)</f>
        <v>700000</v>
      </c>
      <c r="V24" s="143">
        <f>ROUND(VLOOKUP(INT(SUBSTITUTE(V$23,"级","")),树木!$Z$4:$AB$18,2,0)*$F24,-1)</f>
        <v>1000000</v>
      </c>
      <c r="X24" s="70" t="str">
        <f t="shared" ref="X24:AF28" si="15">"70003_"&amp;I24&amp;"_"&amp;$G24*100</f>
        <v>70003_5000_30</v>
      </c>
      <c r="Y24" s="70" t="str">
        <f t="shared" si="15"/>
        <v>70003_7500_30</v>
      </c>
      <c r="Z24" s="70" t="str">
        <f t="shared" si="15"/>
        <v>70003_12500_30</v>
      </c>
      <c r="AA24" s="70" t="str">
        <f t="shared" si="15"/>
        <v>70003_17500_30</v>
      </c>
      <c r="AB24" s="70" t="str">
        <f t="shared" si="15"/>
        <v>70003_25000_30</v>
      </c>
      <c r="AC24" s="70" t="str">
        <f t="shared" si="15"/>
        <v>70003_40000_30</v>
      </c>
      <c r="AD24" s="70" t="str">
        <f t="shared" si="15"/>
        <v>70003_60000_30</v>
      </c>
      <c r="AE24" s="70" t="str">
        <f t="shared" si="15"/>
        <v>70003_90000_30</v>
      </c>
      <c r="AF24" s="70" t="str">
        <f t="shared" si="15"/>
        <v>70003_125000_30</v>
      </c>
      <c r="AH24" s="70" t="str">
        <f>X24</f>
        <v>70003_5000_30</v>
      </c>
      <c r="AI24" s="70" t="str">
        <f t="shared" ref="AI24" si="16">Y24</f>
        <v>70003_7500_30</v>
      </c>
      <c r="AJ24" s="70" t="str">
        <f t="shared" ref="AJ24" si="17">Z24</f>
        <v>70003_12500_30</v>
      </c>
      <c r="AK24" s="70" t="str">
        <f t="shared" ref="AK24" si="18">AA24</f>
        <v>70003_17500_30</v>
      </c>
      <c r="AL24" s="70" t="str">
        <f t="shared" ref="AL24" si="19">AB24</f>
        <v>70003_25000_30</v>
      </c>
      <c r="AM24" s="70" t="str">
        <f t="shared" ref="AM24" si="20">AC24</f>
        <v>70003_40000_30</v>
      </c>
      <c r="AN24" s="70" t="str">
        <f t="shared" ref="AN24" si="21">AD24</f>
        <v>70003_60000_30</v>
      </c>
      <c r="AO24" s="70" t="str">
        <f t="shared" ref="AO24" si="22">AE24</f>
        <v>70003_90000_30</v>
      </c>
      <c r="AP24" s="70" t="str">
        <f t="shared" ref="AP24" si="23">AF24</f>
        <v>70003_125000_30</v>
      </c>
    </row>
    <row r="25" spans="5:42" x14ac:dyDescent="0.35">
      <c r="E25" s="57">
        <v>2</v>
      </c>
      <c r="F25" s="77">
        <v>10</v>
      </c>
      <c r="G25" s="142">
        <v>0.3</v>
      </c>
      <c r="H25" s="77">
        <f t="shared" ref="H25:H28" si="24">F25*G25</f>
        <v>3</v>
      </c>
      <c r="I25" s="83">
        <f>ROUND(VLOOKUP(INT(SUBSTITUTE(I$23,"级","")),树木!$Z$4:$AB$18,2,0)*$F25,-1)</f>
        <v>10000</v>
      </c>
      <c r="J25" s="83">
        <f>ROUND(VLOOKUP(INT(SUBSTITUTE(J$23,"级","")),树木!$Z$4:$AB$18,2,0)*$F25,-1)</f>
        <v>15000</v>
      </c>
      <c r="K25" s="83">
        <f>ROUND(VLOOKUP(INT(SUBSTITUTE(K$23,"级","")),树木!$Z$4:$AB$18,2,0)*$F25,-1)</f>
        <v>25000</v>
      </c>
      <c r="L25" s="83">
        <f>ROUND(VLOOKUP(INT(SUBSTITUTE(L$23,"级","")),树木!$Z$4:$AB$18,2,0)*$F25,-1)</f>
        <v>35000</v>
      </c>
      <c r="M25" s="83">
        <f>ROUND(VLOOKUP(INT(SUBSTITUTE(M$23,"级","")),树木!$Z$4:$AB$18,2,0)*$F25,-1)</f>
        <v>50000</v>
      </c>
      <c r="N25" s="83">
        <f>ROUND(VLOOKUP(INT(SUBSTITUTE(N$23,"级","")),树木!$Z$4:$AB$18,2,0)*$F25,-1)</f>
        <v>80000</v>
      </c>
      <c r="O25" s="83">
        <f>ROUND(VLOOKUP(INT(SUBSTITUTE(O$23,"级","")),树木!$Z$4:$AB$18,2,0)*$F25,-1)</f>
        <v>120000</v>
      </c>
      <c r="P25" s="83">
        <f>ROUND(VLOOKUP(INT(SUBSTITUTE(P$23,"级","")),树木!$Z$4:$AB$18,2,0)*$F25,-1)</f>
        <v>180000</v>
      </c>
      <c r="Q25" s="143">
        <f>ROUND(VLOOKUP(INT(SUBSTITUTE(Q$23,"级","")),树木!$Z$4:$AB$18,2,0)*$F25,-1)</f>
        <v>250000</v>
      </c>
      <c r="R25" s="143">
        <f>ROUND(VLOOKUP(INT(SUBSTITUTE(R$23,"级","")),树木!$Z$4:$AB$18,2,0)*$F25,-1)</f>
        <v>400000</v>
      </c>
      <c r="S25" s="143">
        <f>ROUND(VLOOKUP(INT(SUBSTITUTE(S$23,"级","")),树木!$Z$4:$AB$18,2,0)*$F25,-1)</f>
        <v>600000</v>
      </c>
      <c r="T25" s="143">
        <f>ROUND(VLOOKUP(INT(SUBSTITUTE(T$23,"级","")),树木!$Z$4:$AB$18,2,0)*$F25,-1)</f>
        <v>900000</v>
      </c>
      <c r="U25" s="143">
        <f>ROUND(VLOOKUP(INT(SUBSTITUTE(U$23,"级","")),树木!$Z$4:$AB$18,2,0)*$F25,-1)</f>
        <v>1400000</v>
      </c>
      <c r="V25" s="143">
        <f>ROUND(VLOOKUP(INT(SUBSTITUTE(V$23,"级","")),树木!$Z$4:$AB$18,2,0)*$F25,-1)</f>
        <v>2000000</v>
      </c>
      <c r="X25" s="70" t="str">
        <f t="shared" si="15"/>
        <v>70003_10000_30</v>
      </c>
      <c r="Y25" s="70" t="str">
        <f t="shared" si="15"/>
        <v>70003_15000_30</v>
      </c>
      <c r="Z25" s="70" t="str">
        <f t="shared" si="15"/>
        <v>70003_25000_30</v>
      </c>
      <c r="AA25" s="70" t="str">
        <f t="shared" si="15"/>
        <v>70003_35000_30</v>
      </c>
      <c r="AB25" s="70" t="str">
        <f t="shared" si="15"/>
        <v>70003_50000_30</v>
      </c>
      <c r="AC25" s="70" t="str">
        <f t="shared" si="15"/>
        <v>70003_80000_30</v>
      </c>
      <c r="AD25" s="70" t="str">
        <f t="shared" si="15"/>
        <v>70003_120000_30</v>
      </c>
      <c r="AE25" s="70" t="str">
        <f t="shared" si="15"/>
        <v>70003_180000_30</v>
      </c>
      <c r="AF25" s="70" t="str">
        <f t="shared" si="15"/>
        <v>70003_250000_30</v>
      </c>
      <c r="AH25" s="70" t="str">
        <f>AH24&amp;","&amp;X25</f>
        <v>70003_5000_30,70003_10000_30</v>
      </c>
      <c r="AI25" s="70" t="str">
        <f t="shared" ref="AI25:AI28" si="25">AI24&amp;","&amp;Y25</f>
        <v>70003_7500_30,70003_15000_30</v>
      </c>
      <c r="AJ25" s="70" t="str">
        <f t="shared" ref="AJ25:AJ28" si="26">AJ24&amp;","&amp;Z25</f>
        <v>70003_12500_30,70003_25000_30</v>
      </c>
      <c r="AK25" s="70" t="str">
        <f t="shared" ref="AK25:AK28" si="27">AK24&amp;","&amp;AA25</f>
        <v>70003_17500_30,70003_35000_30</v>
      </c>
      <c r="AL25" s="70" t="str">
        <f t="shared" ref="AL25:AL28" si="28">AL24&amp;","&amp;AB25</f>
        <v>70003_25000_30,70003_50000_30</v>
      </c>
      <c r="AM25" s="70" t="str">
        <f t="shared" ref="AM25:AM28" si="29">AM24&amp;","&amp;AC25</f>
        <v>70003_40000_30,70003_80000_30</v>
      </c>
      <c r="AN25" s="70" t="str">
        <f t="shared" ref="AN25:AN28" si="30">AN24&amp;","&amp;AD25</f>
        <v>70003_60000_30,70003_120000_30</v>
      </c>
      <c r="AO25" s="70" t="str">
        <f t="shared" ref="AO25:AO28" si="31">AO24&amp;","&amp;AE25</f>
        <v>70003_90000_30,70003_180000_30</v>
      </c>
      <c r="AP25" s="70" t="str">
        <f t="shared" ref="AP25:AP28" si="32">AP24&amp;","&amp;AF25</f>
        <v>70003_125000_30,70003_250000_30</v>
      </c>
    </row>
    <row r="26" spans="5:42" x14ac:dyDescent="0.35">
      <c r="E26" s="57">
        <v>3</v>
      </c>
      <c r="F26" s="77">
        <v>20</v>
      </c>
      <c r="G26" s="142">
        <v>0.2</v>
      </c>
      <c r="H26" s="77">
        <f t="shared" si="24"/>
        <v>4</v>
      </c>
      <c r="I26" s="83">
        <f>ROUND(VLOOKUP(INT(SUBSTITUTE(I$23,"级","")),树木!$Z$4:$AB$18,2,0)*$F26,-1)</f>
        <v>20000</v>
      </c>
      <c r="J26" s="83">
        <f>ROUND(VLOOKUP(INT(SUBSTITUTE(J$23,"级","")),树木!$Z$4:$AB$18,2,0)*$F26,-1)</f>
        <v>30000</v>
      </c>
      <c r="K26" s="83">
        <f>ROUND(VLOOKUP(INT(SUBSTITUTE(K$23,"级","")),树木!$Z$4:$AB$18,2,0)*$F26,-1)</f>
        <v>50000</v>
      </c>
      <c r="L26" s="83">
        <f>ROUND(VLOOKUP(INT(SUBSTITUTE(L$23,"级","")),树木!$Z$4:$AB$18,2,0)*$F26,-1)</f>
        <v>70000</v>
      </c>
      <c r="M26" s="83">
        <f>ROUND(VLOOKUP(INT(SUBSTITUTE(M$23,"级","")),树木!$Z$4:$AB$18,2,0)*$F26,-1)</f>
        <v>100000</v>
      </c>
      <c r="N26" s="83">
        <f>ROUND(VLOOKUP(INT(SUBSTITUTE(N$23,"级","")),树木!$Z$4:$AB$18,2,0)*$F26,-1)</f>
        <v>160000</v>
      </c>
      <c r="O26" s="83">
        <f>ROUND(VLOOKUP(INT(SUBSTITUTE(O$23,"级","")),树木!$Z$4:$AB$18,2,0)*$F26,-1)</f>
        <v>240000</v>
      </c>
      <c r="P26" s="83">
        <f>ROUND(VLOOKUP(INT(SUBSTITUTE(P$23,"级","")),树木!$Z$4:$AB$18,2,0)*$F26,-1)</f>
        <v>360000</v>
      </c>
      <c r="Q26" s="143">
        <f>ROUND(VLOOKUP(INT(SUBSTITUTE(Q$23,"级","")),树木!$Z$4:$AB$18,2,0)*$F26,-1)</f>
        <v>500000</v>
      </c>
      <c r="R26" s="143">
        <f>ROUND(VLOOKUP(INT(SUBSTITUTE(R$23,"级","")),树木!$Z$4:$AB$18,2,0)*$F26,-1)</f>
        <v>800000</v>
      </c>
      <c r="S26" s="143">
        <f>ROUND(VLOOKUP(INT(SUBSTITUTE(S$23,"级","")),树木!$Z$4:$AB$18,2,0)*$F26,-1)</f>
        <v>1200000</v>
      </c>
      <c r="T26" s="143">
        <f>ROUND(VLOOKUP(INT(SUBSTITUTE(T$23,"级","")),树木!$Z$4:$AB$18,2,0)*$F26,-1)</f>
        <v>1800000</v>
      </c>
      <c r="U26" s="143">
        <f>ROUND(VLOOKUP(INT(SUBSTITUTE(U$23,"级","")),树木!$Z$4:$AB$18,2,0)*$F26,-1)</f>
        <v>2800000</v>
      </c>
      <c r="V26" s="143">
        <f>ROUND(VLOOKUP(INT(SUBSTITUTE(V$23,"级","")),树木!$Z$4:$AB$18,2,0)*$F26,-1)</f>
        <v>4000000</v>
      </c>
      <c r="X26" s="70" t="str">
        <f t="shared" si="15"/>
        <v>70003_20000_20</v>
      </c>
      <c r="Y26" s="70" t="str">
        <f t="shared" si="15"/>
        <v>70003_30000_20</v>
      </c>
      <c r="Z26" s="70" t="str">
        <f t="shared" si="15"/>
        <v>70003_50000_20</v>
      </c>
      <c r="AA26" s="70" t="str">
        <f t="shared" si="15"/>
        <v>70003_70000_20</v>
      </c>
      <c r="AB26" s="70" t="str">
        <f t="shared" si="15"/>
        <v>70003_100000_20</v>
      </c>
      <c r="AC26" s="70" t="str">
        <f t="shared" si="15"/>
        <v>70003_160000_20</v>
      </c>
      <c r="AD26" s="70" t="str">
        <f t="shared" si="15"/>
        <v>70003_240000_20</v>
      </c>
      <c r="AE26" s="70" t="str">
        <f t="shared" si="15"/>
        <v>70003_360000_20</v>
      </c>
      <c r="AF26" s="70" t="str">
        <f t="shared" si="15"/>
        <v>70003_500000_20</v>
      </c>
      <c r="AH26" s="70" t="str">
        <f t="shared" ref="AH26:AH28" si="33">AH25&amp;","&amp;X26</f>
        <v>70003_5000_30,70003_10000_30,70003_20000_20</v>
      </c>
      <c r="AI26" s="70" t="str">
        <f t="shared" si="25"/>
        <v>70003_7500_30,70003_15000_30,70003_30000_20</v>
      </c>
      <c r="AJ26" s="70" t="str">
        <f t="shared" si="26"/>
        <v>70003_12500_30,70003_25000_30,70003_50000_20</v>
      </c>
      <c r="AK26" s="70" t="str">
        <f t="shared" si="27"/>
        <v>70003_17500_30,70003_35000_30,70003_70000_20</v>
      </c>
      <c r="AL26" s="70" t="str">
        <f t="shared" si="28"/>
        <v>70003_25000_30,70003_50000_30,70003_100000_20</v>
      </c>
      <c r="AM26" s="70" t="str">
        <f t="shared" si="29"/>
        <v>70003_40000_30,70003_80000_30,70003_160000_20</v>
      </c>
      <c r="AN26" s="70" t="str">
        <f t="shared" si="30"/>
        <v>70003_60000_30,70003_120000_30,70003_240000_20</v>
      </c>
      <c r="AO26" s="70" t="str">
        <f t="shared" si="31"/>
        <v>70003_90000_30,70003_180000_30,70003_360000_20</v>
      </c>
      <c r="AP26" s="70" t="str">
        <f t="shared" si="32"/>
        <v>70003_125000_30,70003_250000_30,70003_500000_20</v>
      </c>
    </row>
    <row r="27" spans="5:42" x14ac:dyDescent="0.35">
      <c r="E27" s="57">
        <v>4</v>
      </c>
      <c r="F27" s="77">
        <v>40</v>
      </c>
      <c r="G27" s="142">
        <v>0.12</v>
      </c>
      <c r="H27" s="77">
        <f t="shared" si="24"/>
        <v>4.8</v>
      </c>
      <c r="I27" s="83">
        <f>ROUND(VLOOKUP(INT(SUBSTITUTE(I$23,"级","")),树木!$Z$4:$AB$18,2,0)*$F27,-1)</f>
        <v>40000</v>
      </c>
      <c r="J27" s="83">
        <f>ROUND(VLOOKUP(INT(SUBSTITUTE(J$23,"级","")),树木!$Z$4:$AB$18,2,0)*$F27,-1)</f>
        <v>60000</v>
      </c>
      <c r="K27" s="83">
        <f>ROUND(VLOOKUP(INT(SUBSTITUTE(K$23,"级","")),树木!$Z$4:$AB$18,2,0)*$F27,-1)</f>
        <v>100000</v>
      </c>
      <c r="L27" s="83">
        <f>ROUND(VLOOKUP(INT(SUBSTITUTE(L$23,"级","")),树木!$Z$4:$AB$18,2,0)*$F27,-1)</f>
        <v>140000</v>
      </c>
      <c r="M27" s="83">
        <f>ROUND(VLOOKUP(INT(SUBSTITUTE(M$23,"级","")),树木!$Z$4:$AB$18,2,0)*$F27,-1)</f>
        <v>200000</v>
      </c>
      <c r="N27" s="83">
        <f>ROUND(VLOOKUP(INT(SUBSTITUTE(N$23,"级","")),树木!$Z$4:$AB$18,2,0)*$F27,-1)</f>
        <v>320000</v>
      </c>
      <c r="O27" s="83">
        <f>ROUND(VLOOKUP(INT(SUBSTITUTE(O$23,"级","")),树木!$Z$4:$AB$18,2,0)*$F27,-1)</f>
        <v>480000</v>
      </c>
      <c r="P27" s="83">
        <f>ROUND(VLOOKUP(INT(SUBSTITUTE(P$23,"级","")),树木!$Z$4:$AB$18,2,0)*$F27,-1)</f>
        <v>720000</v>
      </c>
      <c r="Q27" s="143">
        <f>ROUND(VLOOKUP(INT(SUBSTITUTE(Q$23,"级","")),树木!$Z$4:$AB$18,2,0)*$F27,-1)</f>
        <v>1000000</v>
      </c>
      <c r="R27" s="143">
        <f>ROUND(VLOOKUP(INT(SUBSTITUTE(R$23,"级","")),树木!$Z$4:$AB$18,2,0)*$F27,-1)</f>
        <v>1600000</v>
      </c>
      <c r="S27" s="143">
        <f>ROUND(VLOOKUP(INT(SUBSTITUTE(S$23,"级","")),树木!$Z$4:$AB$18,2,0)*$F27,-1)</f>
        <v>2400000</v>
      </c>
      <c r="T27" s="143">
        <f>ROUND(VLOOKUP(INT(SUBSTITUTE(T$23,"级","")),树木!$Z$4:$AB$18,2,0)*$F27,-1)</f>
        <v>3600000</v>
      </c>
      <c r="U27" s="143">
        <f>ROUND(VLOOKUP(INT(SUBSTITUTE(U$23,"级","")),树木!$Z$4:$AB$18,2,0)*$F27,-1)</f>
        <v>5600000</v>
      </c>
      <c r="V27" s="143">
        <f>ROUND(VLOOKUP(INT(SUBSTITUTE(V$23,"级","")),树木!$Z$4:$AB$18,2,0)*$F27,-1)</f>
        <v>8000000</v>
      </c>
      <c r="X27" s="70" t="str">
        <f t="shared" si="15"/>
        <v>70003_40000_12</v>
      </c>
      <c r="Y27" s="70" t="str">
        <f t="shared" si="15"/>
        <v>70003_60000_12</v>
      </c>
      <c r="Z27" s="70" t="str">
        <f t="shared" si="15"/>
        <v>70003_100000_12</v>
      </c>
      <c r="AA27" s="70" t="str">
        <f t="shared" si="15"/>
        <v>70003_140000_12</v>
      </c>
      <c r="AB27" s="70" t="str">
        <f t="shared" si="15"/>
        <v>70003_200000_12</v>
      </c>
      <c r="AC27" s="70" t="str">
        <f t="shared" si="15"/>
        <v>70003_320000_12</v>
      </c>
      <c r="AD27" s="70" t="str">
        <f t="shared" si="15"/>
        <v>70003_480000_12</v>
      </c>
      <c r="AE27" s="70" t="str">
        <f t="shared" si="15"/>
        <v>70003_720000_12</v>
      </c>
      <c r="AF27" s="70" t="str">
        <f t="shared" si="15"/>
        <v>70003_1000000_12</v>
      </c>
      <c r="AH27" s="70" t="str">
        <f t="shared" si="33"/>
        <v>70003_5000_30,70003_10000_30,70003_20000_20,70003_40000_12</v>
      </c>
      <c r="AI27" s="70" t="str">
        <f t="shared" si="25"/>
        <v>70003_7500_30,70003_15000_30,70003_30000_20,70003_60000_12</v>
      </c>
      <c r="AJ27" s="70" t="str">
        <f t="shared" si="26"/>
        <v>70003_12500_30,70003_25000_30,70003_50000_20,70003_100000_12</v>
      </c>
      <c r="AK27" s="70" t="str">
        <f t="shared" si="27"/>
        <v>70003_17500_30,70003_35000_30,70003_70000_20,70003_140000_12</v>
      </c>
      <c r="AL27" s="70" t="str">
        <f t="shared" si="28"/>
        <v>70003_25000_30,70003_50000_30,70003_100000_20,70003_200000_12</v>
      </c>
      <c r="AM27" s="70" t="str">
        <f t="shared" si="29"/>
        <v>70003_40000_30,70003_80000_30,70003_160000_20,70003_320000_12</v>
      </c>
      <c r="AN27" s="70" t="str">
        <f t="shared" si="30"/>
        <v>70003_60000_30,70003_120000_30,70003_240000_20,70003_480000_12</v>
      </c>
      <c r="AO27" s="70" t="str">
        <f t="shared" si="31"/>
        <v>70003_90000_30,70003_180000_30,70003_360000_20,70003_720000_12</v>
      </c>
      <c r="AP27" s="70" t="str">
        <f t="shared" si="32"/>
        <v>70003_125000_30,70003_250000_30,70003_500000_20,70003_1000000_12</v>
      </c>
    </row>
    <row r="28" spans="5:42" x14ac:dyDescent="0.35">
      <c r="E28" s="57">
        <v>5</v>
      </c>
      <c r="F28" s="77">
        <v>80</v>
      </c>
      <c r="G28" s="142">
        <v>0.08</v>
      </c>
      <c r="H28" s="77">
        <f t="shared" si="24"/>
        <v>6.4</v>
      </c>
      <c r="I28" s="83">
        <f>ROUND(VLOOKUP(INT(SUBSTITUTE(I$23,"级","")),树木!$Z$4:$AB$18,2,0)*$F28,-1)</f>
        <v>80000</v>
      </c>
      <c r="J28" s="83">
        <f>ROUND(VLOOKUP(INT(SUBSTITUTE(J$23,"级","")),树木!$Z$4:$AB$18,2,0)*$F28,-1)</f>
        <v>120000</v>
      </c>
      <c r="K28" s="83">
        <f>ROUND(VLOOKUP(INT(SUBSTITUTE(K$23,"级","")),树木!$Z$4:$AB$18,2,0)*$F28,-1)</f>
        <v>200000</v>
      </c>
      <c r="L28" s="83">
        <f>ROUND(VLOOKUP(INT(SUBSTITUTE(L$23,"级","")),树木!$Z$4:$AB$18,2,0)*$F28,-1)</f>
        <v>280000</v>
      </c>
      <c r="M28" s="83">
        <f>ROUND(VLOOKUP(INT(SUBSTITUTE(M$23,"级","")),树木!$Z$4:$AB$18,2,0)*$F28,-1)</f>
        <v>400000</v>
      </c>
      <c r="N28" s="83">
        <f>ROUND(VLOOKUP(INT(SUBSTITUTE(N$23,"级","")),树木!$Z$4:$AB$18,2,0)*$F28,-1)</f>
        <v>640000</v>
      </c>
      <c r="O28" s="83">
        <f>ROUND(VLOOKUP(INT(SUBSTITUTE(O$23,"级","")),树木!$Z$4:$AB$18,2,0)*$F28,-1)</f>
        <v>960000</v>
      </c>
      <c r="P28" s="83">
        <f>ROUND(VLOOKUP(INT(SUBSTITUTE(P$23,"级","")),树木!$Z$4:$AB$18,2,0)*$F28,-1)</f>
        <v>1440000</v>
      </c>
      <c r="Q28" s="143">
        <f>ROUND(VLOOKUP(INT(SUBSTITUTE(Q$23,"级","")),树木!$Z$4:$AB$18,2,0)*$F28,-1)</f>
        <v>2000000</v>
      </c>
      <c r="R28" s="143">
        <f>ROUND(VLOOKUP(INT(SUBSTITUTE(R$23,"级","")),树木!$Z$4:$AB$18,2,0)*$F28,-1)</f>
        <v>3200000</v>
      </c>
      <c r="S28" s="143">
        <f>ROUND(VLOOKUP(INT(SUBSTITUTE(S$23,"级","")),树木!$Z$4:$AB$18,2,0)*$F28,-1)</f>
        <v>4800000</v>
      </c>
      <c r="T28" s="143">
        <f>ROUND(VLOOKUP(INT(SUBSTITUTE(T$23,"级","")),树木!$Z$4:$AB$18,2,0)*$F28,-1)</f>
        <v>7200000</v>
      </c>
      <c r="U28" s="143">
        <f>ROUND(VLOOKUP(INT(SUBSTITUTE(U$23,"级","")),树木!$Z$4:$AB$18,2,0)*$F28,-1)</f>
        <v>11200000</v>
      </c>
      <c r="V28" s="143">
        <f>ROUND(VLOOKUP(INT(SUBSTITUTE(V$23,"级","")),树木!$Z$4:$AB$18,2,0)*$F28,-1)</f>
        <v>16000000</v>
      </c>
      <c r="X28" s="70" t="str">
        <f t="shared" si="15"/>
        <v>70003_80000_8</v>
      </c>
      <c r="Y28" s="70" t="str">
        <f t="shared" si="15"/>
        <v>70003_120000_8</v>
      </c>
      <c r="Z28" s="70" t="str">
        <f t="shared" si="15"/>
        <v>70003_200000_8</v>
      </c>
      <c r="AA28" s="70" t="str">
        <f t="shared" si="15"/>
        <v>70003_280000_8</v>
      </c>
      <c r="AB28" s="70" t="str">
        <f t="shared" si="15"/>
        <v>70003_400000_8</v>
      </c>
      <c r="AC28" s="70" t="str">
        <f t="shared" si="15"/>
        <v>70003_640000_8</v>
      </c>
      <c r="AD28" s="70" t="str">
        <f t="shared" si="15"/>
        <v>70003_960000_8</v>
      </c>
      <c r="AE28" s="70" t="str">
        <f t="shared" si="15"/>
        <v>70003_1440000_8</v>
      </c>
      <c r="AF28" s="70" t="str">
        <f t="shared" si="15"/>
        <v>70003_2000000_8</v>
      </c>
      <c r="AH28" s="70" t="str">
        <f t="shared" si="33"/>
        <v>70003_5000_30,70003_10000_30,70003_20000_20,70003_40000_12,70003_80000_8</v>
      </c>
      <c r="AI28" s="70" t="str">
        <f t="shared" si="25"/>
        <v>70003_7500_30,70003_15000_30,70003_30000_20,70003_60000_12,70003_120000_8</v>
      </c>
      <c r="AJ28" s="70" t="str">
        <f t="shared" si="26"/>
        <v>70003_12500_30,70003_25000_30,70003_50000_20,70003_100000_12,70003_200000_8</v>
      </c>
      <c r="AK28" s="70" t="str">
        <f t="shared" si="27"/>
        <v>70003_17500_30,70003_35000_30,70003_70000_20,70003_140000_12,70003_280000_8</v>
      </c>
      <c r="AL28" s="70" t="str">
        <f t="shared" si="28"/>
        <v>70003_25000_30,70003_50000_30,70003_100000_20,70003_200000_12,70003_400000_8</v>
      </c>
      <c r="AM28" s="70" t="str">
        <f t="shared" si="29"/>
        <v>70003_40000_30,70003_80000_30,70003_160000_20,70003_320000_12,70003_640000_8</v>
      </c>
      <c r="AN28" s="70" t="str">
        <f t="shared" si="30"/>
        <v>70003_60000_30,70003_120000_30,70003_240000_20,70003_480000_12,70003_960000_8</v>
      </c>
      <c r="AO28" s="70" t="str">
        <f t="shared" si="31"/>
        <v>70003_90000_30,70003_180000_30,70003_360000_20,70003_720000_12,70003_1440000_8</v>
      </c>
      <c r="AP28" s="70" t="str">
        <f t="shared" si="32"/>
        <v>70003_125000_30,70003_250000_30,70003_500000_20,70003_1000000_12,70003_2000000_8</v>
      </c>
    </row>
    <row r="31" spans="5:42" x14ac:dyDescent="0.15">
      <c r="G31" s="106">
        <f>SUM(G33:G37)</f>
        <v>1</v>
      </c>
      <c r="H31" s="70">
        <f>SUM(H33:H37)</f>
        <v>19.700000000000003</v>
      </c>
      <c r="I31" s="157" t="s">
        <v>352</v>
      </c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9"/>
    </row>
    <row r="32" spans="5:42" x14ac:dyDescent="0.35">
      <c r="E32" s="57" t="s">
        <v>322</v>
      </c>
      <c r="F32" s="77" t="s">
        <v>353</v>
      </c>
      <c r="G32" s="101" t="s">
        <v>341</v>
      </c>
      <c r="H32" s="77" t="s">
        <v>339</v>
      </c>
      <c r="I32" s="83" t="s">
        <v>323</v>
      </c>
      <c r="J32" s="83" t="s">
        <v>324</v>
      </c>
      <c r="K32" s="83" t="s">
        <v>325</v>
      </c>
      <c r="L32" s="83" t="s">
        <v>326</v>
      </c>
      <c r="M32" s="83" t="s">
        <v>327</v>
      </c>
      <c r="N32" s="83" t="s">
        <v>328</v>
      </c>
      <c r="O32" s="83" t="s">
        <v>329</v>
      </c>
      <c r="P32" s="83" t="s">
        <v>330</v>
      </c>
      <c r="Q32" s="143" t="s">
        <v>331</v>
      </c>
      <c r="R32" s="143" t="s">
        <v>332</v>
      </c>
      <c r="S32" s="143" t="s">
        <v>333</v>
      </c>
      <c r="T32" s="143" t="s">
        <v>334</v>
      </c>
      <c r="U32" s="143" t="s">
        <v>335</v>
      </c>
      <c r="V32" s="143" t="s">
        <v>336</v>
      </c>
    </row>
    <row r="33" spans="5:42" x14ac:dyDescent="0.35">
      <c r="E33" s="57">
        <v>1</v>
      </c>
      <c r="F33" s="77">
        <v>5</v>
      </c>
      <c r="G33" s="142">
        <v>0.3</v>
      </c>
      <c r="H33" s="77">
        <f>F33*G33</f>
        <v>1.5</v>
      </c>
      <c r="I33" s="83">
        <f>ROUND(VLOOKUP(INT(SUBSTITUTE(I$23,"级","")),矿山!$Z$4:$AB$18,2,0)*$F33,-1)</f>
        <v>5000</v>
      </c>
      <c r="J33" s="83">
        <f>ROUND(VLOOKUP(INT(SUBSTITUTE(J$23,"级","")),矿山!$Z$4:$AB$18,2,0)*$F33,-1)</f>
        <v>7500</v>
      </c>
      <c r="K33" s="83">
        <f>ROUND(VLOOKUP(INT(SUBSTITUTE(K$23,"级","")),矿山!$Z$4:$AB$18,2,0)*$F33,-1)</f>
        <v>12500</v>
      </c>
      <c r="L33" s="83">
        <f>ROUND(VLOOKUP(INT(SUBSTITUTE(L$23,"级","")),矿山!$Z$4:$AB$18,2,0)*$F33,-1)</f>
        <v>17500</v>
      </c>
      <c r="M33" s="83">
        <f>ROUND(VLOOKUP(INT(SUBSTITUTE(M$23,"级","")),矿山!$Z$4:$AB$18,2,0)*$F33,-1)</f>
        <v>25000</v>
      </c>
      <c r="N33" s="83">
        <f>ROUND(VLOOKUP(INT(SUBSTITUTE(N$23,"级","")),矿山!$Z$4:$AB$18,2,0)*$F33,-1)</f>
        <v>40000</v>
      </c>
      <c r="O33" s="83">
        <f>ROUND(VLOOKUP(INT(SUBSTITUTE(O$23,"级","")),矿山!$Z$4:$AB$18,2,0)*$F33,-1)</f>
        <v>60000</v>
      </c>
      <c r="P33" s="83">
        <f>ROUND(VLOOKUP(INT(SUBSTITUTE(P$23,"级","")),矿山!$Z$4:$AB$18,2,0)*$F33,-1)</f>
        <v>90000</v>
      </c>
      <c r="Q33" s="143">
        <f>ROUND(VLOOKUP(INT(SUBSTITUTE(Q$23,"级","")),矿山!$Z$4:$AB$18,2,0)*$F33,-1)</f>
        <v>125000</v>
      </c>
      <c r="R33" s="143">
        <f>ROUND(VLOOKUP(INT(SUBSTITUTE(R$23,"级","")),矿山!$Z$4:$AB$18,2,0)*$F33,-1)</f>
        <v>200000</v>
      </c>
      <c r="S33" s="143">
        <f>ROUND(VLOOKUP(INT(SUBSTITUTE(S$23,"级","")),矿山!$Z$4:$AB$18,2,0)*$F33,-1)</f>
        <v>300000</v>
      </c>
      <c r="T33" s="143">
        <f>ROUND(VLOOKUP(INT(SUBSTITUTE(T$23,"级","")),矿山!$Z$4:$AB$18,2,0)*$F33,-1)</f>
        <v>450000</v>
      </c>
      <c r="U33" s="143">
        <f>ROUND(VLOOKUP(INT(SUBSTITUTE(U$23,"级","")),矿山!$Z$4:$AB$18,2,0)*$F33,-1)</f>
        <v>700000</v>
      </c>
      <c r="V33" s="143">
        <f>ROUND(VLOOKUP(INT(SUBSTITUTE(V$23,"级","")),矿山!$Z$4:$AB$18,2,0)*$F33,-1)</f>
        <v>1000000</v>
      </c>
      <c r="X33" s="70" t="str">
        <f t="shared" ref="X33:AF37" si="34">"70004_"&amp;I33&amp;"_"&amp;$G33*100</f>
        <v>70004_5000_30</v>
      </c>
      <c r="Y33" s="70" t="str">
        <f t="shared" si="34"/>
        <v>70004_7500_30</v>
      </c>
      <c r="Z33" s="70" t="str">
        <f t="shared" si="34"/>
        <v>70004_12500_30</v>
      </c>
      <c r="AA33" s="70" t="str">
        <f t="shared" si="34"/>
        <v>70004_17500_30</v>
      </c>
      <c r="AB33" s="70" t="str">
        <f t="shared" si="34"/>
        <v>70004_25000_30</v>
      </c>
      <c r="AC33" s="70" t="str">
        <f t="shared" si="34"/>
        <v>70004_40000_30</v>
      </c>
      <c r="AD33" s="70" t="str">
        <f t="shared" si="34"/>
        <v>70004_60000_30</v>
      </c>
      <c r="AE33" s="70" t="str">
        <f t="shared" si="34"/>
        <v>70004_90000_30</v>
      </c>
      <c r="AF33" s="70" t="str">
        <f t="shared" si="34"/>
        <v>70004_125000_30</v>
      </c>
      <c r="AH33" s="70" t="str">
        <f>X33</f>
        <v>70004_5000_30</v>
      </c>
      <c r="AI33" s="70" t="str">
        <f t="shared" ref="AI33" si="35">Y33</f>
        <v>70004_7500_30</v>
      </c>
      <c r="AJ33" s="70" t="str">
        <f t="shared" ref="AJ33" si="36">Z33</f>
        <v>70004_12500_30</v>
      </c>
      <c r="AK33" s="70" t="str">
        <f t="shared" ref="AK33" si="37">AA33</f>
        <v>70004_17500_30</v>
      </c>
      <c r="AL33" s="70" t="str">
        <f t="shared" ref="AL33" si="38">AB33</f>
        <v>70004_25000_30</v>
      </c>
      <c r="AM33" s="70" t="str">
        <f t="shared" ref="AM33" si="39">AC33</f>
        <v>70004_40000_30</v>
      </c>
      <c r="AN33" s="70" t="str">
        <f t="shared" ref="AN33" si="40">AD33</f>
        <v>70004_60000_30</v>
      </c>
      <c r="AO33" s="70" t="str">
        <f t="shared" ref="AO33" si="41">AE33</f>
        <v>70004_90000_30</v>
      </c>
      <c r="AP33" s="70" t="str">
        <f t="shared" ref="AP33" si="42">AF33</f>
        <v>70004_125000_30</v>
      </c>
    </row>
    <row r="34" spans="5:42" x14ac:dyDescent="0.35">
      <c r="E34" s="57">
        <v>2</v>
      </c>
      <c r="F34" s="77">
        <v>10</v>
      </c>
      <c r="G34" s="142">
        <v>0.3</v>
      </c>
      <c r="H34" s="77">
        <f t="shared" ref="H34:H37" si="43">F34*G34</f>
        <v>3</v>
      </c>
      <c r="I34" s="83">
        <f>ROUND(VLOOKUP(INT(SUBSTITUTE(I$23,"级","")),矿山!$Z$4:$AB$18,2,0)*$F34,-1)</f>
        <v>10000</v>
      </c>
      <c r="J34" s="83">
        <f>ROUND(VLOOKUP(INT(SUBSTITUTE(J$23,"级","")),矿山!$Z$4:$AB$18,2,0)*$F34,-1)</f>
        <v>15000</v>
      </c>
      <c r="K34" s="83">
        <f>ROUND(VLOOKUP(INT(SUBSTITUTE(K$23,"级","")),矿山!$Z$4:$AB$18,2,0)*$F34,-1)</f>
        <v>25000</v>
      </c>
      <c r="L34" s="83">
        <f>ROUND(VLOOKUP(INT(SUBSTITUTE(L$23,"级","")),矿山!$Z$4:$AB$18,2,0)*$F34,-1)</f>
        <v>35000</v>
      </c>
      <c r="M34" s="83">
        <f>ROUND(VLOOKUP(INT(SUBSTITUTE(M$23,"级","")),矿山!$Z$4:$AB$18,2,0)*$F34,-1)</f>
        <v>50000</v>
      </c>
      <c r="N34" s="83">
        <f>ROUND(VLOOKUP(INT(SUBSTITUTE(N$23,"级","")),矿山!$Z$4:$AB$18,2,0)*$F34,-1)</f>
        <v>80000</v>
      </c>
      <c r="O34" s="83">
        <f>ROUND(VLOOKUP(INT(SUBSTITUTE(O$23,"级","")),矿山!$Z$4:$AB$18,2,0)*$F34,-1)</f>
        <v>120000</v>
      </c>
      <c r="P34" s="83">
        <f>ROUND(VLOOKUP(INT(SUBSTITUTE(P$23,"级","")),矿山!$Z$4:$AB$18,2,0)*$F34,-1)</f>
        <v>180000</v>
      </c>
      <c r="Q34" s="143">
        <f>ROUND(VLOOKUP(INT(SUBSTITUTE(Q$23,"级","")),矿山!$Z$4:$AB$18,2,0)*$F34,-1)</f>
        <v>250000</v>
      </c>
      <c r="R34" s="143">
        <f>ROUND(VLOOKUP(INT(SUBSTITUTE(R$23,"级","")),矿山!$Z$4:$AB$18,2,0)*$F34,-1)</f>
        <v>400000</v>
      </c>
      <c r="S34" s="143">
        <f>ROUND(VLOOKUP(INT(SUBSTITUTE(S$23,"级","")),矿山!$Z$4:$AB$18,2,0)*$F34,-1)</f>
        <v>600000</v>
      </c>
      <c r="T34" s="143">
        <f>ROUND(VLOOKUP(INT(SUBSTITUTE(T$23,"级","")),矿山!$Z$4:$AB$18,2,0)*$F34,-1)</f>
        <v>900000</v>
      </c>
      <c r="U34" s="143">
        <f>ROUND(VLOOKUP(INT(SUBSTITUTE(U$23,"级","")),矿山!$Z$4:$AB$18,2,0)*$F34,-1)</f>
        <v>1400000</v>
      </c>
      <c r="V34" s="143">
        <f>ROUND(VLOOKUP(INT(SUBSTITUTE(V$23,"级","")),矿山!$Z$4:$AB$18,2,0)*$F34,-1)</f>
        <v>2000000</v>
      </c>
      <c r="X34" s="70" t="str">
        <f t="shared" si="34"/>
        <v>70004_10000_30</v>
      </c>
      <c r="Y34" s="70" t="str">
        <f t="shared" si="34"/>
        <v>70004_15000_30</v>
      </c>
      <c r="Z34" s="70" t="str">
        <f t="shared" si="34"/>
        <v>70004_25000_30</v>
      </c>
      <c r="AA34" s="70" t="str">
        <f t="shared" si="34"/>
        <v>70004_35000_30</v>
      </c>
      <c r="AB34" s="70" t="str">
        <f t="shared" si="34"/>
        <v>70004_50000_30</v>
      </c>
      <c r="AC34" s="70" t="str">
        <f t="shared" si="34"/>
        <v>70004_80000_30</v>
      </c>
      <c r="AD34" s="70" t="str">
        <f t="shared" si="34"/>
        <v>70004_120000_30</v>
      </c>
      <c r="AE34" s="70" t="str">
        <f t="shared" si="34"/>
        <v>70004_180000_30</v>
      </c>
      <c r="AF34" s="70" t="str">
        <f t="shared" si="34"/>
        <v>70004_250000_30</v>
      </c>
      <c r="AH34" s="70" t="str">
        <f>AH33&amp;","&amp;X34</f>
        <v>70004_5000_30,70004_10000_30</v>
      </c>
      <c r="AI34" s="70" t="str">
        <f t="shared" ref="AI34:AI37" si="44">AI33&amp;","&amp;Y34</f>
        <v>70004_7500_30,70004_15000_30</v>
      </c>
      <c r="AJ34" s="70" t="str">
        <f t="shared" ref="AJ34:AJ37" si="45">AJ33&amp;","&amp;Z34</f>
        <v>70004_12500_30,70004_25000_30</v>
      </c>
      <c r="AK34" s="70" t="str">
        <f t="shared" ref="AK34:AK37" si="46">AK33&amp;","&amp;AA34</f>
        <v>70004_17500_30,70004_35000_30</v>
      </c>
      <c r="AL34" s="70" t="str">
        <f t="shared" ref="AL34:AL37" si="47">AL33&amp;","&amp;AB34</f>
        <v>70004_25000_30,70004_50000_30</v>
      </c>
      <c r="AM34" s="70" t="str">
        <f t="shared" ref="AM34:AM37" si="48">AM33&amp;","&amp;AC34</f>
        <v>70004_40000_30,70004_80000_30</v>
      </c>
      <c r="AN34" s="70" t="str">
        <f t="shared" ref="AN34:AN37" si="49">AN33&amp;","&amp;AD34</f>
        <v>70004_60000_30,70004_120000_30</v>
      </c>
      <c r="AO34" s="70" t="str">
        <f t="shared" ref="AO34:AO37" si="50">AO33&amp;","&amp;AE34</f>
        <v>70004_90000_30,70004_180000_30</v>
      </c>
      <c r="AP34" s="70" t="str">
        <f t="shared" ref="AP34:AP37" si="51">AP33&amp;","&amp;AF34</f>
        <v>70004_125000_30,70004_250000_30</v>
      </c>
    </row>
    <row r="35" spans="5:42" x14ac:dyDescent="0.35">
      <c r="E35" s="57">
        <v>3</v>
      </c>
      <c r="F35" s="77">
        <v>20</v>
      </c>
      <c r="G35" s="142">
        <v>0.2</v>
      </c>
      <c r="H35" s="77">
        <f t="shared" si="43"/>
        <v>4</v>
      </c>
      <c r="I35" s="83">
        <f>ROUND(VLOOKUP(INT(SUBSTITUTE(I$23,"级","")),矿山!$Z$4:$AB$18,2,0)*$F35,-1)</f>
        <v>20000</v>
      </c>
      <c r="J35" s="83">
        <f>ROUND(VLOOKUP(INT(SUBSTITUTE(J$23,"级","")),矿山!$Z$4:$AB$18,2,0)*$F35,-1)</f>
        <v>30000</v>
      </c>
      <c r="K35" s="83">
        <f>ROUND(VLOOKUP(INT(SUBSTITUTE(K$23,"级","")),矿山!$Z$4:$AB$18,2,0)*$F35,-1)</f>
        <v>50000</v>
      </c>
      <c r="L35" s="83">
        <f>ROUND(VLOOKUP(INT(SUBSTITUTE(L$23,"级","")),矿山!$Z$4:$AB$18,2,0)*$F35,-1)</f>
        <v>70000</v>
      </c>
      <c r="M35" s="83">
        <f>ROUND(VLOOKUP(INT(SUBSTITUTE(M$23,"级","")),矿山!$Z$4:$AB$18,2,0)*$F35,-1)</f>
        <v>100000</v>
      </c>
      <c r="N35" s="83">
        <f>ROUND(VLOOKUP(INT(SUBSTITUTE(N$23,"级","")),矿山!$Z$4:$AB$18,2,0)*$F35,-1)</f>
        <v>160000</v>
      </c>
      <c r="O35" s="83">
        <f>ROUND(VLOOKUP(INT(SUBSTITUTE(O$23,"级","")),矿山!$Z$4:$AB$18,2,0)*$F35,-1)</f>
        <v>240000</v>
      </c>
      <c r="P35" s="83">
        <f>ROUND(VLOOKUP(INT(SUBSTITUTE(P$23,"级","")),矿山!$Z$4:$AB$18,2,0)*$F35,-1)</f>
        <v>360000</v>
      </c>
      <c r="Q35" s="143">
        <f>ROUND(VLOOKUP(INT(SUBSTITUTE(Q$23,"级","")),矿山!$Z$4:$AB$18,2,0)*$F35,-1)</f>
        <v>500000</v>
      </c>
      <c r="R35" s="143">
        <f>ROUND(VLOOKUP(INT(SUBSTITUTE(R$23,"级","")),矿山!$Z$4:$AB$18,2,0)*$F35,-1)</f>
        <v>800000</v>
      </c>
      <c r="S35" s="143">
        <f>ROUND(VLOOKUP(INT(SUBSTITUTE(S$23,"级","")),矿山!$Z$4:$AB$18,2,0)*$F35,-1)</f>
        <v>1200000</v>
      </c>
      <c r="T35" s="143">
        <f>ROUND(VLOOKUP(INT(SUBSTITUTE(T$23,"级","")),矿山!$Z$4:$AB$18,2,0)*$F35,-1)</f>
        <v>1800000</v>
      </c>
      <c r="U35" s="143">
        <f>ROUND(VLOOKUP(INT(SUBSTITUTE(U$23,"级","")),矿山!$Z$4:$AB$18,2,0)*$F35,-1)</f>
        <v>2800000</v>
      </c>
      <c r="V35" s="143">
        <f>ROUND(VLOOKUP(INT(SUBSTITUTE(V$23,"级","")),矿山!$Z$4:$AB$18,2,0)*$F35,-1)</f>
        <v>4000000</v>
      </c>
      <c r="X35" s="70" t="str">
        <f t="shared" si="34"/>
        <v>70004_20000_20</v>
      </c>
      <c r="Y35" s="70" t="str">
        <f t="shared" si="34"/>
        <v>70004_30000_20</v>
      </c>
      <c r="Z35" s="70" t="str">
        <f t="shared" si="34"/>
        <v>70004_50000_20</v>
      </c>
      <c r="AA35" s="70" t="str">
        <f t="shared" si="34"/>
        <v>70004_70000_20</v>
      </c>
      <c r="AB35" s="70" t="str">
        <f t="shared" si="34"/>
        <v>70004_100000_20</v>
      </c>
      <c r="AC35" s="70" t="str">
        <f t="shared" si="34"/>
        <v>70004_160000_20</v>
      </c>
      <c r="AD35" s="70" t="str">
        <f t="shared" si="34"/>
        <v>70004_240000_20</v>
      </c>
      <c r="AE35" s="70" t="str">
        <f t="shared" si="34"/>
        <v>70004_360000_20</v>
      </c>
      <c r="AF35" s="70" t="str">
        <f t="shared" si="34"/>
        <v>70004_500000_20</v>
      </c>
      <c r="AH35" s="70" t="str">
        <f t="shared" ref="AH35:AH37" si="52">AH34&amp;","&amp;X35</f>
        <v>70004_5000_30,70004_10000_30,70004_20000_20</v>
      </c>
      <c r="AI35" s="70" t="str">
        <f t="shared" si="44"/>
        <v>70004_7500_30,70004_15000_30,70004_30000_20</v>
      </c>
      <c r="AJ35" s="70" t="str">
        <f t="shared" si="45"/>
        <v>70004_12500_30,70004_25000_30,70004_50000_20</v>
      </c>
      <c r="AK35" s="70" t="str">
        <f t="shared" si="46"/>
        <v>70004_17500_30,70004_35000_30,70004_70000_20</v>
      </c>
      <c r="AL35" s="70" t="str">
        <f t="shared" si="47"/>
        <v>70004_25000_30,70004_50000_30,70004_100000_20</v>
      </c>
      <c r="AM35" s="70" t="str">
        <f t="shared" si="48"/>
        <v>70004_40000_30,70004_80000_30,70004_160000_20</v>
      </c>
      <c r="AN35" s="70" t="str">
        <f t="shared" si="49"/>
        <v>70004_60000_30,70004_120000_30,70004_240000_20</v>
      </c>
      <c r="AO35" s="70" t="str">
        <f t="shared" si="50"/>
        <v>70004_90000_30,70004_180000_30,70004_360000_20</v>
      </c>
      <c r="AP35" s="70" t="str">
        <f t="shared" si="51"/>
        <v>70004_125000_30,70004_250000_30,70004_500000_20</v>
      </c>
    </row>
    <row r="36" spans="5:42" x14ac:dyDescent="0.35">
      <c r="E36" s="57">
        <v>4</v>
      </c>
      <c r="F36" s="77">
        <v>40</v>
      </c>
      <c r="G36" s="142">
        <v>0.12</v>
      </c>
      <c r="H36" s="77">
        <f t="shared" si="43"/>
        <v>4.8</v>
      </c>
      <c r="I36" s="83">
        <f>ROUND(VLOOKUP(INT(SUBSTITUTE(I$23,"级","")),矿山!$Z$4:$AB$18,2,0)*$F36,-1)</f>
        <v>40000</v>
      </c>
      <c r="J36" s="83">
        <f>ROUND(VLOOKUP(INT(SUBSTITUTE(J$23,"级","")),矿山!$Z$4:$AB$18,2,0)*$F36,-1)</f>
        <v>60000</v>
      </c>
      <c r="K36" s="83">
        <f>ROUND(VLOOKUP(INT(SUBSTITUTE(K$23,"级","")),矿山!$Z$4:$AB$18,2,0)*$F36,-1)</f>
        <v>100000</v>
      </c>
      <c r="L36" s="83">
        <f>ROUND(VLOOKUP(INT(SUBSTITUTE(L$23,"级","")),矿山!$Z$4:$AB$18,2,0)*$F36,-1)</f>
        <v>140000</v>
      </c>
      <c r="M36" s="83">
        <f>ROUND(VLOOKUP(INT(SUBSTITUTE(M$23,"级","")),矿山!$Z$4:$AB$18,2,0)*$F36,-1)</f>
        <v>200000</v>
      </c>
      <c r="N36" s="83">
        <f>ROUND(VLOOKUP(INT(SUBSTITUTE(N$23,"级","")),矿山!$Z$4:$AB$18,2,0)*$F36,-1)</f>
        <v>320000</v>
      </c>
      <c r="O36" s="83">
        <f>ROUND(VLOOKUP(INT(SUBSTITUTE(O$23,"级","")),矿山!$Z$4:$AB$18,2,0)*$F36,-1)</f>
        <v>480000</v>
      </c>
      <c r="P36" s="83">
        <f>ROUND(VLOOKUP(INT(SUBSTITUTE(P$23,"级","")),矿山!$Z$4:$AB$18,2,0)*$F36,-1)</f>
        <v>720000</v>
      </c>
      <c r="Q36" s="143">
        <f>ROUND(VLOOKUP(INT(SUBSTITUTE(Q$23,"级","")),矿山!$Z$4:$AB$18,2,0)*$F36,-1)</f>
        <v>1000000</v>
      </c>
      <c r="R36" s="143">
        <f>ROUND(VLOOKUP(INT(SUBSTITUTE(R$23,"级","")),矿山!$Z$4:$AB$18,2,0)*$F36,-1)</f>
        <v>1600000</v>
      </c>
      <c r="S36" s="143">
        <f>ROUND(VLOOKUP(INT(SUBSTITUTE(S$23,"级","")),矿山!$Z$4:$AB$18,2,0)*$F36,-1)</f>
        <v>2400000</v>
      </c>
      <c r="T36" s="143">
        <f>ROUND(VLOOKUP(INT(SUBSTITUTE(T$23,"级","")),矿山!$Z$4:$AB$18,2,0)*$F36,-1)</f>
        <v>3600000</v>
      </c>
      <c r="U36" s="143">
        <f>ROUND(VLOOKUP(INT(SUBSTITUTE(U$23,"级","")),矿山!$Z$4:$AB$18,2,0)*$F36,-1)</f>
        <v>5600000</v>
      </c>
      <c r="V36" s="143">
        <f>ROUND(VLOOKUP(INT(SUBSTITUTE(V$23,"级","")),矿山!$Z$4:$AB$18,2,0)*$F36,-1)</f>
        <v>8000000</v>
      </c>
      <c r="X36" s="70" t="str">
        <f t="shared" si="34"/>
        <v>70004_40000_12</v>
      </c>
      <c r="Y36" s="70" t="str">
        <f t="shared" si="34"/>
        <v>70004_60000_12</v>
      </c>
      <c r="Z36" s="70" t="str">
        <f t="shared" si="34"/>
        <v>70004_100000_12</v>
      </c>
      <c r="AA36" s="70" t="str">
        <f t="shared" si="34"/>
        <v>70004_140000_12</v>
      </c>
      <c r="AB36" s="70" t="str">
        <f t="shared" si="34"/>
        <v>70004_200000_12</v>
      </c>
      <c r="AC36" s="70" t="str">
        <f t="shared" si="34"/>
        <v>70004_320000_12</v>
      </c>
      <c r="AD36" s="70" t="str">
        <f t="shared" si="34"/>
        <v>70004_480000_12</v>
      </c>
      <c r="AE36" s="70" t="str">
        <f t="shared" si="34"/>
        <v>70004_720000_12</v>
      </c>
      <c r="AF36" s="70" t="str">
        <f t="shared" si="34"/>
        <v>70004_1000000_12</v>
      </c>
      <c r="AH36" s="70" t="str">
        <f t="shared" si="52"/>
        <v>70004_5000_30,70004_10000_30,70004_20000_20,70004_40000_12</v>
      </c>
      <c r="AI36" s="70" t="str">
        <f t="shared" si="44"/>
        <v>70004_7500_30,70004_15000_30,70004_30000_20,70004_60000_12</v>
      </c>
      <c r="AJ36" s="70" t="str">
        <f t="shared" si="45"/>
        <v>70004_12500_30,70004_25000_30,70004_50000_20,70004_100000_12</v>
      </c>
      <c r="AK36" s="70" t="str">
        <f t="shared" si="46"/>
        <v>70004_17500_30,70004_35000_30,70004_70000_20,70004_140000_12</v>
      </c>
      <c r="AL36" s="70" t="str">
        <f t="shared" si="47"/>
        <v>70004_25000_30,70004_50000_30,70004_100000_20,70004_200000_12</v>
      </c>
      <c r="AM36" s="70" t="str">
        <f t="shared" si="48"/>
        <v>70004_40000_30,70004_80000_30,70004_160000_20,70004_320000_12</v>
      </c>
      <c r="AN36" s="70" t="str">
        <f t="shared" si="49"/>
        <v>70004_60000_30,70004_120000_30,70004_240000_20,70004_480000_12</v>
      </c>
      <c r="AO36" s="70" t="str">
        <f t="shared" si="50"/>
        <v>70004_90000_30,70004_180000_30,70004_360000_20,70004_720000_12</v>
      </c>
      <c r="AP36" s="70" t="str">
        <f t="shared" si="51"/>
        <v>70004_125000_30,70004_250000_30,70004_500000_20,70004_1000000_12</v>
      </c>
    </row>
    <row r="37" spans="5:42" x14ac:dyDescent="0.35">
      <c r="E37" s="57">
        <v>5</v>
      </c>
      <c r="F37" s="77">
        <v>80</v>
      </c>
      <c r="G37" s="142">
        <v>0.08</v>
      </c>
      <c r="H37" s="77">
        <f t="shared" si="43"/>
        <v>6.4</v>
      </c>
      <c r="I37" s="83">
        <f>ROUND(VLOOKUP(INT(SUBSTITUTE(I$23,"级","")),矿山!$Z$4:$AB$18,2,0)*$F37,-1)</f>
        <v>80000</v>
      </c>
      <c r="J37" s="83">
        <f>ROUND(VLOOKUP(INT(SUBSTITUTE(J$23,"级","")),矿山!$Z$4:$AB$18,2,0)*$F37,-1)</f>
        <v>120000</v>
      </c>
      <c r="K37" s="83">
        <f>ROUND(VLOOKUP(INT(SUBSTITUTE(K$23,"级","")),矿山!$Z$4:$AB$18,2,0)*$F37,-1)</f>
        <v>200000</v>
      </c>
      <c r="L37" s="83">
        <f>ROUND(VLOOKUP(INT(SUBSTITUTE(L$23,"级","")),矿山!$Z$4:$AB$18,2,0)*$F37,-1)</f>
        <v>280000</v>
      </c>
      <c r="M37" s="83">
        <f>ROUND(VLOOKUP(INT(SUBSTITUTE(M$23,"级","")),矿山!$Z$4:$AB$18,2,0)*$F37,-1)</f>
        <v>400000</v>
      </c>
      <c r="N37" s="83">
        <f>ROUND(VLOOKUP(INT(SUBSTITUTE(N$23,"级","")),矿山!$Z$4:$AB$18,2,0)*$F37,-1)</f>
        <v>640000</v>
      </c>
      <c r="O37" s="83">
        <f>ROUND(VLOOKUP(INT(SUBSTITUTE(O$23,"级","")),矿山!$Z$4:$AB$18,2,0)*$F37,-1)</f>
        <v>960000</v>
      </c>
      <c r="P37" s="83">
        <f>ROUND(VLOOKUP(INT(SUBSTITUTE(P$23,"级","")),矿山!$Z$4:$AB$18,2,0)*$F37,-1)</f>
        <v>1440000</v>
      </c>
      <c r="Q37" s="143">
        <f>ROUND(VLOOKUP(INT(SUBSTITUTE(Q$23,"级","")),矿山!$Z$4:$AB$18,2,0)*$F37,-1)</f>
        <v>2000000</v>
      </c>
      <c r="R37" s="143">
        <f>ROUND(VLOOKUP(INT(SUBSTITUTE(R$23,"级","")),矿山!$Z$4:$AB$18,2,0)*$F37,-1)</f>
        <v>3200000</v>
      </c>
      <c r="S37" s="143">
        <f>ROUND(VLOOKUP(INT(SUBSTITUTE(S$23,"级","")),矿山!$Z$4:$AB$18,2,0)*$F37,-1)</f>
        <v>4800000</v>
      </c>
      <c r="T37" s="143">
        <f>ROUND(VLOOKUP(INT(SUBSTITUTE(T$23,"级","")),矿山!$Z$4:$AB$18,2,0)*$F37,-1)</f>
        <v>7200000</v>
      </c>
      <c r="U37" s="143">
        <f>ROUND(VLOOKUP(INT(SUBSTITUTE(U$23,"级","")),矿山!$Z$4:$AB$18,2,0)*$F37,-1)</f>
        <v>11200000</v>
      </c>
      <c r="V37" s="143">
        <f>ROUND(VLOOKUP(INT(SUBSTITUTE(V$23,"级","")),矿山!$Z$4:$AB$18,2,0)*$F37,-1)</f>
        <v>16000000</v>
      </c>
      <c r="X37" s="70" t="str">
        <f t="shared" si="34"/>
        <v>70004_80000_8</v>
      </c>
      <c r="Y37" s="70" t="str">
        <f t="shared" si="34"/>
        <v>70004_120000_8</v>
      </c>
      <c r="Z37" s="70" t="str">
        <f t="shared" si="34"/>
        <v>70004_200000_8</v>
      </c>
      <c r="AA37" s="70" t="str">
        <f t="shared" si="34"/>
        <v>70004_280000_8</v>
      </c>
      <c r="AB37" s="70" t="str">
        <f t="shared" si="34"/>
        <v>70004_400000_8</v>
      </c>
      <c r="AC37" s="70" t="str">
        <f t="shared" si="34"/>
        <v>70004_640000_8</v>
      </c>
      <c r="AD37" s="70" t="str">
        <f t="shared" si="34"/>
        <v>70004_960000_8</v>
      </c>
      <c r="AE37" s="70" t="str">
        <f t="shared" si="34"/>
        <v>70004_1440000_8</v>
      </c>
      <c r="AF37" s="70" t="str">
        <f t="shared" si="34"/>
        <v>70004_2000000_8</v>
      </c>
      <c r="AH37" s="70" t="str">
        <f t="shared" si="52"/>
        <v>70004_5000_30,70004_10000_30,70004_20000_20,70004_40000_12,70004_80000_8</v>
      </c>
      <c r="AI37" s="70" t="str">
        <f t="shared" si="44"/>
        <v>70004_7500_30,70004_15000_30,70004_30000_20,70004_60000_12,70004_120000_8</v>
      </c>
      <c r="AJ37" s="70" t="str">
        <f t="shared" si="45"/>
        <v>70004_12500_30,70004_25000_30,70004_50000_20,70004_100000_12,70004_200000_8</v>
      </c>
      <c r="AK37" s="70" t="str">
        <f t="shared" si="46"/>
        <v>70004_17500_30,70004_35000_30,70004_70000_20,70004_140000_12,70004_280000_8</v>
      </c>
      <c r="AL37" s="70" t="str">
        <f t="shared" si="47"/>
        <v>70004_25000_30,70004_50000_30,70004_100000_20,70004_200000_12,70004_400000_8</v>
      </c>
      <c r="AM37" s="70" t="str">
        <f t="shared" si="48"/>
        <v>70004_40000_30,70004_80000_30,70004_160000_20,70004_320000_12,70004_640000_8</v>
      </c>
      <c r="AN37" s="70" t="str">
        <f t="shared" si="49"/>
        <v>70004_60000_30,70004_120000_30,70004_240000_20,70004_480000_12,70004_960000_8</v>
      </c>
      <c r="AO37" s="70" t="str">
        <f t="shared" si="50"/>
        <v>70004_90000_30,70004_180000_30,70004_360000_20,70004_720000_12,70004_1440000_8</v>
      </c>
      <c r="AP37" s="70" t="str">
        <f t="shared" si="51"/>
        <v>70004_125000_30,70004_250000_30,70004_500000_20,70004_1000000_12,70004_2000000_8</v>
      </c>
    </row>
    <row r="40" spans="5:42" x14ac:dyDescent="0.15">
      <c r="G40" s="106">
        <f>SUM(G42:G46)</f>
        <v>1</v>
      </c>
      <c r="H40" s="70">
        <f>SUM(H42:H46)</f>
        <v>19.700000000000003</v>
      </c>
      <c r="I40" s="157" t="s">
        <v>390</v>
      </c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9"/>
    </row>
    <row r="41" spans="5:42" x14ac:dyDescent="0.35">
      <c r="E41" s="57" t="s">
        <v>322</v>
      </c>
      <c r="F41" s="77" t="s">
        <v>391</v>
      </c>
      <c r="G41" s="101" t="s">
        <v>341</v>
      </c>
      <c r="H41" s="77" t="s">
        <v>339</v>
      </c>
      <c r="I41" s="83" t="s">
        <v>323</v>
      </c>
      <c r="J41" s="83" t="s">
        <v>324</v>
      </c>
      <c r="K41" s="83" t="s">
        <v>325</v>
      </c>
      <c r="L41" s="83" t="s">
        <v>326</v>
      </c>
      <c r="M41" s="83" t="s">
        <v>327</v>
      </c>
      <c r="N41" s="83" t="s">
        <v>328</v>
      </c>
      <c r="O41" s="83" t="s">
        <v>329</v>
      </c>
      <c r="P41" s="83" t="s">
        <v>330</v>
      </c>
      <c r="Q41" s="143" t="s">
        <v>331</v>
      </c>
      <c r="R41" s="143" t="s">
        <v>332</v>
      </c>
      <c r="S41" s="143" t="s">
        <v>333</v>
      </c>
      <c r="T41" s="143" t="s">
        <v>334</v>
      </c>
      <c r="U41" s="143" t="s">
        <v>335</v>
      </c>
      <c r="V41" s="143" t="s">
        <v>336</v>
      </c>
    </row>
    <row r="42" spans="5:42" x14ac:dyDescent="0.35">
      <c r="E42" s="57">
        <v>1</v>
      </c>
      <c r="F42" s="77">
        <v>5</v>
      </c>
      <c r="G42" s="142">
        <v>0.3</v>
      </c>
      <c r="H42" s="77">
        <f>F42*G42</f>
        <v>1.5</v>
      </c>
      <c r="I42" s="83">
        <f>ROUND(VLOOKUP(INT(SUBSTITUTE(I$23,"级","")),圣池!$AA$4:$AC$18,2,0)*$F42,-1)</f>
        <v>5000</v>
      </c>
      <c r="J42" s="83">
        <f>ROUND(VLOOKUP(INT(SUBSTITUTE(J$23,"级","")),圣池!$AA$4:$AC$18,2,0)*$F42,-1)</f>
        <v>7500</v>
      </c>
      <c r="K42" s="83">
        <f>ROUND(VLOOKUP(INT(SUBSTITUTE(K$23,"级","")),圣池!$AA$4:$AC$18,2,0)*$F42,-1)</f>
        <v>12500</v>
      </c>
      <c r="L42" s="83">
        <f>ROUND(VLOOKUP(INT(SUBSTITUTE(L$23,"级","")),圣池!$AA$4:$AC$18,2,0)*$F42,-1)</f>
        <v>17500</v>
      </c>
      <c r="M42" s="83">
        <f>ROUND(VLOOKUP(INT(SUBSTITUTE(M$23,"级","")),圣池!$AA$4:$AC$18,2,0)*$F42,-1)</f>
        <v>25000</v>
      </c>
      <c r="N42" s="83">
        <f>ROUND(VLOOKUP(INT(SUBSTITUTE(N$23,"级","")),圣池!$AA$4:$AC$18,2,0)*$F42,-1)</f>
        <v>40000</v>
      </c>
      <c r="O42" s="83">
        <f>ROUND(VLOOKUP(INT(SUBSTITUTE(O$23,"级","")),圣池!$AA$4:$AC$18,2,0)*$F42,-1)</f>
        <v>60000</v>
      </c>
      <c r="P42" s="83">
        <f>ROUND(VLOOKUP(INT(SUBSTITUTE(P$23,"级","")),圣池!$AA$4:$AC$18,2,0)*$F42,-1)</f>
        <v>90000</v>
      </c>
      <c r="Q42" s="143">
        <f>ROUND(VLOOKUP(INT(SUBSTITUTE(Q$23,"级","")),圣池!$AA$4:$AC$18,2,0)*$F42,-1)</f>
        <v>125000</v>
      </c>
      <c r="R42" s="143">
        <f>ROUND(VLOOKUP(INT(SUBSTITUTE(R$23,"级","")),圣池!$AA$4:$AC$18,2,0)*$F42,-1)</f>
        <v>200000</v>
      </c>
      <c r="S42" s="143">
        <f>ROUND(VLOOKUP(INT(SUBSTITUTE(S$23,"级","")),圣池!$AA$4:$AC$18,2,0)*$F42,-1)</f>
        <v>300000</v>
      </c>
      <c r="T42" s="143">
        <f>ROUND(VLOOKUP(INT(SUBSTITUTE(T$23,"级","")),圣池!$AA$4:$AC$18,2,0)*$F42,-1)</f>
        <v>450000</v>
      </c>
      <c r="U42" s="143">
        <f>ROUND(VLOOKUP(INT(SUBSTITUTE(U$23,"级","")),圣池!$AA$4:$AC$18,2,0)*$F42,-1)</f>
        <v>700000</v>
      </c>
      <c r="V42" s="143">
        <f>ROUND(VLOOKUP(INT(SUBSTITUTE(V$23,"级","")),圣池!$AA$4:$AC$18,2,0)*$F42,-1)</f>
        <v>1000000</v>
      </c>
      <c r="X42" s="70" t="str">
        <f t="shared" ref="X42:AF46" si="53">"70005_"&amp;I42&amp;"_"&amp;$G42*100</f>
        <v>70005_5000_30</v>
      </c>
      <c r="Y42" s="70" t="str">
        <f t="shared" si="53"/>
        <v>70005_7500_30</v>
      </c>
      <c r="Z42" s="70" t="str">
        <f t="shared" si="53"/>
        <v>70005_12500_30</v>
      </c>
      <c r="AA42" s="70" t="str">
        <f t="shared" si="53"/>
        <v>70005_17500_30</v>
      </c>
      <c r="AB42" s="70" t="str">
        <f t="shared" si="53"/>
        <v>70005_25000_30</v>
      </c>
      <c r="AC42" s="70" t="str">
        <f t="shared" si="53"/>
        <v>70005_40000_30</v>
      </c>
      <c r="AD42" s="70" t="str">
        <f t="shared" si="53"/>
        <v>70005_60000_30</v>
      </c>
      <c r="AE42" s="70" t="str">
        <f t="shared" si="53"/>
        <v>70005_90000_30</v>
      </c>
      <c r="AF42" s="70" t="str">
        <f t="shared" si="53"/>
        <v>70005_125000_30</v>
      </c>
      <c r="AH42" s="70" t="str">
        <f>X42</f>
        <v>70005_5000_30</v>
      </c>
      <c r="AI42" s="70" t="str">
        <f t="shared" ref="AI42" si="54">Y42</f>
        <v>70005_7500_30</v>
      </c>
      <c r="AJ42" s="70" t="str">
        <f t="shared" ref="AJ42" si="55">Z42</f>
        <v>70005_12500_30</v>
      </c>
      <c r="AK42" s="70" t="str">
        <f t="shared" ref="AK42" si="56">AA42</f>
        <v>70005_17500_30</v>
      </c>
      <c r="AL42" s="70" t="str">
        <f t="shared" ref="AL42" si="57">AB42</f>
        <v>70005_25000_30</v>
      </c>
      <c r="AM42" s="70" t="str">
        <f t="shared" ref="AM42" si="58">AC42</f>
        <v>70005_40000_30</v>
      </c>
      <c r="AN42" s="70" t="str">
        <f t="shared" ref="AN42" si="59">AD42</f>
        <v>70005_60000_30</v>
      </c>
      <c r="AO42" s="70" t="str">
        <f t="shared" ref="AO42" si="60">AE42</f>
        <v>70005_90000_30</v>
      </c>
      <c r="AP42" s="70" t="str">
        <f t="shared" ref="AP42" si="61">AF42</f>
        <v>70005_125000_30</v>
      </c>
    </row>
    <row r="43" spans="5:42" x14ac:dyDescent="0.35">
      <c r="E43" s="57">
        <v>2</v>
      </c>
      <c r="F43" s="77">
        <v>10</v>
      </c>
      <c r="G43" s="142">
        <v>0.3</v>
      </c>
      <c r="H43" s="77">
        <f t="shared" ref="H43:H46" si="62">F43*G43</f>
        <v>3</v>
      </c>
      <c r="I43" s="83">
        <f>ROUND(VLOOKUP(INT(SUBSTITUTE(I$23,"级","")),圣池!$AA$4:$AC$18,2,0)*$F43,-1)</f>
        <v>10000</v>
      </c>
      <c r="J43" s="83">
        <f>ROUND(VLOOKUP(INT(SUBSTITUTE(J$23,"级","")),圣池!$AA$4:$AC$18,2,0)*$F43,-1)</f>
        <v>15000</v>
      </c>
      <c r="K43" s="83">
        <f>ROUND(VLOOKUP(INT(SUBSTITUTE(K$23,"级","")),圣池!$AA$4:$AC$18,2,0)*$F43,-1)</f>
        <v>25000</v>
      </c>
      <c r="L43" s="83">
        <f>ROUND(VLOOKUP(INT(SUBSTITUTE(L$23,"级","")),圣池!$AA$4:$AC$18,2,0)*$F43,-1)</f>
        <v>35000</v>
      </c>
      <c r="M43" s="83">
        <f>ROUND(VLOOKUP(INT(SUBSTITUTE(M$23,"级","")),圣池!$AA$4:$AC$18,2,0)*$F43,-1)</f>
        <v>50000</v>
      </c>
      <c r="N43" s="83">
        <f>ROUND(VLOOKUP(INT(SUBSTITUTE(N$23,"级","")),圣池!$AA$4:$AC$18,2,0)*$F43,-1)</f>
        <v>80000</v>
      </c>
      <c r="O43" s="83">
        <f>ROUND(VLOOKUP(INT(SUBSTITUTE(O$23,"级","")),圣池!$AA$4:$AC$18,2,0)*$F43,-1)</f>
        <v>120000</v>
      </c>
      <c r="P43" s="83">
        <f>ROUND(VLOOKUP(INT(SUBSTITUTE(P$23,"级","")),圣池!$AA$4:$AC$18,2,0)*$F43,-1)</f>
        <v>180000</v>
      </c>
      <c r="Q43" s="143">
        <f>ROUND(VLOOKUP(INT(SUBSTITUTE(Q$23,"级","")),圣池!$AA$4:$AC$18,2,0)*$F43,-1)</f>
        <v>250000</v>
      </c>
      <c r="R43" s="143">
        <f>ROUND(VLOOKUP(INT(SUBSTITUTE(R$23,"级","")),圣池!$AA$4:$AC$18,2,0)*$F43,-1)</f>
        <v>400000</v>
      </c>
      <c r="S43" s="143">
        <f>ROUND(VLOOKUP(INT(SUBSTITUTE(S$23,"级","")),圣池!$AA$4:$AC$18,2,0)*$F43,-1)</f>
        <v>600000</v>
      </c>
      <c r="T43" s="143">
        <f>ROUND(VLOOKUP(INT(SUBSTITUTE(T$23,"级","")),圣池!$AA$4:$AC$18,2,0)*$F43,-1)</f>
        <v>900000</v>
      </c>
      <c r="U43" s="143">
        <f>ROUND(VLOOKUP(INT(SUBSTITUTE(U$23,"级","")),圣池!$AA$4:$AC$18,2,0)*$F43,-1)</f>
        <v>1400000</v>
      </c>
      <c r="V43" s="143">
        <f>ROUND(VLOOKUP(INT(SUBSTITUTE(V$23,"级","")),圣池!$AA$4:$AC$18,2,0)*$F43,-1)</f>
        <v>2000000</v>
      </c>
      <c r="X43" s="70" t="str">
        <f t="shared" si="53"/>
        <v>70005_10000_30</v>
      </c>
      <c r="Y43" s="70" t="str">
        <f t="shared" si="53"/>
        <v>70005_15000_30</v>
      </c>
      <c r="Z43" s="70" t="str">
        <f t="shared" si="53"/>
        <v>70005_25000_30</v>
      </c>
      <c r="AA43" s="70" t="str">
        <f t="shared" si="53"/>
        <v>70005_35000_30</v>
      </c>
      <c r="AB43" s="70" t="str">
        <f t="shared" si="53"/>
        <v>70005_50000_30</v>
      </c>
      <c r="AC43" s="70" t="str">
        <f t="shared" si="53"/>
        <v>70005_80000_30</v>
      </c>
      <c r="AD43" s="70" t="str">
        <f t="shared" si="53"/>
        <v>70005_120000_30</v>
      </c>
      <c r="AE43" s="70" t="str">
        <f t="shared" si="53"/>
        <v>70005_180000_30</v>
      </c>
      <c r="AF43" s="70" t="str">
        <f t="shared" si="53"/>
        <v>70005_250000_30</v>
      </c>
      <c r="AH43" s="70" t="str">
        <f>AH42&amp;","&amp;X43</f>
        <v>70005_5000_30,70005_10000_30</v>
      </c>
      <c r="AI43" s="70" t="str">
        <f t="shared" ref="AI43:AI46" si="63">AI42&amp;","&amp;Y43</f>
        <v>70005_7500_30,70005_15000_30</v>
      </c>
      <c r="AJ43" s="70" t="str">
        <f t="shared" ref="AJ43:AJ46" si="64">AJ42&amp;","&amp;Z43</f>
        <v>70005_12500_30,70005_25000_30</v>
      </c>
      <c r="AK43" s="70" t="str">
        <f t="shared" ref="AK43:AK46" si="65">AK42&amp;","&amp;AA43</f>
        <v>70005_17500_30,70005_35000_30</v>
      </c>
      <c r="AL43" s="70" t="str">
        <f t="shared" ref="AL43:AL46" si="66">AL42&amp;","&amp;AB43</f>
        <v>70005_25000_30,70005_50000_30</v>
      </c>
      <c r="AM43" s="70" t="str">
        <f t="shared" ref="AM43:AM46" si="67">AM42&amp;","&amp;AC43</f>
        <v>70005_40000_30,70005_80000_30</v>
      </c>
      <c r="AN43" s="70" t="str">
        <f t="shared" ref="AN43:AN46" si="68">AN42&amp;","&amp;AD43</f>
        <v>70005_60000_30,70005_120000_30</v>
      </c>
      <c r="AO43" s="70" t="str">
        <f t="shared" ref="AO43:AO46" si="69">AO42&amp;","&amp;AE43</f>
        <v>70005_90000_30,70005_180000_30</v>
      </c>
      <c r="AP43" s="70" t="str">
        <f t="shared" ref="AP43:AP46" si="70">AP42&amp;","&amp;AF43</f>
        <v>70005_125000_30,70005_250000_30</v>
      </c>
    </row>
    <row r="44" spans="5:42" x14ac:dyDescent="0.35">
      <c r="E44" s="57">
        <v>3</v>
      </c>
      <c r="F44" s="77">
        <v>20</v>
      </c>
      <c r="G44" s="142">
        <v>0.2</v>
      </c>
      <c r="H44" s="77">
        <f t="shared" si="62"/>
        <v>4</v>
      </c>
      <c r="I44" s="83">
        <f>ROUND(VLOOKUP(INT(SUBSTITUTE(I$23,"级","")),圣池!$AA$4:$AC$18,2,0)*$F44,-1)</f>
        <v>20000</v>
      </c>
      <c r="J44" s="83">
        <f>ROUND(VLOOKUP(INT(SUBSTITUTE(J$23,"级","")),圣池!$AA$4:$AC$18,2,0)*$F44,-1)</f>
        <v>30000</v>
      </c>
      <c r="K44" s="83">
        <f>ROUND(VLOOKUP(INT(SUBSTITUTE(K$23,"级","")),圣池!$AA$4:$AC$18,2,0)*$F44,-1)</f>
        <v>50000</v>
      </c>
      <c r="L44" s="83">
        <f>ROUND(VLOOKUP(INT(SUBSTITUTE(L$23,"级","")),圣池!$AA$4:$AC$18,2,0)*$F44,-1)</f>
        <v>70000</v>
      </c>
      <c r="M44" s="83">
        <f>ROUND(VLOOKUP(INT(SUBSTITUTE(M$23,"级","")),圣池!$AA$4:$AC$18,2,0)*$F44,-1)</f>
        <v>100000</v>
      </c>
      <c r="N44" s="83">
        <f>ROUND(VLOOKUP(INT(SUBSTITUTE(N$23,"级","")),圣池!$AA$4:$AC$18,2,0)*$F44,-1)</f>
        <v>160000</v>
      </c>
      <c r="O44" s="83">
        <f>ROUND(VLOOKUP(INT(SUBSTITUTE(O$23,"级","")),圣池!$AA$4:$AC$18,2,0)*$F44,-1)</f>
        <v>240000</v>
      </c>
      <c r="P44" s="83">
        <f>ROUND(VLOOKUP(INT(SUBSTITUTE(P$23,"级","")),圣池!$AA$4:$AC$18,2,0)*$F44,-1)</f>
        <v>360000</v>
      </c>
      <c r="Q44" s="143">
        <f>ROUND(VLOOKUP(INT(SUBSTITUTE(Q$23,"级","")),圣池!$AA$4:$AC$18,2,0)*$F44,-1)</f>
        <v>500000</v>
      </c>
      <c r="R44" s="143">
        <f>ROUND(VLOOKUP(INT(SUBSTITUTE(R$23,"级","")),圣池!$AA$4:$AC$18,2,0)*$F44,-1)</f>
        <v>800000</v>
      </c>
      <c r="S44" s="143">
        <f>ROUND(VLOOKUP(INT(SUBSTITUTE(S$23,"级","")),圣池!$AA$4:$AC$18,2,0)*$F44,-1)</f>
        <v>1200000</v>
      </c>
      <c r="T44" s="143">
        <f>ROUND(VLOOKUP(INT(SUBSTITUTE(T$23,"级","")),圣池!$AA$4:$AC$18,2,0)*$F44,-1)</f>
        <v>1800000</v>
      </c>
      <c r="U44" s="143">
        <f>ROUND(VLOOKUP(INT(SUBSTITUTE(U$23,"级","")),圣池!$AA$4:$AC$18,2,0)*$F44,-1)</f>
        <v>2800000</v>
      </c>
      <c r="V44" s="143">
        <f>ROUND(VLOOKUP(INT(SUBSTITUTE(V$23,"级","")),圣池!$AA$4:$AC$18,2,0)*$F44,-1)</f>
        <v>4000000</v>
      </c>
      <c r="X44" s="70" t="str">
        <f t="shared" si="53"/>
        <v>70005_20000_20</v>
      </c>
      <c r="Y44" s="70" t="str">
        <f t="shared" si="53"/>
        <v>70005_30000_20</v>
      </c>
      <c r="Z44" s="70" t="str">
        <f t="shared" si="53"/>
        <v>70005_50000_20</v>
      </c>
      <c r="AA44" s="70" t="str">
        <f t="shared" si="53"/>
        <v>70005_70000_20</v>
      </c>
      <c r="AB44" s="70" t="str">
        <f t="shared" si="53"/>
        <v>70005_100000_20</v>
      </c>
      <c r="AC44" s="70" t="str">
        <f t="shared" si="53"/>
        <v>70005_160000_20</v>
      </c>
      <c r="AD44" s="70" t="str">
        <f t="shared" si="53"/>
        <v>70005_240000_20</v>
      </c>
      <c r="AE44" s="70" t="str">
        <f t="shared" si="53"/>
        <v>70005_360000_20</v>
      </c>
      <c r="AF44" s="70" t="str">
        <f t="shared" si="53"/>
        <v>70005_500000_20</v>
      </c>
      <c r="AH44" s="70" t="str">
        <f t="shared" ref="AH44:AH46" si="71">AH43&amp;","&amp;X44</f>
        <v>70005_5000_30,70005_10000_30,70005_20000_20</v>
      </c>
      <c r="AI44" s="70" t="str">
        <f t="shared" si="63"/>
        <v>70005_7500_30,70005_15000_30,70005_30000_20</v>
      </c>
      <c r="AJ44" s="70" t="str">
        <f t="shared" si="64"/>
        <v>70005_12500_30,70005_25000_30,70005_50000_20</v>
      </c>
      <c r="AK44" s="70" t="str">
        <f t="shared" si="65"/>
        <v>70005_17500_30,70005_35000_30,70005_70000_20</v>
      </c>
      <c r="AL44" s="70" t="str">
        <f t="shared" si="66"/>
        <v>70005_25000_30,70005_50000_30,70005_100000_20</v>
      </c>
      <c r="AM44" s="70" t="str">
        <f t="shared" si="67"/>
        <v>70005_40000_30,70005_80000_30,70005_160000_20</v>
      </c>
      <c r="AN44" s="70" t="str">
        <f t="shared" si="68"/>
        <v>70005_60000_30,70005_120000_30,70005_240000_20</v>
      </c>
      <c r="AO44" s="70" t="str">
        <f t="shared" si="69"/>
        <v>70005_90000_30,70005_180000_30,70005_360000_20</v>
      </c>
      <c r="AP44" s="70" t="str">
        <f t="shared" si="70"/>
        <v>70005_125000_30,70005_250000_30,70005_500000_20</v>
      </c>
    </row>
    <row r="45" spans="5:42" x14ac:dyDescent="0.35">
      <c r="E45" s="57">
        <v>4</v>
      </c>
      <c r="F45" s="77">
        <v>40</v>
      </c>
      <c r="G45" s="142">
        <v>0.12</v>
      </c>
      <c r="H45" s="77">
        <f t="shared" si="62"/>
        <v>4.8</v>
      </c>
      <c r="I45" s="83">
        <f>ROUND(VLOOKUP(INT(SUBSTITUTE(I$23,"级","")),圣池!$AA$4:$AC$18,2,0)*$F45,-1)</f>
        <v>40000</v>
      </c>
      <c r="J45" s="83">
        <f>ROUND(VLOOKUP(INT(SUBSTITUTE(J$23,"级","")),圣池!$AA$4:$AC$18,2,0)*$F45,-1)</f>
        <v>60000</v>
      </c>
      <c r="K45" s="83">
        <f>ROUND(VLOOKUP(INT(SUBSTITUTE(K$23,"级","")),圣池!$AA$4:$AC$18,2,0)*$F45,-1)</f>
        <v>100000</v>
      </c>
      <c r="L45" s="83">
        <f>ROUND(VLOOKUP(INT(SUBSTITUTE(L$23,"级","")),圣池!$AA$4:$AC$18,2,0)*$F45,-1)</f>
        <v>140000</v>
      </c>
      <c r="M45" s="83">
        <f>ROUND(VLOOKUP(INT(SUBSTITUTE(M$23,"级","")),圣池!$AA$4:$AC$18,2,0)*$F45,-1)</f>
        <v>200000</v>
      </c>
      <c r="N45" s="83">
        <f>ROUND(VLOOKUP(INT(SUBSTITUTE(N$23,"级","")),圣池!$AA$4:$AC$18,2,0)*$F45,-1)</f>
        <v>320000</v>
      </c>
      <c r="O45" s="83">
        <f>ROUND(VLOOKUP(INT(SUBSTITUTE(O$23,"级","")),圣池!$AA$4:$AC$18,2,0)*$F45,-1)</f>
        <v>480000</v>
      </c>
      <c r="P45" s="83">
        <f>ROUND(VLOOKUP(INT(SUBSTITUTE(P$23,"级","")),圣池!$AA$4:$AC$18,2,0)*$F45,-1)</f>
        <v>720000</v>
      </c>
      <c r="Q45" s="143">
        <f>ROUND(VLOOKUP(INT(SUBSTITUTE(Q$23,"级","")),圣池!$AA$4:$AC$18,2,0)*$F45,-1)</f>
        <v>1000000</v>
      </c>
      <c r="R45" s="143">
        <f>ROUND(VLOOKUP(INT(SUBSTITUTE(R$23,"级","")),圣池!$AA$4:$AC$18,2,0)*$F45,-1)</f>
        <v>1600000</v>
      </c>
      <c r="S45" s="143">
        <f>ROUND(VLOOKUP(INT(SUBSTITUTE(S$23,"级","")),圣池!$AA$4:$AC$18,2,0)*$F45,-1)</f>
        <v>2400000</v>
      </c>
      <c r="T45" s="143">
        <f>ROUND(VLOOKUP(INT(SUBSTITUTE(T$23,"级","")),圣池!$AA$4:$AC$18,2,0)*$F45,-1)</f>
        <v>3600000</v>
      </c>
      <c r="U45" s="143">
        <f>ROUND(VLOOKUP(INT(SUBSTITUTE(U$23,"级","")),圣池!$AA$4:$AC$18,2,0)*$F45,-1)</f>
        <v>5600000</v>
      </c>
      <c r="V45" s="143">
        <f>ROUND(VLOOKUP(INT(SUBSTITUTE(V$23,"级","")),圣池!$AA$4:$AC$18,2,0)*$F45,-1)</f>
        <v>8000000</v>
      </c>
      <c r="X45" s="70" t="str">
        <f t="shared" si="53"/>
        <v>70005_40000_12</v>
      </c>
      <c r="Y45" s="70" t="str">
        <f t="shared" si="53"/>
        <v>70005_60000_12</v>
      </c>
      <c r="Z45" s="70" t="str">
        <f t="shared" si="53"/>
        <v>70005_100000_12</v>
      </c>
      <c r="AA45" s="70" t="str">
        <f t="shared" si="53"/>
        <v>70005_140000_12</v>
      </c>
      <c r="AB45" s="70" t="str">
        <f t="shared" si="53"/>
        <v>70005_200000_12</v>
      </c>
      <c r="AC45" s="70" t="str">
        <f t="shared" si="53"/>
        <v>70005_320000_12</v>
      </c>
      <c r="AD45" s="70" t="str">
        <f t="shared" si="53"/>
        <v>70005_480000_12</v>
      </c>
      <c r="AE45" s="70" t="str">
        <f t="shared" si="53"/>
        <v>70005_720000_12</v>
      </c>
      <c r="AF45" s="70" t="str">
        <f t="shared" si="53"/>
        <v>70005_1000000_12</v>
      </c>
      <c r="AH45" s="70" t="str">
        <f t="shared" si="71"/>
        <v>70005_5000_30,70005_10000_30,70005_20000_20,70005_40000_12</v>
      </c>
      <c r="AI45" s="70" t="str">
        <f t="shared" si="63"/>
        <v>70005_7500_30,70005_15000_30,70005_30000_20,70005_60000_12</v>
      </c>
      <c r="AJ45" s="70" t="str">
        <f t="shared" si="64"/>
        <v>70005_12500_30,70005_25000_30,70005_50000_20,70005_100000_12</v>
      </c>
      <c r="AK45" s="70" t="str">
        <f t="shared" si="65"/>
        <v>70005_17500_30,70005_35000_30,70005_70000_20,70005_140000_12</v>
      </c>
      <c r="AL45" s="70" t="str">
        <f t="shared" si="66"/>
        <v>70005_25000_30,70005_50000_30,70005_100000_20,70005_200000_12</v>
      </c>
      <c r="AM45" s="70" t="str">
        <f t="shared" si="67"/>
        <v>70005_40000_30,70005_80000_30,70005_160000_20,70005_320000_12</v>
      </c>
      <c r="AN45" s="70" t="str">
        <f t="shared" si="68"/>
        <v>70005_60000_30,70005_120000_30,70005_240000_20,70005_480000_12</v>
      </c>
      <c r="AO45" s="70" t="str">
        <f t="shared" si="69"/>
        <v>70005_90000_30,70005_180000_30,70005_360000_20,70005_720000_12</v>
      </c>
      <c r="AP45" s="70" t="str">
        <f t="shared" si="70"/>
        <v>70005_125000_30,70005_250000_30,70005_500000_20,70005_1000000_12</v>
      </c>
    </row>
    <row r="46" spans="5:42" x14ac:dyDescent="0.35">
      <c r="E46" s="57">
        <v>5</v>
      </c>
      <c r="F46" s="77">
        <v>80</v>
      </c>
      <c r="G46" s="142">
        <v>0.08</v>
      </c>
      <c r="H46" s="77">
        <f t="shared" si="62"/>
        <v>6.4</v>
      </c>
      <c r="I46" s="83">
        <f>ROUND(VLOOKUP(INT(SUBSTITUTE(I$23,"级","")),圣池!$AA$4:$AC$18,2,0)*$F46,-1)</f>
        <v>80000</v>
      </c>
      <c r="J46" s="83">
        <f>ROUND(VLOOKUP(INT(SUBSTITUTE(J$23,"级","")),圣池!$AA$4:$AC$18,2,0)*$F46,-1)</f>
        <v>120000</v>
      </c>
      <c r="K46" s="83">
        <f>ROUND(VLOOKUP(INT(SUBSTITUTE(K$23,"级","")),圣池!$AA$4:$AC$18,2,0)*$F46,-1)</f>
        <v>200000</v>
      </c>
      <c r="L46" s="83">
        <f>ROUND(VLOOKUP(INT(SUBSTITUTE(L$23,"级","")),圣池!$AA$4:$AC$18,2,0)*$F46,-1)</f>
        <v>280000</v>
      </c>
      <c r="M46" s="83">
        <f>ROUND(VLOOKUP(INT(SUBSTITUTE(M$23,"级","")),圣池!$AA$4:$AC$18,2,0)*$F46,-1)</f>
        <v>400000</v>
      </c>
      <c r="N46" s="83">
        <f>ROUND(VLOOKUP(INT(SUBSTITUTE(N$23,"级","")),圣池!$AA$4:$AC$18,2,0)*$F46,-1)</f>
        <v>640000</v>
      </c>
      <c r="O46" s="83">
        <f>ROUND(VLOOKUP(INT(SUBSTITUTE(O$23,"级","")),圣池!$AA$4:$AC$18,2,0)*$F46,-1)</f>
        <v>960000</v>
      </c>
      <c r="P46" s="83">
        <f>ROUND(VLOOKUP(INT(SUBSTITUTE(P$23,"级","")),圣池!$AA$4:$AC$18,2,0)*$F46,-1)</f>
        <v>1440000</v>
      </c>
      <c r="Q46" s="143">
        <f>ROUND(VLOOKUP(INT(SUBSTITUTE(Q$23,"级","")),圣池!$AA$4:$AC$18,2,0)*$F46,-1)</f>
        <v>2000000</v>
      </c>
      <c r="R46" s="143">
        <f>ROUND(VLOOKUP(INT(SUBSTITUTE(R$23,"级","")),圣池!$AA$4:$AC$18,2,0)*$F46,-1)</f>
        <v>3200000</v>
      </c>
      <c r="S46" s="143">
        <f>ROUND(VLOOKUP(INT(SUBSTITUTE(S$23,"级","")),圣池!$AA$4:$AC$18,2,0)*$F46,-1)</f>
        <v>4800000</v>
      </c>
      <c r="T46" s="143">
        <f>ROUND(VLOOKUP(INT(SUBSTITUTE(T$23,"级","")),圣池!$AA$4:$AC$18,2,0)*$F46,-1)</f>
        <v>7200000</v>
      </c>
      <c r="U46" s="143">
        <f>ROUND(VLOOKUP(INT(SUBSTITUTE(U$23,"级","")),圣池!$AA$4:$AC$18,2,0)*$F46,-1)</f>
        <v>11200000</v>
      </c>
      <c r="V46" s="143">
        <f>ROUND(VLOOKUP(INT(SUBSTITUTE(V$23,"级","")),圣池!$AA$4:$AC$18,2,0)*$F46,-1)</f>
        <v>16000000</v>
      </c>
      <c r="X46" s="70" t="str">
        <f t="shared" si="53"/>
        <v>70005_80000_8</v>
      </c>
      <c r="Y46" s="70" t="str">
        <f t="shared" si="53"/>
        <v>70005_120000_8</v>
      </c>
      <c r="Z46" s="70" t="str">
        <f t="shared" si="53"/>
        <v>70005_200000_8</v>
      </c>
      <c r="AA46" s="70" t="str">
        <f t="shared" si="53"/>
        <v>70005_280000_8</v>
      </c>
      <c r="AB46" s="70" t="str">
        <f t="shared" si="53"/>
        <v>70005_400000_8</v>
      </c>
      <c r="AC46" s="70" t="str">
        <f t="shared" si="53"/>
        <v>70005_640000_8</v>
      </c>
      <c r="AD46" s="70" t="str">
        <f t="shared" si="53"/>
        <v>70005_960000_8</v>
      </c>
      <c r="AE46" s="70" t="str">
        <f t="shared" si="53"/>
        <v>70005_1440000_8</v>
      </c>
      <c r="AF46" s="70" t="str">
        <f t="shared" si="53"/>
        <v>70005_2000000_8</v>
      </c>
      <c r="AH46" s="70" t="str">
        <f t="shared" si="71"/>
        <v>70005_5000_30,70005_10000_30,70005_20000_20,70005_40000_12,70005_80000_8</v>
      </c>
      <c r="AI46" s="70" t="str">
        <f t="shared" si="63"/>
        <v>70005_7500_30,70005_15000_30,70005_30000_20,70005_60000_12,70005_120000_8</v>
      </c>
      <c r="AJ46" s="70" t="str">
        <f t="shared" si="64"/>
        <v>70005_12500_30,70005_25000_30,70005_50000_20,70005_100000_12,70005_200000_8</v>
      </c>
      <c r="AK46" s="70" t="str">
        <f t="shared" si="65"/>
        <v>70005_17500_30,70005_35000_30,70005_70000_20,70005_140000_12,70005_280000_8</v>
      </c>
      <c r="AL46" s="70" t="str">
        <f t="shared" si="66"/>
        <v>70005_25000_30,70005_50000_30,70005_100000_20,70005_200000_12,70005_400000_8</v>
      </c>
      <c r="AM46" s="70" t="str">
        <f t="shared" si="67"/>
        <v>70005_40000_30,70005_80000_30,70005_160000_20,70005_320000_12,70005_640000_8</v>
      </c>
      <c r="AN46" s="70" t="str">
        <f t="shared" si="68"/>
        <v>70005_60000_30,70005_120000_30,70005_240000_20,70005_480000_12,70005_960000_8</v>
      </c>
      <c r="AO46" s="70" t="str">
        <f t="shared" si="69"/>
        <v>70005_90000_30,70005_180000_30,70005_360000_20,70005_720000_12,70005_1440000_8</v>
      </c>
      <c r="AP46" s="70" t="str">
        <f t="shared" si="70"/>
        <v>70005_125000_30,70005_250000_30,70005_500000_20,70005_1000000_12,70005_2000000_8</v>
      </c>
    </row>
  </sheetData>
  <mergeCells count="4">
    <mergeCell ref="I13:V13"/>
    <mergeCell ref="I22:V22"/>
    <mergeCell ref="I31:V31"/>
    <mergeCell ref="I40:V40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H32" sqref="H32"/>
    </sheetView>
  </sheetViews>
  <sheetFormatPr defaultRowHeight="16.5" x14ac:dyDescent="0.15"/>
  <cols>
    <col min="1" max="16384" width="9" style="72"/>
  </cols>
  <sheetData>
    <row r="1" spans="1:1" ht="17.25" x14ac:dyDescent="0.15">
      <c r="A1" s="71" t="s">
        <v>239</v>
      </c>
    </row>
    <row r="2" spans="1:1" ht="17.25" x14ac:dyDescent="0.15">
      <c r="A2" s="71" t="s">
        <v>240</v>
      </c>
    </row>
    <row r="3" spans="1:1" ht="17.25" x14ac:dyDescent="0.15">
      <c r="A3" s="71" t="s">
        <v>241</v>
      </c>
    </row>
    <row r="4" spans="1:1" ht="17.25" x14ac:dyDescent="0.15">
      <c r="A4" s="71" t="s">
        <v>242</v>
      </c>
    </row>
    <row r="5" spans="1:1" ht="17.25" x14ac:dyDescent="0.15">
      <c r="A5" s="71" t="s">
        <v>243</v>
      </c>
    </row>
    <row r="6" spans="1:1" ht="17.25" x14ac:dyDescent="0.15">
      <c r="A6" s="71" t="s">
        <v>244</v>
      </c>
    </row>
    <row r="7" spans="1:1" ht="17.25" x14ac:dyDescent="0.15">
      <c r="A7" s="71"/>
    </row>
    <row r="8" spans="1:1" ht="17.25" x14ac:dyDescent="0.15">
      <c r="A8" s="71" t="s">
        <v>238</v>
      </c>
    </row>
    <row r="9" spans="1:1" ht="17.25" x14ac:dyDescent="0.15">
      <c r="A9" s="71" t="s">
        <v>235</v>
      </c>
    </row>
    <row r="12" spans="1:1" x14ac:dyDescent="0.15">
      <c r="A12" s="73" t="s">
        <v>245</v>
      </c>
    </row>
    <row r="13" spans="1:1" ht="17.25" x14ac:dyDescent="0.15">
      <c r="A13" s="74" t="s">
        <v>256</v>
      </c>
    </row>
    <row r="14" spans="1:1" ht="17.25" x14ac:dyDescent="0.15">
      <c r="A14" s="74" t="s">
        <v>257</v>
      </c>
    </row>
    <row r="15" spans="1:1" ht="17.25" x14ac:dyDescent="0.15">
      <c r="A15" s="74" t="s">
        <v>258</v>
      </c>
    </row>
    <row r="16" spans="1:1" ht="17.25" x14ac:dyDescent="0.15">
      <c r="A16" s="75" t="s">
        <v>236</v>
      </c>
    </row>
    <row r="17" spans="1:1" x14ac:dyDescent="0.15">
      <c r="A17" s="73" t="s">
        <v>246</v>
      </c>
    </row>
    <row r="18" spans="1:1" ht="17.25" x14ac:dyDescent="0.15">
      <c r="A18" s="71" t="s">
        <v>237</v>
      </c>
    </row>
    <row r="19" spans="1:1" x14ac:dyDescent="0.15">
      <c r="A19" s="73" t="s">
        <v>247</v>
      </c>
    </row>
    <row r="20" spans="1:1" ht="17.25" x14ac:dyDescent="0.15">
      <c r="A20" s="71" t="s">
        <v>248</v>
      </c>
    </row>
    <row r="21" spans="1:1" ht="17.25" x14ac:dyDescent="0.15">
      <c r="A21" s="71" t="s">
        <v>249</v>
      </c>
    </row>
    <row r="22" spans="1:1" ht="17.25" x14ac:dyDescent="0.15">
      <c r="A22" s="71" t="s">
        <v>250</v>
      </c>
    </row>
    <row r="23" spans="1:1" x14ac:dyDescent="0.15">
      <c r="A23" s="76"/>
    </row>
    <row r="24" spans="1:1" x14ac:dyDescent="0.15">
      <c r="A24" s="73" t="s">
        <v>251</v>
      </c>
    </row>
    <row r="25" spans="1:1" ht="17.25" x14ac:dyDescent="0.15">
      <c r="A25" s="71" t="s">
        <v>252</v>
      </c>
    </row>
    <row r="26" spans="1:1" ht="17.25" x14ac:dyDescent="0.15">
      <c r="A26" s="71" t="s">
        <v>253</v>
      </c>
    </row>
    <row r="27" spans="1:1" ht="17.25" x14ac:dyDescent="0.15">
      <c r="A27" s="71" t="s">
        <v>254</v>
      </c>
    </row>
    <row r="28" spans="1:1" ht="17.25" x14ac:dyDescent="0.15">
      <c r="A28" s="7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物品定价</vt:lpstr>
      <vt:lpstr>等级时间</vt:lpstr>
      <vt:lpstr>体力抽奖</vt:lpstr>
      <vt:lpstr>猫咪</vt:lpstr>
      <vt:lpstr>树木</vt:lpstr>
      <vt:lpstr>矿山</vt:lpstr>
      <vt:lpstr>旅店</vt:lpstr>
      <vt:lpstr>圣池</vt:lpstr>
      <vt:lpstr>土地规划</vt:lpstr>
      <vt:lpstr>商店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2018-06-25T16:46:20Z</dcterms:modified>
</cp:coreProperties>
</file>